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8.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9.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0.xml" ContentType="application/vnd.openxmlformats-officedocument.drawing+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https://seiorg-my.sharepoint.com/personal/rob_bailis_sei_org/Documents/Bridge carbon/MWI inputs/"/>
    </mc:Choice>
  </mc:AlternateContent>
  <xr:revisionPtr revIDLastSave="132" documentId="8_{1E09CEF4-C254-C54C-9406-D0381F259487}" xr6:coauthVersionLast="47" xr6:coauthVersionMax="47" xr10:uidLastSave="{2D405C91-B928-7B4B-A40E-94F37FC1ADC4}"/>
  <bookViews>
    <workbookView xWindow="-38400" yWindow="0" windowWidth="38400" windowHeight="21600" activeTab="6" xr2:uid="{C1E98CEB-58E7-EA49-AA22-3205FC3CE1ED}"/>
  </bookViews>
  <sheets>
    <sheet name="Read Me" sheetId="8" r:id="rId1"/>
    <sheet name="Summary" sheetId="27" r:id="rId2"/>
    <sheet name="EED_BAU_KNBS-pop" sheetId="1" state="hidden" r:id="rId3"/>
    <sheet name="BAU_Scenario" sheetId="6" r:id="rId4"/>
    <sheet name="BAU_Fuel_cons" sheetId="25" r:id="rId5"/>
    <sheet name="BAU_emissions" sheetId="29" r:id="rId6"/>
    <sheet name="BAU_for_CSV" sheetId="33" r:id="rId7"/>
    <sheet name="NICCS_scenario" sheetId="22" r:id="rId8"/>
    <sheet name="NICCS_Fuel_cons" sheetId="26" r:id="rId9"/>
    <sheet name="NICCS_emissions" sheetId="30" r:id="rId10"/>
    <sheet name="Population" sheetId="2" r:id="rId11"/>
    <sheet name="params" sheetId="3" r:id="rId12"/>
    <sheet name="nonresidential" sheetId="34" r:id="rId13"/>
    <sheet name="efs" sheetId="31" r:id="rId14"/>
  </sheets>
  <externalReferences>
    <externalReference r:id="rId15"/>
    <externalReference r:id="rId16"/>
  </externalReferences>
  <definedNames>
    <definedName name="_xlnm._FilterDatabase" localSheetId="6" hidden="1">BAU_for_CSV!$A$1:$L$3117</definedName>
    <definedName name="_xlnm._FilterDatabase" localSheetId="11" hidden="1">params!$AW$1:$BB$295</definedName>
    <definedName name="_ftn1" localSheetId="11">params!$AC$40</definedName>
    <definedName name="_ftn2" localSheetId="11">params!$AC$41</definedName>
    <definedName name="_ftnref1" localSheetId="11">params!$AG$15</definedName>
    <definedName name="_ftnref2" localSheetId="11">params!$AE$19</definedName>
    <definedName name="_xlchart.v1.0" hidden="1">BAU_for_CSV!$AG$3:$AO$3</definedName>
    <definedName name="_xlchart.v1.1" hidden="1">BAU_for_CSV!$AG$4:$AO$4</definedName>
    <definedName name="_xlchart.v1.2" hidden="1">BAU_for_CSV!$AG$5:$AO$5</definedName>
    <definedName name="_xlchart.v1.3" hidden="1">BAU_for_CSV!$AG$6:$AO$6</definedName>
    <definedName name="_xlchart.v1.4" hidden="1">BAU_for_CSV!$P$3</definedName>
    <definedName name="_xlchart.v1.5" hidden="1">BAU_for_CSV!$P$4</definedName>
    <definedName name="_xlchart.v1.6" hidden="1">BAU_for_CSV!$P$5</definedName>
    <definedName name="_xlchart.v1.7" hidden="1">BAU_for_CSV!$P$6</definedName>
    <definedName name="CC_options">[1]parameters!$B$119:$B$128</definedName>
    <definedName name="End_year" comment="Defines ending year of the model">'[1]setup &amp; summary'!$B$4</definedName>
    <definedName name="fNRB">params!$D$40</definedName>
    <definedName name="Intervention1_end">'[1]setup &amp; summary'!$E$4</definedName>
    <definedName name="Intervention1_start">'[1]setup &amp; summary'!$E$3</definedName>
    <definedName name="Intervention2_end">'[1]setup &amp; summary'!$F$4</definedName>
    <definedName name="Intervention2_start">'[1]setup &amp; summary'!$F$3</definedName>
    <definedName name="Intervention3_end">'[1]setup &amp; summary'!$G$4</definedName>
    <definedName name="Intervention3_start">'[1]setup &amp; summary'!$G$3</definedName>
    <definedName name="List_years">#REF!</definedName>
    <definedName name="rural_hh">[1]parameters!$Z$2</definedName>
    <definedName name="start_year" comment="Defines starting year of the model">'[1]setup &amp; summary'!$B$3</definedName>
    <definedName name="UGX_USD" localSheetId="13">[1]parameters!$L$118</definedName>
    <definedName name="UGX_USD">params!$AC$2</definedName>
    <definedName name="urban_hh">[1]parameters!$Z$3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5" i="33" l="1"/>
  <c r="S45" i="33"/>
  <c r="T45" i="33"/>
  <c r="U45" i="33"/>
  <c r="V45" i="33"/>
  <c r="W45" i="33"/>
  <c r="X45" i="33"/>
  <c r="Y45" i="33"/>
  <c r="Q45" i="33"/>
  <c r="Q44" i="33"/>
  <c r="AH5" i="33"/>
  <c r="AI5" i="33"/>
  <c r="AJ5" i="33"/>
  <c r="AK5" i="33"/>
  <c r="AL5" i="33"/>
  <c r="AM5" i="33"/>
  <c r="AN5" i="33"/>
  <c r="AO5" i="33"/>
  <c r="AH6" i="33"/>
  <c r="AI6" i="33"/>
  <c r="AJ6" i="33"/>
  <c r="AK6" i="33"/>
  <c r="AL6" i="33"/>
  <c r="AM6" i="33"/>
  <c r="AN6" i="33"/>
  <c r="AO6" i="33"/>
  <c r="AG6" i="33"/>
  <c r="AG5" i="33"/>
  <c r="AO4" i="33"/>
  <c r="AN4" i="33"/>
  <c r="AM4" i="33"/>
  <c r="AL4" i="33"/>
  <c r="AK4" i="33"/>
  <c r="AJ4" i="33"/>
  <c r="AI4" i="33"/>
  <c r="AH4" i="33"/>
  <c r="AG4" i="33"/>
  <c r="AO3" i="33"/>
  <c r="AN3" i="33"/>
  <c r="AM3" i="33"/>
  <c r="AL3" i="33"/>
  <c r="AK3" i="33"/>
  <c r="AJ3" i="33"/>
  <c r="AI3" i="33"/>
  <c r="AH3" i="33"/>
  <c r="AG3" i="33"/>
  <c r="Y27" i="33"/>
  <c r="X27" i="33"/>
  <c r="W27" i="33"/>
  <c r="V27" i="33"/>
  <c r="U27" i="33"/>
  <c r="T27" i="33"/>
  <c r="S27" i="33"/>
  <c r="R27" i="33"/>
  <c r="Q27" i="33"/>
  <c r="R17" i="33"/>
  <c r="S17" i="33"/>
  <c r="T17" i="33"/>
  <c r="U17" i="33"/>
  <c r="V17" i="33"/>
  <c r="W17" i="33"/>
  <c r="X17" i="33"/>
  <c r="Y17" i="33"/>
  <c r="R18" i="33"/>
  <c r="S18" i="33"/>
  <c r="T18" i="33"/>
  <c r="U18" i="33"/>
  <c r="V18" i="33"/>
  <c r="W18" i="33"/>
  <c r="X18" i="33"/>
  <c r="Y18" i="33"/>
  <c r="R19" i="33"/>
  <c r="S19" i="33"/>
  <c r="T19" i="33"/>
  <c r="U19" i="33"/>
  <c r="V19" i="33"/>
  <c r="W19" i="33"/>
  <c r="X19" i="33"/>
  <c r="Y19" i="33"/>
  <c r="R20" i="33"/>
  <c r="S20" i="33"/>
  <c r="T20" i="33"/>
  <c r="U20" i="33"/>
  <c r="V20" i="33"/>
  <c r="W20" i="33"/>
  <c r="X20" i="33"/>
  <c r="Y20" i="33"/>
  <c r="R21" i="33"/>
  <c r="S21" i="33"/>
  <c r="T21" i="33"/>
  <c r="U21" i="33"/>
  <c r="V21" i="33"/>
  <c r="W21" i="33"/>
  <c r="X21" i="33"/>
  <c r="Y21" i="33"/>
  <c r="R22" i="33"/>
  <c r="S22" i="33"/>
  <c r="T22" i="33"/>
  <c r="U22" i="33"/>
  <c r="V22" i="33"/>
  <c r="W22" i="33"/>
  <c r="X22" i="33"/>
  <c r="Y22" i="33"/>
  <c r="R23" i="33"/>
  <c r="S23" i="33"/>
  <c r="T23" i="33"/>
  <c r="U23" i="33"/>
  <c r="V23" i="33"/>
  <c r="W23" i="33"/>
  <c r="X23" i="33"/>
  <c r="Y23" i="33"/>
  <c r="R24" i="33"/>
  <c r="S24" i="33"/>
  <c r="T24" i="33"/>
  <c r="U24" i="33"/>
  <c r="V24" i="33"/>
  <c r="W24" i="33"/>
  <c r="X24" i="33"/>
  <c r="Y24" i="33"/>
  <c r="R25" i="33"/>
  <c r="S25" i="33"/>
  <c r="T25" i="33"/>
  <c r="U25" i="33"/>
  <c r="V25" i="33"/>
  <c r="W25" i="33"/>
  <c r="X25" i="33"/>
  <c r="Y25" i="33"/>
  <c r="R26" i="33"/>
  <c r="S26" i="33"/>
  <c r="T26" i="33"/>
  <c r="U26" i="33"/>
  <c r="V26" i="33"/>
  <c r="W26" i="33"/>
  <c r="X26" i="33"/>
  <c r="Y26" i="33"/>
  <c r="Q18" i="33"/>
  <c r="Q19" i="33"/>
  <c r="Q20" i="33"/>
  <c r="Q21" i="33"/>
  <c r="Q22" i="33"/>
  <c r="Q23" i="33"/>
  <c r="Q24" i="33"/>
  <c r="Q25" i="33"/>
  <c r="Q26" i="33"/>
  <c r="Q17" i="33"/>
  <c r="P50" i="33" l="1"/>
  <c r="P49" i="33"/>
  <c r="S57" i="33" l="1"/>
  <c r="V58" i="33"/>
  <c r="Q59" i="33"/>
  <c r="Y59" i="33"/>
  <c r="Q56" i="33"/>
  <c r="S59" i="33" l="1"/>
  <c r="X58" i="33"/>
  <c r="U57" i="33"/>
  <c r="R56" i="33"/>
  <c r="X56" i="33"/>
  <c r="Y58" i="33"/>
  <c r="Q58" i="33"/>
  <c r="V57" i="33"/>
  <c r="W59" i="33"/>
  <c r="T58" i="33"/>
  <c r="Y57" i="33"/>
  <c r="V56" i="33"/>
  <c r="W58" i="33"/>
  <c r="Y56" i="33"/>
  <c r="U59" i="33"/>
  <c r="R58" i="33"/>
  <c r="W57" i="33"/>
  <c r="X59" i="33"/>
  <c r="U58" i="33"/>
  <c r="R57" i="33"/>
  <c r="W56" i="33"/>
  <c r="V59" i="33"/>
  <c r="T59" i="33"/>
  <c r="R59" i="33"/>
  <c r="T57" i="33"/>
  <c r="S58" i="33"/>
  <c r="W60" i="33" l="1"/>
  <c r="V60" i="33"/>
  <c r="U56" i="33"/>
  <c r="U60" i="33" s="1"/>
  <c r="T56" i="33"/>
  <c r="T60" i="33" s="1"/>
  <c r="R60" i="33"/>
  <c r="X57" i="33"/>
  <c r="X60" i="33"/>
  <c r="S56" i="33"/>
  <c r="S60" i="33" s="1"/>
  <c r="Y60" i="33"/>
  <c r="Q57" i="33"/>
  <c r="Q60" i="33" s="1"/>
  <c r="P12" i="3" l="1"/>
  <c r="T60" i="6" l="1"/>
  <c r="I903" i="33"/>
  <c r="I902" i="33"/>
  <c r="I901" i="33"/>
  <c r="I900" i="33"/>
  <c r="I899" i="33"/>
  <c r="I898" i="33"/>
  <c r="I897" i="33"/>
  <c r="I896" i="33"/>
  <c r="I895" i="33"/>
  <c r="I894" i="33"/>
  <c r="I893" i="33"/>
  <c r="I892" i="33"/>
  <c r="I891" i="33"/>
  <c r="I890" i="33"/>
  <c r="I889" i="33"/>
  <c r="I888" i="33"/>
  <c r="I887" i="33"/>
  <c r="I886" i="33"/>
  <c r="I885" i="33"/>
  <c r="I884" i="33"/>
  <c r="I883" i="33"/>
  <c r="I882" i="33"/>
  <c r="I881" i="33"/>
  <c r="I880" i="33"/>
  <c r="I879" i="33"/>
  <c r="I878" i="33"/>
  <c r="I877" i="33"/>
  <c r="I876" i="33"/>
  <c r="I875" i="33"/>
  <c r="I874" i="33"/>
  <c r="I873" i="33"/>
  <c r="I872" i="33"/>
  <c r="I871" i="33"/>
  <c r="I870" i="33"/>
  <c r="I869" i="33"/>
  <c r="I868" i="33"/>
  <c r="I867" i="33"/>
  <c r="I866" i="33"/>
  <c r="I865" i="33"/>
  <c r="I864" i="33"/>
  <c r="I863" i="33"/>
  <c r="I862" i="33"/>
  <c r="I861" i="33"/>
  <c r="I860" i="33"/>
  <c r="I859" i="33"/>
  <c r="I858" i="33"/>
  <c r="I857" i="33"/>
  <c r="I856" i="33"/>
  <c r="I855" i="33"/>
  <c r="I854" i="33"/>
  <c r="I853" i="33"/>
  <c r="I852" i="33"/>
  <c r="I851" i="33"/>
  <c r="I850" i="33"/>
  <c r="I849" i="33"/>
  <c r="I848" i="33"/>
  <c r="I847" i="33"/>
  <c r="I846" i="33"/>
  <c r="I845" i="33"/>
  <c r="I844" i="33"/>
  <c r="I843" i="33"/>
  <c r="I842" i="33"/>
  <c r="I841" i="33"/>
  <c r="I840" i="33"/>
  <c r="I839" i="33"/>
  <c r="I838" i="33"/>
  <c r="I837" i="33"/>
  <c r="I836" i="33"/>
  <c r="I835" i="33"/>
  <c r="I834" i="33"/>
  <c r="I833" i="33"/>
  <c r="I832" i="33"/>
  <c r="I831" i="33"/>
  <c r="I830" i="33"/>
  <c r="I829" i="33"/>
  <c r="I828" i="33"/>
  <c r="I827" i="33"/>
  <c r="I826" i="33"/>
  <c r="I825" i="33"/>
  <c r="I824" i="33"/>
  <c r="I823" i="33"/>
  <c r="I822" i="33"/>
  <c r="I821" i="33"/>
  <c r="I820" i="33"/>
  <c r="I819" i="33"/>
  <c r="I818" i="33"/>
  <c r="I817" i="33"/>
  <c r="I816" i="33"/>
  <c r="I815" i="33"/>
  <c r="I814" i="33"/>
  <c r="I813" i="33"/>
  <c r="I812" i="33"/>
  <c r="I811" i="33"/>
  <c r="I810" i="33"/>
  <c r="I809" i="33"/>
  <c r="I808" i="33"/>
  <c r="I807" i="33"/>
  <c r="I806" i="33"/>
  <c r="I805" i="33"/>
  <c r="I804" i="33"/>
  <c r="I803" i="33"/>
  <c r="I802" i="33"/>
  <c r="I801" i="33"/>
  <c r="I800" i="33"/>
  <c r="I799" i="33"/>
  <c r="I798" i="33"/>
  <c r="I797" i="33"/>
  <c r="I796" i="33"/>
  <c r="I795" i="33"/>
  <c r="I794" i="33"/>
  <c r="I793" i="33"/>
  <c r="I792" i="33"/>
  <c r="I791" i="33"/>
  <c r="I790" i="33"/>
  <c r="I789" i="33"/>
  <c r="I788" i="33"/>
  <c r="I787" i="33"/>
  <c r="I786" i="33"/>
  <c r="I785" i="33"/>
  <c r="I784" i="33"/>
  <c r="I783" i="33"/>
  <c r="I782" i="33"/>
  <c r="I781" i="33"/>
  <c r="I780" i="33"/>
  <c r="I779" i="33"/>
  <c r="I778" i="33"/>
  <c r="I777" i="33"/>
  <c r="I776" i="33"/>
  <c r="I775" i="33"/>
  <c r="I774" i="33"/>
  <c r="I773" i="33"/>
  <c r="I772" i="33"/>
  <c r="I771" i="33"/>
  <c r="I770" i="33"/>
  <c r="I769" i="33"/>
  <c r="I768" i="33"/>
  <c r="I767" i="33"/>
  <c r="I766" i="33"/>
  <c r="I765" i="33"/>
  <c r="I764" i="33"/>
  <c r="I763" i="33"/>
  <c r="I762" i="33"/>
  <c r="I761" i="33"/>
  <c r="I760" i="33"/>
  <c r="I759" i="33"/>
  <c r="I758" i="33"/>
  <c r="I757" i="33"/>
  <c r="I756" i="33"/>
  <c r="I755" i="33"/>
  <c r="I754" i="33"/>
  <c r="I753" i="33"/>
  <c r="I752" i="33"/>
  <c r="I751" i="33"/>
  <c r="I750" i="33"/>
  <c r="I749" i="33"/>
  <c r="I748" i="33"/>
  <c r="I747" i="33"/>
  <c r="I746" i="33"/>
  <c r="I745" i="33"/>
  <c r="I744" i="33"/>
  <c r="I743" i="33"/>
  <c r="I742" i="33"/>
  <c r="I741" i="33"/>
  <c r="I740" i="33"/>
  <c r="I739" i="33"/>
  <c r="I738" i="33"/>
  <c r="I737" i="33"/>
  <c r="I736" i="33"/>
  <c r="I735" i="33"/>
  <c r="I734" i="33"/>
  <c r="I733" i="33"/>
  <c r="I732" i="33"/>
  <c r="I731" i="33"/>
  <c r="I730" i="33"/>
  <c r="I729" i="33"/>
  <c r="I728" i="33"/>
  <c r="I727" i="33"/>
  <c r="I726" i="33"/>
  <c r="I725" i="33"/>
  <c r="I724" i="33"/>
  <c r="I723" i="33"/>
  <c r="I722" i="33"/>
  <c r="I721" i="33"/>
  <c r="I720" i="33"/>
  <c r="I719" i="33"/>
  <c r="I718" i="33"/>
  <c r="I717" i="33"/>
  <c r="I716" i="33"/>
  <c r="I715" i="33"/>
  <c r="I714" i="33"/>
  <c r="I713" i="33"/>
  <c r="I712" i="33"/>
  <c r="I711" i="33"/>
  <c r="I710" i="33"/>
  <c r="I709" i="33"/>
  <c r="I708" i="33"/>
  <c r="I707" i="33"/>
  <c r="I706" i="33"/>
  <c r="I705" i="33"/>
  <c r="I704" i="33"/>
  <c r="I703" i="33"/>
  <c r="I702" i="33"/>
  <c r="I701" i="33"/>
  <c r="I700" i="33"/>
  <c r="I699" i="33"/>
  <c r="I698" i="33"/>
  <c r="I697" i="33"/>
  <c r="I696" i="33"/>
  <c r="I695" i="33"/>
  <c r="I694" i="33"/>
  <c r="I693" i="33"/>
  <c r="I692" i="33"/>
  <c r="I691" i="33"/>
  <c r="I690" i="33"/>
  <c r="I689" i="33"/>
  <c r="I688" i="33"/>
  <c r="I687" i="33"/>
  <c r="I686" i="33"/>
  <c r="I685" i="33"/>
  <c r="I684" i="33"/>
  <c r="I683" i="33"/>
  <c r="I682" i="33"/>
  <c r="I681" i="33"/>
  <c r="I680" i="33"/>
  <c r="I679" i="33"/>
  <c r="I678" i="33"/>
  <c r="I677" i="33"/>
  <c r="I676" i="33"/>
  <c r="I675" i="33"/>
  <c r="I674" i="33"/>
  <c r="I673" i="33"/>
  <c r="I672" i="33"/>
  <c r="I671" i="33"/>
  <c r="I670" i="33"/>
  <c r="I669" i="33"/>
  <c r="I668" i="33"/>
  <c r="I667" i="33"/>
  <c r="I666" i="33"/>
  <c r="I665" i="33"/>
  <c r="I664" i="33"/>
  <c r="I663" i="33"/>
  <c r="I662" i="33"/>
  <c r="I661" i="33"/>
  <c r="I660" i="33"/>
  <c r="I659" i="33"/>
  <c r="I658" i="33"/>
  <c r="I657" i="33"/>
  <c r="I656" i="33"/>
  <c r="I655" i="33"/>
  <c r="I654" i="33"/>
  <c r="I653" i="33"/>
  <c r="I652" i="33"/>
  <c r="I651" i="33"/>
  <c r="I650" i="33"/>
  <c r="I649" i="33"/>
  <c r="I648" i="33"/>
  <c r="I647" i="33"/>
  <c r="I646" i="33"/>
  <c r="I645" i="33"/>
  <c r="I644" i="33"/>
  <c r="I643" i="33"/>
  <c r="I642" i="33"/>
  <c r="I641" i="33"/>
  <c r="I640" i="33"/>
  <c r="I639" i="33"/>
  <c r="I638" i="33"/>
  <c r="I637" i="33"/>
  <c r="I636" i="33"/>
  <c r="I635" i="33"/>
  <c r="I634" i="33"/>
  <c r="I633" i="33"/>
  <c r="I632" i="33"/>
  <c r="I631" i="33"/>
  <c r="I630" i="33"/>
  <c r="I629" i="33"/>
  <c r="I628" i="33"/>
  <c r="I627" i="33"/>
  <c r="I626" i="33"/>
  <c r="I625" i="33"/>
  <c r="I624" i="33"/>
  <c r="I623" i="33"/>
  <c r="I622" i="33"/>
  <c r="I621" i="33"/>
  <c r="I620" i="33"/>
  <c r="I619" i="33"/>
  <c r="I618" i="33"/>
  <c r="I617" i="33"/>
  <c r="I616" i="33"/>
  <c r="I615" i="33"/>
  <c r="I614" i="33"/>
  <c r="I613" i="33"/>
  <c r="I612" i="33"/>
  <c r="I611" i="33"/>
  <c r="I610" i="33"/>
  <c r="I609" i="33"/>
  <c r="I608" i="33"/>
  <c r="I607" i="33"/>
  <c r="I606" i="33"/>
  <c r="I605" i="33"/>
  <c r="I604" i="33"/>
  <c r="I603" i="33"/>
  <c r="I602" i="33"/>
  <c r="I601" i="33"/>
  <c r="I600" i="33"/>
  <c r="I599" i="33"/>
  <c r="I598" i="33"/>
  <c r="I597" i="33"/>
  <c r="I596" i="33"/>
  <c r="I595" i="33"/>
  <c r="I594" i="33"/>
  <c r="I593" i="33"/>
  <c r="I592" i="33"/>
  <c r="I591" i="33"/>
  <c r="I590" i="33"/>
  <c r="I589" i="33"/>
  <c r="I588" i="33"/>
  <c r="I587" i="33"/>
  <c r="I586" i="33"/>
  <c r="I585" i="33"/>
  <c r="I584" i="33"/>
  <c r="I583" i="33"/>
  <c r="I582" i="33"/>
  <c r="I581" i="33"/>
  <c r="I580" i="33"/>
  <c r="I579" i="33"/>
  <c r="I578" i="33"/>
  <c r="I577" i="33"/>
  <c r="I576" i="33"/>
  <c r="I575" i="33"/>
  <c r="I574" i="33"/>
  <c r="I573" i="33"/>
  <c r="I572" i="33"/>
  <c r="I571" i="33"/>
  <c r="I570" i="33"/>
  <c r="I569" i="33"/>
  <c r="I568" i="33"/>
  <c r="I567" i="33"/>
  <c r="I566" i="33"/>
  <c r="I565" i="33"/>
  <c r="I564" i="33"/>
  <c r="I563" i="33"/>
  <c r="I562" i="33"/>
  <c r="I561" i="33"/>
  <c r="I560" i="33"/>
  <c r="I559" i="33"/>
  <c r="I558" i="33"/>
  <c r="I557" i="33"/>
  <c r="I556" i="33"/>
  <c r="I555" i="33"/>
  <c r="I554" i="33"/>
  <c r="I553" i="33"/>
  <c r="I552" i="33"/>
  <c r="I551" i="33"/>
  <c r="I550" i="33"/>
  <c r="I549" i="33"/>
  <c r="I548" i="33"/>
  <c r="I547" i="33"/>
  <c r="I546" i="33"/>
  <c r="I545" i="33"/>
  <c r="I544" i="33"/>
  <c r="I543" i="33"/>
  <c r="I542" i="33"/>
  <c r="I541" i="33"/>
  <c r="I540" i="33"/>
  <c r="I539" i="33"/>
  <c r="I538" i="33"/>
  <c r="I537" i="33"/>
  <c r="I536" i="33"/>
  <c r="I535" i="33"/>
  <c r="I534" i="33"/>
  <c r="I533" i="33"/>
  <c r="I532" i="33"/>
  <c r="I531" i="33"/>
  <c r="I530" i="33"/>
  <c r="I529" i="33"/>
  <c r="I528" i="33"/>
  <c r="I527" i="33"/>
  <c r="I526" i="33"/>
  <c r="I525" i="33"/>
  <c r="I524" i="33"/>
  <c r="I523" i="33"/>
  <c r="I522" i="33"/>
  <c r="I521" i="33"/>
  <c r="I520" i="33"/>
  <c r="I519" i="33"/>
  <c r="I518" i="33"/>
  <c r="I517" i="33"/>
  <c r="I516" i="33"/>
  <c r="I515" i="33"/>
  <c r="I514" i="33"/>
  <c r="I513" i="33"/>
  <c r="I512" i="33"/>
  <c r="I511" i="33"/>
  <c r="I510" i="33"/>
  <c r="I509" i="33"/>
  <c r="I508" i="33"/>
  <c r="I507" i="33"/>
  <c r="I506" i="33"/>
  <c r="I505" i="33"/>
  <c r="I504" i="33"/>
  <c r="I503" i="33"/>
  <c r="I502" i="33"/>
  <c r="I501" i="33"/>
  <c r="I500" i="33"/>
  <c r="I499" i="33"/>
  <c r="I498" i="33"/>
  <c r="I497" i="33"/>
  <c r="I496" i="33"/>
  <c r="I495" i="33"/>
  <c r="I494" i="33"/>
  <c r="I493" i="33"/>
  <c r="I492" i="33"/>
  <c r="I491" i="33"/>
  <c r="I490" i="33"/>
  <c r="I489" i="33"/>
  <c r="I488" i="33"/>
  <c r="I487" i="33"/>
  <c r="I486" i="33"/>
  <c r="I485" i="33"/>
  <c r="I484" i="33"/>
  <c r="I483" i="33"/>
  <c r="I482" i="33"/>
  <c r="I481" i="33"/>
  <c r="I480" i="33"/>
  <c r="I479" i="33"/>
  <c r="I478" i="33"/>
  <c r="I477" i="33"/>
  <c r="I476" i="33"/>
  <c r="I475" i="33"/>
  <c r="I474" i="33"/>
  <c r="I473" i="33"/>
  <c r="I472" i="33"/>
  <c r="I471" i="33"/>
  <c r="I470" i="33"/>
  <c r="I469" i="33"/>
  <c r="I468" i="33"/>
  <c r="I467" i="33"/>
  <c r="I466" i="33"/>
  <c r="I465" i="33"/>
  <c r="I464" i="33"/>
  <c r="I463" i="33"/>
  <c r="I462" i="33"/>
  <c r="I461" i="33"/>
  <c r="I460" i="33"/>
  <c r="I459" i="33"/>
  <c r="I458" i="33"/>
  <c r="I457" i="33"/>
  <c r="I456" i="33"/>
  <c r="I455" i="33"/>
  <c r="I454" i="33"/>
  <c r="I453" i="33"/>
  <c r="I452" i="33"/>
  <c r="I451" i="33"/>
  <c r="I450" i="33"/>
  <c r="I449" i="33"/>
  <c r="I448" i="33"/>
  <c r="I447" i="33"/>
  <c r="I446" i="33"/>
  <c r="I445" i="33"/>
  <c r="I444" i="33"/>
  <c r="I443" i="33"/>
  <c r="I442" i="33"/>
  <c r="I441" i="33"/>
  <c r="I440" i="33"/>
  <c r="I439" i="33"/>
  <c r="I438" i="33"/>
  <c r="I437" i="33"/>
  <c r="I436" i="33"/>
  <c r="I435" i="33"/>
  <c r="I434" i="33"/>
  <c r="I433" i="33"/>
  <c r="I432" i="33"/>
  <c r="I431" i="33"/>
  <c r="I430" i="33"/>
  <c r="I429" i="33"/>
  <c r="I428" i="33"/>
  <c r="I427" i="33"/>
  <c r="I426" i="33"/>
  <c r="I425" i="33"/>
  <c r="I424" i="33"/>
  <c r="I423" i="33"/>
  <c r="I422" i="33"/>
  <c r="I421" i="33"/>
  <c r="I420" i="33"/>
  <c r="I419" i="33"/>
  <c r="I418" i="33"/>
  <c r="I417" i="33"/>
  <c r="I416" i="33"/>
  <c r="I415" i="33"/>
  <c r="I414" i="33"/>
  <c r="I413" i="33"/>
  <c r="I412" i="33"/>
  <c r="I411" i="33"/>
  <c r="I410" i="33"/>
  <c r="I409" i="33"/>
  <c r="I408" i="33"/>
  <c r="I407" i="33"/>
  <c r="I406" i="33"/>
  <c r="I405" i="33"/>
  <c r="I404" i="33"/>
  <c r="I403" i="33"/>
  <c r="I402" i="33"/>
  <c r="I401" i="33"/>
  <c r="I400" i="33"/>
  <c r="I399" i="33"/>
  <c r="I398" i="33"/>
  <c r="I397" i="33"/>
  <c r="I396" i="33"/>
  <c r="I395" i="33"/>
  <c r="I394" i="33"/>
  <c r="I393" i="33"/>
  <c r="I392" i="33"/>
  <c r="I391" i="33"/>
  <c r="I390" i="33"/>
  <c r="I389" i="33"/>
  <c r="I388" i="33"/>
  <c r="I387" i="33"/>
  <c r="I386" i="33"/>
  <c r="I385" i="33"/>
  <c r="I384" i="33"/>
  <c r="I383" i="33"/>
  <c r="I382" i="33"/>
  <c r="I381" i="33"/>
  <c r="I380" i="33"/>
  <c r="I379" i="33"/>
  <c r="I378" i="33"/>
  <c r="I377" i="33"/>
  <c r="I376" i="33"/>
  <c r="I375" i="33"/>
  <c r="I374" i="33"/>
  <c r="I373" i="33"/>
  <c r="I372" i="33"/>
  <c r="I371" i="33"/>
  <c r="I370" i="33"/>
  <c r="I369" i="33"/>
  <c r="I368" i="33"/>
  <c r="I367" i="33"/>
  <c r="I366" i="33"/>
  <c r="I365" i="33"/>
  <c r="I364" i="33"/>
  <c r="I363" i="33"/>
  <c r="I362" i="33"/>
  <c r="I361" i="33"/>
  <c r="I360" i="33"/>
  <c r="I359" i="33"/>
  <c r="I358" i="33"/>
  <c r="I357" i="33"/>
  <c r="I356" i="33"/>
  <c r="I355" i="33"/>
  <c r="I354" i="33"/>
  <c r="I353" i="33"/>
  <c r="I352" i="33"/>
  <c r="I351" i="33"/>
  <c r="I350" i="33"/>
  <c r="I349" i="33"/>
  <c r="I348" i="33"/>
  <c r="I347" i="33"/>
  <c r="I346" i="33"/>
  <c r="I345" i="33"/>
  <c r="I344" i="33"/>
  <c r="I343" i="33"/>
  <c r="I342" i="33"/>
  <c r="I341" i="33"/>
  <c r="I340" i="33"/>
  <c r="I339" i="33"/>
  <c r="I338" i="33"/>
  <c r="I337" i="33"/>
  <c r="I336" i="33"/>
  <c r="I335" i="33"/>
  <c r="I334" i="33"/>
  <c r="I333" i="33"/>
  <c r="I332" i="33"/>
  <c r="I331" i="33"/>
  <c r="I330" i="33"/>
  <c r="I329" i="33"/>
  <c r="I328" i="33"/>
  <c r="I327" i="33"/>
  <c r="I326" i="33"/>
  <c r="I325" i="33"/>
  <c r="I324" i="33"/>
  <c r="I323" i="33"/>
  <c r="I322" i="33"/>
  <c r="I321" i="33"/>
  <c r="I320" i="33"/>
  <c r="I319" i="33"/>
  <c r="I318" i="33"/>
  <c r="I317" i="33"/>
  <c r="I316" i="33"/>
  <c r="I315" i="33"/>
  <c r="I314" i="33"/>
  <c r="I313" i="33"/>
  <c r="I312" i="33"/>
  <c r="I311" i="33"/>
  <c r="I310" i="33"/>
  <c r="I309" i="33"/>
  <c r="I308" i="33"/>
  <c r="I307" i="33"/>
  <c r="I306" i="33"/>
  <c r="I305" i="33"/>
  <c r="I304" i="33"/>
  <c r="I303" i="33"/>
  <c r="I302" i="33"/>
  <c r="I301" i="33"/>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47" i="33"/>
  <c r="I246" i="33"/>
  <c r="I245"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81" i="33"/>
  <c r="I180" i="33"/>
  <c r="I179"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5" i="33"/>
  <c r="I114" i="33"/>
  <c r="I113"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9" i="33"/>
  <c r="I48" i="33"/>
  <c r="I47" i="33"/>
  <c r="I46" i="33"/>
  <c r="I45" i="33"/>
  <c r="I44" i="33"/>
  <c r="I43" i="33"/>
  <c r="I42" i="33"/>
  <c r="I41" i="33"/>
  <c r="I40" i="33"/>
  <c r="I39" i="33"/>
  <c r="I38" i="33"/>
  <c r="I37" i="33"/>
  <c r="I36" i="33"/>
  <c r="I35" i="33"/>
  <c r="I34" i="33"/>
  <c r="I33" i="33"/>
  <c r="I32" i="33"/>
  <c r="I31" i="33"/>
  <c r="I30" i="33"/>
  <c r="I29" i="33"/>
  <c r="I28" i="33"/>
  <c r="I27" i="33"/>
  <c r="I26" i="33"/>
  <c r="I25" i="33"/>
  <c r="I24" i="33"/>
  <c r="I23" i="33"/>
  <c r="I22" i="33"/>
  <c r="I21" i="33"/>
  <c r="I20" i="33"/>
  <c r="I19" i="33"/>
  <c r="I18" i="33"/>
  <c r="I17" i="33"/>
  <c r="I16" i="33"/>
  <c r="I15" i="33"/>
  <c r="I14" i="33"/>
  <c r="I13" i="33"/>
  <c r="I12" i="33"/>
  <c r="I11" i="33"/>
  <c r="I10" i="33"/>
  <c r="I9" i="33"/>
  <c r="I8" i="33"/>
  <c r="I7" i="33"/>
  <c r="I6" i="33"/>
  <c r="I5" i="33"/>
  <c r="I4" i="33"/>
  <c r="I3" i="33"/>
  <c r="I2" i="33"/>
  <c r="P31" i="33" l="1"/>
  <c r="G42" i="34" l="1"/>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4" i="34"/>
  <c r="G13" i="34"/>
  <c r="G12" i="34"/>
  <c r="G11" i="34"/>
  <c r="G10" i="34"/>
  <c r="G9" i="34"/>
  <c r="G8" i="34"/>
  <c r="G7" i="34"/>
  <c r="G6" i="34"/>
  <c r="G5" i="34"/>
  <c r="G4" i="34"/>
  <c r="G3" i="34"/>
  <c r="G2" i="34"/>
  <c r="G124" i="34"/>
  <c r="G123" i="34"/>
  <c r="G122" i="34"/>
  <c r="G121" i="34"/>
  <c r="G120" i="34"/>
  <c r="G119" i="34"/>
  <c r="G118" i="34"/>
  <c r="G117" i="34"/>
  <c r="G116" i="34"/>
  <c r="G115" i="34"/>
  <c r="G114" i="34"/>
  <c r="G113" i="34"/>
  <c r="G112" i="34"/>
  <c r="G111" i="34"/>
  <c r="G110" i="34"/>
  <c r="G109" i="34"/>
  <c r="G108" i="34"/>
  <c r="G107" i="34"/>
  <c r="G106" i="34"/>
  <c r="G105" i="34"/>
  <c r="G104" i="34"/>
  <c r="G103" i="34"/>
  <c r="G102" i="34"/>
  <c r="G101" i="34"/>
  <c r="G100" i="34"/>
  <c r="G99" i="34"/>
  <c r="G98" i="34"/>
  <c r="G97" i="34"/>
  <c r="G96" i="34"/>
  <c r="G95" i="34"/>
  <c r="G94" i="34"/>
  <c r="G93" i="34"/>
  <c r="G92" i="34"/>
  <c r="G91" i="34"/>
  <c r="G90" i="34"/>
  <c r="G89" i="34"/>
  <c r="G88" i="34"/>
  <c r="G87" i="34"/>
  <c r="G86" i="34"/>
  <c r="G85" i="34"/>
  <c r="G84" i="34"/>
  <c r="K3" i="34"/>
  <c r="K4" i="34"/>
  <c r="K5" i="34"/>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2" i="34"/>
  <c r="H84" i="34" l="1"/>
  <c r="H42" i="34"/>
  <c r="H124" i="34"/>
  <c r="H41" i="34"/>
  <c r="H123" i="34"/>
  <c r="H40" i="34"/>
  <c r="H122" i="34"/>
  <c r="H39" i="34"/>
  <c r="H121" i="34"/>
  <c r="H38" i="34"/>
  <c r="H120" i="34"/>
  <c r="H37" i="34"/>
  <c r="H119" i="34"/>
  <c r="H36" i="34"/>
  <c r="H118" i="34"/>
  <c r="H35" i="34"/>
  <c r="H117" i="34"/>
  <c r="H34" i="34"/>
  <c r="H116" i="34"/>
  <c r="H33" i="34"/>
  <c r="H115" i="34"/>
  <c r="H32" i="34"/>
  <c r="H114" i="34"/>
  <c r="H31" i="34"/>
  <c r="H113" i="34"/>
  <c r="H30" i="34"/>
  <c r="H112" i="34"/>
  <c r="H29" i="34"/>
  <c r="H111" i="34"/>
  <c r="H28" i="34"/>
  <c r="H110" i="34"/>
  <c r="H27" i="34"/>
  <c r="H109" i="34"/>
  <c r="H26" i="34"/>
  <c r="H108" i="34"/>
  <c r="H25" i="34"/>
  <c r="H107" i="34"/>
  <c r="H24" i="34"/>
  <c r="H106" i="34"/>
  <c r="H23" i="34"/>
  <c r="H105" i="34"/>
  <c r="H22" i="34"/>
  <c r="H104" i="34"/>
  <c r="H21" i="34"/>
  <c r="H103" i="34"/>
  <c r="H20" i="34"/>
  <c r="H102" i="34"/>
  <c r="H19" i="34"/>
  <c r="H101" i="34"/>
  <c r="H18" i="34"/>
  <c r="H100" i="34"/>
  <c r="H17" i="34"/>
  <c r="H99" i="34"/>
  <c r="H16" i="34"/>
  <c r="H98" i="34"/>
  <c r="H15" i="34"/>
  <c r="H97" i="34"/>
  <c r="H14" i="34"/>
  <c r="H96" i="34"/>
  <c r="H13" i="34"/>
  <c r="H95" i="34"/>
  <c r="H12" i="34"/>
  <c r="H94" i="34"/>
  <c r="H11" i="34"/>
  <c r="H93" i="34"/>
  <c r="H10" i="34"/>
  <c r="H92" i="34"/>
  <c r="H9" i="34"/>
  <c r="H91" i="34"/>
  <c r="H8" i="34"/>
  <c r="H90" i="34"/>
  <c r="H7" i="34"/>
  <c r="H89" i="34"/>
  <c r="H6" i="34"/>
  <c r="H88" i="34"/>
  <c r="H5" i="34"/>
  <c r="H87" i="34"/>
  <c r="H4" i="34"/>
  <c r="H86" i="34"/>
  <c r="H3" i="34"/>
  <c r="H85" i="34"/>
  <c r="H2" i="34"/>
  <c r="F3" i="34"/>
  <c r="F4" i="34"/>
  <c r="F5" i="34"/>
  <c r="F6" i="34"/>
  <c r="F7" i="34"/>
  <c r="F8" i="34"/>
  <c r="F9" i="34"/>
  <c r="F10" i="34"/>
  <c r="F11" i="34"/>
  <c r="F12" i="34"/>
  <c r="F13" i="34"/>
  <c r="F14" i="34"/>
  <c r="F15" i="34"/>
  <c r="F16" i="34"/>
  <c r="F17" i="34"/>
  <c r="F18" i="34"/>
  <c r="F19" i="34"/>
  <c r="F20" i="34"/>
  <c r="F21" i="34"/>
  <c r="F22" i="34"/>
  <c r="F23" i="34"/>
  <c r="F24" i="34"/>
  <c r="F25" i="34"/>
  <c r="F26" i="34"/>
  <c r="F27" i="34"/>
  <c r="F28" i="34"/>
  <c r="F29" i="34"/>
  <c r="F30" i="34"/>
  <c r="F31" i="34"/>
  <c r="F32" i="34"/>
  <c r="F33" i="34"/>
  <c r="F34" i="34"/>
  <c r="F35" i="34"/>
  <c r="F36" i="34"/>
  <c r="F37" i="34"/>
  <c r="F38" i="34"/>
  <c r="F39" i="34"/>
  <c r="F40" i="34"/>
  <c r="F41" i="34"/>
  <c r="F42" i="34"/>
  <c r="F2" i="34"/>
  <c r="AT3" i="25" l="1"/>
  <c r="AT4" i="25"/>
  <c r="AT5" i="25"/>
  <c r="AT6" i="25"/>
  <c r="AT7" i="25"/>
  <c r="AT8" i="25"/>
  <c r="AT9" i="25"/>
  <c r="AT10" i="25"/>
  <c r="AT11" i="25"/>
  <c r="AT12" i="25"/>
  <c r="AT13" i="25"/>
  <c r="AT14" i="25"/>
  <c r="AT15" i="25"/>
  <c r="AT16" i="25"/>
  <c r="AT17" i="25"/>
  <c r="AT18" i="25"/>
  <c r="AT19" i="25"/>
  <c r="AT20" i="25"/>
  <c r="AT21" i="25"/>
  <c r="AT22" i="25"/>
  <c r="AT23" i="25"/>
  <c r="AT24" i="25"/>
  <c r="AT25" i="25"/>
  <c r="AT26" i="25"/>
  <c r="AT27" i="25"/>
  <c r="AT28" i="25"/>
  <c r="AT29" i="25"/>
  <c r="AT30" i="25"/>
  <c r="AT31" i="25"/>
  <c r="AT32" i="25"/>
  <c r="AT33" i="25"/>
  <c r="AT34" i="25"/>
  <c r="AT2" i="25"/>
  <c r="S70" i="6"/>
  <c r="R70" i="6"/>
  <c r="Q70" i="6"/>
  <c r="P70" i="6"/>
  <c r="O70" i="6"/>
  <c r="N70" i="6"/>
  <c r="M70" i="6"/>
  <c r="M34" i="6" s="1"/>
  <c r="L70" i="6"/>
  <c r="L34" i="6" s="1"/>
  <c r="K70" i="6"/>
  <c r="J70" i="6"/>
  <c r="I70" i="6"/>
  <c r="I34" i="6" s="1"/>
  <c r="I34" i="25" s="1"/>
  <c r="G416" i="33" s="1"/>
  <c r="H416" i="33" s="1"/>
  <c r="H70" i="6"/>
  <c r="H34" i="6" s="1"/>
  <c r="G70" i="6"/>
  <c r="F70" i="6"/>
  <c r="E70" i="6"/>
  <c r="E34" i="6" s="1"/>
  <c r="S69" i="6"/>
  <c r="R69" i="6"/>
  <c r="Q69" i="6"/>
  <c r="P69" i="6"/>
  <c r="O69" i="6"/>
  <c r="N69" i="6"/>
  <c r="M69" i="6"/>
  <c r="L69" i="6"/>
  <c r="L33" i="6" s="1"/>
  <c r="K69" i="6"/>
  <c r="K33" i="6" s="1"/>
  <c r="J69" i="6"/>
  <c r="I69" i="6"/>
  <c r="H69" i="6"/>
  <c r="H33" i="6" s="1"/>
  <c r="G69" i="6"/>
  <c r="F69" i="6"/>
  <c r="F33" i="6" s="1"/>
  <c r="E69" i="6"/>
  <c r="S68" i="6"/>
  <c r="R68" i="6"/>
  <c r="Q68" i="6"/>
  <c r="P68" i="6"/>
  <c r="O68" i="6"/>
  <c r="N68" i="6"/>
  <c r="M68" i="6"/>
  <c r="L68" i="6"/>
  <c r="K68" i="6"/>
  <c r="K32" i="6" s="1"/>
  <c r="J68" i="6"/>
  <c r="J32" i="6" s="1"/>
  <c r="I68" i="6"/>
  <c r="H68" i="6"/>
  <c r="G68" i="6"/>
  <c r="F68" i="6"/>
  <c r="E68" i="6"/>
  <c r="S67" i="6"/>
  <c r="R67" i="6"/>
  <c r="Q67" i="6"/>
  <c r="P67" i="6"/>
  <c r="O67" i="6"/>
  <c r="N67" i="6"/>
  <c r="M67" i="6"/>
  <c r="M31" i="6" s="1"/>
  <c r="L67" i="6"/>
  <c r="L31" i="6" s="1"/>
  <c r="K67" i="6"/>
  <c r="J67" i="6"/>
  <c r="I67" i="6"/>
  <c r="I31" i="6" s="1"/>
  <c r="H67" i="6"/>
  <c r="G67" i="6"/>
  <c r="G31" i="6" s="1"/>
  <c r="F67" i="6"/>
  <c r="F31" i="6" s="1"/>
  <c r="E67" i="6"/>
  <c r="E31" i="6" s="1"/>
  <c r="S66" i="6"/>
  <c r="R66" i="6"/>
  <c r="Q66" i="6"/>
  <c r="P66" i="6"/>
  <c r="O66" i="6"/>
  <c r="N66" i="6"/>
  <c r="M66" i="6"/>
  <c r="L66" i="6"/>
  <c r="L30" i="6" s="1"/>
  <c r="K66" i="6"/>
  <c r="J66" i="6"/>
  <c r="J30" i="6" s="1"/>
  <c r="I66" i="6"/>
  <c r="I30" i="6" s="1"/>
  <c r="H66" i="6"/>
  <c r="H30" i="6" s="1"/>
  <c r="G66" i="6"/>
  <c r="F66" i="6"/>
  <c r="E66" i="6"/>
  <c r="E30" i="6" s="1"/>
  <c r="S65" i="6"/>
  <c r="R65" i="6"/>
  <c r="Q65" i="6"/>
  <c r="P65" i="6"/>
  <c r="O65" i="6"/>
  <c r="N65" i="6"/>
  <c r="M65" i="6"/>
  <c r="L65" i="6"/>
  <c r="K65" i="6"/>
  <c r="J65" i="6"/>
  <c r="I65" i="6"/>
  <c r="H65" i="6"/>
  <c r="G65" i="6"/>
  <c r="G29" i="6" s="1"/>
  <c r="F65" i="6"/>
  <c r="E65" i="6"/>
  <c r="E29" i="6" s="1"/>
  <c r="S64" i="6"/>
  <c r="R64" i="6"/>
  <c r="Q64" i="6"/>
  <c r="P64" i="6"/>
  <c r="O64" i="6"/>
  <c r="N64" i="6"/>
  <c r="M64" i="6"/>
  <c r="L64" i="6"/>
  <c r="K64" i="6"/>
  <c r="K28" i="6" s="1"/>
  <c r="J64" i="6"/>
  <c r="I64" i="6"/>
  <c r="H64" i="6"/>
  <c r="G64" i="6"/>
  <c r="G28" i="6" s="1"/>
  <c r="F64" i="6"/>
  <c r="F28" i="6" s="1"/>
  <c r="E64" i="6"/>
  <c r="S63" i="6"/>
  <c r="R63" i="6"/>
  <c r="Q63" i="6"/>
  <c r="P63" i="6"/>
  <c r="O63" i="6"/>
  <c r="N63" i="6"/>
  <c r="M63" i="6"/>
  <c r="M27" i="6" s="1"/>
  <c r="L63" i="6"/>
  <c r="K63" i="6"/>
  <c r="J63" i="6"/>
  <c r="I63" i="6"/>
  <c r="I27" i="6" s="1"/>
  <c r="H63" i="6"/>
  <c r="H27" i="6" s="1"/>
  <c r="G63" i="6"/>
  <c r="G27" i="6" s="1"/>
  <c r="F63" i="6"/>
  <c r="F27" i="6" s="1"/>
  <c r="E63" i="6"/>
  <c r="E27" i="6" s="1"/>
  <c r="S62" i="6"/>
  <c r="R62" i="6"/>
  <c r="Q62" i="6"/>
  <c r="P62" i="6"/>
  <c r="O62" i="6"/>
  <c r="N62" i="6"/>
  <c r="M62" i="6"/>
  <c r="M26" i="6" s="1"/>
  <c r="L62" i="6"/>
  <c r="L26" i="6" s="1"/>
  <c r="K62" i="6"/>
  <c r="J62" i="6"/>
  <c r="I62" i="6"/>
  <c r="I26" i="6" s="1"/>
  <c r="H62" i="6"/>
  <c r="H26" i="6" s="1"/>
  <c r="G62" i="6"/>
  <c r="F62" i="6"/>
  <c r="E62" i="6"/>
  <c r="E26" i="6" s="1"/>
  <c r="S61" i="6"/>
  <c r="R61" i="6"/>
  <c r="Q61" i="6"/>
  <c r="P61" i="6"/>
  <c r="O61" i="6"/>
  <c r="N61" i="6"/>
  <c r="M61" i="6"/>
  <c r="M25" i="6" s="1"/>
  <c r="L61" i="6"/>
  <c r="L25" i="6" s="1"/>
  <c r="L25" i="25" s="1"/>
  <c r="K61" i="6"/>
  <c r="K25" i="6" s="1"/>
  <c r="K25" i="25" s="1"/>
  <c r="J61" i="6"/>
  <c r="I61" i="6"/>
  <c r="H61" i="6"/>
  <c r="H25" i="6" s="1"/>
  <c r="G61" i="6"/>
  <c r="F61" i="6"/>
  <c r="E61" i="6"/>
  <c r="E25" i="6" s="1"/>
  <c r="E25" i="25" s="1"/>
  <c r="S60" i="6"/>
  <c r="R60" i="6"/>
  <c r="Q60" i="6"/>
  <c r="P60" i="6"/>
  <c r="O60" i="6"/>
  <c r="N60" i="6"/>
  <c r="M60" i="6"/>
  <c r="L60" i="6"/>
  <c r="K60" i="6"/>
  <c r="K24" i="6" s="1"/>
  <c r="K24" i="25" s="1"/>
  <c r="J60" i="6"/>
  <c r="J24" i="6" s="1"/>
  <c r="J24" i="25" s="1"/>
  <c r="I60" i="6"/>
  <c r="H60" i="6"/>
  <c r="G60" i="6"/>
  <c r="G24" i="6" s="1"/>
  <c r="G24" i="25" s="1"/>
  <c r="F60" i="6"/>
  <c r="S59" i="6"/>
  <c r="R59" i="6"/>
  <c r="Q59" i="6"/>
  <c r="P59" i="6"/>
  <c r="O59" i="6"/>
  <c r="N59" i="6"/>
  <c r="M59" i="6"/>
  <c r="M23" i="6" s="1"/>
  <c r="M23" i="25" s="1"/>
  <c r="G871" i="33" s="1"/>
  <c r="H871" i="33" s="1"/>
  <c r="L59" i="6"/>
  <c r="K59" i="6"/>
  <c r="K23" i="6" s="1"/>
  <c r="J59" i="6"/>
  <c r="I59" i="6"/>
  <c r="I23" i="6" s="1"/>
  <c r="H59" i="6"/>
  <c r="H23" i="6" s="1"/>
  <c r="H23" i="25" s="1"/>
  <c r="G866" i="33" s="1"/>
  <c r="H866" i="33" s="1"/>
  <c r="G59" i="6"/>
  <c r="F59" i="6"/>
  <c r="E59" i="6"/>
  <c r="E23" i="6" s="1"/>
  <c r="E23" i="25" s="1"/>
  <c r="G863" i="33" s="1"/>
  <c r="H863" i="33" s="1"/>
  <c r="S58" i="6"/>
  <c r="R58" i="6"/>
  <c r="Q58" i="6"/>
  <c r="P58" i="6"/>
  <c r="O58" i="6"/>
  <c r="N58" i="6"/>
  <c r="M58" i="6"/>
  <c r="L58" i="6"/>
  <c r="K58" i="6"/>
  <c r="J58" i="6"/>
  <c r="I58" i="6"/>
  <c r="H58" i="6"/>
  <c r="G58" i="6"/>
  <c r="F58" i="6"/>
  <c r="E58" i="6"/>
  <c r="S57" i="6"/>
  <c r="R57" i="6"/>
  <c r="Q57" i="6"/>
  <c r="P57" i="6"/>
  <c r="O57" i="6"/>
  <c r="N57" i="6"/>
  <c r="M57" i="6"/>
  <c r="L57" i="6"/>
  <c r="K57" i="6"/>
  <c r="K21" i="6" s="1"/>
  <c r="J57" i="6"/>
  <c r="I57" i="6"/>
  <c r="H57" i="6"/>
  <c r="G57" i="6"/>
  <c r="G21" i="6" s="1"/>
  <c r="F57" i="6"/>
  <c r="F21" i="6" s="1"/>
  <c r="E57" i="6"/>
  <c r="S56" i="6"/>
  <c r="R56" i="6"/>
  <c r="Q56" i="6"/>
  <c r="P56" i="6"/>
  <c r="O56" i="6"/>
  <c r="N56" i="6"/>
  <c r="M56" i="6"/>
  <c r="M20" i="6" s="1"/>
  <c r="L56" i="6"/>
  <c r="K56" i="6"/>
  <c r="J56" i="6"/>
  <c r="J20" i="6" s="1"/>
  <c r="I56" i="6"/>
  <c r="H56" i="6"/>
  <c r="G56" i="6"/>
  <c r="F56" i="6"/>
  <c r="F20" i="6" s="1"/>
  <c r="E56" i="6"/>
  <c r="E20" i="6" s="1"/>
  <c r="S55" i="6"/>
  <c r="R55" i="6"/>
  <c r="Q55" i="6"/>
  <c r="P55" i="6"/>
  <c r="O55" i="6"/>
  <c r="N55" i="6"/>
  <c r="M55" i="6"/>
  <c r="M19" i="6" s="1"/>
  <c r="L55" i="6"/>
  <c r="L19" i="6" s="1"/>
  <c r="K55" i="6"/>
  <c r="J55" i="6"/>
  <c r="J19" i="6" s="1"/>
  <c r="I55" i="6"/>
  <c r="I19" i="6" s="1"/>
  <c r="H55" i="6"/>
  <c r="G55" i="6"/>
  <c r="G19" i="6" s="1"/>
  <c r="F55" i="6"/>
  <c r="F19" i="6" s="1"/>
  <c r="E55" i="6"/>
  <c r="E19" i="6" s="1"/>
  <c r="S54" i="6"/>
  <c r="R54" i="6"/>
  <c r="Q54" i="6"/>
  <c r="P54" i="6"/>
  <c r="O54" i="6"/>
  <c r="N54" i="6"/>
  <c r="M54" i="6"/>
  <c r="M18" i="6" s="1"/>
  <c r="L54" i="6"/>
  <c r="L18" i="6" s="1"/>
  <c r="K54" i="6"/>
  <c r="K18" i="6" s="1"/>
  <c r="J54" i="6"/>
  <c r="I54" i="6"/>
  <c r="I18" i="6" s="1"/>
  <c r="H54" i="6"/>
  <c r="H18" i="6" s="1"/>
  <c r="G54" i="6"/>
  <c r="F54" i="6"/>
  <c r="E54" i="6"/>
  <c r="E18" i="6" s="1"/>
  <c r="S53" i="6"/>
  <c r="R53" i="6"/>
  <c r="Q53" i="6"/>
  <c r="P53" i="6"/>
  <c r="O53" i="6"/>
  <c r="N53" i="6"/>
  <c r="M53" i="6"/>
  <c r="L53" i="6"/>
  <c r="K53" i="6"/>
  <c r="K17" i="6" s="1"/>
  <c r="J53" i="6"/>
  <c r="J17" i="6" s="1"/>
  <c r="I53" i="6"/>
  <c r="H53" i="6"/>
  <c r="H17" i="6" s="1"/>
  <c r="G53" i="6"/>
  <c r="G17" i="6" s="1"/>
  <c r="F53" i="6"/>
  <c r="E53" i="6"/>
  <c r="S52" i="6"/>
  <c r="R52" i="6"/>
  <c r="Q52" i="6"/>
  <c r="P52" i="6"/>
  <c r="O52" i="6"/>
  <c r="N52" i="6"/>
  <c r="M52" i="6"/>
  <c r="L52" i="6"/>
  <c r="K52" i="6"/>
  <c r="J52" i="6"/>
  <c r="J16" i="6" s="1"/>
  <c r="I52" i="6"/>
  <c r="I16" i="6" s="1"/>
  <c r="H52" i="6"/>
  <c r="G52" i="6"/>
  <c r="G16" i="6" s="1"/>
  <c r="F52" i="6"/>
  <c r="F16" i="6" s="1"/>
  <c r="E52" i="6"/>
  <c r="S51" i="6"/>
  <c r="R51" i="6"/>
  <c r="Q51" i="6"/>
  <c r="P51" i="6"/>
  <c r="O51" i="6"/>
  <c r="N51" i="6"/>
  <c r="M51" i="6"/>
  <c r="M15" i="6" s="1"/>
  <c r="L51" i="6"/>
  <c r="K51" i="6"/>
  <c r="K15" i="6" s="1"/>
  <c r="J51" i="6"/>
  <c r="I51" i="6"/>
  <c r="I15" i="6" s="1"/>
  <c r="H51" i="6"/>
  <c r="H15" i="6" s="1"/>
  <c r="G51" i="6"/>
  <c r="F51" i="6"/>
  <c r="F15" i="6" s="1"/>
  <c r="E51" i="6"/>
  <c r="E15" i="6" s="1"/>
  <c r="S50" i="6"/>
  <c r="R50" i="6"/>
  <c r="Q50" i="6"/>
  <c r="P50" i="6"/>
  <c r="O50" i="6"/>
  <c r="N50" i="6"/>
  <c r="M50" i="6"/>
  <c r="L50" i="6"/>
  <c r="L14" i="6" s="1"/>
  <c r="K50" i="6"/>
  <c r="J50" i="6"/>
  <c r="I50" i="6"/>
  <c r="H50" i="6"/>
  <c r="G50" i="6"/>
  <c r="G14" i="6" s="1"/>
  <c r="G14" i="25" s="1"/>
  <c r="F50" i="6"/>
  <c r="E50" i="6"/>
  <c r="S49" i="6"/>
  <c r="R49" i="6"/>
  <c r="Q49" i="6"/>
  <c r="P49" i="6"/>
  <c r="O49" i="6"/>
  <c r="N49" i="6"/>
  <c r="M49" i="6"/>
  <c r="L49" i="6"/>
  <c r="K49" i="6"/>
  <c r="K13" i="6" s="1"/>
  <c r="J49" i="6"/>
  <c r="I49" i="6"/>
  <c r="H49" i="6"/>
  <c r="H13" i="6" s="1"/>
  <c r="H13" i="25" s="1"/>
  <c r="G49" i="6"/>
  <c r="G13" i="6" s="1"/>
  <c r="F49" i="6"/>
  <c r="F13" i="6" s="1"/>
  <c r="E49" i="6"/>
  <c r="E60" i="6"/>
  <c r="K34" i="6"/>
  <c r="K34" i="25" s="1"/>
  <c r="G418" i="33" s="1"/>
  <c r="H418" i="33" s="1"/>
  <c r="J34" i="6"/>
  <c r="J34" i="25" s="1"/>
  <c r="G417" i="33" s="1"/>
  <c r="H417" i="33" s="1"/>
  <c r="G34" i="6"/>
  <c r="F34" i="6"/>
  <c r="M33" i="6"/>
  <c r="J33" i="6"/>
  <c r="I33" i="6"/>
  <c r="G33" i="6"/>
  <c r="E33" i="6"/>
  <c r="M32" i="6"/>
  <c r="L32" i="6"/>
  <c r="I32" i="6"/>
  <c r="H32" i="6"/>
  <c r="G32" i="6"/>
  <c r="F32" i="6"/>
  <c r="E32" i="6"/>
  <c r="K31" i="6"/>
  <c r="J31" i="6"/>
  <c r="H31" i="6"/>
  <c r="M30" i="6"/>
  <c r="K30" i="6"/>
  <c r="G30" i="6"/>
  <c r="F30" i="6"/>
  <c r="M29" i="6"/>
  <c r="L29" i="6"/>
  <c r="K29" i="6"/>
  <c r="J29" i="6"/>
  <c r="I29" i="6"/>
  <c r="H29" i="6"/>
  <c r="F29" i="6"/>
  <c r="M28" i="6"/>
  <c r="L28" i="6"/>
  <c r="J28" i="6"/>
  <c r="I28" i="6"/>
  <c r="H28" i="6"/>
  <c r="E28" i="6"/>
  <c r="L27" i="6"/>
  <c r="K27" i="6"/>
  <c r="J27" i="6"/>
  <c r="K26" i="6"/>
  <c r="J26" i="6"/>
  <c r="G26" i="6"/>
  <c r="F26" i="6"/>
  <c r="J25" i="6"/>
  <c r="J25" i="25" s="1"/>
  <c r="I25" i="6"/>
  <c r="I25" i="25" s="1"/>
  <c r="G25" i="6"/>
  <c r="F25" i="6"/>
  <c r="M24" i="6"/>
  <c r="M24" i="25" s="1"/>
  <c r="L24" i="6"/>
  <c r="L24" i="25" s="1"/>
  <c r="I24" i="6"/>
  <c r="H24" i="6"/>
  <c r="F24" i="6"/>
  <c r="F24" i="25" s="1"/>
  <c r="E24" i="6"/>
  <c r="E24" i="25" s="1"/>
  <c r="L23" i="6"/>
  <c r="L23" i="25" s="1"/>
  <c r="G870" i="33" s="1"/>
  <c r="H870" i="33" s="1"/>
  <c r="J23" i="6"/>
  <c r="G23" i="6"/>
  <c r="G23" i="25" s="1"/>
  <c r="G865" i="33" s="1"/>
  <c r="H865" i="33" s="1"/>
  <c r="F23" i="6"/>
  <c r="F23" i="25" s="1"/>
  <c r="G864" i="33" s="1"/>
  <c r="H864" i="33" s="1"/>
  <c r="M22" i="6"/>
  <c r="L22" i="6"/>
  <c r="K22" i="6"/>
  <c r="J22" i="6"/>
  <c r="I22" i="6"/>
  <c r="H22" i="6"/>
  <c r="G22" i="6"/>
  <c r="F22" i="6"/>
  <c r="E22" i="6"/>
  <c r="M21" i="6"/>
  <c r="L21" i="6"/>
  <c r="J21" i="6"/>
  <c r="I21" i="6"/>
  <c r="H21" i="6"/>
  <c r="E21" i="6"/>
  <c r="L20" i="6"/>
  <c r="K20" i="6"/>
  <c r="I20" i="6"/>
  <c r="H20" i="6"/>
  <c r="G20" i="6"/>
  <c r="K19" i="6"/>
  <c r="H19" i="6"/>
  <c r="J18" i="6"/>
  <c r="G18" i="6"/>
  <c r="F18" i="6"/>
  <c r="M17" i="6"/>
  <c r="L17" i="6"/>
  <c r="I17" i="6"/>
  <c r="F17" i="6"/>
  <c r="E17" i="6"/>
  <c r="M16" i="6"/>
  <c r="L16" i="6"/>
  <c r="L5" i="6" s="1"/>
  <c r="K16" i="6"/>
  <c r="H16" i="6"/>
  <c r="E16" i="6"/>
  <c r="L15" i="6"/>
  <c r="J15" i="6"/>
  <c r="G15" i="6"/>
  <c r="M14" i="6"/>
  <c r="M14" i="25" s="1"/>
  <c r="K14" i="6"/>
  <c r="J14" i="6"/>
  <c r="I14" i="6"/>
  <c r="I14" i="25" s="1"/>
  <c r="H14" i="6"/>
  <c r="H14" i="25" s="1"/>
  <c r="F14" i="6"/>
  <c r="F14" i="25" s="1"/>
  <c r="E14" i="6"/>
  <c r="E14" i="25" s="1"/>
  <c r="M13" i="6"/>
  <c r="L13" i="6"/>
  <c r="J13" i="6"/>
  <c r="J13" i="25" s="1"/>
  <c r="I13" i="6"/>
  <c r="I13" i="25" s="1"/>
  <c r="E13" i="6"/>
  <c r="E11" i="6"/>
  <c r="G9" i="33" l="1"/>
  <c r="D91" i="34"/>
  <c r="J91" i="34"/>
  <c r="G494" i="33"/>
  <c r="D43" i="34"/>
  <c r="L43" i="34" s="1"/>
  <c r="G496" i="33"/>
  <c r="D45" i="34"/>
  <c r="L45" i="34" s="1"/>
  <c r="G495" i="33"/>
  <c r="D44" i="34"/>
  <c r="L44" i="34" s="1"/>
  <c r="G2" i="33"/>
  <c r="J84" i="34"/>
  <c r="D84" i="34"/>
  <c r="G47" i="33"/>
  <c r="J129" i="34"/>
  <c r="D129" i="34"/>
  <c r="G8" i="33"/>
  <c r="D90" i="34"/>
  <c r="J90" i="34"/>
  <c r="G50" i="33"/>
  <c r="D132" i="34"/>
  <c r="J132" i="34"/>
  <c r="G456" i="33"/>
  <c r="D5" i="34"/>
  <c r="L5" i="34" s="1"/>
  <c r="G43" i="33"/>
  <c r="Q4" i="33" s="1"/>
  <c r="D125" i="34"/>
  <c r="J125" i="34"/>
  <c r="G498" i="33"/>
  <c r="D47" i="34"/>
  <c r="L47" i="34" s="1"/>
  <c r="G457" i="33"/>
  <c r="D6" i="34"/>
  <c r="L6" i="34" s="1"/>
  <c r="G4" i="33"/>
  <c r="D86" i="34"/>
  <c r="J86" i="34"/>
  <c r="G502" i="33"/>
  <c r="D51" i="34"/>
  <c r="L51" i="34" s="1"/>
  <c r="G10" i="33"/>
  <c r="J92" i="34"/>
  <c r="D92" i="34"/>
  <c r="G497" i="33"/>
  <c r="D46" i="34"/>
  <c r="L46" i="34" s="1"/>
  <c r="G3" i="33"/>
  <c r="D85" i="34"/>
  <c r="J85" i="34"/>
  <c r="G48" i="33"/>
  <c r="J130" i="34"/>
  <c r="D130" i="34"/>
  <c r="G458" i="33"/>
  <c r="D7" i="34"/>
  <c r="L7" i="34" s="1"/>
  <c r="G7" i="33"/>
  <c r="D89" i="34"/>
  <c r="J89" i="34"/>
  <c r="G49" i="33"/>
  <c r="D131" i="34"/>
  <c r="J131" i="34"/>
  <c r="E4" i="6"/>
  <c r="F13" i="25"/>
  <c r="F2" i="6"/>
  <c r="H8" i="6"/>
  <c r="I7" i="6"/>
  <c r="G13" i="25"/>
  <c r="G2" i="6"/>
  <c r="M25" i="25"/>
  <c r="M3" i="25" s="1"/>
  <c r="M3" i="6"/>
  <c r="M11" i="6"/>
  <c r="E3" i="6"/>
  <c r="E5" i="6"/>
  <c r="L34" i="25"/>
  <c r="G419" i="33" s="1"/>
  <c r="H419" i="33" s="1"/>
  <c r="L12" i="6"/>
  <c r="I4" i="6"/>
  <c r="K6" i="6"/>
  <c r="M8" i="6"/>
  <c r="M34" i="25"/>
  <c r="G420" i="33" s="1"/>
  <c r="H420" i="33" s="1"/>
  <c r="M12" i="6"/>
  <c r="E9" i="6"/>
  <c r="M9" i="6"/>
  <c r="F10" i="6"/>
  <c r="F11" i="6"/>
  <c r="I5" i="6"/>
  <c r="J6" i="6"/>
  <c r="M5" i="6"/>
  <c r="G10" i="6"/>
  <c r="L8" i="6"/>
  <c r="H12" i="6"/>
  <c r="H34" i="25"/>
  <c r="G415" i="33" s="1"/>
  <c r="H415" i="33" s="1"/>
  <c r="I9" i="6"/>
  <c r="J5" i="6"/>
  <c r="E8" i="6"/>
  <c r="F9" i="6"/>
  <c r="I12" i="6"/>
  <c r="I23" i="25"/>
  <c r="G867" i="33" s="1"/>
  <c r="H867" i="33" s="1"/>
  <c r="F5" i="6"/>
  <c r="I8" i="6"/>
  <c r="E34" i="25"/>
  <c r="G412" i="33" s="1"/>
  <c r="H412" i="33" s="1"/>
  <c r="E12" i="6"/>
  <c r="K4" i="6"/>
  <c r="G8" i="6"/>
  <c r="K12" i="6"/>
  <c r="K23" i="25"/>
  <c r="G869" i="33" s="1"/>
  <c r="H869" i="33" s="1"/>
  <c r="H4" i="6"/>
  <c r="J7" i="6"/>
  <c r="J9" i="6"/>
  <c r="I10" i="6"/>
  <c r="H11" i="6"/>
  <c r="G12" i="6"/>
  <c r="G34" i="25"/>
  <c r="G414" i="33" s="1"/>
  <c r="H414" i="33" s="1"/>
  <c r="F3" i="6"/>
  <c r="F25" i="25"/>
  <c r="L4" i="6"/>
  <c r="K2" i="6"/>
  <c r="K13" i="25"/>
  <c r="J3" i="6"/>
  <c r="J14" i="25"/>
  <c r="J3" i="25" s="1"/>
  <c r="H5" i="6"/>
  <c r="G6" i="6"/>
  <c r="F7" i="6"/>
  <c r="L9" i="6"/>
  <c r="K10" i="6"/>
  <c r="J11" i="6"/>
  <c r="H2" i="6"/>
  <c r="H24" i="25"/>
  <c r="H2" i="25" s="1"/>
  <c r="G3" i="6"/>
  <c r="G25" i="25"/>
  <c r="F4" i="6"/>
  <c r="L6" i="6"/>
  <c r="K7" i="6"/>
  <c r="J8" i="6"/>
  <c r="H10" i="6"/>
  <c r="G11" i="6"/>
  <c r="F12" i="6"/>
  <c r="F34" i="25"/>
  <c r="G413" i="33" s="1"/>
  <c r="H413" i="33" s="1"/>
  <c r="M4" i="6"/>
  <c r="G9" i="6"/>
  <c r="L2" i="6"/>
  <c r="L13" i="25"/>
  <c r="K3" i="6"/>
  <c r="K14" i="25"/>
  <c r="J4" i="6"/>
  <c r="H6" i="6"/>
  <c r="G7" i="6"/>
  <c r="F8" i="6"/>
  <c r="L10" i="6"/>
  <c r="K11" i="6"/>
  <c r="J12" i="6"/>
  <c r="J23" i="25"/>
  <c r="G868" i="33" s="1"/>
  <c r="H868" i="33" s="1"/>
  <c r="I2" i="6"/>
  <c r="I24" i="25"/>
  <c r="H3" i="6"/>
  <c r="H25" i="25"/>
  <c r="H3" i="25" s="1"/>
  <c r="G4" i="6"/>
  <c r="E6" i="6"/>
  <c r="M6" i="6"/>
  <c r="L7" i="6"/>
  <c r="K8" i="6"/>
  <c r="K5" i="6"/>
  <c r="H9" i="6"/>
  <c r="E2" i="6"/>
  <c r="E13" i="25"/>
  <c r="M2" i="6"/>
  <c r="M13" i="25"/>
  <c r="M2" i="25" s="1"/>
  <c r="L3" i="6"/>
  <c r="L14" i="25"/>
  <c r="L3" i="25" s="1"/>
  <c r="I6" i="6"/>
  <c r="H7" i="6"/>
  <c r="E10" i="6"/>
  <c r="M10" i="6"/>
  <c r="L11" i="6"/>
  <c r="G5" i="6"/>
  <c r="K9" i="6"/>
  <c r="J2" i="6"/>
  <c r="I3" i="6"/>
  <c r="F6" i="6"/>
  <c r="E7" i="6"/>
  <c r="M7" i="6"/>
  <c r="J10" i="6"/>
  <c r="I11" i="6"/>
  <c r="I3" i="25"/>
  <c r="I12" i="25"/>
  <c r="J2" i="25"/>
  <c r="G2" i="25"/>
  <c r="E3" i="25"/>
  <c r="Q3" i="33" l="1"/>
  <c r="R3" i="33"/>
  <c r="L86" i="34"/>
  <c r="F12" i="25"/>
  <c r="H456" i="33"/>
  <c r="G12" i="25"/>
  <c r="H495" i="33"/>
  <c r="H458" i="33"/>
  <c r="H4" i="33"/>
  <c r="K12" i="25"/>
  <c r="L12" i="25"/>
  <c r="L130" i="34"/>
  <c r="L92" i="34"/>
  <c r="M92" i="34" s="1"/>
  <c r="L84" i="34"/>
  <c r="H2" i="33" s="1"/>
  <c r="M47" i="34"/>
  <c r="H497" i="33"/>
  <c r="H496" i="33"/>
  <c r="M43" i="34"/>
  <c r="J12" i="25"/>
  <c r="M5" i="34"/>
  <c r="L125" i="34"/>
  <c r="H43" i="33" s="1"/>
  <c r="Q33" i="33" s="1"/>
  <c r="L90" i="34"/>
  <c r="H8" i="33" s="1"/>
  <c r="G461" i="33"/>
  <c r="D10" i="34"/>
  <c r="L10" i="34" s="1"/>
  <c r="M10" i="34" s="1"/>
  <c r="G454" i="33"/>
  <c r="D3" i="34"/>
  <c r="L3" i="34" s="1"/>
  <c r="M7" i="34"/>
  <c r="M46" i="34"/>
  <c r="L129" i="34"/>
  <c r="M129" i="34" s="1"/>
  <c r="H47" i="33"/>
  <c r="G460" i="33"/>
  <c r="D9" i="34"/>
  <c r="L9" i="34" s="1"/>
  <c r="G459" i="33"/>
  <c r="D8" i="34"/>
  <c r="L8" i="34" s="1"/>
  <c r="K2" i="25"/>
  <c r="G44" i="33"/>
  <c r="D126" i="34"/>
  <c r="J126" i="34"/>
  <c r="L132" i="34"/>
  <c r="M132" i="34" s="1"/>
  <c r="G51" i="33"/>
  <c r="J133" i="34"/>
  <c r="D133" i="34"/>
  <c r="H457" i="33"/>
  <c r="E12" i="25"/>
  <c r="H10" i="33"/>
  <c r="G45" i="33"/>
  <c r="D127" i="34"/>
  <c r="J127" i="34"/>
  <c r="M51" i="34"/>
  <c r="H498" i="33"/>
  <c r="G453" i="33"/>
  <c r="D2" i="34"/>
  <c r="L2" i="34" s="1"/>
  <c r="M130" i="34"/>
  <c r="L131" i="34"/>
  <c r="H49" i="33" s="1"/>
  <c r="G455" i="33"/>
  <c r="D4" i="34"/>
  <c r="L4" i="34" s="1"/>
  <c r="M4" i="34" s="1"/>
  <c r="H48" i="33"/>
  <c r="L89" i="34"/>
  <c r="M89" i="34" s="1"/>
  <c r="L85" i="34"/>
  <c r="H502" i="33"/>
  <c r="L91" i="34"/>
  <c r="M91" i="34" s="1"/>
  <c r="G46" i="33"/>
  <c r="J128" i="34"/>
  <c r="D128" i="34"/>
  <c r="H494" i="33"/>
  <c r="M12" i="25"/>
  <c r="G6" i="33"/>
  <c r="J88" i="34"/>
  <c r="D88" i="34"/>
  <c r="F2" i="25"/>
  <c r="G501" i="33"/>
  <c r="D50" i="34"/>
  <c r="L50" i="34" s="1"/>
  <c r="M50" i="34" s="1"/>
  <c r="H12" i="25"/>
  <c r="G500" i="33"/>
  <c r="D49" i="34"/>
  <c r="L49" i="34" s="1"/>
  <c r="G5" i="33"/>
  <c r="J87" i="34"/>
  <c r="D87" i="34"/>
  <c r="G499" i="33"/>
  <c r="R4" i="33" s="1"/>
  <c r="D48" i="34"/>
  <c r="L48" i="34" s="1"/>
  <c r="M48" i="34" s="1"/>
  <c r="H3" i="33"/>
  <c r="M125" i="34"/>
  <c r="M44" i="34"/>
  <c r="K3" i="25"/>
  <c r="I2" i="25"/>
  <c r="M6" i="34" s="1"/>
  <c r="E2" i="25"/>
  <c r="L2" i="25"/>
  <c r="F3" i="25"/>
  <c r="G3" i="25"/>
  <c r="M45" i="34" s="1"/>
  <c r="R33" i="33" l="1"/>
  <c r="R50" i="33" s="1"/>
  <c r="H9" i="33"/>
  <c r="M90" i="34"/>
  <c r="L88" i="34"/>
  <c r="M88" i="34" s="1"/>
  <c r="M8" i="34"/>
  <c r="M3" i="34"/>
  <c r="R13" i="33"/>
  <c r="H461" i="33"/>
  <c r="M84" i="34"/>
  <c r="M49" i="34"/>
  <c r="H7" i="33"/>
  <c r="H500" i="33"/>
  <c r="H460" i="33"/>
  <c r="L127" i="34"/>
  <c r="M127" i="34" s="1"/>
  <c r="H459" i="33"/>
  <c r="H6" i="33"/>
  <c r="Q50" i="33"/>
  <c r="M85" i="34"/>
  <c r="M86" i="34"/>
  <c r="L87" i="34"/>
  <c r="M87" i="34" s="1"/>
  <c r="M9" i="34"/>
  <c r="Q13" i="33"/>
  <c r="H455" i="33"/>
  <c r="M131" i="34"/>
  <c r="L133" i="34"/>
  <c r="M133" i="34" s="1"/>
  <c r="H499" i="33"/>
  <c r="H501" i="33"/>
  <c r="L128" i="34"/>
  <c r="M128" i="34" s="1"/>
  <c r="H50" i="33"/>
  <c r="H454" i="33"/>
  <c r="M2" i="34"/>
  <c r="H453" i="33"/>
  <c r="L126" i="34"/>
  <c r="M126" i="34" s="1"/>
  <c r="H46" i="33"/>
  <c r="P10" i="3"/>
  <c r="P11" i="3"/>
  <c r="P9" i="3"/>
  <c r="P8" i="3"/>
  <c r="P3" i="3"/>
  <c r="P4" i="3"/>
  <c r="P5" i="3"/>
  <c r="P2" i="3"/>
  <c r="F61" i="3"/>
  <c r="R32" i="33" l="1"/>
  <c r="R49" i="33" s="1"/>
  <c r="Q32" i="33"/>
  <c r="Q49" i="33" s="1"/>
  <c r="H44" i="33"/>
  <c r="H5" i="33"/>
  <c r="H51" i="33"/>
  <c r="H45" i="33"/>
  <c r="R3" i="3"/>
  <c r="E17" i="25"/>
  <c r="G617" i="33" s="1"/>
  <c r="H617" i="33" s="1"/>
  <c r="L17" i="25"/>
  <c r="G624" i="33" s="1"/>
  <c r="H624" i="33" s="1"/>
  <c r="J17" i="25"/>
  <c r="G622" i="33" s="1"/>
  <c r="H622" i="33" s="1"/>
  <c r="F17" i="25"/>
  <c r="G618" i="33" s="1"/>
  <c r="H618" i="33" s="1"/>
  <c r="M17" i="25"/>
  <c r="G625" i="33" s="1"/>
  <c r="H625" i="33" s="1"/>
  <c r="K28" i="25"/>
  <c r="G172" i="33" s="1"/>
  <c r="H172" i="33" s="1"/>
  <c r="J28" i="25"/>
  <c r="G171" i="33" s="1"/>
  <c r="G28" i="25"/>
  <c r="G168" i="33" s="1"/>
  <c r="H168" i="33" s="1"/>
  <c r="H17" i="25"/>
  <c r="G620" i="33" s="1"/>
  <c r="H620" i="33" s="1"/>
  <c r="I28" i="25"/>
  <c r="G170" i="33" s="1"/>
  <c r="H170" i="33" s="1"/>
  <c r="K17" i="25"/>
  <c r="G623" i="33" s="1"/>
  <c r="H623" i="33" s="1"/>
  <c r="E28" i="25"/>
  <c r="G166" i="33" s="1"/>
  <c r="I17" i="25"/>
  <c r="G621" i="33" s="1"/>
  <c r="H621" i="33" s="1"/>
  <c r="F28" i="25"/>
  <c r="G167" i="33" s="1"/>
  <c r="H167" i="33" s="1"/>
  <c r="H28" i="25"/>
  <c r="G169" i="33" s="1"/>
  <c r="H169" i="33" s="1"/>
  <c r="G17" i="25"/>
  <c r="G619" i="33" s="1"/>
  <c r="H619" i="33" s="1"/>
  <c r="L28" i="25"/>
  <c r="G173" i="33" s="1"/>
  <c r="H173" i="33" s="1"/>
  <c r="M28" i="25"/>
  <c r="G174" i="33" s="1"/>
  <c r="H174" i="33" s="1"/>
  <c r="M32" i="25"/>
  <c r="G338" i="33" s="1"/>
  <c r="H338" i="33" s="1"/>
  <c r="E21" i="25"/>
  <c r="G781" i="33" s="1"/>
  <c r="H781" i="33" s="1"/>
  <c r="J32" i="25"/>
  <c r="G335" i="33" s="1"/>
  <c r="F32" i="25"/>
  <c r="G331" i="33" s="1"/>
  <c r="H331" i="33" s="1"/>
  <c r="L21" i="25"/>
  <c r="G788" i="33" s="1"/>
  <c r="H788" i="33" s="1"/>
  <c r="J21" i="25"/>
  <c r="G786" i="33" s="1"/>
  <c r="H786" i="33" s="1"/>
  <c r="M21" i="25"/>
  <c r="G789" i="33" s="1"/>
  <c r="H789" i="33" s="1"/>
  <c r="G32" i="25"/>
  <c r="G332" i="33" s="1"/>
  <c r="H332" i="33" s="1"/>
  <c r="K32" i="25"/>
  <c r="G336" i="33" s="1"/>
  <c r="H336" i="33" s="1"/>
  <c r="E32" i="25"/>
  <c r="G330" i="33" s="1"/>
  <c r="L32" i="25"/>
  <c r="G337" i="33" s="1"/>
  <c r="H337" i="33" s="1"/>
  <c r="F21" i="25"/>
  <c r="G782" i="33" s="1"/>
  <c r="H782" i="33" s="1"/>
  <c r="K21" i="25"/>
  <c r="G787" i="33" s="1"/>
  <c r="H787" i="33" s="1"/>
  <c r="H32" i="25"/>
  <c r="G333" i="33" s="1"/>
  <c r="H333" i="33" s="1"/>
  <c r="H21" i="25"/>
  <c r="G784" i="33" s="1"/>
  <c r="H784" i="33" s="1"/>
  <c r="I32" i="25"/>
  <c r="G334" i="33" s="1"/>
  <c r="H334" i="33" s="1"/>
  <c r="I21" i="25"/>
  <c r="G785" i="33" s="1"/>
  <c r="H785" i="33" s="1"/>
  <c r="G21" i="25"/>
  <c r="G783" i="33" s="1"/>
  <c r="H783" i="33" s="1"/>
  <c r="M19" i="25"/>
  <c r="G707" i="33" s="1"/>
  <c r="H707" i="33" s="1"/>
  <c r="H30" i="25"/>
  <c r="G251" i="33" s="1"/>
  <c r="H251" i="33" s="1"/>
  <c r="G19" i="25"/>
  <c r="G701" i="33" s="1"/>
  <c r="H701" i="33" s="1"/>
  <c r="I19" i="25"/>
  <c r="G703" i="33" s="1"/>
  <c r="H703" i="33" s="1"/>
  <c r="G30" i="25"/>
  <c r="G250" i="33" s="1"/>
  <c r="H250" i="33" s="1"/>
  <c r="J19" i="25"/>
  <c r="G704" i="33" s="1"/>
  <c r="H704" i="33" s="1"/>
  <c r="H19" i="25"/>
  <c r="G702" i="33" s="1"/>
  <c r="H702" i="33" s="1"/>
  <c r="J30" i="25"/>
  <c r="G253" i="33" s="1"/>
  <c r="K30" i="25"/>
  <c r="G254" i="33" s="1"/>
  <c r="H254" i="33" s="1"/>
  <c r="E30" i="25"/>
  <c r="G248" i="33" s="1"/>
  <c r="K19" i="25"/>
  <c r="G705" i="33" s="1"/>
  <c r="H705" i="33" s="1"/>
  <c r="E19" i="25"/>
  <c r="G699" i="33" s="1"/>
  <c r="H699" i="33" s="1"/>
  <c r="M30" i="25"/>
  <c r="G256" i="33" s="1"/>
  <c r="H256" i="33" s="1"/>
  <c r="I30" i="25"/>
  <c r="G252" i="33" s="1"/>
  <c r="H252" i="33" s="1"/>
  <c r="L19" i="25"/>
  <c r="G706" i="33" s="1"/>
  <c r="H706" i="33" s="1"/>
  <c r="L30" i="25"/>
  <c r="G255" i="33" s="1"/>
  <c r="H255" i="33" s="1"/>
  <c r="F30" i="25"/>
  <c r="G249" i="33" s="1"/>
  <c r="H249" i="33" s="1"/>
  <c r="F19" i="25"/>
  <c r="G700" i="33" s="1"/>
  <c r="H700" i="33" s="1"/>
  <c r="H31" i="25"/>
  <c r="G292" i="33" s="1"/>
  <c r="H292" i="33" s="1"/>
  <c r="I31" i="25"/>
  <c r="G293" i="33" s="1"/>
  <c r="H293" i="33" s="1"/>
  <c r="K31" i="25"/>
  <c r="G295" i="33" s="1"/>
  <c r="H295" i="33" s="1"/>
  <c r="J31" i="25"/>
  <c r="G294" i="33" s="1"/>
  <c r="J20" i="25"/>
  <c r="G745" i="33" s="1"/>
  <c r="H745" i="33" s="1"/>
  <c r="I20" i="25"/>
  <c r="G744" i="33" s="1"/>
  <c r="H744" i="33" s="1"/>
  <c r="E20" i="25"/>
  <c r="G740" i="33" s="1"/>
  <c r="H740" i="33" s="1"/>
  <c r="K20" i="25"/>
  <c r="G746" i="33" s="1"/>
  <c r="H746" i="33" s="1"/>
  <c r="E31" i="25"/>
  <c r="G289" i="33" s="1"/>
  <c r="L20" i="25"/>
  <c r="G747" i="33" s="1"/>
  <c r="H747" i="33" s="1"/>
  <c r="M31" i="25"/>
  <c r="G297" i="33" s="1"/>
  <c r="H297" i="33" s="1"/>
  <c r="M20" i="25"/>
  <c r="G748" i="33" s="1"/>
  <c r="H748" i="33" s="1"/>
  <c r="H20" i="25"/>
  <c r="G743" i="33" s="1"/>
  <c r="H743" i="33" s="1"/>
  <c r="G31" i="25"/>
  <c r="G291" i="33" s="1"/>
  <c r="H291" i="33" s="1"/>
  <c r="G20" i="25"/>
  <c r="G742" i="33" s="1"/>
  <c r="H742" i="33" s="1"/>
  <c r="L31" i="25"/>
  <c r="G296" i="33" s="1"/>
  <c r="H296" i="33" s="1"/>
  <c r="F20" i="25"/>
  <c r="G741" i="33" s="1"/>
  <c r="H741" i="33" s="1"/>
  <c r="F31" i="25"/>
  <c r="G290" i="33" s="1"/>
  <c r="H290" i="33" s="1"/>
  <c r="E15" i="25"/>
  <c r="G535" i="33" s="1"/>
  <c r="H535" i="33" s="1"/>
  <c r="L26" i="25"/>
  <c r="G91" i="33" s="1"/>
  <c r="H91" i="33" s="1"/>
  <c r="G15" i="25"/>
  <c r="G537" i="33" s="1"/>
  <c r="H537" i="33" s="1"/>
  <c r="L15" i="25"/>
  <c r="G542" i="33" s="1"/>
  <c r="H542" i="33" s="1"/>
  <c r="K26" i="25"/>
  <c r="G90" i="33" s="1"/>
  <c r="H90" i="33" s="1"/>
  <c r="H26" i="25"/>
  <c r="G87" i="33" s="1"/>
  <c r="H87" i="33" s="1"/>
  <c r="E26" i="25"/>
  <c r="G84" i="33" s="1"/>
  <c r="J15" i="25"/>
  <c r="G540" i="33" s="1"/>
  <c r="H540" i="33" s="1"/>
  <c r="M26" i="25"/>
  <c r="G92" i="33" s="1"/>
  <c r="H92" i="33" s="1"/>
  <c r="K15" i="25"/>
  <c r="G541" i="33" s="1"/>
  <c r="H541" i="33" s="1"/>
  <c r="M15" i="25"/>
  <c r="G543" i="33" s="1"/>
  <c r="H543" i="33" s="1"/>
  <c r="G26" i="25"/>
  <c r="G86" i="33" s="1"/>
  <c r="H86" i="33" s="1"/>
  <c r="I26" i="25"/>
  <c r="G88" i="33" s="1"/>
  <c r="H88" i="33" s="1"/>
  <c r="I15" i="25"/>
  <c r="G539" i="33" s="1"/>
  <c r="H539" i="33" s="1"/>
  <c r="F15" i="25"/>
  <c r="G536" i="33" s="1"/>
  <c r="H536" i="33" s="1"/>
  <c r="H15" i="25"/>
  <c r="G538" i="33" s="1"/>
  <c r="H538" i="33" s="1"/>
  <c r="F26" i="25"/>
  <c r="G85" i="33" s="1"/>
  <c r="H85" i="33" s="1"/>
  <c r="J26" i="25"/>
  <c r="G89" i="33" s="1"/>
  <c r="I16" i="25"/>
  <c r="G580" i="33" s="1"/>
  <c r="H580" i="33" s="1"/>
  <c r="F16" i="25"/>
  <c r="G577" i="33" s="1"/>
  <c r="H577" i="33" s="1"/>
  <c r="E16" i="25"/>
  <c r="G576" i="33" s="1"/>
  <c r="H576" i="33" s="1"/>
  <c r="M16" i="25"/>
  <c r="G584" i="33" s="1"/>
  <c r="H584" i="33" s="1"/>
  <c r="K16" i="25"/>
  <c r="G582" i="33" s="1"/>
  <c r="H582" i="33" s="1"/>
  <c r="I27" i="25"/>
  <c r="G129" i="33" s="1"/>
  <c r="H129" i="33" s="1"/>
  <c r="J16" i="25"/>
  <c r="G581" i="33" s="1"/>
  <c r="H581" i="33" s="1"/>
  <c r="F27" i="25"/>
  <c r="G126" i="33" s="1"/>
  <c r="H126" i="33" s="1"/>
  <c r="L27" i="25"/>
  <c r="G132" i="33" s="1"/>
  <c r="H132" i="33" s="1"/>
  <c r="G16" i="25"/>
  <c r="G578" i="33" s="1"/>
  <c r="H578" i="33" s="1"/>
  <c r="J27" i="25"/>
  <c r="G130" i="33" s="1"/>
  <c r="L16" i="25"/>
  <c r="G583" i="33" s="1"/>
  <c r="H583" i="33" s="1"/>
  <c r="M27" i="25"/>
  <c r="G133" i="33" s="1"/>
  <c r="H133" i="33" s="1"/>
  <c r="H27" i="25"/>
  <c r="G128" i="33" s="1"/>
  <c r="H128" i="33" s="1"/>
  <c r="H16" i="25"/>
  <c r="G579" i="33" s="1"/>
  <c r="H579" i="33" s="1"/>
  <c r="E27" i="25"/>
  <c r="G125" i="33" s="1"/>
  <c r="K27" i="25"/>
  <c r="G131" i="33" s="1"/>
  <c r="H131" i="33" s="1"/>
  <c r="G27" i="25"/>
  <c r="G127" i="33" s="1"/>
  <c r="H127" i="33" s="1"/>
  <c r="M18" i="25"/>
  <c r="G666" i="33" s="1"/>
  <c r="H666" i="33" s="1"/>
  <c r="L18" i="25"/>
  <c r="G665" i="33" s="1"/>
  <c r="H665" i="33" s="1"/>
  <c r="M29" i="25"/>
  <c r="G215" i="33" s="1"/>
  <c r="H215" i="33" s="1"/>
  <c r="G29" i="25"/>
  <c r="G209" i="33" s="1"/>
  <c r="H209" i="33" s="1"/>
  <c r="L29" i="25"/>
  <c r="G214" i="33" s="1"/>
  <c r="H214" i="33" s="1"/>
  <c r="H29" i="25"/>
  <c r="G210" i="33" s="1"/>
  <c r="H210" i="33" s="1"/>
  <c r="F18" i="25"/>
  <c r="G659" i="33" s="1"/>
  <c r="H659" i="33" s="1"/>
  <c r="K29" i="25"/>
  <c r="G213" i="33" s="1"/>
  <c r="H213" i="33" s="1"/>
  <c r="I18" i="25"/>
  <c r="G662" i="33" s="1"/>
  <c r="H662" i="33" s="1"/>
  <c r="F29" i="25"/>
  <c r="G208" i="33" s="1"/>
  <c r="H208" i="33" s="1"/>
  <c r="I29" i="25"/>
  <c r="G211" i="33" s="1"/>
  <c r="H211" i="33" s="1"/>
  <c r="J18" i="25"/>
  <c r="G663" i="33" s="1"/>
  <c r="H663" i="33" s="1"/>
  <c r="G18" i="25"/>
  <c r="G660" i="33" s="1"/>
  <c r="H660" i="33" s="1"/>
  <c r="K18" i="25"/>
  <c r="G664" i="33" s="1"/>
  <c r="H664" i="33" s="1"/>
  <c r="J29" i="25"/>
  <c r="G212" i="33" s="1"/>
  <c r="E18" i="25"/>
  <c r="G658" i="33" s="1"/>
  <c r="H658" i="33" s="1"/>
  <c r="E29" i="25"/>
  <c r="G207" i="33" s="1"/>
  <c r="H18" i="25"/>
  <c r="G661" i="33" s="1"/>
  <c r="H661" i="33" s="1"/>
  <c r="H33" i="25"/>
  <c r="G374" i="33" s="1"/>
  <c r="H374" i="33" s="1"/>
  <c r="J33" i="25"/>
  <c r="G376" i="33" s="1"/>
  <c r="H22" i="25"/>
  <c r="G825" i="33" s="1"/>
  <c r="H825" i="33" s="1"/>
  <c r="F22" i="25"/>
  <c r="G823" i="33" s="1"/>
  <c r="H823" i="33" s="1"/>
  <c r="K33" i="25"/>
  <c r="G377" i="33" s="1"/>
  <c r="H377" i="33" s="1"/>
  <c r="I33" i="25"/>
  <c r="G375" i="33" s="1"/>
  <c r="H375" i="33" s="1"/>
  <c r="L33" i="25"/>
  <c r="G378" i="33" s="1"/>
  <c r="H378" i="33" s="1"/>
  <c r="M33" i="25"/>
  <c r="G379" i="33" s="1"/>
  <c r="H379" i="33" s="1"/>
  <c r="K22" i="25"/>
  <c r="G828" i="33" s="1"/>
  <c r="H828" i="33" s="1"/>
  <c r="E22" i="25"/>
  <c r="G822" i="33" s="1"/>
  <c r="H822" i="33" s="1"/>
  <c r="L22" i="25"/>
  <c r="G829" i="33" s="1"/>
  <c r="H829" i="33" s="1"/>
  <c r="M22" i="25"/>
  <c r="G830" i="33" s="1"/>
  <c r="H830" i="33" s="1"/>
  <c r="E33" i="25"/>
  <c r="G371" i="33" s="1"/>
  <c r="I22" i="25"/>
  <c r="G826" i="33" s="1"/>
  <c r="H826" i="33" s="1"/>
  <c r="G22" i="25"/>
  <c r="G824" i="33" s="1"/>
  <c r="H824" i="33" s="1"/>
  <c r="F33" i="25"/>
  <c r="G372" i="33" s="1"/>
  <c r="H372" i="33" s="1"/>
  <c r="J22" i="25"/>
  <c r="G827" i="33" s="1"/>
  <c r="H827" i="33" s="1"/>
  <c r="G33" i="25"/>
  <c r="G373" i="33" s="1"/>
  <c r="H373" i="33" s="1"/>
  <c r="H207" i="33" l="1"/>
  <c r="Q36" i="33" s="1"/>
  <c r="Q7" i="33"/>
  <c r="H130" i="33"/>
  <c r="R6" i="33"/>
  <c r="H335" i="33"/>
  <c r="R41" i="33" s="1"/>
  <c r="R12" i="33"/>
  <c r="H253" i="33"/>
  <c r="R39" i="33" s="1"/>
  <c r="R10" i="33"/>
  <c r="H330" i="33"/>
  <c r="Q41" i="33" s="1"/>
  <c r="Q12" i="33"/>
  <c r="H166" i="33"/>
  <c r="Q37" i="33" s="1"/>
  <c r="Q8" i="33"/>
  <c r="R42" i="33"/>
  <c r="R44" i="33" s="1"/>
  <c r="H125" i="33"/>
  <c r="Q35" i="33" s="1"/>
  <c r="Q52" i="33" s="1"/>
  <c r="Q6" i="33"/>
  <c r="H89" i="33"/>
  <c r="R34" i="33" s="1"/>
  <c r="R51" i="33" s="1"/>
  <c r="R5" i="33"/>
  <c r="H294" i="33"/>
  <c r="R40" i="33" s="1"/>
  <c r="R11" i="33"/>
  <c r="Q42" i="33"/>
  <c r="H371" i="33"/>
  <c r="Q38" i="33" s="1"/>
  <c r="Q9" i="33"/>
  <c r="H212" i="33"/>
  <c r="R36" i="33" s="1"/>
  <c r="R7" i="33"/>
  <c r="H376" i="33"/>
  <c r="R38" i="33" s="1"/>
  <c r="R9" i="33"/>
  <c r="H84" i="33"/>
  <c r="Q34" i="33" s="1"/>
  <c r="Q51" i="33" s="1"/>
  <c r="Q5" i="33"/>
  <c r="H289" i="33"/>
  <c r="Q40" i="33" s="1"/>
  <c r="Q11" i="33"/>
  <c r="H171" i="33"/>
  <c r="R37" i="33" s="1"/>
  <c r="R8" i="33"/>
  <c r="H248" i="33"/>
  <c r="Q39" i="33" s="1"/>
  <c r="Q10" i="33"/>
  <c r="F7" i="25"/>
  <c r="J7" i="25"/>
  <c r="H4" i="25"/>
  <c r="H36" i="25"/>
  <c r="J4" i="25"/>
  <c r="J36" i="25"/>
  <c r="L9" i="25"/>
  <c r="J11" i="25"/>
  <c r="K11" i="25"/>
  <c r="K5" i="25"/>
  <c r="F4" i="25"/>
  <c r="F36" i="25"/>
  <c r="E37" i="25"/>
  <c r="F9" i="25"/>
  <c r="K8" i="25"/>
  <c r="G8" i="25"/>
  <c r="K10" i="25"/>
  <c r="L10" i="25"/>
  <c r="L5" i="25"/>
  <c r="M5" i="25"/>
  <c r="I4" i="25"/>
  <c r="H37" i="25"/>
  <c r="K9" i="25"/>
  <c r="F8" i="25"/>
  <c r="F10" i="25"/>
  <c r="K37" i="25"/>
  <c r="G9" i="25"/>
  <c r="E9" i="25"/>
  <c r="M8" i="25"/>
  <c r="I36" i="25"/>
  <c r="I6" i="25"/>
  <c r="M6" i="25"/>
  <c r="I7" i="25"/>
  <c r="I9" i="25"/>
  <c r="G10" i="25"/>
  <c r="E10" i="25"/>
  <c r="F6" i="25"/>
  <c r="I11" i="25"/>
  <c r="M4" i="25"/>
  <c r="M36" i="25"/>
  <c r="K6" i="25"/>
  <c r="J6" i="25"/>
  <c r="H9" i="25"/>
  <c r="J9" i="25"/>
  <c r="M11" i="25"/>
  <c r="J37" i="25"/>
  <c r="K4" i="25"/>
  <c r="K36" i="25"/>
  <c r="I10" i="25"/>
  <c r="L6" i="25"/>
  <c r="H7" i="25"/>
  <c r="M7" i="25"/>
  <c r="E5" i="25"/>
  <c r="I37" i="25"/>
  <c r="L37" i="25"/>
  <c r="M9" i="25"/>
  <c r="J8" i="25"/>
  <c r="L11" i="25"/>
  <c r="H11" i="25"/>
  <c r="G7" i="25"/>
  <c r="H5" i="25"/>
  <c r="J5" i="25"/>
  <c r="F37" i="25"/>
  <c r="M37" i="25"/>
  <c r="E4" i="25"/>
  <c r="E36" i="25"/>
  <c r="H10" i="25"/>
  <c r="M10" i="25"/>
  <c r="H6" i="25"/>
  <c r="E6" i="25"/>
  <c r="L7" i="25"/>
  <c r="G11" i="25"/>
  <c r="E7" i="25"/>
  <c r="G5" i="25"/>
  <c r="F5" i="25"/>
  <c r="G37" i="25"/>
  <c r="L4" i="25"/>
  <c r="L36" i="25"/>
  <c r="I5" i="25"/>
  <c r="G4" i="25"/>
  <c r="G36" i="25"/>
  <c r="L8" i="25"/>
  <c r="H8" i="25"/>
  <c r="F11" i="25"/>
  <c r="K7" i="25"/>
  <c r="E11" i="25"/>
  <c r="E8" i="25"/>
  <c r="I8" i="25"/>
  <c r="J10" i="25"/>
  <c r="G6" i="25"/>
  <c r="K35" i="3" a="1"/>
  <c r="K35" i="3" s="1"/>
  <c r="K34" i="3" s="1" a="1"/>
  <c r="K34" i="3" s="1"/>
  <c r="K33" i="3" s="1" a="1"/>
  <c r="K33" i="3" s="1"/>
  <c r="K32" i="3" s="1" a="1"/>
  <c r="K32" i="3" s="1"/>
  <c r="K31" i="3" s="1" a="1"/>
  <c r="K31" i="3" s="1"/>
  <c r="K30" i="3" s="1" a="1"/>
  <c r="K30" i="3" s="1"/>
  <c r="K29" i="3" s="1" a="1"/>
  <c r="K29" i="3" s="1"/>
  <c r="R35" i="33" l="1"/>
  <c r="R52" i="33" s="1"/>
  <c r="R53" i="33" s="1"/>
  <c r="Q53" i="33"/>
  <c r="K35" i="25"/>
  <c r="I35" i="25"/>
  <c r="M35" i="25"/>
  <c r="J35" i="25"/>
  <c r="E35" i="25"/>
  <c r="G35" i="25"/>
  <c r="F35" i="25"/>
  <c r="L35" i="25"/>
  <c r="H35" i="25"/>
  <c r="AS70" i="6"/>
  <c r="AS69" i="6"/>
  <c r="AS68" i="6"/>
  <c r="AS67" i="6"/>
  <c r="AS66" i="6"/>
  <c r="AS65" i="6"/>
  <c r="AS64" i="6"/>
  <c r="AS60" i="6"/>
  <c r="C14" i="3" a="1"/>
  <c r="C14" i="3" s="1"/>
  <c r="K16" i="3" a="1"/>
  <c r="K16" i="3" s="1"/>
  <c r="AS51" i="6" s="1"/>
  <c r="K17" i="3" a="1"/>
  <c r="K17" i="3" s="1"/>
  <c r="AS52" i="6" s="1"/>
  <c r="K18" i="3" a="1"/>
  <c r="K18" i="3" s="1"/>
  <c r="AS53" i="6" s="1"/>
  <c r="K19" i="3" a="1"/>
  <c r="K19" i="3" s="1"/>
  <c r="AS54" i="6" s="1"/>
  <c r="K20" i="3" a="1"/>
  <c r="K20" i="3" s="1"/>
  <c r="AS55" i="6" s="1"/>
  <c r="K21" i="3" a="1"/>
  <c r="K21" i="3" s="1"/>
  <c r="AS56" i="6" s="1"/>
  <c r="K22" i="3" a="1"/>
  <c r="K22" i="3" s="1"/>
  <c r="AS57" i="6" s="1"/>
  <c r="K23" i="3" a="1"/>
  <c r="K23" i="3" s="1"/>
  <c r="AS58" i="6" s="1"/>
  <c r="K24" i="3" a="1"/>
  <c r="K24" i="3" s="1"/>
  <c r="AS59" i="6" s="1"/>
  <c r="K15" i="3" a="1"/>
  <c r="K15" i="3" s="1"/>
  <c r="AS50" i="6" s="1"/>
  <c r="K27" i="3"/>
  <c r="K26" i="3" s="1" a="1"/>
  <c r="K26" i="3" s="1"/>
  <c r="AS61" i="6" s="1"/>
  <c r="K28" i="3"/>
  <c r="AS63" i="6" s="1"/>
  <c r="K14" i="3" a="1"/>
  <c r="K14" i="3" s="1"/>
  <c r="AS49" i="6" s="1"/>
  <c r="D35" i="3" a="1"/>
  <c r="D35" i="3" s="1"/>
  <c r="E35" i="3" a="1"/>
  <c r="E35" i="3" s="1"/>
  <c r="F35" i="3" a="1"/>
  <c r="F35" i="3" s="1"/>
  <c r="G35" i="3" a="1"/>
  <c r="G35" i="3" s="1"/>
  <c r="H35" i="3" a="1"/>
  <c r="H35" i="3" s="1"/>
  <c r="H34" i="3"/>
  <c r="H34" i="3" a="1"/>
  <c r="G34" i="3" a="1"/>
  <c r="G34" i="3" s="1"/>
  <c r="F34" i="3" a="1"/>
  <c r="F34" i="3" s="1"/>
  <c r="E34" i="3" a="1"/>
  <c r="E34" i="3" s="1"/>
  <c r="D34" i="3" a="1"/>
  <c r="D34" i="3" s="1"/>
  <c r="C34" i="3" a="1"/>
  <c r="C34" i="3" s="1"/>
  <c r="H33" i="3" a="1"/>
  <c r="H33" i="3" s="1"/>
  <c r="G33" i="3" a="1"/>
  <c r="G33" i="3" s="1"/>
  <c r="F33" i="3" a="1"/>
  <c r="F33" i="3" s="1"/>
  <c r="E33" i="3" a="1"/>
  <c r="E33" i="3" s="1"/>
  <c r="D33" i="3" a="1"/>
  <c r="D33" i="3" s="1"/>
  <c r="C33" i="3"/>
  <c r="C33" i="3" a="1"/>
  <c r="H32" i="3" a="1"/>
  <c r="H32" i="3" s="1"/>
  <c r="G32" i="3" a="1"/>
  <c r="G32" i="3" s="1"/>
  <c r="F32" i="3" a="1"/>
  <c r="F32" i="3" s="1"/>
  <c r="E32" i="3" a="1"/>
  <c r="E32" i="3" s="1"/>
  <c r="D32" i="3" a="1"/>
  <c r="D32" i="3" s="1"/>
  <c r="C32" i="3" a="1"/>
  <c r="C32" i="3" s="1"/>
  <c r="H31" i="3" a="1"/>
  <c r="H31" i="3" s="1"/>
  <c r="G31" i="3" a="1"/>
  <c r="G31" i="3" s="1"/>
  <c r="F31" i="3" a="1"/>
  <c r="F31" i="3" s="1"/>
  <c r="E31" i="3" a="1"/>
  <c r="E31" i="3" s="1"/>
  <c r="D31" i="3" a="1"/>
  <c r="D31" i="3" s="1"/>
  <c r="C31" i="3" a="1"/>
  <c r="C31" i="3" s="1"/>
  <c r="D30" i="3" a="1"/>
  <c r="D30" i="3" s="1"/>
  <c r="C30" i="3" a="1"/>
  <c r="C30" i="3" s="1"/>
  <c r="H29" i="3" a="1"/>
  <c r="H29" i="3" s="1"/>
  <c r="G29" i="3" a="1"/>
  <c r="G29" i="3" s="1"/>
  <c r="F29" i="3" a="1"/>
  <c r="F29" i="3" s="1"/>
  <c r="E29" i="3" a="1"/>
  <c r="E29" i="3" s="1"/>
  <c r="D29" i="3" a="1"/>
  <c r="D29" i="3" s="1"/>
  <c r="C29" i="3" a="1"/>
  <c r="C29" i="3" s="1"/>
  <c r="H28" i="3" a="1"/>
  <c r="H28" i="3" s="1"/>
  <c r="G28" i="3" a="1"/>
  <c r="G28" i="3" s="1"/>
  <c r="F28" i="3" a="1"/>
  <c r="F28" i="3" s="1"/>
  <c r="E28" i="3" a="1"/>
  <c r="E28" i="3" s="1"/>
  <c r="D28" i="3" a="1"/>
  <c r="D28" i="3" s="1"/>
  <c r="C28" i="3" a="1"/>
  <c r="C28" i="3" s="1"/>
  <c r="H27" i="3" a="1"/>
  <c r="H27" i="3" s="1"/>
  <c r="G27" i="3" a="1"/>
  <c r="G27" i="3" s="1"/>
  <c r="F27" i="3" a="1"/>
  <c r="F27" i="3" s="1"/>
  <c r="E27" i="3" a="1"/>
  <c r="E27" i="3" s="1"/>
  <c r="D27" i="3" a="1"/>
  <c r="D27" i="3" s="1"/>
  <c r="C27" i="3" a="1"/>
  <c r="C27" i="3" s="1"/>
  <c r="H26" i="3" a="1"/>
  <c r="H26" i="3" s="1"/>
  <c r="G26" i="3" a="1"/>
  <c r="G26" i="3" s="1"/>
  <c r="F26" i="3" a="1"/>
  <c r="F26" i="3" s="1"/>
  <c r="E26" i="3" a="1"/>
  <c r="E26" i="3" s="1"/>
  <c r="D26" i="3" a="1"/>
  <c r="D26" i="3" s="1"/>
  <c r="C26" i="3" a="1"/>
  <c r="C26" i="3" s="1"/>
  <c r="H25" i="3" a="1"/>
  <c r="H25" i="3" s="1"/>
  <c r="G25" i="3" a="1"/>
  <c r="G25" i="3" s="1"/>
  <c r="F25" i="3" a="1"/>
  <c r="F25" i="3" s="1"/>
  <c r="E25" i="3" a="1"/>
  <c r="E25" i="3" s="1"/>
  <c r="D25" i="3" a="1"/>
  <c r="D25" i="3" s="1"/>
  <c r="C25" i="3" a="1"/>
  <c r="C25" i="3" s="1"/>
  <c r="D14" i="3" a="1"/>
  <c r="D14" i="3" s="1"/>
  <c r="C15" i="3" a="1"/>
  <c r="C15" i="3" s="1"/>
  <c r="D15" i="3" a="1"/>
  <c r="D15" i="3" s="1"/>
  <c r="E15" i="3" a="1"/>
  <c r="E15" i="3" s="1"/>
  <c r="F15" i="3" a="1"/>
  <c r="F15" i="3" s="1"/>
  <c r="G15" i="3" a="1"/>
  <c r="G15" i="3" s="1"/>
  <c r="H15" i="3" a="1"/>
  <c r="H15" i="3" s="1"/>
  <c r="C16" i="3" a="1"/>
  <c r="C16" i="3" s="1"/>
  <c r="D16" i="3" a="1"/>
  <c r="D16" i="3" s="1"/>
  <c r="E16" i="3" a="1"/>
  <c r="E16" i="3" s="1"/>
  <c r="F16" i="3" a="1"/>
  <c r="F16" i="3" s="1"/>
  <c r="G16" i="3" a="1"/>
  <c r="G16" i="3" s="1"/>
  <c r="H16" i="3" a="1"/>
  <c r="H16" i="3" s="1"/>
  <c r="C17" i="3" a="1"/>
  <c r="C17" i="3"/>
  <c r="D17" i="3" a="1"/>
  <c r="D17" i="3" s="1"/>
  <c r="E17" i="3" a="1"/>
  <c r="E17" i="3" s="1"/>
  <c r="F17" i="3" a="1"/>
  <c r="F17" i="3" s="1"/>
  <c r="G17" i="3" a="1"/>
  <c r="G17" i="3" s="1"/>
  <c r="H17" i="3" a="1"/>
  <c r="H17" i="3" s="1"/>
  <c r="C18" i="3" a="1"/>
  <c r="C18" i="3" s="1"/>
  <c r="D18" i="3" a="1"/>
  <c r="D18" i="3" s="1"/>
  <c r="E18" i="3" a="1"/>
  <c r="E18" i="3" s="1"/>
  <c r="F18" i="3" a="1"/>
  <c r="F18" i="3" s="1"/>
  <c r="G18" i="3" a="1"/>
  <c r="G18" i="3" s="1"/>
  <c r="H18" i="3" a="1"/>
  <c r="H18" i="3" s="1"/>
  <c r="C19" i="3" a="1"/>
  <c r="C19" i="3" s="1"/>
  <c r="D19" i="3" a="1"/>
  <c r="D19" i="3" s="1"/>
  <c r="C20" i="3" a="1"/>
  <c r="C20" i="3" s="1"/>
  <c r="D20" i="3" a="1"/>
  <c r="D20" i="3" s="1"/>
  <c r="E20" i="3" a="1"/>
  <c r="E20" i="3" s="1"/>
  <c r="F20" i="3" a="1"/>
  <c r="F20" i="3" s="1"/>
  <c r="G20" i="3" a="1"/>
  <c r="G20" i="3" s="1"/>
  <c r="H20" i="3" a="1"/>
  <c r="H20" i="3" s="1"/>
  <c r="C21" i="3" a="1"/>
  <c r="C21" i="3" s="1"/>
  <c r="D21" i="3" a="1"/>
  <c r="D21" i="3" s="1"/>
  <c r="E21" i="3" a="1"/>
  <c r="E21" i="3" s="1"/>
  <c r="F21" i="3" a="1"/>
  <c r="F21" i="3" s="1"/>
  <c r="G21" i="3" a="1"/>
  <c r="G21" i="3" s="1"/>
  <c r="H21" i="3" a="1"/>
  <c r="H21" i="3" s="1"/>
  <c r="C22" i="3" a="1"/>
  <c r="C22" i="3" s="1"/>
  <c r="D22" i="3" a="1"/>
  <c r="D22" i="3" s="1"/>
  <c r="E22" i="3" a="1"/>
  <c r="E22" i="3" s="1"/>
  <c r="F22" i="3" a="1"/>
  <c r="F22" i="3" s="1"/>
  <c r="G22" i="3" a="1"/>
  <c r="G22" i="3" s="1"/>
  <c r="H22" i="3" a="1"/>
  <c r="H22" i="3" s="1"/>
  <c r="C23" i="3" a="1"/>
  <c r="C23" i="3" s="1"/>
  <c r="D23" i="3" a="1"/>
  <c r="D23" i="3" s="1"/>
  <c r="E23" i="3" a="1"/>
  <c r="E23" i="3" s="1"/>
  <c r="F23" i="3" a="1"/>
  <c r="F23" i="3" s="1"/>
  <c r="G23" i="3" a="1"/>
  <c r="G23" i="3" s="1"/>
  <c r="H23" i="3" a="1"/>
  <c r="H23" i="3" s="1"/>
  <c r="D24" i="3" a="1"/>
  <c r="D24" i="3" s="1"/>
  <c r="E24" i="3" a="1"/>
  <c r="E24" i="3" s="1"/>
  <c r="F24" i="3" a="1"/>
  <c r="F24" i="3" s="1"/>
  <c r="G24" i="3" a="1"/>
  <c r="G24" i="3" s="1"/>
  <c r="H24" i="3" a="1"/>
  <c r="H24" i="3" s="1"/>
  <c r="H14" i="3" a="1"/>
  <c r="H14" i="3" s="1"/>
  <c r="G14" i="3" a="1"/>
  <c r="G14" i="3" s="1"/>
  <c r="F14" i="3" a="1"/>
  <c r="F14" i="3" s="1"/>
  <c r="E14" i="3" a="1"/>
  <c r="E14" i="3" s="1"/>
  <c r="K3" i="3" a="1"/>
  <c r="K3" i="3" s="1"/>
  <c r="K13" i="3" a="1"/>
  <c r="K13" i="3" s="1"/>
  <c r="K12" i="3" a="1"/>
  <c r="K12" i="3" s="1"/>
  <c r="K11" i="3" a="1"/>
  <c r="K11" i="3" s="1"/>
  <c r="K10" i="3" a="1"/>
  <c r="K10" i="3" s="1"/>
  <c r="K9" i="3" a="1"/>
  <c r="K9" i="3" s="1"/>
  <c r="K8" i="3" a="1"/>
  <c r="K8" i="3" s="1"/>
  <c r="K7" i="3" a="1"/>
  <c r="K7" i="3" s="1"/>
  <c r="K6" i="3" a="1"/>
  <c r="K6" i="3" s="1"/>
  <c r="K4" i="3" a="1"/>
  <c r="K4" i="3" s="1"/>
  <c r="K5" i="3" a="1"/>
  <c r="K5" i="3" s="1"/>
  <c r="AS73" i="6" a="1"/>
  <c r="AS73" i="6" s="1"/>
  <c r="AR73" i="6" a="1"/>
  <c r="AR73" i="6" s="1"/>
  <c r="AQ73" i="6" a="1"/>
  <c r="AQ73" i="6" s="1"/>
  <c r="AP73" i="6" a="1"/>
  <c r="AP73" i="6" s="1"/>
  <c r="AO73" i="6" a="1"/>
  <c r="AO73" i="6" s="1"/>
  <c r="AN73" i="6" a="1"/>
  <c r="AN73" i="6" s="1"/>
  <c r="AM73" i="6" a="1"/>
  <c r="AM73" i="6" s="1"/>
  <c r="AL73" i="6" a="1"/>
  <c r="AL73" i="6" s="1"/>
  <c r="AK73" i="6" a="1"/>
  <c r="AK73" i="6" s="1"/>
  <c r="AJ73" i="6" a="1"/>
  <c r="AJ73" i="6" s="1"/>
  <c r="AI73" i="6" a="1"/>
  <c r="AI73" i="6" s="1"/>
  <c r="AH73" i="6" a="1"/>
  <c r="AH73" i="6" s="1"/>
  <c r="AG73" i="6" a="1"/>
  <c r="AG73" i="6" s="1"/>
  <c r="AF73" i="6" a="1"/>
  <c r="AF73" i="6" s="1"/>
  <c r="AE73" i="6" a="1"/>
  <c r="AE73" i="6" s="1"/>
  <c r="AD73" i="6" a="1"/>
  <c r="AD73" i="6" s="1"/>
  <c r="AC73" i="6" a="1"/>
  <c r="AC73" i="6" s="1"/>
  <c r="AB73" i="6" a="1"/>
  <c r="AB73" i="6" s="1"/>
  <c r="AA73" i="6" a="1"/>
  <c r="AA73" i="6" s="1"/>
  <c r="Z73" i="6" a="1"/>
  <c r="Z73" i="6" s="1"/>
  <c r="Y73" i="6" a="1"/>
  <c r="Y73" i="6" s="1"/>
  <c r="X73" i="6" a="1"/>
  <c r="X73" i="6" s="1"/>
  <c r="W73" i="6" a="1"/>
  <c r="W73" i="6" s="1"/>
  <c r="V73" i="6" a="1"/>
  <c r="V73" i="6" s="1"/>
  <c r="U73" i="6" a="1"/>
  <c r="U73" i="6" s="1"/>
  <c r="T73" i="6" a="1"/>
  <c r="T73" i="6" s="1"/>
  <c r="S73" i="6" a="1"/>
  <c r="S73" i="6" s="1"/>
  <c r="R73" i="6" a="1"/>
  <c r="R73" i="6" s="1"/>
  <c r="Q73" i="6" a="1"/>
  <c r="Q73" i="6" s="1"/>
  <c r="P73" i="6" a="1"/>
  <c r="P73" i="6" s="1"/>
  <c r="O73" i="6" a="1"/>
  <c r="O73" i="6" s="1"/>
  <c r="M73" i="6" a="1"/>
  <c r="M73" i="6" s="1"/>
  <c r="L73" i="6" a="1"/>
  <c r="L73" i="6" s="1"/>
  <c r="K73" i="6" a="1"/>
  <c r="K73" i="6" s="1"/>
  <c r="J73" i="6" a="1"/>
  <c r="J73" i="6" s="1"/>
  <c r="I73" i="6" a="1"/>
  <c r="I73" i="6" s="1"/>
  <c r="H73" i="6" a="1"/>
  <c r="H73" i="6" s="1"/>
  <c r="G73" i="6" a="1"/>
  <c r="G73" i="6" s="1"/>
  <c r="F73" i="6" a="1"/>
  <c r="F73" i="6" s="1"/>
  <c r="E73" i="6" a="1"/>
  <c r="E73" i="6" s="1"/>
  <c r="AS72" i="6" a="1"/>
  <c r="AS72" i="6" s="1"/>
  <c r="AS71" i="6" s="1"/>
  <c r="AR72" i="6" a="1"/>
  <c r="AR72" i="6" s="1"/>
  <c r="AR71" i="6" s="1"/>
  <c r="AQ72" i="6" a="1"/>
  <c r="AQ72" i="6" s="1"/>
  <c r="AQ71" i="6" s="1"/>
  <c r="AP72" i="6" a="1"/>
  <c r="AP72" i="6" s="1"/>
  <c r="AP71" i="6" s="1"/>
  <c r="AO72" i="6" a="1"/>
  <c r="AO72" i="6" s="1"/>
  <c r="AO71" i="6" s="1"/>
  <c r="AN72" i="6" a="1"/>
  <c r="AN72" i="6" s="1"/>
  <c r="AN71" i="6" s="1"/>
  <c r="AM72" i="6" a="1"/>
  <c r="AM72" i="6" s="1"/>
  <c r="AM71" i="6" s="1"/>
  <c r="AL72" i="6" a="1"/>
  <c r="AL72" i="6" s="1"/>
  <c r="AL71" i="6" s="1"/>
  <c r="AK72" i="6" a="1"/>
  <c r="AK72" i="6" s="1"/>
  <c r="AK71" i="6" s="1"/>
  <c r="AJ72" i="6" a="1"/>
  <c r="AJ72" i="6" s="1"/>
  <c r="AJ71" i="6" s="1"/>
  <c r="AI72" i="6" a="1"/>
  <c r="AI72" i="6" s="1"/>
  <c r="AI71" i="6" s="1"/>
  <c r="AH72" i="6" a="1"/>
  <c r="AH72" i="6" s="1"/>
  <c r="AH71" i="6" s="1"/>
  <c r="AG72" i="6" a="1"/>
  <c r="AG72" i="6" s="1"/>
  <c r="AG71" i="6" s="1"/>
  <c r="AF72" i="6" a="1"/>
  <c r="AF72" i="6" s="1"/>
  <c r="AF71" i="6" s="1"/>
  <c r="AE72" i="6" a="1"/>
  <c r="AE72" i="6" s="1"/>
  <c r="AE71" i="6" s="1"/>
  <c r="AD72" i="6" a="1"/>
  <c r="AD72" i="6" s="1"/>
  <c r="AD71" i="6" s="1"/>
  <c r="AC72" i="6" a="1"/>
  <c r="AC72" i="6" s="1"/>
  <c r="AC71" i="6" s="1"/>
  <c r="AB72" i="6" a="1"/>
  <c r="AB72" i="6" s="1"/>
  <c r="AB71" i="6" s="1"/>
  <c r="AA72" i="6" a="1"/>
  <c r="AA72" i="6" s="1"/>
  <c r="AA71" i="6" s="1"/>
  <c r="Z72" i="6" a="1"/>
  <c r="Z72" i="6" s="1"/>
  <c r="Z71" i="6" s="1"/>
  <c r="Y72" i="6" a="1"/>
  <c r="Y72" i="6" s="1"/>
  <c r="Y71" i="6" s="1"/>
  <c r="X72" i="6" a="1"/>
  <c r="X72" i="6" s="1"/>
  <c r="X71" i="6" s="1"/>
  <c r="W72" i="6" a="1"/>
  <c r="W72" i="6" s="1"/>
  <c r="W71" i="6" s="1"/>
  <c r="V72" i="6" a="1"/>
  <c r="V72" i="6" s="1"/>
  <c r="V71" i="6" s="1"/>
  <c r="U72" i="6" a="1"/>
  <c r="U72" i="6" s="1"/>
  <c r="U71" i="6" s="1"/>
  <c r="T72" i="6" a="1"/>
  <c r="T72" i="6" s="1"/>
  <c r="T71" i="6" s="1"/>
  <c r="S72" i="6" a="1"/>
  <c r="S72" i="6" s="1"/>
  <c r="S71" i="6" s="1"/>
  <c r="R72" i="6" a="1"/>
  <c r="R72" i="6" s="1"/>
  <c r="R71" i="6" s="1"/>
  <c r="Q72" i="6" a="1"/>
  <c r="Q72" i="6" s="1"/>
  <c r="Q71" i="6" s="1"/>
  <c r="P72" i="6" a="1"/>
  <c r="P72" i="6" s="1"/>
  <c r="P71" i="6" s="1"/>
  <c r="O72" i="6" a="1"/>
  <c r="O72" i="6" s="1"/>
  <c r="O71" i="6" s="1"/>
  <c r="M72" i="6" a="1"/>
  <c r="M72" i="6" s="1"/>
  <c r="M71" i="6" s="1"/>
  <c r="L72" i="6" a="1"/>
  <c r="L72" i="6" s="1"/>
  <c r="L71" i="6" s="1"/>
  <c r="K72" i="6" a="1"/>
  <c r="K72" i="6" s="1"/>
  <c r="K71" i="6" s="1"/>
  <c r="J72" i="6" a="1"/>
  <c r="J72" i="6" s="1"/>
  <c r="J71" i="6" s="1"/>
  <c r="I72" i="6" a="1"/>
  <c r="I72" i="6" s="1"/>
  <c r="I71" i="6" s="1"/>
  <c r="H72" i="6" a="1"/>
  <c r="H72" i="6" s="1"/>
  <c r="H71" i="6" s="1"/>
  <c r="G72" i="6" a="1"/>
  <c r="G72" i="6" s="1"/>
  <c r="G71" i="6" s="1"/>
  <c r="F72" i="6" a="1"/>
  <c r="F72" i="6" s="1"/>
  <c r="F71" i="6" s="1"/>
  <c r="E72" i="6" a="1"/>
  <c r="E72" i="6" s="1"/>
  <c r="E71" i="6" s="1"/>
  <c r="N73" i="6" a="1"/>
  <c r="N73" i="6" s="1"/>
  <c r="N72" i="6" a="1"/>
  <c r="N72" i="6" s="1"/>
  <c r="N71" i="6" s="1"/>
  <c r="C13" i="3" a="1"/>
  <c r="C13" i="3" s="1"/>
  <c r="C12" i="3" a="1"/>
  <c r="C12" i="3" s="1"/>
  <c r="C11" i="3" a="1"/>
  <c r="C11" i="3" s="1"/>
  <c r="C10" i="3" a="1"/>
  <c r="C10" i="3" s="1"/>
  <c r="C9" i="3" a="1"/>
  <c r="C9" i="3" s="1"/>
  <c r="C8" i="3" a="1"/>
  <c r="C8" i="3" s="1"/>
  <c r="C7" i="3" a="1"/>
  <c r="C7" i="3" s="1"/>
  <c r="C6" i="3" a="1"/>
  <c r="C6" i="3" s="1"/>
  <c r="C5" i="3" a="1"/>
  <c r="C5" i="3" s="1"/>
  <c r="C4" i="3" a="1"/>
  <c r="C4" i="3" s="1"/>
  <c r="C3" i="3" a="1"/>
  <c r="C3" i="3" s="1"/>
  <c r="AS62" i="6" l="1"/>
  <c r="AS38" i="6"/>
  <c r="AS48" i="6"/>
  <c r="AS42" i="6"/>
  <c r="AS47" i="6"/>
  <c r="AS46" i="6"/>
  <c r="AS44" i="6"/>
  <c r="AS40" i="6"/>
  <c r="AS39" i="6"/>
  <c r="AS41" i="6"/>
  <c r="AS45" i="6"/>
  <c r="AS43" i="6"/>
  <c r="D3" i="3" a="1"/>
  <c r="D3" i="3" s="1"/>
  <c r="D10" i="2"/>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41" i="2" s="1"/>
  <c r="E41" i="2" s="1"/>
  <c r="I2" i="2" a="1"/>
  <c r="I2" i="2" s="1"/>
  <c r="J2" i="2" a="1"/>
  <c r="J2" i="2" s="1"/>
  <c r="K2" i="2" a="1"/>
  <c r="K2" i="2" s="1"/>
  <c r="L2" i="2" a="1"/>
  <c r="L2" i="2" s="1"/>
  <c r="I3" i="2" a="1"/>
  <c r="I3" i="2" s="1"/>
  <c r="J3" i="2" a="1"/>
  <c r="J3" i="2" s="1"/>
  <c r="K3" i="2" a="1"/>
  <c r="K3" i="2" s="1"/>
  <c r="L3" i="2" a="1"/>
  <c r="L3" i="2" s="1"/>
  <c r="I4" i="2" a="1"/>
  <c r="I4" i="2" s="1"/>
  <c r="J4" i="2" a="1"/>
  <c r="J4" i="2" s="1"/>
  <c r="K4" i="2" a="1"/>
  <c r="K4" i="2" s="1"/>
  <c r="L4" i="2" a="1"/>
  <c r="L4" i="2" s="1"/>
  <c r="H3" i="2" a="1"/>
  <c r="H3" i="2" s="1"/>
  <c r="D2" i="2" s="1"/>
  <c r="H4" i="2" a="1"/>
  <c r="H4" i="2" s="1"/>
  <c r="H2" i="2" a="1"/>
  <c r="H2" i="2" s="1"/>
  <c r="D43" i="2" s="1"/>
  <c r="BF23" i="3"/>
  <c r="BG23" i="3"/>
  <c r="BH23" i="3"/>
  <c r="BF24" i="3"/>
  <c r="BG24" i="3"/>
  <c r="BH24" i="3"/>
  <c r="BF25" i="3"/>
  <c r="BG25" i="3"/>
  <c r="BH25" i="3"/>
  <c r="BF26" i="3"/>
  <c r="BG26" i="3"/>
  <c r="BH26" i="3"/>
  <c r="BF27" i="3"/>
  <c r="BG27" i="3"/>
  <c r="BH27" i="3"/>
  <c r="BF28" i="3"/>
  <c r="BG28" i="3"/>
  <c r="BH28" i="3"/>
  <c r="BF29" i="3"/>
  <c r="BG29" i="3"/>
  <c r="BH29" i="3"/>
  <c r="BF30" i="3"/>
  <c r="BG30" i="3"/>
  <c r="BH30" i="3"/>
  <c r="BF31" i="3"/>
  <c r="BG31" i="3"/>
  <c r="BH31" i="3"/>
  <c r="BF32" i="3"/>
  <c r="BG32" i="3"/>
  <c r="BH32" i="3"/>
  <c r="BE24" i="3"/>
  <c r="BE25" i="3"/>
  <c r="BE26" i="3"/>
  <c r="BE27" i="3"/>
  <c r="BE28" i="3"/>
  <c r="BE29" i="3"/>
  <c r="BE30" i="3"/>
  <c r="BE31" i="3"/>
  <c r="BE32" i="3"/>
  <c r="BE23" i="3"/>
  <c r="D83" i="2"/>
  <c r="D51" i="2"/>
  <c r="D52" i="2" s="1"/>
  <c r="D53" i="2" s="1"/>
  <c r="D54" i="2" s="1"/>
  <c r="D55" i="2" s="1"/>
  <c r="D42" i="2"/>
  <c r="C86" i="2"/>
  <c r="C83" i="2"/>
  <c r="E83" i="2" s="1"/>
  <c r="C82" i="2"/>
  <c r="C81" i="2"/>
  <c r="C80" i="2"/>
  <c r="C79" i="2"/>
  <c r="C78" i="2"/>
  <c r="C119" i="2" s="1"/>
  <c r="C77" i="2"/>
  <c r="C76" i="2"/>
  <c r="C75" i="2"/>
  <c r="C74" i="2"/>
  <c r="C73" i="2"/>
  <c r="C72" i="2"/>
  <c r="C71" i="2"/>
  <c r="C70" i="2"/>
  <c r="C111" i="2" s="1"/>
  <c r="C69" i="2"/>
  <c r="C68" i="2"/>
  <c r="C67" i="2"/>
  <c r="C66" i="2"/>
  <c r="C65" i="2"/>
  <c r="C64" i="2"/>
  <c r="C63" i="2"/>
  <c r="C62" i="2"/>
  <c r="C103" i="2" s="1"/>
  <c r="C61" i="2"/>
  <c r="C60" i="2"/>
  <c r="C59" i="2"/>
  <c r="C58" i="2"/>
  <c r="C57" i="2"/>
  <c r="C56" i="2"/>
  <c r="C55" i="2"/>
  <c r="C54" i="2"/>
  <c r="C95" i="2" s="1"/>
  <c r="C53" i="2"/>
  <c r="C52" i="2"/>
  <c r="C51" i="2"/>
  <c r="E51" i="2" s="1"/>
  <c r="C50" i="2"/>
  <c r="C49" i="2"/>
  <c r="C48" i="2"/>
  <c r="C47" i="2"/>
  <c r="C46" i="2"/>
  <c r="C87" i="2" s="1"/>
  <c r="C45" i="2"/>
  <c r="C44" i="2"/>
  <c r="C43" i="2"/>
  <c r="C3" i="2"/>
  <c r="C4" i="2"/>
  <c r="C5" i="2"/>
  <c r="C6" i="2"/>
  <c r="C88" i="2" s="1"/>
  <c r="C7" i="2"/>
  <c r="C89" i="2" s="1"/>
  <c r="C8" i="2"/>
  <c r="C90" i="2" s="1"/>
  <c r="C9" i="2"/>
  <c r="C91" i="2" s="1"/>
  <c r="C10" i="2"/>
  <c r="C92" i="2" s="1"/>
  <c r="M5" i="2" s="1" a="1"/>
  <c r="M5" i="2" s="1"/>
  <c r="C11" i="2"/>
  <c r="C12" i="2"/>
  <c r="C13" i="2"/>
  <c r="C14" i="2"/>
  <c r="C96" i="2" s="1"/>
  <c r="C15" i="2"/>
  <c r="C97" i="2" s="1"/>
  <c r="C16" i="2"/>
  <c r="C98" i="2" s="1"/>
  <c r="C17" i="2"/>
  <c r="C99" i="2" s="1"/>
  <c r="C18" i="2"/>
  <c r="C100" i="2" s="1"/>
  <c r="C19" i="2"/>
  <c r="C20" i="2"/>
  <c r="C21" i="2"/>
  <c r="C22" i="2"/>
  <c r="C104" i="2" s="1"/>
  <c r="C23" i="2"/>
  <c r="C105" i="2" s="1"/>
  <c r="C24" i="2"/>
  <c r="C106" i="2" s="1"/>
  <c r="C25" i="2"/>
  <c r="C107" i="2" s="1"/>
  <c r="C26" i="2"/>
  <c r="C108" i="2" s="1"/>
  <c r="C27" i="2"/>
  <c r="C28" i="2"/>
  <c r="C110" i="2" s="1"/>
  <c r="C29" i="2"/>
  <c r="C30" i="2"/>
  <c r="C112" i="2" s="1"/>
  <c r="C31" i="2"/>
  <c r="C113" i="2" s="1"/>
  <c r="C32" i="2"/>
  <c r="C114" i="2" s="1"/>
  <c r="C33" i="2"/>
  <c r="C115" i="2" s="1"/>
  <c r="C34" i="2"/>
  <c r="C116" i="2" s="1"/>
  <c r="C35" i="2"/>
  <c r="C36" i="2"/>
  <c r="C118" i="2" s="1"/>
  <c r="C37" i="2"/>
  <c r="C38" i="2"/>
  <c r="C120" i="2" s="1"/>
  <c r="C39" i="2"/>
  <c r="C121" i="2" s="1"/>
  <c r="C40" i="2"/>
  <c r="C122" i="2" s="1"/>
  <c r="C41" i="2"/>
  <c r="C123" i="2" s="1"/>
  <c r="C42" i="2"/>
  <c r="C124" i="2" s="1"/>
  <c r="N4" i="2" s="1" a="1"/>
  <c r="N4" i="2" s="1"/>
  <c r="C2" i="2"/>
  <c r="J35" i="3" l="1" a="1"/>
  <c r="J35" i="3" s="1"/>
  <c r="I27" i="3" a="1"/>
  <c r="I27" i="3" s="1"/>
  <c r="I25" i="3" a="1"/>
  <c r="I25" i="3" s="1"/>
  <c r="I14" i="3" a="1"/>
  <c r="I14" i="3" s="1"/>
  <c r="J22" i="3" a="1"/>
  <c r="J22" i="3" s="1"/>
  <c r="J23" i="3" a="1"/>
  <c r="J23" i="3" s="1"/>
  <c r="J24" i="3" a="1"/>
  <c r="J24" i="3" s="1"/>
  <c r="J14" i="3" a="1"/>
  <c r="J14" i="3" s="1"/>
  <c r="J34" i="3" a="1"/>
  <c r="J34" i="3" s="1"/>
  <c r="J33" i="3" a="1"/>
  <c r="J33" i="3" s="1"/>
  <c r="J32" i="3" a="1"/>
  <c r="J32" i="3" s="1"/>
  <c r="J31" i="3" a="1"/>
  <c r="J31" i="3" s="1"/>
  <c r="J30" i="3" a="1"/>
  <c r="J30" i="3" s="1"/>
  <c r="J29" i="3" a="1"/>
  <c r="J29" i="3" s="1"/>
  <c r="I28" i="3" a="1"/>
  <c r="I28" i="3" s="1"/>
  <c r="I34" i="3" a="1"/>
  <c r="I34" i="3" s="1"/>
  <c r="I33" i="3" a="1"/>
  <c r="I33" i="3" s="1"/>
  <c r="I32" i="3" a="1"/>
  <c r="I32" i="3" s="1"/>
  <c r="I31" i="3" a="1"/>
  <c r="I31" i="3" s="1"/>
  <c r="I30" i="3" a="1"/>
  <c r="I30" i="3" s="1"/>
  <c r="I29" i="3" a="1"/>
  <c r="I29" i="3" s="1"/>
  <c r="I15" i="3" a="1"/>
  <c r="I15" i="3" s="1"/>
  <c r="I16" i="3" a="1"/>
  <c r="I16" i="3" s="1"/>
  <c r="I17" i="3" a="1"/>
  <c r="I17" i="3" s="1"/>
  <c r="I18" i="3" a="1"/>
  <c r="I18" i="3" s="1"/>
  <c r="I19" i="3" a="1"/>
  <c r="I19" i="3" s="1"/>
  <c r="I20" i="3" a="1"/>
  <c r="I20" i="3" s="1"/>
  <c r="I21" i="3" a="1"/>
  <c r="I21" i="3" s="1"/>
  <c r="J26" i="3" a="1"/>
  <c r="J26" i="3" s="1"/>
  <c r="I35" i="3" a="1"/>
  <c r="I35" i="3" s="1"/>
  <c r="I26" i="3" a="1"/>
  <c r="I26" i="3" s="1"/>
  <c r="J25" i="3" a="1"/>
  <c r="J25" i="3" s="1"/>
  <c r="J15" i="3" a="1"/>
  <c r="J15" i="3" s="1"/>
  <c r="J16" i="3" a="1"/>
  <c r="J16" i="3" s="1"/>
  <c r="J17" i="3" a="1"/>
  <c r="J17" i="3" s="1"/>
  <c r="J18" i="3" a="1"/>
  <c r="J18" i="3" s="1"/>
  <c r="J19" i="3" a="1"/>
  <c r="J19" i="3" s="1"/>
  <c r="J20" i="3" a="1"/>
  <c r="J20" i="3" s="1"/>
  <c r="J21" i="3" a="1"/>
  <c r="J21" i="3" s="1"/>
  <c r="I22" i="3" a="1"/>
  <c r="I22" i="3" s="1"/>
  <c r="I23" i="3" a="1"/>
  <c r="I23" i="3" s="1"/>
  <c r="L23" i="3" s="1"/>
  <c r="M23" i="3" s="1"/>
  <c r="I24" i="3" a="1"/>
  <c r="I24" i="3" s="1"/>
  <c r="L24" i="3" s="1"/>
  <c r="M24" i="3" s="1"/>
  <c r="J4" i="3" a="1"/>
  <c r="J4" i="3" s="1"/>
  <c r="J8" i="3" a="1"/>
  <c r="J8" i="3" s="1"/>
  <c r="J12" i="3" a="1"/>
  <c r="J12" i="3" s="1"/>
  <c r="I9" i="3" a="1"/>
  <c r="I9" i="3" s="1"/>
  <c r="I5" i="3" a="1"/>
  <c r="I5" i="3" s="1"/>
  <c r="I13" i="3" a="1"/>
  <c r="I13" i="3" s="1"/>
  <c r="J5" i="3" a="1"/>
  <c r="J5" i="3" s="1"/>
  <c r="J9" i="3" a="1"/>
  <c r="J9" i="3" s="1"/>
  <c r="J13" i="3" a="1"/>
  <c r="J13" i="3" s="1"/>
  <c r="I6" i="3" a="1"/>
  <c r="I6" i="3" s="1"/>
  <c r="I10" i="3" a="1"/>
  <c r="I10" i="3" s="1"/>
  <c r="J6" i="3" a="1"/>
  <c r="J6" i="3" s="1"/>
  <c r="J10" i="3" a="1"/>
  <c r="J10" i="3" s="1"/>
  <c r="I11" i="3" a="1"/>
  <c r="I11" i="3" s="1"/>
  <c r="I7" i="3" a="1"/>
  <c r="I7" i="3" s="1"/>
  <c r="I3" i="3" a="1"/>
  <c r="I3" i="3" s="1"/>
  <c r="J7" i="3" a="1"/>
  <c r="J7" i="3" s="1"/>
  <c r="J11" i="3" a="1"/>
  <c r="J11" i="3" s="1"/>
  <c r="I4" i="3" a="1"/>
  <c r="I4" i="3" s="1"/>
  <c r="I12" i="3" a="1"/>
  <c r="I12" i="3" s="1"/>
  <c r="I8" i="3" a="1"/>
  <c r="I8" i="3" s="1"/>
  <c r="J3" i="3" a="1"/>
  <c r="J3" i="3" s="1"/>
  <c r="D44" i="2"/>
  <c r="D45" i="2" s="1"/>
  <c r="D46" i="2" s="1"/>
  <c r="D47" i="2" s="1"/>
  <c r="D48" i="2" s="1"/>
  <c r="D49" i="2" s="1"/>
  <c r="D50" i="2" s="1"/>
  <c r="E50" i="2" s="1"/>
  <c r="E21" i="2"/>
  <c r="E20" i="2"/>
  <c r="E43" i="2"/>
  <c r="E53" i="2"/>
  <c r="D56" i="2"/>
  <c r="D57" i="2" s="1"/>
  <c r="D58" i="2" s="1"/>
  <c r="D59" i="2" s="1"/>
  <c r="D60" i="2" s="1"/>
  <c r="D61" i="2" s="1"/>
  <c r="E55" i="2"/>
  <c r="C84" i="2"/>
  <c r="C117" i="2"/>
  <c r="C109" i="2"/>
  <c r="C101" i="2"/>
  <c r="C93" i="2"/>
  <c r="C85" i="2"/>
  <c r="E2" i="2"/>
  <c r="E38" i="2"/>
  <c r="E54" i="2"/>
  <c r="C102" i="2"/>
  <c r="E14" i="2"/>
  <c r="E29" i="2"/>
  <c r="E15" i="2"/>
  <c r="E30" i="2"/>
  <c r="E16" i="2"/>
  <c r="E31" i="2"/>
  <c r="E10" i="2"/>
  <c r="E92" i="2" s="1"/>
  <c r="D92" i="2" s="1"/>
  <c r="E22" i="2"/>
  <c r="E39" i="2"/>
  <c r="E12" i="2"/>
  <c r="E23" i="2"/>
  <c r="E42" i="2"/>
  <c r="E124" i="2" s="1"/>
  <c r="D124" i="2" s="1"/>
  <c r="C94" i="2"/>
  <c r="E13" i="2"/>
  <c r="E95" i="2" s="1"/>
  <c r="D95" i="2" s="1"/>
  <c r="E24" i="2"/>
  <c r="E37" i="2"/>
  <c r="E28" i="2"/>
  <c r="E36" i="2"/>
  <c r="E52" i="2"/>
  <c r="E40" i="2"/>
  <c r="E17" i="2"/>
  <c r="E25" i="2"/>
  <c r="E33" i="2"/>
  <c r="E32" i="2"/>
  <c r="E18" i="2"/>
  <c r="E26" i="2"/>
  <c r="E34" i="2"/>
  <c r="E11" i="2"/>
  <c r="E19" i="2"/>
  <c r="E27" i="2"/>
  <c r="E35" i="2"/>
  <c r="D3" i="2"/>
  <c r="L22" i="3" l="1"/>
  <c r="M22" i="3" s="1"/>
  <c r="L17" i="3"/>
  <c r="M17" i="3" s="1"/>
  <c r="L34" i="3"/>
  <c r="L26" i="3"/>
  <c r="L16" i="3"/>
  <c r="M16" i="3" s="1"/>
  <c r="L28" i="3"/>
  <c r="M28" i="3" s="1"/>
  <c r="L35" i="3"/>
  <c r="L15" i="3"/>
  <c r="M15" i="3" s="1"/>
  <c r="L29" i="3"/>
  <c r="L21" i="3"/>
  <c r="M21" i="3" s="1"/>
  <c r="L30" i="3"/>
  <c r="L14" i="3"/>
  <c r="M14" i="3" s="1"/>
  <c r="L20" i="3"/>
  <c r="M20" i="3" s="1"/>
  <c r="L31" i="3"/>
  <c r="L25" i="3"/>
  <c r="L19" i="3"/>
  <c r="M19" i="3" s="1"/>
  <c r="L32" i="3"/>
  <c r="L27" i="3"/>
  <c r="L18" i="3"/>
  <c r="M18" i="3" s="1"/>
  <c r="L33" i="3"/>
  <c r="T56" i="6"/>
  <c r="U56" i="6" s="1"/>
  <c r="V56" i="6" s="1"/>
  <c r="W56" i="6" s="1"/>
  <c r="X56" i="6" s="1"/>
  <c r="Y56" i="6" s="1"/>
  <c r="Z56" i="6" s="1"/>
  <c r="AA56" i="6" s="1"/>
  <c r="AB56" i="6" s="1"/>
  <c r="AC56" i="6" s="1"/>
  <c r="AD56" i="6" s="1"/>
  <c r="AE56" i="6" s="1"/>
  <c r="AF56" i="6" s="1"/>
  <c r="AG56" i="6" s="1"/>
  <c r="AH56" i="6" s="1"/>
  <c r="AI56" i="6" s="1"/>
  <c r="AJ56" i="6" s="1"/>
  <c r="AK56" i="6" s="1"/>
  <c r="AL56" i="6" s="1"/>
  <c r="AM56" i="6" s="1"/>
  <c r="AN56" i="6" s="1"/>
  <c r="AO56" i="6" s="1"/>
  <c r="AP56" i="6" s="1"/>
  <c r="AQ56" i="6" s="1"/>
  <c r="AR56" i="6" s="1"/>
  <c r="E47" i="2"/>
  <c r="E46" i="2"/>
  <c r="E84" i="2"/>
  <c r="E44" i="2"/>
  <c r="E49" i="2"/>
  <c r="E45" i="2"/>
  <c r="E94" i="2"/>
  <c r="E48" i="2"/>
  <c r="E93" i="2"/>
  <c r="E96" i="2"/>
  <c r="D96" i="2" s="1"/>
  <c r="D93" i="2"/>
  <c r="E58" i="2"/>
  <c r="E99" i="2" s="1"/>
  <c r="D99" i="2" s="1"/>
  <c r="E60" i="2"/>
  <c r="E101" i="2" s="1"/>
  <c r="D101" i="2" s="1"/>
  <c r="E57" i="2"/>
  <c r="E98" i="2" s="1"/>
  <c r="D98" i="2" s="1"/>
  <c r="E56" i="2"/>
  <c r="E97" i="2" s="1"/>
  <c r="D97" i="2" s="1"/>
  <c r="D94" i="2"/>
  <c r="D62" i="2"/>
  <c r="E61" i="2"/>
  <c r="E102" i="2" s="1"/>
  <c r="D102" i="2" s="1"/>
  <c r="E59" i="2"/>
  <c r="E100" i="2" s="1"/>
  <c r="D100" i="2" s="1"/>
  <c r="D84" i="2"/>
  <c r="D4" i="2"/>
  <c r="E3" i="2"/>
  <c r="M25" i="3" l="1"/>
  <c r="U60" i="6"/>
  <c r="V60" i="6" s="1"/>
  <c r="W60" i="6" s="1"/>
  <c r="X60" i="6" s="1"/>
  <c r="Y60" i="6" s="1"/>
  <c r="Z60" i="6" s="1"/>
  <c r="AA60" i="6" s="1"/>
  <c r="AB60" i="6" s="1"/>
  <c r="AC60" i="6" s="1"/>
  <c r="AD60" i="6" s="1"/>
  <c r="AE60" i="6" s="1"/>
  <c r="AF60" i="6" s="1"/>
  <c r="AG60" i="6" s="1"/>
  <c r="AH60" i="6" s="1"/>
  <c r="AI60" i="6" s="1"/>
  <c r="AJ60" i="6" s="1"/>
  <c r="AK60" i="6" s="1"/>
  <c r="AL60" i="6" s="1"/>
  <c r="AM60" i="6" s="1"/>
  <c r="AN60" i="6" s="1"/>
  <c r="AO60" i="6" s="1"/>
  <c r="AP60" i="6" s="1"/>
  <c r="AQ60" i="6" s="1"/>
  <c r="AR60" i="6" s="1"/>
  <c r="M35" i="3"/>
  <c r="E48" i="6" s="1"/>
  <c r="T70" i="6"/>
  <c r="U70" i="6" s="1"/>
  <c r="V70" i="6" s="1"/>
  <c r="W70" i="6" s="1"/>
  <c r="X70" i="6" s="1"/>
  <c r="Y70" i="6" s="1"/>
  <c r="Z70" i="6" s="1"/>
  <c r="AA70" i="6" s="1"/>
  <c r="AB70" i="6" s="1"/>
  <c r="AC70" i="6" s="1"/>
  <c r="AD70" i="6" s="1"/>
  <c r="AE70" i="6" s="1"/>
  <c r="AF70" i="6" s="1"/>
  <c r="AG70" i="6" s="1"/>
  <c r="AH70" i="6" s="1"/>
  <c r="AI70" i="6" s="1"/>
  <c r="AJ70" i="6" s="1"/>
  <c r="AK70" i="6" s="1"/>
  <c r="AL70" i="6" s="1"/>
  <c r="AM70" i="6" s="1"/>
  <c r="AN70" i="6" s="1"/>
  <c r="AO70" i="6" s="1"/>
  <c r="AP70" i="6" s="1"/>
  <c r="AQ70" i="6" s="1"/>
  <c r="AR70" i="6" s="1"/>
  <c r="M31" i="3"/>
  <c r="T66" i="6"/>
  <c r="U66" i="6" s="1"/>
  <c r="V66" i="6" s="1"/>
  <c r="W66" i="6" s="1"/>
  <c r="X66" i="6" s="1"/>
  <c r="Y66" i="6" s="1"/>
  <c r="Z66" i="6" s="1"/>
  <c r="AA66" i="6" s="1"/>
  <c r="AB66" i="6" s="1"/>
  <c r="AC66" i="6" s="1"/>
  <c r="AD66" i="6" s="1"/>
  <c r="AE66" i="6" s="1"/>
  <c r="AF66" i="6" s="1"/>
  <c r="AG66" i="6" s="1"/>
  <c r="AH66" i="6" s="1"/>
  <c r="AI66" i="6" s="1"/>
  <c r="AJ66" i="6" s="1"/>
  <c r="AK66" i="6" s="1"/>
  <c r="AL66" i="6" s="1"/>
  <c r="AM66" i="6" s="1"/>
  <c r="AN66" i="6" s="1"/>
  <c r="AO66" i="6" s="1"/>
  <c r="AP66" i="6" s="1"/>
  <c r="AQ66" i="6" s="1"/>
  <c r="AR66" i="6" s="1"/>
  <c r="G41" i="6"/>
  <c r="E41" i="6"/>
  <c r="M33" i="3"/>
  <c r="P46" i="6" s="1"/>
  <c r="M30" i="3"/>
  <c r="E43" i="6"/>
  <c r="T65" i="6"/>
  <c r="U65" i="6" s="1"/>
  <c r="V65" i="6" s="1"/>
  <c r="W65" i="6" s="1"/>
  <c r="X65" i="6" s="1"/>
  <c r="Y65" i="6" s="1"/>
  <c r="Z65" i="6" s="1"/>
  <c r="AA65" i="6" s="1"/>
  <c r="AB65" i="6" s="1"/>
  <c r="AC65" i="6" s="1"/>
  <c r="AD65" i="6" s="1"/>
  <c r="AE65" i="6" s="1"/>
  <c r="AF65" i="6" s="1"/>
  <c r="AG65" i="6" s="1"/>
  <c r="AH65" i="6" s="1"/>
  <c r="AI65" i="6" s="1"/>
  <c r="AJ65" i="6" s="1"/>
  <c r="AK65" i="6" s="1"/>
  <c r="AL65" i="6" s="1"/>
  <c r="AM65" i="6" s="1"/>
  <c r="AN65" i="6" s="1"/>
  <c r="AO65" i="6" s="1"/>
  <c r="AP65" i="6" s="1"/>
  <c r="AQ65" i="6" s="1"/>
  <c r="AR65" i="6" s="1"/>
  <c r="M26" i="3"/>
  <c r="P39" i="6" s="1"/>
  <c r="M27" i="3"/>
  <c r="M34" i="3"/>
  <c r="I47" i="6" s="1"/>
  <c r="R47" i="6"/>
  <c r="O47" i="6"/>
  <c r="G47" i="6"/>
  <c r="N47" i="6"/>
  <c r="T69" i="6"/>
  <c r="U69" i="6" s="1"/>
  <c r="V69" i="6" s="1"/>
  <c r="W69" i="6" s="1"/>
  <c r="X69" i="6" s="1"/>
  <c r="Y69" i="6" s="1"/>
  <c r="Z69" i="6" s="1"/>
  <c r="AA69" i="6" s="1"/>
  <c r="AB69" i="6" s="1"/>
  <c r="AC69" i="6" s="1"/>
  <c r="AD69" i="6" s="1"/>
  <c r="AE69" i="6" s="1"/>
  <c r="AF69" i="6" s="1"/>
  <c r="AG69" i="6" s="1"/>
  <c r="AH69" i="6" s="1"/>
  <c r="AI69" i="6" s="1"/>
  <c r="AJ69" i="6" s="1"/>
  <c r="AK69" i="6" s="1"/>
  <c r="AL69" i="6" s="1"/>
  <c r="AM69" i="6" s="1"/>
  <c r="AN69" i="6" s="1"/>
  <c r="AO69" i="6" s="1"/>
  <c r="AP69" i="6" s="1"/>
  <c r="AQ69" i="6" s="1"/>
  <c r="AR69" i="6" s="1"/>
  <c r="M32" i="3"/>
  <c r="P45" i="6" s="1"/>
  <c r="H45" i="6"/>
  <c r="I45" i="6"/>
  <c r="M29" i="3"/>
  <c r="T64" i="6" s="1"/>
  <c r="U64" i="6" s="1"/>
  <c r="V64" i="6" s="1"/>
  <c r="W64" i="6" s="1"/>
  <c r="X64" i="6" s="1"/>
  <c r="Y64" i="6" s="1"/>
  <c r="Z64" i="6" s="1"/>
  <c r="AA64" i="6" s="1"/>
  <c r="AB64" i="6" s="1"/>
  <c r="AC64" i="6" s="1"/>
  <c r="AD64" i="6" s="1"/>
  <c r="AE64" i="6" s="1"/>
  <c r="AF64" i="6" s="1"/>
  <c r="AG64" i="6" s="1"/>
  <c r="AH64" i="6" s="1"/>
  <c r="AI64" i="6" s="1"/>
  <c r="AJ64" i="6" s="1"/>
  <c r="AK64" i="6" s="1"/>
  <c r="AL64" i="6" s="1"/>
  <c r="AM64" i="6" s="1"/>
  <c r="AN64" i="6" s="1"/>
  <c r="AO64" i="6" s="1"/>
  <c r="AP64" i="6" s="1"/>
  <c r="AQ64" i="6" s="1"/>
  <c r="AR64" i="6" s="1"/>
  <c r="K42" i="6"/>
  <c r="T50" i="6"/>
  <c r="U50" i="6" s="1"/>
  <c r="V50" i="6" s="1"/>
  <c r="W50" i="6" s="1"/>
  <c r="X50" i="6" s="1"/>
  <c r="Y50" i="6" s="1"/>
  <c r="Z50" i="6" s="1"/>
  <c r="AA50" i="6" s="1"/>
  <c r="AB50" i="6" s="1"/>
  <c r="AC50" i="6" s="1"/>
  <c r="AD50" i="6" s="1"/>
  <c r="AE50" i="6" s="1"/>
  <c r="AF50" i="6" s="1"/>
  <c r="AG50" i="6" s="1"/>
  <c r="AH50" i="6" s="1"/>
  <c r="AI50" i="6" s="1"/>
  <c r="AJ50" i="6" s="1"/>
  <c r="AK50" i="6" s="1"/>
  <c r="AL50" i="6" s="1"/>
  <c r="AM50" i="6" s="1"/>
  <c r="AN50" i="6" s="1"/>
  <c r="AO50" i="6" s="1"/>
  <c r="AP50" i="6" s="1"/>
  <c r="AQ50" i="6" s="1"/>
  <c r="AR50" i="6" s="1"/>
  <c r="J41" i="6"/>
  <c r="K41" i="6"/>
  <c r="K47" i="6"/>
  <c r="F43" i="6"/>
  <c r="P43" i="6"/>
  <c r="L44" i="6"/>
  <c r="Q44" i="6"/>
  <c r="T51" i="6"/>
  <c r="U51" i="6" s="1"/>
  <c r="V51" i="6" s="1"/>
  <c r="W51" i="6" s="1"/>
  <c r="X51" i="6" s="1"/>
  <c r="Y51" i="6" s="1"/>
  <c r="Z51" i="6" s="1"/>
  <c r="AA51" i="6" s="1"/>
  <c r="AB51" i="6" s="1"/>
  <c r="AC51" i="6" s="1"/>
  <c r="AD51" i="6" s="1"/>
  <c r="AE51" i="6" s="1"/>
  <c r="AF51" i="6" s="1"/>
  <c r="AG51" i="6" s="1"/>
  <c r="AH51" i="6" s="1"/>
  <c r="AI51" i="6" s="1"/>
  <c r="AJ51" i="6" s="1"/>
  <c r="AK51" i="6" s="1"/>
  <c r="AL51" i="6" s="1"/>
  <c r="AM51" i="6" s="1"/>
  <c r="AN51" i="6" s="1"/>
  <c r="AO51" i="6" s="1"/>
  <c r="AP51" i="6" s="1"/>
  <c r="AQ51" i="6" s="1"/>
  <c r="AR51" i="6" s="1"/>
  <c r="Q43" i="6"/>
  <c r="K48" i="6"/>
  <c r="O48" i="6"/>
  <c r="O39" i="6"/>
  <c r="K43" i="6"/>
  <c r="N41" i="6"/>
  <c r="O43" i="6"/>
  <c r="J47" i="6"/>
  <c r="H48" i="6"/>
  <c r="Q41" i="6"/>
  <c r="M39" i="6"/>
  <c r="T55" i="6"/>
  <c r="U55" i="6" s="1"/>
  <c r="V55" i="6" s="1"/>
  <c r="W55" i="6" s="1"/>
  <c r="X55" i="6" s="1"/>
  <c r="Y55" i="6" s="1"/>
  <c r="Z55" i="6" s="1"/>
  <c r="AA55" i="6" s="1"/>
  <c r="AB55" i="6" s="1"/>
  <c r="AC55" i="6" s="1"/>
  <c r="AD55" i="6" s="1"/>
  <c r="AE55" i="6" s="1"/>
  <c r="AF55" i="6" s="1"/>
  <c r="AG55" i="6" s="1"/>
  <c r="AH55" i="6" s="1"/>
  <c r="AI55" i="6" s="1"/>
  <c r="AJ55" i="6" s="1"/>
  <c r="AK55" i="6" s="1"/>
  <c r="AL55" i="6" s="1"/>
  <c r="AM55" i="6" s="1"/>
  <c r="AN55" i="6" s="1"/>
  <c r="AO55" i="6" s="1"/>
  <c r="AP55" i="6" s="1"/>
  <c r="AQ55" i="6" s="1"/>
  <c r="AR55" i="6" s="1"/>
  <c r="K46" i="6"/>
  <c r="E47" i="6"/>
  <c r="J48" i="6"/>
  <c r="N48" i="6"/>
  <c r="E42" i="6"/>
  <c r="K44" i="6"/>
  <c r="M47" i="6"/>
  <c r="R48" i="6"/>
  <c r="G48" i="6"/>
  <c r="I41" i="6"/>
  <c r="H44" i="6"/>
  <c r="Q47" i="6"/>
  <c r="F41" i="6"/>
  <c r="M44" i="6"/>
  <c r="L48" i="6"/>
  <c r="P48" i="6"/>
  <c r="T63" i="6"/>
  <c r="U63" i="6" s="1"/>
  <c r="V63" i="6" s="1"/>
  <c r="W63" i="6" s="1"/>
  <c r="X63" i="6" s="1"/>
  <c r="Y63" i="6" s="1"/>
  <c r="Z63" i="6" s="1"/>
  <c r="AA63" i="6" s="1"/>
  <c r="AB63" i="6" s="1"/>
  <c r="AC63" i="6" s="1"/>
  <c r="AD63" i="6" s="1"/>
  <c r="AE63" i="6" s="1"/>
  <c r="AF63" i="6" s="1"/>
  <c r="AG63" i="6" s="1"/>
  <c r="AH63" i="6" s="1"/>
  <c r="AI63" i="6" s="1"/>
  <c r="AJ63" i="6" s="1"/>
  <c r="AK63" i="6" s="1"/>
  <c r="AL63" i="6" s="1"/>
  <c r="AM63" i="6" s="1"/>
  <c r="AN63" i="6" s="1"/>
  <c r="AO63" i="6" s="1"/>
  <c r="AP63" i="6" s="1"/>
  <c r="AQ63" i="6" s="1"/>
  <c r="AR63" i="6" s="1"/>
  <c r="L41" i="6"/>
  <c r="H41" i="6"/>
  <c r="O41" i="6"/>
  <c r="R41" i="6"/>
  <c r="I44" i="6"/>
  <c r="I48" i="6"/>
  <c r="T59" i="6"/>
  <c r="U59" i="6" s="1"/>
  <c r="V59" i="6" s="1"/>
  <c r="W59" i="6" s="1"/>
  <c r="X59" i="6" s="1"/>
  <c r="Y59" i="6" s="1"/>
  <c r="Z59" i="6" s="1"/>
  <c r="AA59" i="6" s="1"/>
  <c r="AB59" i="6" s="1"/>
  <c r="AC59" i="6" s="1"/>
  <c r="AD59" i="6" s="1"/>
  <c r="AE59" i="6" s="1"/>
  <c r="AF59" i="6" s="1"/>
  <c r="AG59" i="6" s="1"/>
  <c r="AH59" i="6" s="1"/>
  <c r="AI59" i="6" s="1"/>
  <c r="AJ59" i="6" s="1"/>
  <c r="AK59" i="6" s="1"/>
  <c r="AL59" i="6" s="1"/>
  <c r="AM59" i="6" s="1"/>
  <c r="AN59" i="6" s="1"/>
  <c r="AO59" i="6" s="1"/>
  <c r="AP59" i="6" s="1"/>
  <c r="AQ59" i="6" s="1"/>
  <c r="AR59" i="6" s="1"/>
  <c r="S48" i="6"/>
  <c r="P41" i="6"/>
  <c r="T53" i="6"/>
  <c r="U53" i="6" s="1"/>
  <c r="V53" i="6" s="1"/>
  <c r="W53" i="6" s="1"/>
  <c r="X53" i="6" s="1"/>
  <c r="Y53" i="6" s="1"/>
  <c r="Z53" i="6" s="1"/>
  <c r="AA53" i="6" s="1"/>
  <c r="AB53" i="6" s="1"/>
  <c r="AC53" i="6" s="1"/>
  <c r="AD53" i="6" s="1"/>
  <c r="AE53" i="6" s="1"/>
  <c r="AF53" i="6" s="1"/>
  <c r="AG53" i="6" s="1"/>
  <c r="AH53" i="6" s="1"/>
  <c r="AI53" i="6" s="1"/>
  <c r="AJ53" i="6" s="1"/>
  <c r="AK53" i="6" s="1"/>
  <c r="AL53" i="6" s="1"/>
  <c r="AM53" i="6" s="1"/>
  <c r="AN53" i="6" s="1"/>
  <c r="AO53" i="6" s="1"/>
  <c r="AP53" i="6" s="1"/>
  <c r="AQ53" i="6" s="1"/>
  <c r="AR53" i="6" s="1"/>
  <c r="N43" i="6"/>
  <c r="M48" i="6"/>
  <c r="Q48" i="6"/>
  <c r="T54" i="6"/>
  <c r="U54" i="6" s="1"/>
  <c r="V54" i="6" s="1"/>
  <c r="W54" i="6" s="1"/>
  <c r="X54" i="6" s="1"/>
  <c r="Y54" i="6" s="1"/>
  <c r="Z54" i="6" s="1"/>
  <c r="AA54" i="6" s="1"/>
  <c r="AB54" i="6" s="1"/>
  <c r="AC54" i="6" s="1"/>
  <c r="AD54" i="6" s="1"/>
  <c r="AE54" i="6" s="1"/>
  <c r="AF54" i="6" s="1"/>
  <c r="AG54" i="6" s="1"/>
  <c r="AH54" i="6" s="1"/>
  <c r="AI54" i="6" s="1"/>
  <c r="AJ54" i="6" s="1"/>
  <c r="AK54" i="6" s="1"/>
  <c r="AL54" i="6" s="1"/>
  <c r="AM54" i="6" s="1"/>
  <c r="AN54" i="6" s="1"/>
  <c r="AO54" i="6" s="1"/>
  <c r="AP54" i="6" s="1"/>
  <c r="AQ54" i="6" s="1"/>
  <c r="AR54" i="6" s="1"/>
  <c r="S43" i="6"/>
  <c r="M41" i="6"/>
  <c r="L46" i="6"/>
  <c r="G43" i="6"/>
  <c r="O44" i="6"/>
  <c r="J44" i="6"/>
  <c r="L47" i="6"/>
  <c r="F48" i="6"/>
  <c r="O38" i="6"/>
  <c r="G38" i="6"/>
  <c r="N38" i="6"/>
  <c r="F38" i="6"/>
  <c r="E38" i="6"/>
  <c r="M38" i="6"/>
  <c r="L38" i="6"/>
  <c r="K38" i="6"/>
  <c r="J38" i="6"/>
  <c r="H38" i="6"/>
  <c r="T52" i="6"/>
  <c r="U52" i="6" s="1"/>
  <c r="V52" i="6" s="1"/>
  <c r="W52" i="6" s="1"/>
  <c r="X52" i="6" s="1"/>
  <c r="Y52" i="6" s="1"/>
  <c r="Z52" i="6" s="1"/>
  <c r="AA52" i="6" s="1"/>
  <c r="AB52" i="6" s="1"/>
  <c r="AC52" i="6" s="1"/>
  <c r="AD52" i="6" s="1"/>
  <c r="AE52" i="6" s="1"/>
  <c r="AF52" i="6" s="1"/>
  <c r="AG52" i="6" s="1"/>
  <c r="AH52" i="6" s="1"/>
  <c r="AI52" i="6" s="1"/>
  <c r="AJ52" i="6" s="1"/>
  <c r="AK52" i="6" s="1"/>
  <c r="AL52" i="6" s="1"/>
  <c r="AM52" i="6" s="1"/>
  <c r="AN52" i="6" s="1"/>
  <c r="AO52" i="6" s="1"/>
  <c r="AP52" i="6" s="1"/>
  <c r="AQ52" i="6" s="1"/>
  <c r="AR52" i="6" s="1"/>
  <c r="T57" i="6"/>
  <c r="U57" i="6" s="1"/>
  <c r="V57" i="6" s="1"/>
  <c r="W57" i="6" s="1"/>
  <c r="X57" i="6" s="1"/>
  <c r="Y57" i="6" s="1"/>
  <c r="Z57" i="6" s="1"/>
  <c r="AA57" i="6" s="1"/>
  <c r="AB57" i="6" s="1"/>
  <c r="AC57" i="6" s="1"/>
  <c r="AD57" i="6" s="1"/>
  <c r="AE57" i="6" s="1"/>
  <c r="AF57" i="6" s="1"/>
  <c r="AG57" i="6" s="1"/>
  <c r="AH57" i="6" s="1"/>
  <c r="AI57" i="6" s="1"/>
  <c r="AJ57" i="6" s="1"/>
  <c r="AK57" i="6" s="1"/>
  <c r="AL57" i="6" s="1"/>
  <c r="AM57" i="6" s="1"/>
  <c r="AN57" i="6" s="1"/>
  <c r="AO57" i="6" s="1"/>
  <c r="AP57" i="6" s="1"/>
  <c r="AQ57" i="6" s="1"/>
  <c r="AR57" i="6" s="1"/>
  <c r="S47" i="6"/>
  <c r="T58" i="6"/>
  <c r="U58" i="6" s="1"/>
  <c r="V58" i="6" s="1"/>
  <c r="W58" i="6" s="1"/>
  <c r="X58" i="6" s="1"/>
  <c r="Y58" i="6" s="1"/>
  <c r="Z58" i="6" s="1"/>
  <c r="AA58" i="6" s="1"/>
  <c r="AB58" i="6" s="1"/>
  <c r="AC58" i="6" s="1"/>
  <c r="AD58" i="6" s="1"/>
  <c r="AE58" i="6" s="1"/>
  <c r="AF58" i="6" s="1"/>
  <c r="AG58" i="6" s="1"/>
  <c r="AH58" i="6" s="1"/>
  <c r="AI58" i="6" s="1"/>
  <c r="AJ58" i="6" s="1"/>
  <c r="AK58" i="6" s="1"/>
  <c r="AL58" i="6" s="1"/>
  <c r="AM58" i="6" s="1"/>
  <c r="AN58" i="6" s="1"/>
  <c r="AO58" i="6" s="1"/>
  <c r="AP58" i="6" s="1"/>
  <c r="AQ58" i="6" s="1"/>
  <c r="AR58" i="6" s="1"/>
  <c r="E85" i="2"/>
  <c r="D85" i="2" s="1"/>
  <c r="D63" i="2"/>
  <c r="E62" i="2"/>
  <c r="E103" i="2" s="1"/>
  <c r="D103" i="2" s="1"/>
  <c r="D5" i="2"/>
  <c r="E4" i="2"/>
  <c r="E86" i="2" s="1"/>
  <c r="D86" i="2" s="1"/>
  <c r="E44" i="6" l="1"/>
  <c r="R43" i="6"/>
  <c r="K39" i="6"/>
  <c r="N39" i="6"/>
  <c r="I43" i="6"/>
  <c r="H42" i="6"/>
  <c r="F46" i="6"/>
  <c r="Q39" i="6"/>
  <c r="N46" i="6"/>
  <c r="R38" i="6"/>
  <c r="P42" i="6"/>
  <c r="M45" i="6"/>
  <c r="O42" i="6"/>
  <c r="M42" i="6"/>
  <c r="H47" i="6"/>
  <c r="T61" i="6"/>
  <c r="U61" i="6" s="1"/>
  <c r="V61" i="6" s="1"/>
  <c r="W61" i="6" s="1"/>
  <c r="X61" i="6" s="1"/>
  <c r="Y61" i="6" s="1"/>
  <c r="Z61" i="6" s="1"/>
  <c r="AA61" i="6" s="1"/>
  <c r="AB61" i="6" s="1"/>
  <c r="AC61" i="6" s="1"/>
  <c r="AD61" i="6" s="1"/>
  <c r="AE61" i="6" s="1"/>
  <c r="AF61" i="6" s="1"/>
  <c r="AG61" i="6" s="1"/>
  <c r="AH61" i="6" s="1"/>
  <c r="AI61" i="6" s="1"/>
  <c r="AJ61" i="6" s="1"/>
  <c r="AK61" i="6" s="1"/>
  <c r="AL61" i="6" s="1"/>
  <c r="AM61" i="6" s="1"/>
  <c r="AN61" i="6" s="1"/>
  <c r="AO61" i="6" s="1"/>
  <c r="AP61" i="6" s="1"/>
  <c r="AQ61" i="6" s="1"/>
  <c r="AR61" i="6" s="1"/>
  <c r="J39" i="6"/>
  <c r="I46" i="6"/>
  <c r="R39" i="6"/>
  <c r="M40" i="6"/>
  <c r="Q46" i="6"/>
  <c r="P38" i="6"/>
  <c r="E40" i="6"/>
  <c r="I38" i="6"/>
  <c r="F42" i="6"/>
  <c r="R46" i="6"/>
  <c r="J42" i="6"/>
  <c r="N42" i="6"/>
  <c r="E39" i="6"/>
  <c r="Q40" i="6"/>
  <c r="T62" i="6"/>
  <c r="U62" i="6" s="1"/>
  <c r="V62" i="6" s="1"/>
  <c r="W62" i="6" s="1"/>
  <c r="X62" i="6" s="1"/>
  <c r="Y62" i="6" s="1"/>
  <c r="Z62" i="6" s="1"/>
  <c r="AA62" i="6" s="1"/>
  <c r="AB62" i="6" s="1"/>
  <c r="AC62" i="6" s="1"/>
  <c r="AD62" i="6" s="1"/>
  <c r="AE62" i="6" s="1"/>
  <c r="AF62" i="6" s="1"/>
  <c r="AG62" i="6" s="1"/>
  <c r="AH62" i="6" s="1"/>
  <c r="AI62" i="6" s="1"/>
  <c r="AJ62" i="6" s="1"/>
  <c r="AK62" i="6" s="1"/>
  <c r="AL62" i="6" s="1"/>
  <c r="AM62" i="6" s="1"/>
  <c r="AN62" i="6" s="1"/>
  <c r="AO62" i="6" s="1"/>
  <c r="AP62" i="6" s="1"/>
  <c r="AQ62" i="6" s="1"/>
  <c r="AR62" i="6" s="1"/>
  <c r="L40" i="6"/>
  <c r="G46" i="6"/>
  <c r="H43" i="6"/>
  <c r="J45" i="6"/>
  <c r="F45" i="6"/>
  <c r="Q38" i="6"/>
  <c r="R42" i="6"/>
  <c r="L45" i="6"/>
  <c r="N45" i="6"/>
  <c r="F47" i="6"/>
  <c r="P47" i="6"/>
  <c r="F39" i="6"/>
  <c r="G39" i="6"/>
  <c r="F40" i="6"/>
  <c r="H40" i="6"/>
  <c r="E46" i="6"/>
  <c r="O46" i="6"/>
  <c r="Q42" i="6"/>
  <c r="K45" i="6"/>
  <c r="G45" i="6"/>
  <c r="J43" i="6"/>
  <c r="G40" i="6"/>
  <c r="I40" i="6"/>
  <c r="M46" i="6"/>
  <c r="H46" i="6"/>
  <c r="P44" i="6"/>
  <c r="E45" i="6"/>
  <c r="O45" i="6"/>
  <c r="O40" i="6"/>
  <c r="J40" i="6"/>
  <c r="J46" i="6"/>
  <c r="K40" i="6"/>
  <c r="N40" i="6"/>
  <c r="R40" i="6"/>
  <c r="R45" i="6"/>
  <c r="P40" i="6"/>
  <c r="I39" i="6"/>
  <c r="H39" i="6"/>
  <c r="L39" i="6"/>
  <c r="I42" i="6"/>
  <c r="G44" i="6"/>
  <c r="Q45" i="6"/>
  <c r="N44" i="6"/>
  <c r="M43" i="6"/>
  <c r="F44" i="6"/>
  <c r="L42" i="6"/>
  <c r="G42" i="6"/>
  <c r="R44" i="6"/>
  <c r="L43" i="6"/>
  <c r="S44" i="6"/>
  <c r="S42" i="6"/>
  <c r="T49" i="6"/>
  <c r="U49" i="6" s="1"/>
  <c r="V49" i="6" s="1"/>
  <c r="W49" i="6" s="1"/>
  <c r="X49" i="6" s="1"/>
  <c r="Y49" i="6" s="1"/>
  <c r="Z49" i="6" s="1"/>
  <c r="AA49" i="6" s="1"/>
  <c r="AB49" i="6" s="1"/>
  <c r="AC49" i="6" s="1"/>
  <c r="AD49" i="6" s="1"/>
  <c r="AE49" i="6" s="1"/>
  <c r="AF49" i="6" s="1"/>
  <c r="AG49" i="6" s="1"/>
  <c r="AH49" i="6" s="1"/>
  <c r="AI49" i="6" s="1"/>
  <c r="AJ49" i="6" s="1"/>
  <c r="AK49" i="6" s="1"/>
  <c r="AL49" i="6" s="1"/>
  <c r="AM49" i="6" s="1"/>
  <c r="AN49" i="6" s="1"/>
  <c r="AO49" i="6" s="1"/>
  <c r="AP49" i="6" s="1"/>
  <c r="AQ49" i="6" s="1"/>
  <c r="AR49" i="6" s="1"/>
  <c r="S38" i="6"/>
  <c r="S41" i="6"/>
  <c r="D64" i="2"/>
  <c r="E63" i="2"/>
  <c r="E104" i="2" s="1"/>
  <c r="D104" i="2" s="1"/>
  <c r="D6" i="2"/>
  <c r="E5" i="2"/>
  <c r="E87" i="2" s="1"/>
  <c r="D87" i="2" s="1"/>
  <c r="S40" i="6" l="1"/>
  <c r="S39" i="6"/>
  <c r="S45" i="6"/>
  <c r="T67" i="6"/>
  <c r="U67" i="6" s="1"/>
  <c r="V67" i="6" s="1"/>
  <c r="W67" i="6" s="1"/>
  <c r="X67" i="6" s="1"/>
  <c r="Y67" i="6" s="1"/>
  <c r="Z67" i="6" s="1"/>
  <c r="AA67" i="6" s="1"/>
  <c r="AB67" i="6" s="1"/>
  <c r="AC67" i="6" s="1"/>
  <c r="AD67" i="6" s="1"/>
  <c r="AE67" i="6" s="1"/>
  <c r="AF67" i="6" s="1"/>
  <c r="AG67" i="6" s="1"/>
  <c r="AH67" i="6" s="1"/>
  <c r="AI67" i="6" s="1"/>
  <c r="AJ67" i="6" s="1"/>
  <c r="AK67" i="6" s="1"/>
  <c r="AL67" i="6" s="1"/>
  <c r="AM67" i="6" s="1"/>
  <c r="AN67" i="6" s="1"/>
  <c r="AO67" i="6" s="1"/>
  <c r="AP67" i="6" s="1"/>
  <c r="AQ67" i="6" s="1"/>
  <c r="AR67" i="6" s="1"/>
  <c r="T68" i="6"/>
  <c r="U68" i="6" s="1"/>
  <c r="V68" i="6" s="1"/>
  <c r="W68" i="6" s="1"/>
  <c r="X68" i="6" s="1"/>
  <c r="Y68" i="6" s="1"/>
  <c r="Z68" i="6" s="1"/>
  <c r="AA68" i="6" s="1"/>
  <c r="AB68" i="6" s="1"/>
  <c r="AC68" i="6" s="1"/>
  <c r="AD68" i="6" s="1"/>
  <c r="AE68" i="6" s="1"/>
  <c r="AF68" i="6" s="1"/>
  <c r="AG68" i="6" s="1"/>
  <c r="AH68" i="6" s="1"/>
  <c r="AI68" i="6" s="1"/>
  <c r="AJ68" i="6" s="1"/>
  <c r="AK68" i="6" s="1"/>
  <c r="AL68" i="6" s="1"/>
  <c r="AM68" i="6" s="1"/>
  <c r="AN68" i="6" s="1"/>
  <c r="AO68" i="6" s="1"/>
  <c r="AP68" i="6" s="1"/>
  <c r="AQ68" i="6" s="1"/>
  <c r="AR68" i="6" s="1"/>
  <c r="S46" i="6"/>
  <c r="D65" i="2"/>
  <c r="E64" i="2"/>
  <c r="E105" i="2" s="1"/>
  <c r="D105" i="2" s="1"/>
  <c r="D7" i="2"/>
  <c r="E6" i="2"/>
  <c r="E88" i="2" s="1"/>
  <c r="D88" i="2" s="1"/>
  <c r="D66" i="2" l="1"/>
  <c r="E65" i="2"/>
  <c r="E106" i="2" s="1"/>
  <c r="D106" i="2" s="1"/>
  <c r="D8" i="2"/>
  <c r="E7" i="2"/>
  <c r="E89" i="2" s="1"/>
  <c r="D89" i="2" s="1"/>
  <c r="D67" i="2" l="1"/>
  <c r="E66" i="2"/>
  <c r="E107" i="2" s="1"/>
  <c r="D107" i="2" s="1"/>
  <c r="D9" i="2"/>
  <c r="E9" i="2" s="1"/>
  <c r="E91" i="2" s="1"/>
  <c r="D91" i="2" s="1"/>
  <c r="E8" i="2"/>
  <c r="E90" i="2" s="1"/>
  <c r="D90" i="2" s="1"/>
  <c r="D68" i="2" l="1"/>
  <c r="E67" i="2"/>
  <c r="E108" i="2" s="1"/>
  <c r="D108" i="2" s="1"/>
  <c r="H13" i="3" a="1"/>
  <c r="H13" i="3" s="1"/>
  <c r="G13" i="3" a="1"/>
  <c r="G13" i="3" s="1"/>
  <c r="F13" i="3" a="1"/>
  <c r="F13" i="3" s="1"/>
  <c r="E13" i="3" a="1"/>
  <c r="E13" i="3" s="1"/>
  <c r="D13" i="3" a="1"/>
  <c r="D13" i="3" s="1"/>
  <c r="H12" i="3" a="1"/>
  <c r="H12" i="3" s="1"/>
  <c r="G12" i="3" a="1"/>
  <c r="G12" i="3" s="1"/>
  <c r="F12" i="3" a="1"/>
  <c r="F12" i="3" s="1"/>
  <c r="E12" i="3" a="1"/>
  <c r="E12" i="3" s="1"/>
  <c r="D12" i="3" a="1"/>
  <c r="D12" i="3" s="1"/>
  <c r="H11" i="3" a="1"/>
  <c r="H11" i="3" s="1"/>
  <c r="G11" i="3" a="1"/>
  <c r="G11" i="3" s="1"/>
  <c r="F11" i="3" a="1"/>
  <c r="F11" i="3" s="1"/>
  <c r="E11" i="3" a="1"/>
  <c r="E11" i="3" s="1"/>
  <c r="D11" i="3" a="1"/>
  <c r="D11" i="3" s="1"/>
  <c r="H10" i="3" a="1"/>
  <c r="H10" i="3" s="1"/>
  <c r="G10" i="3" a="1"/>
  <c r="G10" i="3" s="1"/>
  <c r="F10" i="3" a="1"/>
  <c r="F10" i="3" s="1"/>
  <c r="E10" i="3" a="1"/>
  <c r="E10" i="3" s="1"/>
  <c r="D10" i="3" a="1"/>
  <c r="D10" i="3" s="1"/>
  <c r="H9" i="3" a="1"/>
  <c r="H9" i="3" s="1"/>
  <c r="G9" i="3" a="1"/>
  <c r="G9" i="3" s="1"/>
  <c r="F9" i="3" a="1"/>
  <c r="F9" i="3" s="1"/>
  <c r="E9" i="3" a="1"/>
  <c r="E9" i="3" s="1"/>
  <c r="D9" i="3" a="1"/>
  <c r="D9" i="3" s="1"/>
  <c r="H8" i="3" a="1"/>
  <c r="H8" i="3" s="1"/>
  <c r="G8" i="3" a="1"/>
  <c r="G8" i="3" s="1"/>
  <c r="F8" i="3" a="1"/>
  <c r="F8" i="3" s="1"/>
  <c r="E8" i="3" a="1"/>
  <c r="E8" i="3" s="1"/>
  <c r="D8" i="3" a="1"/>
  <c r="D8" i="3" s="1"/>
  <c r="H7" i="3" a="1"/>
  <c r="H7" i="3" s="1"/>
  <c r="G7" i="3" a="1"/>
  <c r="G7" i="3" s="1"/>
  <c r="F7" i="3" a="1"/>
  <c r="F7" i="3" s="1"/>
  <c r="E7" i="3" a="1"/>
  <c r="E7" i="3" s="1"/>
  <c r="D7" i="3" a="1"/>
  <c r="D7" i="3" s="1"/>
  <c r="H6" i="3" a="1"/>
  <c r="H6" i="3" s="1"/>
  <c r="G6" i="3" a="1"/>
  <c r="G6" i="3" s="1"/>
  <c r="F6" i="3" a="1"/>
  <c r="F6" i="3" s="1"/>
  <c r="E6" i="3" a="1"/>
  <c r="E6" i="3" s="1"/>
  <c r="D6" i="3" a="1"/>
  <c r="D6" i="3" s="1"/>
  <c r="H5" i="3" a="1"/>
  <c r="H5" i="3" s="1"/>
  <c r="G5" i="3" a="1"/>
  <c r="G5" i="3" s="1"/>
  <c r="F5" i="3" a="1"/>
  <c r="F5" i="3" s="1"/>
  <c r="E5" i="3" a="1"/>
  <c r="E5" i="3" s="1"/>
  <c r="D5" i="3" a="1"/>
  <c r="D5" i="3" s="1"/>
  <c r="H4" i="3" a="1"/>
  <c r="H4" i="3" s="1"/>
  <c r="G4" i="3" a="1"/>
  <c r="G4" i="3" s="1"/>
  <c r="F4" i="3" a="1"/>
  <c r="F4" i="3" s="1"/>
  <c r="E4" i="3" a="1"/>
  <c r="E4" i="3" s="1"/>
  <c r="D4" i="3" a="1"/>
  <c r="D4" i="3" s="1"/>
  <c r="H3" i="3" a="1"/>
  <c r="H3" i="3" s="1"/>
  <c r="G3" i="3" a="1"/>
  <c r="G3" i="3" s="1"/>
  <c r="F3" i="3" a="1"/>
  <c r="F3" i="3" s="1"/>
  <c r="E3" i="3" a="1"/>
  <c r="E3" i="3" s="1"/>
  <c r="D69" i="2" l="1"/>
  <c r="E68" i="2"/>
  <c r="E109" i="2" s="1"/>
  <c r="D109" i="2" s="1"/>
  <c r="D70" i="2" l="1"/>
  <c r="E69" i="2"/>
  <c r="E110" i="2" s="1"/>
  <c r="D110" i="2" s="1"/>
  <c r="D71" i="2" l="1"/>
  <c r="E70" i="2"/>
  <c r="E111" i="2" s="1"/>
  <c r="D111" i="2" s="1"/>
  <c r="F74" i="31" a="1"/>
  <c r="F74" i="31" s="1"/>
  <c r="D74" i="31" a="1"/>
  <c r="D74" i="31" s="1"/>
  <c r="K70" i="31"/>
  <c r="I70" i="31"/>
  <c r="J70" i="31"/>
  <c r="F70" i="31"/>
  <c r="G70" i="31"/>
  <c r="L70" i="31"/>
  <c r="C70" i="31"/>
  <c r="B70" i="31"/>
  <c r="K69" i="31"/>
  <c r="I69" i="31"/>
  <c r="J69" i="31"/>
  <c r="F69" i="31"/>
  <c r="G69" i="31"/>
  <c r="L69" i="31"/>
  <c r="C69" i="31"/>
  <c r="B69" i="31"/>
  <c r="K68" i="31"/>
  <c r="I68" i="31"/>
  <c r="J68" i="31"/>
  <c r="F68" i="31"/>
  <c r="G68" i="31"/>
  <c r="L68" i="31"/>
  <c r="C68" i="31"/>
  <c r="B68" i="31"/>
  <c r="J67" i="31"/>
  <c r="H64" i="31"/>
  <c r="K64" i="31"/>
  <c r="I64" i="31"/>
  <c r="J64" i="31"/>
  <c r="F64" i="31"/>
  <c r="G64" i="31"/>
  <c r="L64" i="31"/>
  <c r="C64" i="31"/>
  <c r="B64" i="31"/>
  <c r="J63" i="31"/>
  <c r="H62" i="31"/>
  <c r="K62" i="31"/>
  <c r="I62" i="31"/>
  <c r="J62" i="31"/>
  <c r="F62" i="31"/>
  <c r="G62" i="31"/>
  <c r="L62" i="31"/>
  <c r="K58" i="31"/>
  <c r="H56" i="31"/>
  <c r="K56" i="31"/>
  <c r="I56" i="31"/>
  <c r="J56" i="31"/>
  <c r="F56" i="31"/>
  <c r="G56" i="31"/>
  <c r="L56" i="31"/>
  <c r="H52" i="31"/>
  <c r="H63" i="31" s="1"/>
  <c r="K52" i="31"/>
  <c r="K67" i="31" s="1"/>
  <c r="I52" i="31"/>
  <c r="I67" i="31" s="1"/>
  <c r="F52" i="31"/>
  <c r="F67" i="31" s="1"/>
  <c r="G52" i="31"/>
  <c r="G63" i="31" s="1"/>
  <c r="L52" i="31"/>
  <c r="L63" i="31" s="1"/>
  <c r="E51" i="31"/>
  <c r="E52" i="31" s="1"/>
  <c r="D51" i="31"/>
  <c r="D52" i="31" s="1"/>
  <c r="C51" i="31"/>
  <c r="C52" i="31" s="1"/>
  <c r="B51" i="31"/>
  <c r="B62" i="31" s="1"/>
  <c r="H49" i="31"/>
  <c r="I49" i="31"/>
  <c r="J49" i="31"/>
  <c r="F49" i="31"/>
  <c r="G49" i="31"/>
  <c r="L49" i="31"/>
  <c r="C49" i="31"/>
  <c r="O53" i="31" s="1"/>
  <c r="B49" i="31"/>
  <c r="H48" i="31"/>
  <c r="I48" i="31"/>
  <c r="J48" i="31"/>
  <c r="F48" i="31"/>
  <c r="G48" i="31"/>
  <c r="L48" i="31"/>
  <c r="C48" i="31"/>
  <c r="B48" i="31"/>
  <c r="H47" i="31"/>
  <c r="H58" i="31" s="1"/>
  <c r="I47" i="31"/>
  <c r="I58" i="31" s="1"/>
  <c r="J47" i="31"/>
  <c r="J58" i="31" s="1"/>
  <c r="F47" i="31"/>
  <c r="F58" i="31" s="1"/>
  <c r="G47" i="31"/>
  <c r="G58" i="31" s="1"/>
  <c r="L47" i="31"/>
  <c r="L58" i="31" s="1"/>
  <c r="C47" i="31"/>
  <c r="C58" i="31" s="1"/>
  <c r="B47" i="31"/>
  <c r="B58" i="31" s="1"/>
  <c r="H46" i="31"/>
  <c r="K46" i="31"/>
  <c r="I46" i="31"/>
  <c r="I57" i="31" s="1"/>
  <c r="J46" i="31"/>
  <c r="J57" i="31" s="1"/>
  <c r="F46" i="31"/>
  <c r="G46" i="31"/>
  <c r="L46" i="31"/>
  <c r="C46" i="31"/>
  <c r="B46" i="31"/>
  <c r="H45" i="31"/>
  <c r="I45" i="31"/>
  <c r="J45" i="31"/>
  <c r="F45" i="31"/>
  <c r="G45" i="31"/>
  <c r="L45" i="31"/>
  <c r="C45" i="31"/>
  <c r="B45" i="31"/>
  <c r="H44" i="31"/>
  <c r="I44" i="31"/>
  <c r="J44" i="31"/>
  <c r="F44" i="31"/>
  <c r="G44" i="31"/>
  <c r="L44" i="31"/>
  <c r="C44" i="31"/>
  <c r="B44" i="31"/>
  <c r="H43" i="31"/>
  <c r="I43" i="31"/>
  <c r="J43" i="31"/>
  <c r="F43" i="31"/>
  <c r="G43" i="31"/>
  <c r="L43" i="31"/>
  <c r="C43" i="31"/>
  <c r="B43" i="31"/>
  <c r="H42" i="31"/>
  <c r="I42" i="31"/>
  <c r="J42" i="31"/>
  <c r="F42" i="31"/>
  <c r="G42" i="31"/>
  <c r="L42" i="31"/>
  <c r="C42" i="31"/>
  <c r="B42" i="31"/>
  <c r="H41" i="31"/>
  <c r="I41" i="31"/>
  <c r="J41" i="31"/>
  <c r="F41" i="31"/>
  <c r="G41" i="31"/>
  <c r="L41" i="31"/>
  <c r="C41" i="31"/>
  <c r="B41" i="31"/>
  <c r="H40" i="31"/>
  <c r="I40" i="31"/>
  <c r="J40" i="31"/>
  <c r="F40" i="31"/>
  <c r="G40" i="31"/>
  <c r="L40" i="31"/>
  <c r="C40" i="31"/>
  <c r="B40" i="31"/>
  <c r="H39" i="31"/>
  <c r="I39" i="31"/>
  <c r="J39" i="31"/>
  <c r="F39" i="31"/>
  <c r="G39" i="31"/>
  <c r="L39" i="31"/>
  <c r="C39" i="31"/>
  <c r="B39" i="31"/>
  <c r="E37" i="31"/>
  <c r="D37" i="31"/>
  <c r="E36" i="31"/>
  <c r="D36" i="31"/>
  <c r="E35" i="31"/>
  <c r="D35" i="31"/>
  <c r="E34" i="31"/>
  <c r="D34" i="31"/>
  <c r="E33" i="31"/>
  <c r="D33" i="31"/>
  <c r="E32" i="31"/>
  <c r="D32" i="31"/>
  <c r="E31" i="31"/>
  <c r="D31" i="31"/>
  <c r="E30" i="31"/>
  <c r="D30" i="31"/>
  <c r="E29" i="31"/>
  <c r="D29" i="31"/>
  <c r="E28" i="31"/>
  <c r="D28" i="31"/>
  <c r="E27" i="31"/>
  <c r="D27" i="31"/>
  <c r="E25" i="31"/>
  <c r="D25" i="31"/>
  <c r="E24" i="31"/>
  <c r="D24" i="31"/>
  <c r="E23" i="31"/>
  <c r="D23" i="31"/>
  <c r="E22" i="31"/>
  <c r="D22" i="31"/>
  <c r="E21" i="31"/>
  <c r="D21" i="31"/>
  <c r="E20" i="31"/>
  <c r="D20" i="31"/>
  <c r="E19" i="31"/>
  <c r="D19" i="31"/>
  <c r="E18" i="31"/>
  <c r="D18" i="31"/>
  <c r="E17" i="31"/>
  <c r="D17" i="31"/>
  <c r="E16" i="31"/>
  <c r="D16" i="31"/>
  <c r="E15" i="31"/>
  <c r="D15" i="31"/>
  <c r="E13" i="31"/>
  <c r="D13" i="31"/>
  <c r="E12" i="31"/>
  <c r="D12" i="31"/>
  <c r="E11" i="31"/>
  <c r="D11" i="31"/>
  <c r="E10" i="31"/>
  <c r="D10" i="31"/>
  <c r="E9" i="31"/>
  <c r="D9" i="31"/>
  <c r="E8" i="31"/>
  <c r="D8" i="31"/>
  <c r="E7" i="31"/>
  <c r="D7" i="31"/>
  <c r="E6" i="31"/>
  <c r="D6" i="31"/>
  <c r="E5" i="31"/>
  <c r="D5" i="31"/>
  <c r="E4" i="31"/>
  <c r="D4" i="31"/>
  <c r="E3" i="31"/>
  <c r="D3" i="31"/>
  <c r="D72" i="2" l="1"/>
  <c r="E71" i="2"/>
  <c r="E112" i="2" s="1"/>
  <c r="D112" i="2" s="1"/>
  <c r="C57" i="31"/>
  <c r="J61" i="31"/>
  <c r="I63" i="31"/>
  <c r="I61" i="31"/>
  <c r="D63" i="31"/>
  <c r="E63" i="31"/>
  <c r="D41" i="31"/>
  <c r="D45" i="31"/>
  <c r="D49" i="31"/>
  <c r="K63" i="31"/>
  <c r="K61" i="31" s="1"/>
  <c r="K57" i="31"/>
  <c r="K55" i="31" s="1"/>
  <c r="D64" i="31"/>
  <c r="D62" i="31"/>
  <c r="E43" i="31"/>
  <c r="E49" i="31"/>
  <c r="D46" i="31"/>
  <c r="D57" i="31" s="1"/>
  <c r="H57" i="31"/>
  <c r="H55" i="31" s="1"/>
  <c r="D39" i="31"/>
  <c r="E45" i="31"/>
  <c r="D43" i="31"/>
  <c r="E39" i="31"/>
  <c r="E47" i="31"/>
  <c r="E58" i="31" s="1"/>
  <c r="E62" i="31"/>
  <c r="E41" i="31"/>
  <c r="D42" i="31"/>
  <c r="D48" i="31"/>
  <c r="D44" i="31"/>
  <c r="L61" i="31"/>
  <c r="I55" i="31"/>
  <c r="D40" i="31"/>
  <c r="G61" i="31"/>
  <c r="D68" i="31"/>
  <c r="J55" i="31"/>
  <c r="E68" i="31"/>
  <c r="D69" i="31"/>
  <c r="D56" i="31"/>
  <c r="H61" i="31"/>
  <c r="E42" i="31"/>
  <c r="E69" i="31"/>
  <c r="E64" i="31"/>
  <c r="E40" i="31"/>
  <c r="E44" i="31"/>
  <c r="E48" i="31"/>
  <c r="E56" i="31"/>
  <c r="C62" i="31"/>
  <c r="F63" i="31"/>
  <c r="F61" i="31" s="1"/>
  <c r="C63" i="31"/>
  <c r="C67" i="31"/>
  <c r="D67" i="31"/>
  <c r="E67" i="31"/>
  <c r="D70" i="31"/>
  <c r="E70" i="31"/>
  <c r="G57" i="31"/>
  <c r="G55" i="31" s="1"/>
  <c r="L57" i="31"/>
  <c r="L55" i="31" s="1"/>
  <c r="E46" i="31"/>
  <c r="E57" i="31" s="1"/>
  <c r="B56" i="31"/>
  <c r="C56" i="31"/>
  <c r="C55" i="31" s="1"/>
  <c r="F57" i="31"/>
  <c r="F55" i="31" s="1"/>
  <c r="L67" i="31"/>
  <c r="D47" i="31"/>
  <c r="D58" i="31" s="1"/>
  <c r="B52" i="31"/>
  <c r="G67" i="31"/>
  <c r="D73" i="2" l="1"/>
  <c r="E72" i="2"/>
  <c r="E113" i="2" s="1"/>
  <c r="D113" i="2" s="1"/>
  <c r="E61" i="31"/>
  <c r="B74" i="31" a="1"/>
  <c r="B74" i="31" s="1"/>
  <c r="D61" i="31"/>
  <c r="D55" i="31"/>
  <c r="E55" i="31"/>
  <c r="C61" i="31"/>
  <c r="B67" i="31"/>
  <c r="B63" i="31"/>
  <c r="B57" i="31"/>
  <c r="B61" i="31"/>
  <c r="D74" i="2" l="1"/>
  <c r="E73" i="2"/>
  <c r="E114" i="2" s="1"/>
  <c r="D114" i="2" s="1"/>
  <c r="B55" i="31"/>
  <c r="E74" i="31" s="1" a="1"/>
  <c r="E74" i="31" s="1"/>
  <c r="C74" i="31" a="1"/>
  <c r="C74" i="31" s="1"/>
  <c r="AK303" i="30"/>
  <c r="AK302" i="30"/>
  <c r="AK301" i="30"/>
  <c r="AK300" i="30"/>
  <c r="AK299" i="30"/>
  <c r="AK298" i="30"/>
  <c r="AK297" i="30"/>
  <c r="AK296" i="30"/>
  <c r="AK295" i="30"/>
  <c r="AK294" i="30"/>
  <c r="AK293" i="30"/>
  <c r="AK292" i="30"/>
  <c r="AK291" i="30"/>
  <c r="AK290" i="30"/>
  <c r="AK289" i="30"/>
  <c r="AK288" i="30"/>
  <c r="AK287" i="30"/>
  <c r="AK286" i="30"/>
  <c r="AK285" i="30"/>
  <c r="AK284" i="30"/>
  <c r="AK283" i="30"/>
  <c r="AK282" i="30"/>
  <c r="AK281" i="30"/>
  <c r="AK280" i="30"/>
  <c r="AK279" i="30"/>
  <c r="AK278" i="30"/>
  <c r="AK277" i="30"/>
  <c r="AK276" i="30"/>
  <c r="AK275" i="30"/>
  <c r="AK274" i="30"/>
  <c r="AK273" i="30"/>
  <c r="AK272" i="30"/>
  <c r="AK271" i="30"/>
  <c r="AK270" i="30"/>
  <c r="AK269" i="30"/>
  <c r="AK268" i="30"/>
  <c r="AK265" i="30"/>
  <c r="AK264" i="30"/>
  <c r="AK263" i="30"/>
  <c r="AK262" i="30"/>
  <c r="AK261" i="30"/>
  <c r="AK260" i="30"/>
  <c r="AK259" i="30"/>
  <c r="AK258" i="30"/>
  <c r="AK257" i="30"/>
  <c r="AK256" i="30"/>
  <c r="AK255" i="30"/>
  <c r="AK254" i="30"/>
  <c r="AK253" i="30"/>
  <c r="AK252" i="30"/>
  <c r="AK251" i="30"/>
  <c r="AK250" i="30"/>
  <c r="AK249" i="30"/>
  <c r="AK248" i="30"/>
  <c r="AK247" i="30"/>
  <c r="AK246" i="30"/>
  <c r="AK245" i="30"/>
  <c r="AK244" i="30"/>
  <c r="AK243" i="30"/>
  <c r="AK242" i="30"/>
  <c r="AK241" i="30"/>
  <c r="AK240" i="30"/>
  <c r="AK239" i="30"/>
  <c r="AK238" i="30"/>
  <c r="AK237" i="30"/>
  <c r="AK236" i="30"/>
  <c r="AK235" i="30"/>
  <c r="AK234" i="30"/>
  <c r="AK233" i="30"/>
  <c r="AK232" i="30"/>
  <c r="AK231" i="30"/>
  <c r="AK230" i="30"/>
  <c r="AK227" i="30"/>
  <c r="AK226" i="30"/>
  <c r="AK225" i="30"/>
  <c r="AK224" i="30"/>
  <c r="AK223" i="30"/>
  <c r="AK222" i="30"/>
  <c r="AK221" i="30"/>
  <c r="AK220" i="30"/>
  <c r="AK219" i="30"/>
  <c r="AK218" i="30"/>
  <c r="AK217" i="30"/>
  <c r="AK216" i="30"/>
  <c r="AK215" i="30"/>
  <c r="AK214" i="30"/>
  <c r="AK213" i="30"/>
  <c r="AK212" i="30"/>
  <c r="AK211" i="30"/>
  <c r="AK210" i="30"/>
  <c r="AK209" i="30"/>
  <c r="AK208" i="30"/>
  <c r="AK207" i="30"/>
  <c r="AK206" i="30"/>
  <c r="AK205" i="30"/>
  <c r="AK204" i="30"/>
  <c r="AK203" i="30"/>
  <c r="AK202" i="30"/>
  <c r="AK201" i="30"/>
  <c r="AK200" i="30"/>
  <c r="AK199" i="30"/>
  <c r="AK198" i="30"/>
  <c r="AK197" i="30"/>
  <c r="AK196" i="30"/>
  <c r="AK195" i="30"/>
  <c r="AK194" i="30"/>
  <c r="AK193" i="30"/>
  <c r="AK192" i="30"/>
  <c r="T3" i="3"/>
  <c r="AK265" i="26"/>
  <c r="AK264" i="26"/>
  <c r="AK263" i="26"/>
  <c r="AK262" i="26"/>
  <c r="AK261" i="26"/>
  <c r="AK260" i="26"/>
  <c r="AK259" i="26"/>
  <c r="AK258" i="26"/>
  <c r="AK257" i="26"/>
  <c r="AK256" i="26"/>
  <c r="AK255" i="26"/>
  <c r="AK254" i="26"/>
  <c r="AK253" i="26"/>
  <c r="AK252" i="26"/>
  <c r="AK251" i="26"/>
  <c r="AK250" i="26"/>
  <c r="AK249" i="26"/>
  <c r="AK248" i="26"/>
  <c r="AK247" i="26"/>
  <c r="AK246" i="26"/>
  <c r="AK245" i="26"/>
  <c r="AK244" i="26"/>
  <c r="AK243" i="26"/>
  <c r="AK242" i="26"/>
  <c r="AK241" i="26"/>
  <c r="AK240" i="26"/>
  <c r="AK239" i="26"/>
  <c r="AK238" i="26"/>
  <c r="AK237" i="26"/>
  <c r="AK236" i="26"/>
  <c r="AK235" i="26"/>
  <c r="AK234" i="26"/>
  <c r="AK233" i="26"/>
  <c r="AK232" i="26"/>
  <c r="AK231" i="26"/>
  <c r="AK230" i="26"/>
  <c r="AK227" i="26"/>
  <c r="AK226" i="26"/>
  <c r="AK225" i="26"/>
  <c r="AK224" i="26"/>
  <c r="AK223" i="26"/>
  <c r="AK222" i="26"/>
  <c r="AK221" i="26"/>
  <c r="AK220" i="26"/>
  <c r="AK219" i="26"/>
  <c r="AK218" i="26"/>
  <c r="AK217" i="26"/>
  <c r="AK216" i="26"/>
  <c r="AK215" i="26"/>
  <c r="AK214" i="26"/>
  <c r="AK213" i="26"/>
  <c r="AK212" i="26"/>
  <c r="AK211" i="26"/>
  <c r="AK210" i="26"/>
  <c r="AK209" i="26"/>
  <c r="AK208" i="26"/>
  <c r="AK207" i="26"/>
  <c r="AK206" i="26"/>
  <c r="AK205" i="26"/>
  <c r="AK204" i="26"/>
  <c r="AK203" i="26"/>
  <c r="AK202" i="26"/>
  <c r="AK201" i="26"/>
  <c r="AK200" i="26"/>
  <c r="AK199" i="26"/>
  <c r="AK198" i="26"/>
  <c r="AK197" i="26"/>
  <c r="AK196" i="26"/>
  <c r="AK195" i="26"/>
  <c r="AK194" i="26"/>
  <c r="AK193" i="26"/>
  <c r="AK192" i="26"/>
  <c r="AK189" i="26"/>
  <c r="AK188" i="26"/>
  <c r="AK187" i="26"/>
  <c r="AK186" i="26"/>
  <c r="AK185" i="26"/>
  <c r="AK184" i="26"/>
  <c r="AK183" i="26"/>
  <c r="AK182" i="26"/>
  <c r="AK181" i="26"/>
  <c r="AK180" i="26"/>
  <c r="AK179" i="26"/>
  <c r="AK178" i="26"/>
  <c r="AK177" i="26"/>
  <c r="AK176" i="26"/>
  <c r="AK175" i="26"/>
  <c r="AK174" i="26"/>
  <c r="AK173" i="26"/>
  <c r="AK172" i="26"/>
  <c r="AK171" i="26"/>
  <c r="AK170" i="26"/>
  <c r="AK169" i="26"/>
  <c r="AK168" i="26"/>
  <c r="AK167" i="26"/>
  <c r="AK166" i="26"/>
  <c r="AK165" i="26"/>
  <c r="AK164" i="26"/>
  <c r="AK163" i="26"/>
  <c r="AK162" i="26"/>
  <c r="AK161" i="26"/>
  <c r="AK160" i="26"/>
  <c r="AK159" i="26"/>
  <c r="AK158" i="26"/>
  <c r="AK157" i="26"/>
  <c r="AK156" i="26"/>
  <c r="AK155" i="26"/>
  <c r="AK154" i="26"/>
  <c r="D75" i="2" l="1"/>
  <c r="E74" i="2"/>
  <c r="E115" i="2" s="1"/>
  <c r="D115" i="2" s="1"/>
  <c r="AM70" i="22"/>
  <c r="AM69" i="22"/>
  <c r="AM68" i="22"/>
  <c r="AM66" i="22"/>
  <c r="AJ66" i="22" s="1"/>
  <c r="AM65" i="22"/>
  <c r="AJ65" i="22" s="1"/>
  <c r="AA65" i="22" s="1"/>
  <c r="AB65" i="22" s="1"/>
  <c r="AC65" i="22" s="1"/>
  <c r="AD65" i="22" s="1"/>
  <c r="AE65" i="22" s="1"/>
  <c r="AF65" i="22" s="1"/>
  <c r="AG65" i="22" s="1"/>
  <c r="AH65" i="22" s="1"/>
  <c r="AI65" i="22" s="1"/>
  <c r="AM64" i="22"/>
  <c r="AM63" i="22"/>
  <c r="AJ63" i="22" s="1"/>
  <c r="AM62" i="22"/>
  <c r="AM60" i="22"/>
  <c r="AM59" i="22"/>
  <c r="AM57" i="22"/>
  <c r="AM55" i="22"/>
  <c r="AJ55" i="22" s="1"/>
  <c r="AM54" i="22"/>
  <c r="AJ54" i="22" s="1"/>
  <c r="AM53" i="22"/>
  <c r="AM52" i="22"/>
  <c r="AM51" i="22"/>
  <c r="AJ51" i="22" s="1"/>
  <c r="AM50" i="22"/>
  <c r="AA69" i="22"/>
  <c r="AB69" i="22" s="1"/>
  <c r="AC69" i="22" s="1"/>
  <c r="AD69" i="22" s="1"/>
  <c r="AE69" i="22" s="1"/>
  <c r="AF69" i="22" s="1"/>
  <c r="AG69" i="22" s="1"/>
  <c r="AH69" i="22" s="1"/>
  <c r="AI69" i="22" s="1"/>
  <c r="Z70" i="22"/>
  <c r="Z69" i="22"/>
  <c r="Z68" i="22"/>
  <c r="Z66" i="22"/>
  <c r="Z65" i="22"/>
  <c r="Z64" i="22"/>
  <c r="Z63" i="22"/>
  <c r="Z62" i="22"/>
  <c r="Z60" i="22"/>
  <c r="Z59" i="22"/>
  <c r="Z57" i="22"/>
  <c r="Z55" i="22"/>
  <c r="Z54" i="22"/>
  <c r="Z53" i="22"/>
  <c r="Z52" i="22"/>
  <c r="Z51" i="22"/>
  <c r="Z50" i="22"/>
  <c r="AJ70" i="22"/>
  <c r="AJ69" i="22"/>
  <c r="AJ64" i="22"/>
  <c r="AJ62" i="22"/>
  <c r="AA62" i="22" s="1"/>
  <c r="AB62" i="22" s="1"/>
  <c r="AC62" i="22" s="1"/>
  <c r="AD62" i="22" s="1"/>
  <c r="AE62" i="22" s="1"/>
  <c r="AF62" i="22" s="1"/>
  <c r="AG62" i="22" s="1"/>
  <c r="AH62" i="22" s="1"/>
  <c r="AI62" i="22" s="1"/>
  <c r="AJ60" i="22"/>
  <c r="AA60" i="22" s="1"/>
  <c r="AB60" i="22" s="1"/>
  <c r="AC60" i="22" s="1"/>
  <c r="AD60" i="22" s="1"/>
  <c r="AE60" i="22" s="1"/>
  <c r="AF60" i="22" s="1"/>
  <c r="AG60" i="22" s="1"/>
  <c r="AH60" i="22" s="1"/>
  <c r="AI60" i="22" s="1"/>
  <c r="AJ59" i="22"/>
  <c r="AJ53" i="22"/>
  <c r="AJ52" i="22"/>
  <c r="AJ50" i="22"/>
  <c r="Y44" i="6"/>
  <c r="Y43" i="6"/>
  <c r="Y41" i="6"/>
  <c r="F40" i="22"/>
  <c r="F48" i="22"/>
  <c r="G42" i="22"/>
  <c r="G43" i="22"/>
  <c r="G44" i="22"/>
  <c r="G45" i="22"/>
  <c r="G46" i="22"/>
  <c r="G47" i="22"/>
  <c r="G48" i="22"/>
  <c r="G50" i="22"/>
  <c r="G51" i="22"/>
  <c r="G52" i="22"/>
  <c r="G53" i="22"/>
  <c r="G54" i="22"/>
  <c r="G55" i="22"/>
  <c r="G56" i="22"/>
  <c r="G57" i="22"/>
  <c r="G58" i="22"/>
  <c r="G59" i="22"/>
  <c r="F47" i="22"/>
  <c r="F46" i="22"/>
  <c r="F45" i="22"/>
  <c r="F44" i="22"/>
  <c r="F43" i="22"/>
  <c r="F42" i="22"/>
  <c r="Y47" i="6" l="1"/>
  <c r="Y40" i="6"/>
  <c r="Y48" i="6"/>
  <c r="Y42" i="6"/>
  <c r="Y45" i="6"/>
  <c r="Y46" i="6"/>
  <c r="D76" i="2"/>
  <c r="E75" i="2"/>
  <c r="E116" i="2" s="1"/>
  <c r="D116" i="2" s="1"/>
  <c r="F57" i="22"/>
  <c r="F50" i="22"/>
  <c r="F58" i="22"/>
  <c r="F68" i="22"/>
  <c r="G63" i="22"/>
  <c r="J46" i="22"/>
  <c r="J56" i="22"/>
  <c r="K66" i="22"/>
  <c r="L66" i="22" s="1"/>
  <c r="M66" i="22" s="1"/>
  <c r="N66" i="22" s="1"/>
  <c r="O66" i="22" s="1"/>
  <c r="P66" i="22" s="1"/>
  <c r="Q66" i="22" s="1"/>
  <c r="R66" i="22" s="1"/>
  <c r="S66" i="22" s="1"/>
  <c r="T66" i="22" s="1"/>
  <c r="U66" i="22" s="1"/>
  <c r="V66" i="22" s="1"/>
  <c r="W66" i="22" s="1"/>
  <c r="X66" i="22" s="1"/>
  <c r="Y66" i="22" s="1"/>
  <c r="J66" i="22"/>
  <c r="F51" i="22"/>
  <c r="F60" i="22"/>
  <c r="F69" i="22"/>
  <c r="G70" i="22"/>
  <c r="G62" i="22"/>
  <c r="J48" i="22"/>
  <c r="J57" i="22"/>
  <c r="J67" i="22"/>
  <c r="K67" i="22"/>
  <c r="F54" i="22"/>
  <c r="F64" i="22"/>
  <c r="G67" i="22"/>
  <c r="J42" i="22"/>
  <c r="J52" i="22"/>
  <c r="K62" i="22"/>
  <c r="L62" i="22" s="1"/>
  <c r="M62" i="22" s="1"/>
  <c r="N62" i="22" s="1"/>
  <c r="O62" i="22" s="1"/>
  <c r="P62" i="22" s="1"/>
  <c r="Q62" i="22" s="1"/>
  <c r="R62" i="22" s="1"/>
  <c r="S62" i="22" s="1"/>
  <c r="T62" i="22" s="1"/>
  <c r="U62" i="22" s="1"/>
  <c r="V62" i="22" s="1"/>
  <c r="W62" i="22" s="1"/>
  <c r="X62" i="22" s="1"/>
  <c r="Y62" i="22" s="1"/>
  <c r="J62" i="22"/>
  <c r="K70" i="22"/>
  <c r="L70" i="22" s="1"/>
  <c r="M70" i="22" s="1"/>
  <c r="N70" i="22" s="1"/>
  <c r="O70" i="22" s="1"/>
  <c r="P70" i="22" s="1"/>
  <c r="Q70" i="22" s="1"/>
  <c r="R70" i="22" s="1"/>
  <c r="S70" i="22" s="1"/>
  <c r="T70" i="22" s="1"/>
  <c r="U70" i="22" s="1"/>
  <c r="V70" i="22" s="1"/>
  <c r="W70" i="22" s="1"/>
  <c r="X70" i="22" s="1"/>
  <c r="Y70" i="22" s="1"/>
  <c r="J70" i="22"/>
  <c r="F55" i="22"/>
  <c r="F65" i="22"/>
  <c r="G66" i="22"/>
  <c r="J43" i="22"/>
  <c r="J53" i="22"/>
  <c r="J63" i="22"/>
  <c r="K63" i="22"/>
  <c r="L63" i="22" s="1"/>
  <c r="M63" i="22" s="1"/>
  <c r="N63" i="22" s="1"/>
  <c r="O63" i="22" s="1"/>
  <c r="P63" i="22" s="1"/>
  <c r="Q63" i="22" s="1"/>
  <c r="R63" i="22" s="1"/>
  <c r="S63" i="22" s="1"/>
  <c r="T63" i="22" s="1"/>
  <c r="U63" i="22" s="1"/>
  <c r="V63" i="22" s="1"/>
  <c r="W63" i="22" s="1"/>
  <c r="X63" i="22" s="1"/>
  <c r="Y63" i="22" s="1"/>
  <c r="J61" i="22"/>
  <c r="F52" i="22"/>
  <c r="F62" i="22"/>
  <c r="F70" i="22"/>
  <c r="G69" i="22"/>
  <c r="G60" i="22"/>
  <c r="J50" i="22"/>
  <c r="J59" i="22"/>
  <c r="J68" i="22"/>
  <c r="K68" i="22"/>
  <c r="L68" i="22" s="1"/>
  <c r="M68" i="22" s="1"/>
  <c r="N68" i="22" s="1"/>
  <c r="O68" i="22" s="1"/>
  <c r="P68" i="22" s="1"/>
  <c r="Q68" i="22" s="1"/>
  <c r="R68" i="22" s="1"/>
  <c r="S68" i="22" s="1"/>
  <c r="T68" i="22" s="1"/>
  <c r="U68" i="22" s="1"/>
  <c r="V68" i="22" s="1"/>
  <c r="W68" i="22" s="1"/>
  <c r="X68" i="22" s="1"/>
  <c r="Y68" i="22" s="1"/>
  <c r="F53" i="22"/>
  <c r="F63" i="22"/>
  <c r="G68" i="22"/>
  <c r="J51" i="22"/>
  <c r="J60" i="22"/>
  <c r="K60" i="22"/>
  <c r="L60" i="22" s="1"/>
  <c r="M60" i="22" s="1"/>
  <c r="N60" i="22" s="1"/>
  <c r="O60" i="22" s="1"/>
  <c r="P60" i="22" s="1"/>
  <c r="Q60" i="22" s="1"/>
  <c r="R60" i="22" s="1"/>
  <c r="S60" i="22" s="1"/>
  <c r="T60" i="22" s="1"/>
  <c r="U60" i="22" s="1"/>
  <c r="V60" i="22" s="1"/>
  <c r="W60" i="22" s="1"/>
  <c r="X60" i="22" s="1"/>
  <c r="Y60" i="22" s="1"/>
  <c r="K69" i="22"/>
  <c r="L69" i="22" s="1"/>
  <c r="M69" i="22" s="1"/>
  <c r="N69" i="22" s="1"/>
  <c r="O69" i="22" s="1"/>
  <c r="P69" i="22" s="1"/>
  <c r="Q69" i="22" s="1"/>
  <c r="R69" i="22" s="1"/>
  <c r="S69" i="22" s="1"/>
  <c r="T69" i="22" s="1"/>
  <c r="U69" i="22" s="1"/>
  <c r="V69" i="22" s="1"/>
  <c r="W69" i="22" s="1"/>
  <c r="X69" i="22" s="1"/>
  <c r="Y69" i="22" s="1"/>
  <c r="J69" i="22"/>
  <c r="F56" i="22"/>
  <c r="F66" i="22"/>
  <c r="G65" i="22"/>
  <c r="J44" i="22"/>
  <c r="J54" i="22"/>
  <c r="K64" i="22"/>
  <c r="L64" i="22" s="1"/>
  <c r="M64" i="22" s="1"/>
  <c r="N64" i="22" s="1"/>
  <c r="O64" i="22" s="1"/>
  <c r="P64" i="22" s="1"/>
  <c r="Q64" i="22" s="1"/>
  <c r="R64" i="22" s="1"/>
  <c r="S64" i="22" s="1"/>
  <c r="T64" i="22" s="1"/>
  <c r="U64" i="22" s="1"/>
  <c r="V64" i="22" s="1"/>
  <c r="W64" i="22" s="1"/>
  <c r="X64" i="22" s="1"/>
  <c r="Y64" i="22" s="1"/>
  <c r="J64" i="22"/>
  <c r="F67" i="22"/>
  <c r="G64" i="22"/>
  <c r="J45" i="22"/>
  <c r="J55" i="22"/>
  <c r="K65" i="22"/>
  <c r="L65" i="22" s="1"/>
  <c r="M65" i="22" s="1"/>
  <c r="N65" i="22" s="1"/>
  <c r="O65" i="22" s="1"/>
  <c r="P65" i="22" s="1"/>
  <c r="Q65" i="22" s="1"/>
  <c r="R65" i="22" s="1"/>
  <c r="S65" i="22" s="1"/>
  <c r="T65" i="22" s="1"/>
  <c r="U65" i="22" s="1"/>
  <c r="V65" i="22" s="1"/>
  <c r="W65" i="22" s="1"/>
  <c r="X65" i="22" s="1"/>
  <c r="Y65" i="22" s="1"/>
  <c r="J65" i="22"/>
  <c r="F41" i="22"/>
  <c r="G49" i="22"/>
  <c r="G40" i="22"/>
  <c r="G38" i="22"/>
  <c r="H61" i="22"/>
  <c r="G41" i="22"/>
  <c r="E56" i="22"/>
  <c r="E51" i="22"/>
  <c r="E52" i="22"/>
  <c r="F39" i="22"/>
  <c r="AA54" i="22"/>
  <c r="AB54" i="22" s="1"/>
  <c r="AC54" i="22" s="1"/>
  <c r="AD54" i="22" s="1"/>
  <c r="AE54" i="22" s="1"/>
  <c r="AF54" i="22" s="1"/>
  <c r="AG54" i="22" s="1"/>
  <c r="AH54" i="22" s="1"/>
  <c r="AI54" i="22" s="1"/>
  <c r="AA55" i="22"/>
  <c r="AB55" i="22" s="1"/>
  <c r="AC55" i="22" s="1"/>
  <c r="AD55" i="22" s="1"/>
  <c r="AE55" i="22" s="1"/>
  <c r="AF55" i="22" s="1"/>
  <c r="AG55" i="22" s="1"/>
  <c r="AH55" i="22" s="1"/>
  <c r="AI55" i="22" s="1"/>
  <c r="AA51" i="22"/>
  <c r="AB51" i="22" s="1"/>
  <c r="AC51" i="22" s="1"/>
  <c r="AD51" i="22" s="1"/>
  <c r="AE51" i="22" s="1"/>
  <c r="AF51" i="22" s="1"/>
  <c r="AG51" i="22" s="1"/>
  <c r="AH51" i="22" s="1"/>
  <c r="AI51" i="22" s="1"/>
  <c r="AA63" i="22"/>
  <c r="AA70" i="22"/>
  <c r="AB70" i="22" s="1"/>
  <c r="AC70" i="22" s="1"/>
  <c r="AD70" i="22" s="1"/>
  <c r="AE70" i="22" s="1"/>
  <c r="AF70" i="22" s="1"/>
  <c r="AG70" i="22" s="1"/>
  <c r="AH70" i="22" s="1"/>
  <c r="AI70" i="22" s="1"/>
  <c r="AA52" i="22"/>
  <c r="AB52" i="22" s="1"/>
  <c r="AC52" i="22" s="1"/>
  <c r="AD52" i="22" s="1"/>
  <c r="AE52" i="22" s="1"/>
  <c r="AF52" i="22" s="1"/>
  <c r="AG52" i="22" s="1"/>
  <c r="AH52" i="22" s="1"/>
  <c r="AI52" i="22" s="1"/>
  <c r="AA59" i="22"/>
  <c r="AB59" i="22" s="1"/>
  <c r="AC59" i="22" s="1"/>
  <c r="AD59" i="22" s="1"/>
  <c r="AE59" i="22" s="1"/>
  <c r="AF59" i="22" s="1"/>
  <c r="AG59" i="22" s="1"/>
  <c r="AH59" i="22" s="1"/>
  <c r="AI59" i="22" s="1"/>
  <c r="AA66" i="22"/>
  <c r="AA64" i="22"/>
  <c r="AB64" i="22" s="1"/>
  <c r="AC64" i="22" s="1"/>
  <c r="AD64" i="22" s="1"/>
  <c r="AE64" i="22" s="1"/>
  <c r="AF64" i="22" s="1"/>
  <c r="AG64" i="22" s="1"/>
  <c r="AH64" i="22" s="1"/>
  <c r="AI64" i="22" s="1"/>
  <c r="AA53" i="22"/>
  <c r="AB53" i="22" s="1"/>
  <c r="AC53" i="22" s="1"/>
  <c r="AD53" i="22" s="1"/>
  <c r="AE53" i="22" s="1"/>
  <c r="AF53" i="22" s="1"/>
  <c r="AG53" i="22" s="1"/>
  <c r="AH53" i="22" s="1"/>
  <c r="AI53" i="22" s="1"/>
  <c r="AA50" i="22"/>
  <c r="AB50" i="22" s="1"/>
  <c r="AC50" i="22" s="1"/>
  <c r="AD50" i="22" s="1"/>
  <c r="AE50" i="22" s="1"/>
  <c r="AF50" i="22" s="1"/>
  <c r="AG50" i="22" s="1"/>
  <c r="AH50" i="22" s="1"/>
  <c r="AI50" i="22" s="1"/>
  <c r="H68" i="22"/>
  <c r="H60" i="22"/>
  <c r="H67" i="22"/>
  <c r="H65" i="22"/>
  <c r="E47" i="22"/>
  <c r="E55" i="22"/>
  <c r="E50" i="22"/>
  <c r="H43" i="22"/>
  <c r="AJ57" i="22"/>
  <c r="AJ68" i="22"/>
  <c r="Y38" i="6"/>
  <c r="E54" i="22"/>
  <c r="E42" i="22"/>
  <c r="E46" i="22"/>
  <c r="E57" i="22"/>
  <c r="H64" i="22"/>
  <c r="E58" i="22"/>
  <c r="H44" i="22"/>
  <c r="E44" i="22"/>
  <c r="H46" i="22"/>
  <c r="H62" i="22"/>
  <c r="E53" i="22"/>
  <c r="E43" i="22"/>
  <c r="E45" i="22"/>
  <c r="H42" i="22"/>
  <c r="H66" i="22"/>
  <c r="H48" i="22"/>
  <c r="E48" i="22"/>
  <c r="H45" i="22"/>
  <c r="H69" i="22"/>
  <c r="H63" i="22"/>
  <c r="H70" i="22"/>
  <c r="K53" i="22" l="1"/>
  <c r="L53" i="22" s="1"/>
  <c r="M53" i="22" s="1"/>
  <c r="N53" i="22" s="1"/>
  <c r="O53" i="22" s="1"/>
  <c r="P53" i="22" s="1"/>
  <c r="Q53" i="22" s="1"/>
  <c r="R53" i="22" s="1"/>
  <c r="S53" i="22" s="1"/>
  <c r="T53" i="22" s="1"/>
  <c r="U53" i="22" s="1"/>
  <c r="V53" i="22" s="1"/>
  <c r="W53" i="22" s="1"/>
  <c r="X53" i="22" s="1"/>
  <c r="Y53" i="22" s="1"/>
  <c r="T42" i="6"/>
  <c r="K42" i="22" s="1"/>
  <c r="K52" i="22"/>
  <c r="L52" i="22" s="1"/>
  <c r="M52" i="22" s="1"/>
  <c r="N52" i="22" s="1"/>
  <c r="O52" i="22" s="1"/>
  <c r="P52" i="22" s="1"/>
  <c r="Q52" i="22" s="1"/>
  <c r="R52" i="22" s="1"/>
  <c r="S52" i="22" s="1"/>
  <c r="T52" i="22" s="1"/>
  <c r="U52" i="22" s="1"/>
  <c r="V52" i="22" s="1"/>
  <c r="W52" i="22" s="1"/>
  <c r="X52" i="22" s="1"/>
  <c r="Y52" i="22" s="1"/>
  <c r="T41" i="6"/>
  <c r="K41" i="22" s="1"/>
  <c r="K57" i="22"/>
  <c r="L57" i="22" s="1"/>
  <c r="M57" i="22" s="1"/>
  <c r="N57" i="22" s="1"/>
  <c r="O57" i="22" s="1"/>
  <c r="P57" i="22" s="1"/>
  <c r="Q57" i="22" s="1"/>
  <c r="R57" i="22" s="1"/>
  <c r="S57" i="22" s="1"/>
  <c r="T57" i="22" s="1"/>
  <c r="U57" i="22" s="1"/>
  <c r="V57" i="22" s="1"/>
  <c r="W57" i="22" s="1"/>
  <c r="X57" i="22" s="1"/>
  <c r="Y57" i="22" s="1"/>
  <c r="T46" i="6"/>
  <c r="K46" i="22" s="1"/>
  <c r="K56" i="22"/>
  <c r="T45" i="6"/>
  <c r="K45" i="22" s="1"/>
  <c r="K61" i="22"/>
  <c r="Y39" i="6"/>
  <c r="K55" i="22"/>
  <c r="L55" i="22" s="1"/>
  <c r="M55" i="22" s="1"/>
  <c r="N55" i="22" s="1"/>
  <c r="O55" i="22" s="1"/>
  <c r="P55" i="22" s="1"/>
  <c r="Q55" i="22" s="1"/>
  <c r="R55" i="22" s="1"/>
  <c r="S55" i="22" s="1"/>
  <c r="T55" i="22" s="1"/>
  <c r="U55" i="22" s="1"/>
  <c r="V55" i="22" s="1"/>
  <c r="W55" i="22" s="1"/>
  <c r="X55" i="22" s="1"/>
  <c r="Y55" i="22" s="1"/>
  <c r="T44" i="6"/>
  <c r="K44" i="22" s="1"/>
  <c r="K54" i="22"/>
  <c r="L54" i="22" s="1"/>
  <c r="M54" i="22" s="1"/>
  <c r="N54" i="22" s="1"/>
  <c r="O54" i="22" s="1"/>
  <c r="P54" i="22" s="1"/>
  <c r="Q54" i="22" s="1"/>
  <c r="R54" i="22" s="1"/>
  <c r="S54" i="22" s="1"/>
  <c r="T54" i="22" s="1"/>
  <c r="U54" i="22" s="1"/>
  <c r="V54" i="22" s="1"/>
  <c r="W54" i="22" s="1"/>
  <c r="X54" i="22" s="1"/>
  <c r="Y54" i="22" s="1"/>
  <c r="T43" i="6"/>
  <c r="K43" i="22" s="1"/>
  <c r="K59" i="22"/>
  <c r="L59" i="22" s="1"/>
  <c r="M59" i="22" s="1"/>
  <c r="N59" i="22" s="1"/>
  <c r="O59" i="22" s="1"/>
  <c r="P59" i="22" s="1"/>
  <c r="Q59" i="22" s="1"/>
  <c r="R59" i="22" s="1"/>
  <c r="S59" i="22" s="1"/>
  <c r="T59" i="22" s="1"/>
  <c r="U59" i="22" s="1"/>
  <c r="V59" i="22" s="1"/>
  <c r="W59" i="22" s="1"/>
  <c r="X59" i="22" s="1"/>
  <c r="Y59" i="22" s="1"/>
  <c r="T48" i="6"/>
  <c r="K48" i="22" s="1"/>
  <c r="K51" i="22"/>
  <c r="L51" i="22" s="1"/>
  <c r="M51" i="22" s="1"/>
  <c r="N51" i="22" s="1"/>
  <c r="O51" i="22" s="1"/>
  <c r="P51" i="22" s="1"/>
  <c r="Q51" i="22" s="1"/>
  <c r="R51" i="22" s="1"/>
  <c r="S51" i="22" s="1"/>
  <c r="T51" i="22" s="1"/>
  <c r="U51" i="22" s="1"/>
  <c r="V51" i="22" s="1"/>
  <c r="W51" i="22" s="1"/>
  <c r="X51" i="22" s="1"/>
  <c r="Y51" i="22" s="1"/>
  <c r="T40" i="6"/>
  <c r="K40" i="22" s="1"/>
  <c r="K50" i="22"/>
  <c r="L50" i="22" s="1"/>
  <c r="M50" i="22" s="1"/>
  <c r="N50" i="22" s="1"/>
  <c r="O50" i="22" s="1"/>
  <c r="P50" i="22" s="1"/>
  <c r="Q50" i="22" s="1"/>
  <c r="R50" i="22" s="1"/>
  <c r="S50" i="22" s="1"/>
  <c r="T50" i="22" s="1"/>
  <c r="U50" i="22" s="1"/>
  <c r="V50" i="22" s="1"/>
  <c r="W50" i="22" s="1"/>
  <c r="X50" i="22" s="1"/>
  <c r="Y50" i="22" s="1"/>
  <c r="D77" i="2"/>
  <c r="E76" i="2"/>
  <c r="E117" i="2" s="1"/>
  <c r="D117" i="2" s="1"/>
  <c r="H47" i="22"/>
  <c r="E40" i="22"/>
  <c r="E63" i="22"/>
  <c r="I53" i="22"/>
  <c r="H53" i="22"/>
  <c r="I50" i="22"/>
  <c r="H50" i="22"/>
  <c r="I57" i="22"/>
  <c r="H57" i="22"/>
  <c r="E70" i="22"/>
  <c r="I56" i="22"/>
  <c r="H56" i="22"/>
  <c r="E69" i="22"/>
  <c r="I55" i="22"/>
  <c r="H55" i="22"/>
  <c r="I54" i="22"/>
  <c r="H54" i="22"/>
  <c r="I51" i="22"/>
  <c r="H51" i="22"/>
  <c r="I59" i="22"/>
  <c r="H59" i="22"/>
  <c r="E62" i="22"/>
  <c r="I52" i="22"/>
  <c r="H52" i="22"/>
  <c r="E65" i="22"/>
  <c r="J58" i="22"/>
  <c r="J41" i="22"/>
  <c r="J39" i="22"/>
  <c r="J49" i="22"/>
  <c r="F61" i="22"/>
  <c r="E68" i="22"/>
  <c r="E67" i="22"/>
  <c r="E66" i="22"/>
  <c r="E64" i="22"/>
  <c r="J40" i="22"/>
  <c r="J38" i="22"/>
  <c r="J47" i="22"/>
  <c r="G61" i="22"/>
  <c r="F49" i="22"/>
  <c r="F59" i="22"/>
  <c r="AB63" i="22"/>
  <c r="AB66" i="22"/>
  <c r="E61" i="22"/>
  <c r="E41" i="22"/>
  <c r="E59" i="22"/>
  <c r="H40" i="22"/>
  <c r="H38" i="22"/>
  <c r="G39" i="22"/>
  <c r="F38" i="22"/>
  <c r="I43" i="22"/>
  <c r="AA68" i="22"/>
  <c r="AA57" i="22"/>
  <c r="AB57" i="22" s="1"/>
  <c r="AC57" i="22" s="1"/>
  <c r="AD57" i="22" s="1"/>
  <c r="AE57" i="22" s="1"/>
  <c r="AF57" i="22" s="1"/>
  <c r="AG57" i="22" s="1"/>
  <c r="AH57" i="22" s="1"/>
  <c r="AI57" i="22" s="1"/>
  <c r="I46" i="22"/>
  <c r="I42" i="22"/>
  <c r="I48" i="22"/>
  <c r="I45" i="22"/>
  <c r="I44" i="22"/>
  <c r="T39" i="6" l="1"/>
  <c r="K39" i="22" s="1"/>
  <c r="U43" i="6"/>
  <c r="U41" i="6"/>
  <c r="U48" i="6"/>
  <c r="K58" i="22"/>
  <c r="T47" i="6"/>
  <c r="K47" i="22" s="1"/>
  <c r="U46" i="6"/>
  <c r="U42" i="6"/>
  <c r="U45" i="6"/>
  <c r="U39" i="6"/>
  <c r="U44" i="6"/>
  <c r="K49" i="22"/>
  <c r="T38" i="6"/>
  <c r="K38" i="22" s="1"/>
  <c r="I47" i="22"/>
  <c r="D78" i="2"/>
  <c r="E77" i="2"/>
  <c r="E118" i="2" s="1"/>
  <c r="D118" i="2" s="1"/>
  <c r="E60" i="22"/>
  <c r="I38" i="22"/>
  <c r="H39" i="22"/>
  <c r="E49" i="22"/>
  <c r="I40" i="22"/>
  <c r="I41" i="22"/>
  <c r="H41" i="22"/>
  <c r="I68" i="22"/>
  <c r="I65" i="22"/>
  <c r="I60" i="22"/>
  <c r="I62" i="22"/>
  <c r="I64" i="22"/>
  <c r="I66" i="22"/>
  <c r="I70" i="22"/>
  <c r="I67" i="22"/>
  <c r="I63" i="22"/>
  <c r="I69" i="22"/>
  <c r="I61" i="22"/>
  <c r="I58" i="22"/>
  <c r="H58" i="22"/>
  <c r="I49" i="22"/>
  <c r="H49" i="22"/>
  <c r="AC63" i="22"/>
  <c r="AC66" i="22"/>
  <c r="AB68" i="22"/>
  <c r="U40" i="6"/>
  <c r="E39" i="22"/>
  <c r="V45" i="6" l="1"/>
  <c r="V42" i="6"/>
  <c r="V48" i="6"/>
  <c r="U47" i="6"/>
  <c r="V44" i="6"/>
  <c r="V41" i="6"/>
  <c r="V39" i="6"/>
  <c r="V46" i="6"/>
  <c r="V43" i="6"/>
  <c r="U38" i="6"/>
  <c r="I39" i="22"/>
  <c r="D79" i="2"/>
  <c r="E78" i="2"/>
  <c r="E119" i="2" s="1"/>
  <c r="D119" i="2" s="1"/>
  <c r="AJ73" i="22" a="1"/>
  <c r="AJ73" i="22" s="1"/>
  <c r="K71" i="22" a="1"/>
  <c r="K71" i="22" s="1"/>
  <c r="AD63" i="22"/>
  <c r="AD66" i="22"/>
  <c r="AC68" i="22"/>
  <c r="E38" i="22"/>
  <c r="V40" i="6"/>
  <c r="W39" i="6" l="1"/>
  <c r="V47" i="6"/>
  <c r="W41" i="6"/>
  <c r="W43" i="6"/>
  <c r="W48" i="6"/>
  <c r="W42" i="6"/>
  <c r="W46" i="6"/>
  <c r="W44" i="6"/>
  <c r="X45" i="6"/>
  <c r="W45" i="6"/>
  <c r="V38" i="6"/>
  <c r="D80" i="2"/>
  <c r="E79" i="2"/>
  <c r="E120" i="2" s="1"/>
  <c r="D120" i="2" s="1"/>
  <c r="AS28" i="6"/>
  <c r="AS28" i="25" s="1"/>
  <c r="G206" i="33" s="1"/>
  <c r="AS31" i="6"/>
  <c r="AS31" i="25" s="1"/>
  <c r="G329" i="33" s="1"/>
  <c r="AS30" i="6"/>
  <c r="AS30" i="25" s="1"/>
  <c r="G288" i="33" s="1"/>
  <c r="AS34" i="6"/>
  <c r="AS34" i="25" s="1"/>
  <c r="G452" i="33" s="1"/>
  <c r="H452" i="33" s="1"/>
  <c r="AS24" i="6"/>
  <c r="AS24" i="25" s="1"/>
  <c r="AS29" i="6"/>
  <c r="AS29" i="25" s="1"/>
  <c r="G247" i="33" s="1"/>
  <c r="AS33" i="6"/>
  <c r="AS33" i="25" s="1"/>
  <c r="G411" i="33" s="1"/>
  <c r="AS27" i="6"/>
  <c r="AS27" i="25" s="1"/>
  <c r="G165" i="33" s="1"/>
  <c r="AS26" i="6"/>
  <c r="AS26" i="25" s="1"/>
  <c r="G124" i="33" s="1"/>
  <c r="AS32" i="6"/>
  <c r="AS32" i="25" s="1"/>
  <c r="G370" i="33" s="1"/>
  <c r="AJ33" i="22"/>
  <c r="AJ33" i="26" s="1" a="1"/>
  <c r="AJ33" i="26" s="1"/>
  <c r="AJ71" i="30" s="1"/>
  <c r="AJ26" i="22"/>
  <c r="AJ26" i="26" s="1" a="1"/>
  <c r="AJ26" i="26" s="1"/>
  <c r="AJ64" i="26" s="1"/>
  <c r="AJ27" i="22"/>
  <c r="AJ27" i="26" s="1" a="1"/>
  <c r="AJ27" i="26" s="1"/>
  <c r="AJ24" i="22"/>
  <c r="AJ24" i="26" s="1" a="1"/>
  <c r="AJ24" i="26" s="1"/>
  <c r="AJ100" i="30" s="1"/>
  <c r="AJ32" i="22"/>
  <c r="AJ32" i="26" s="1" a="1"/>
  <c r="AJ32" i="26" s="1"/>
  <c r="AJ34" i="22"/>
  <c r="AJ34" i="26" s="1" a="1"/>
  <c r="AJ34" i="26" s="1"/>
  <c r="AJ29" i="22"/>
  <c r="AJ29" i="26" s="1" a="1"/>
  <c r="AJ29" i="26" s="1"/>
  <c r="AJ30" i="22"/>
  <c r="AJ30" i="26" s="1" a="1"/>
  <c r="AJ30" i="26" s="1"/>
  <c r="AJ28" i="22"/>
  <c r="AJ28" i="26" s="1" a="1"/>
  <c r="AJ28" i="26" s="1"/>
  <c r="L71" i="22" a="1"/>
  <c r="L71" i="22" s="1"/>
  <c r="AE63" i="22"/>
  <c r="AE66" i="22"/>
  <c r="AD68" i="22"/>
  <c r="W40" i="6"/>
  <c r="H288" i="33" l="1"/>
  <c r="H329" i="33"/>
  <c r="H370" i="33"/>
  <c r="H124" i="33"/>
  <c r="H206" i="33"/>
  <c r="H165" i="33"/>
  <c r="H411" i="33"/>
  <c r="H247" i="33"/>
  <c r="G42" i="33"/>
  <c r="J124" i="34"/>
  <c r="D124" i="34"/>
  <c r="X46" i="6"/>
  <c r="X43" i="6"/>
  <c r="X42" i="6"/>
  <c r="X41" i="6"/>
  <c r="X47" i="6"/>
  <c r="W47" i="6"/>
  <c r="X44" i="6"/>
  <c r="X48" i="6"/>
  <c r="X39" i="6"/>
  <c r="X38" i="6"/>
  <c r="W38" i="6"/>
  <c r="D81" i="2"/>
  <c r="E80" i="2"/>
  <c r="E121" i="2" s="1"/>
  <c r="D121" i="2" s="1"/>
  <c r="AJ62" i="26"/>
  <c r="AJ100" i="26"/>
  <c r="AJ24" i="30"/>
  <c r="AJ62" i="30"/>
  <c r="AJ102" i="30"/>
  <c r="AJ65" i="26"/>
  <c r="AJ103" i="26"/>
  <c r="AJ65" i="30"/>
  <c r="AJ109" i="30"/>
  <c r="AJ103" i="30"/>
  <c r="AJ68" i="26"/>
  <c r="AJ109" i="26"/>
  <c r="AJ26" i="30"/>
  <c r="AJ71" i="26"/>
  <c r="AJ33" i="30"/>
  <c r="AJ27" i="30"/>
  <c r="AJ104" i="26"/>
  <c r="AJ66" i="26"/>
  <c r="AJ28" i="30"/>
  <c r="AJ66" i="30"/>
  <c r="AJ104" i="30"/>
  <c r="AJ105" i="26"/>
  <c r="AJ29" i="30"/>
  <c r="AJ105" i="30"/>
  <c r="AJ67" i="30"/>
  <c r="AJ67" i="26"/>
  <c r="AJ110" i="26"/>
  <c r="AJ72" i="30"/>
  <c r="AJ110" i="30"/>
  <c r="AJ72" i="26"/>
  <c r="AJ34" i="30"/>
  <c r="AJ100" i="29"/>
  <c r="AJ24" i="29"/>
  <c r="AJ62" i="29"/>
  <c r="AJ106" i="26"/>
  <c r="AJ110" i="29"/>
  <c r="AJ72" i="29"/>
  <c r="AJ34" i="29"/>
  <c r="AJ106" i="29"/>
  <c r="AJ30" i="29"/>
  <c r="AJ68" i="29"/>
  <c r="AJ32" i="29"/>
  <c r="AJ108" i="29"/>
  <c r="AJ70" i="29"/>
  <c r="AJ107" i="29"/>
  <c r="AJ31" i="29"/>
  <c r="AJ69" i="29"/>
  <c r="AJ106" i="30"/>
  <c r="AJ64" i="30"/>
  <c r="AJ64" i="29"/>
  <c r="AJ26" i="29"/>
  <c r="AJ102" i="29"/>
  <c r="AJ68" i="30"/>
  <c r="AJ102" i="26"/>
  <c r="AJ27" i="29"/>
  <c r="AJ65" i="29"/>
  <c r="AJ103" i="29"/>
  <c r="AJ104" i="29"/>
  <c r="AJ28" i="29"/>
  <c r="AJ66" i="29"/>
  <c r="AJ30" i="30"/>
  <c r="AJ32" i="30"/>
  <c r="AJ70" i="26"/>
  <c r="AJ108" i="26"/>
  <c r="AJ108" i="30"/>
  <c r="AJ70" i="30"/>
  <c r="AJ33" i="29"/>
  <c r="AJ71" i="29"/>
  <c r="AJ109" i="29"/>
  <c r="AJ105" i="29"/>
  <c r="AJ29" i="29"/>
  <c r="AJ67" i="29"/>
  <c r="M71" i="22" a="1"/>
  <c r="M71" i="22" s="1"/>
  <c r="AF63" i="22"/>
  <c r="AF66" i="22"/>
  <c r="AE68" i="22"/>
  <c r="X40" i="6"/>
  <c r="H42" i="33" l="1"/>
  <c r="L124" i="34"/>
  <c r="D82" i="2"/>
  <c r="E82" i="2" s="1"/>
  <c r="E123" i="2" s="1"/>
  <c r="D123" i="2" s="1"/>
  <c r="E81" i="2"/>
  <c r="E122" i="2" s="1"/>
  <c r="D122" i="2" s="1"/>
  <c r="AL58" i="22"/>
  <c r="AL56" i="22"/>
  <c r="N71" i="22" a="1"/>
  <c r="N71" i="22" s="1"/>
  <c r="AG63" i="22"/>
  <c r="AG66" i="22"/>
  <c r="AF68" i="22"/>
  <c r="AM56" i="22" l="1"/>
  <c r="AJ56" i="22" s="1"/>
  <c r="Z56" i="22"/>
  <c r="AM58" i="22"/>
  <c r="AJ58" i="22" s="1"/>
  <c r="Z58" i="22"/>
  <c r="L58" i="22" s="1"/>
  <c r="O71" i="22" a="1"/>
  <c r="O71" i="22" s="1"/>
  <c r="AH63" i="22"/>
  <c r="AH66" i="22"/>
  <c r="AG68" i="22"/>
  <c r="AA56" i="22" l="1"/>
  <c r="AB56" i="22" s="1"/>
  <c r="AC56" i="22" s="1"/>
  <c r="AD56" i="22" s="1"/>
  <c r="AE56" i="22" s="1"/>
  <c r="AF56" i="22" s="1"/>
  <c r="AG56" i="22" s="1"/>
  <c r="AH56" i="22" s="1"/>
  <c r="AI56" i="22" s="1"/>
  <c r="M58" i="22"/>
  <c r="AJ49" i="22"/>
  <c r="R72" i="22" a="1"/>
  <c r="R72" i="22" s="1"/>
  <c r="R17" i="22" s="1"/>
  <c r="AA58" i="22"/>
  <c r="AB58" i="22" s="1"/>
  <c r="AC58" i="22" s="1"/>
  <c r="AD58" i="22" s="1"/>
  <c r="AE58" i="22" s="1"/>
  <c r="AF58" i="22" s="1"/>
  <c r="AG58" i="22" s="1"/>
  <c r="AH58" i="22" s="1"/>
  <c r="AI58" i="22" s="1"/>
  <c r="Z49" i="22"/>
  <c r="L56" i="22"/>
  <c r="P71" i="22" a="1"/>
  <c r="P71" i="22" s="1"/>
  <c r="AI63" i="22"/>
  <c r="AI66" i="22"/>
  <c r="AH68" i="22"/>
  <c r="R18" i="22" l="1"/>
  <c r="R16" i="22"/>
  <c r="R16" i="26" s="1" a="1"/>
  <c r="R16" i="26" s="1"/>
  <c r="R14" i="22"/>
  <c r="R14" i="26" s="1" a="1"/>
  <c r="R14" i="26" s="1"/>
  <c r="R52" i="30" s="1"/>
  <c r="R19" i="22"/>
  <c r="R19" i="26" s="1" a="1"/>
  <c r="R19" i="26" s="1"/>
  <c r="R23" i="22"/>
  <c r="R23" i="26" s="1" a="1"/>
  <c r="R23" i="26" s="1"/>
  <c r="R15" i="22"/>
  <c r="R15" i="26" s="1" a="1"/>
  <c r="R15" i="26" s="1"/>
  <c r="R21" i="22"/>
  <c r="R21" i="26" s="1" a="1"/>
  <c r="R21" i="26" s="1"/>
  <c r="AA49" i="22"/>
  <c r="AB49" i="22" s="1"/>
  <c r="AC49" i="22" s="1"/>
  <c r="AD49" i="22" s="1"/>
  <c r="AE49" i="22" s="1"/>
  <c r="AF49" i="22" s="1"/>
  <c r="AG49" i="22" s="1"/>
  <c r="AH49" i="22" s="1"/>
  <c r="AI49" i="22" s="1"/>
  <c r="L49" i="22"/>
  <c r="N58" i="22"/>
  <c r="M56" i="22"/>
  <c r="Q71" i="22" a="1"/>
  <c r="Q71" i="22" s="1"/>
  <c r="R17" i="26" a="1"/>
  <c r="R17" i="26" s="1"/>
  <c r="R18" i="26" a="1"/>
  <c r="R18" i="26" s="1"/>
  <c r="AI68" i="22"/>
  <c r="E7" i="1" a="1"/>
  <c r="E7" i="1" s="1"/>
  <c r="E11" i="1" a="1"/>
  <c r="E11" i="1" s="1"/>
  <c r="E10" i="1" a="1"/>
  <c r="E10" i="1" s="1"/>
  <c r="E6" i="1" a="1"/>
  <c r="E6" i="1" s="1"/>
  <c r="AJ41" i="1"/>
  <c r="AJ40" i="1"/>
  <c r="AJ39" i="1"/>
  <c r="AJ38" i="1"/>
  <c r="P39" i="1"/>
  <c r="P38" i="1"/>
  <c r="P41" i="1"/>
  <c r="P40" i="1"/>
  <c r="E41" i="1"/>
  <c r="E40" i="1" a="1"/>
  <c r="E40" i="1" s="1"/>
  <c r="R52" i="26" l="1"/>
  <c r="R90" i="26"/>
  <c r="R90" i="30"/>
  <c r="R14" i="30"/>
  <c r="J73" i="22" a="1"/>
  <c r="J73" i="22" s="1"/>
  <c r="O58" i="22"/>
  <c r="N56" i="22"/>
  <c r="M49" i="22"/>
  <c r="R71" i="22" a="1"/>
  <c r="R71" i="22" s="1"/>
  <c r="R19" i="30"/>
  <c r="R57" i="30"/>
  <c r="R95" i="30"/>
  <c r="R21" i="30"/>
  <c r="R97" i="30"/>
  <c r="R59" i="30"/>
  <c r="R15" i="30"/>
  <c r="R53" i="30"/>
  <c r="R91" i="30"/>
  <c r="R92" i="30"/>
  <c r="R54" i="30"/>
  <c r="R56" i="30"/>
  <c r="R94" i="30"/>
  <c r="R61" i="30"/>
  <c r="R99" i="30"/>
  <c r="R17" i="30"/>
  <c r="R93" i="30"/>
  <c r="R55" i="30"/>
  <c r="R16" i="30"/>
  <c r="R18" i="30"/>
  <c r="R23" i="30"/>
  <c r="R93" i="26"/>
  <c r="R92" i="26"/>
  <c r="R94" i="26"/>
  <c r="R91" i="26"/>
  <c r="R97" i="26"/>
  <c r="R95" i="26"/>
  <c r="R99" i="26"/>
  <c r="R59" i="26"/>
  <c r="R57" i="26"/>
  <c r="R61" i="26"/>
  <c r="R53" i="26"/>
  <c r="R55" i="26"/>
  <c r="R54" i="26"/>
  <c r="R56" i="26"/>
  <c r="E5" i="1" a="1"/>
  <c r="E5" i="1" s="1"/>
  <c r="P2" i="1" a="1"/>
  <c r="P2" i="1" s="1"/>
  <c r="P71" i="1" s="1"/>
  <c r="P7" i="1" a="1"/>
  <c r="P7" i="1" s="1"/>
  <c r="L11" i="1" a="1"/>
  <c r="L11" i="1" s="1"/>
  <c r="E8" i="1" a="1"/>
  <c r="E8" i="1" s="1"/>
  <c r="P6" i="1" a="1"/>
  <c r="P6" i="1" s="1"/>
  <c r="M11" i="1" a="1"/>
  <c r="M11" i="1" s="1"/>
  <c r="P5" i="1" a="1"/>
  <c r="P5" i="1" s="1"/>
  <c r="F11" i="1" a="1"/>
  <c r="F11" i="1" s="1"/>
  <c r="N11" i="1" a="1"/>
  <c r="N11" i="1" s="1"/>
  <c r="G11" i="1" a="1"/>
  <c r="G11" i="1" s="1"/>
  <c r="O11" i="1" a="1"/>
  <c r="O11" i="1" s="1"/>
  <c r="H11" i="1" a="1"/>
  <c r="H11" i="1" s="1"/>
  <c r="P11" i="1" a="1"/>
  <c r="P11" i="1" s="1"/>
  <c r="P4" i="1" a="1"/>
  <c r="P4" i="1" s="1"/>
  <c r="P10" i="1" a="1"/>
  <c r="P10" i="1" s="1"/>
  <c r="P9" i="1" a="1"/>
  <c r="P9" i="1" s="1"/>
  <c r="E9" i="1" a="1"/>
  <c r="E9" i="1" s="1"/>
  <c r="P8" i="1" a="1"/>
  <c r="P8" i="1" s="1"/>
  <c r="P3" i="1" a="1"/>
  <c r="P3" i="1" s="1"/>
  <c r="E39" i="1"/>
  <c r="E3" i="1" s="1" a="1"/>
  <c r="E3" i="1" s="1"/>
  <c r="E4" i="1" a="1"/>
  <c r="E4" i="1" s="1"/>
  <c r="E38" i="1"/>
  <c r="Q48" i="1"/>
  <c r="R48" i="1" s="1"/>
  <c r="S48" i="1" s="1"/>
  <c r="T48" i="1" s="1"/>
  <c r="U48" i="1" s="1"/>
  <c r="V48" i="1" s="1"/>
  <c r="W48" i="1" s="1"/>
  <c r="X48" i="1" s="1"/>
  <c r="Y48" i="1" s="1"/>
  <c r="Z48" i="1" s="1"/>
  <c r="AA48" i="1" s="1"/>
  <c r="AB48" i="1" s="1"/>
  <c r="AC48" i="1" s="1"/>
  <c r="AD48" i="1" s="1"/>
  <c r="AE48" i="1" s="1"/>
  <c r="AF48" i="1" s="1"/>
  <c r="AG48" i="1" s="1"/>
  <c r="AH48" i="1" s="1"/>
  <c r="AI48" i="1" s="1"/>
  <c r="F48" i="1"/>
  <c r="G48" i="1" s="1"/>
  <c r="H48" i="1" s="1"/>
  <c r="I48" i="1" s="1"/>
  <c r="J48" i="1" s="1"/>
  <c r="K48" i="1" s="1"/>
  <c r="L48" i="1" s="1"/>
  <c r="M48" i="1" s="1"/>
  <c r="N48" i="1" s="1"/>
  <c r="O48" i="1" s="1"/>
  <c r="Q47" i="1"/>
  <c r="R47" i="1" s="1"/>
  <c r="S47" i="1" s="1"/>
  <c r="T47" i="1" s="1"/>
  <c r="U47" i="1" s="1"/>
  <c r="V47" i="1" s="1"/>
  <c r="W47" i="1" s="1"/>
  <c r="X47" i="1" s="1"/>
  <c r="Y47" i="1" s="1"/>
  <c r="Z47" i="1" s="1"/>
  <c r="AA47" i="1" s="1"/>
  <c r="AB47" i="1" s="1"/>
  <c r="AC47" i="1" s="1"/>
  <c r="AD47" i="1" s="1"/>
  <c r="AE47" i="1" s="1"/>
  <c r="AF47" i="1" s="1"/>
  <c r="AG47" i="1" s="1"/>
  <c r="AH47" i="1" s="1"/>
  <c r="AI47" i="1" s="1"/>
  <c r="F47" i="1"/>
  <c r="G47" i="1" s="1"/>
  <c r="H47" i="1" s="1"/>
  <c r="I47" i="1" s="1"/>
  <c r="J47" i="1" s="1"/>
  <c r="K47" i="1" s="1"/>
  <c r="L47" i="1" s="1"/>
  <c r="M47" i="1" s="1"/>
  <c r="N47" i="1" s="1"/>
  <c r="O47" i="1" s="1"/>
  <c r="Q46" i="1"/>
  <c r="R46" i="1" s="1"/>
  <c r="S46" i="1" s="1"/>
  <c r="T46" i="1" s="1"/>
  <c r="U46" i="1" s="1"/>
  <c r="V46" i="1" s="1"/>
  <c r="W46" i="1" s="1"/>
  <c r="X46" i="1" s="1"/>
  <c r="Y46" i="1" s="1"/>
  <c r="Z46" i="1" s="1"/>
  <c r="AA46" i="1" s="1"/>
  <c r="AB46" i="1" s="1"/>
  <c r="AC46" i="1" s="1"/>
  <c r="AD46" i="1" s="1"/>
  <c r="AE46" i="1" s="1"/>
  <c r="AF46" i="1" s="1"/>
  <c r="AG46" i="1" s="1"/>
  <c r="AH46" i="1" s="1"/>
  <c r="AI46" i="1" s="1"/>
  <c r="F46" i="1"/>
  <c r="G46" i="1" s="1"/>
  <c r="Q45" i="1"/>
  <c r="R45" i="1" s="1"/>
  <c r="S45" i="1" s="1"/>
  <c r="T45" i="1" s="1"/>
  <c r="U45" i="1" s="1"/>
  <c r="V45" i="1" s="1"/>
  <c r="W45" i="1" s="1"/>
  <c r="X45" i="1" s="1"/>
  <c r="Y45" i="1" s="1"/>
  <c r="Z45" i="1" s="1"/>
  <c r="AA45" i="1" s="1"/>
  <c r="AB45" i="1" s="1"/>
  <c r="AC45" i="1" s="1"/>
  <c r="AD45" i="1" s="1"/>
  <c r="AE45" i="1" s="1"/>
  <c r="AF45" i="1" s="1"/>
  <c r="AG45" i="1" s="1"/>
  <c r="AH45" i="1" s="1"/>
  <c r="AI45" i="1" s="1"/>
  <c r="F45" i="1"/>
  <c r="G45" i="1" s="1"/>
  <c r="Q44" i="1"/>
  <c r="R44" i="1" s="1"/>
  <c r="S44" i="1" s="1"/>
  <c r="T44" i="1" s="1"/>
  <c r="U44" i="1" s="1"/>
  <c r="V44" i="1" s="1"/>
  <c r="W44" i="1" s="1"/>
  <c r="X44" i="1" s="1"/>
  <c r="Y44" i="1" s="1"/>
  <c r="Z44" i="1" s="1"/>
  <c r="AA44" i="1" s="1"/>
  <c r="AB44" i="1" s="1"/>
  <c r="AC44" i="1" s="1"/>
  <c r="AD44" i="1" s="1"/>
  <c r="AE44" i="1" s="1"/>
  <c r="AF44" i="1" s="1"/>
  <c r="AG44" i="1" s="1"/>
  <c r="AH44" i="1" s="1"/>
  <c r="AI44" i="1" s="1"/>
  <c r="F44" i="1"/>
  <c r="G44" i="1" s="1"/>
  <c r="Q43" i="1"/>
  <c r="R43" i="1" s="1"/>
  <c r="S43" i="1" s="1"/>
  <c r="T43" i="1" s="1"/>
  <c r="U43" i="1" s="1"/>
  <c r="V43" i="1" s="1"/>
  <c r="W43" i="1" s="1"/>
  <c r="X43" i="1" s="1"/>
  <c r="Y43" i="1" s="1"/>
  <c r="Z43" i="1" s="1"/>
  <c r="AA43" i="1" s="1"/>
  <c r="AB43" i="1" s="1"/>
  <c r="AC43" i="1" s="1"/>
  <c r="AD43" i="1" s="1"/>
  <c r="AE43" i="1" s="1"/>
  <c r="AF43" i="1" s="1"/>
  <c r="AG43" i="1" s="1"/>
  <c r="AH43" i="1" s="1"/>
  <c r="AI43" i="1" s="1"/>
  <c r="F43" i="1"/>
  <c r="G43" i="1" s="1"/>
  <c r="H43" i="1" s="1"/>
  <c r="I43" i="1" s="1"/>
  <c r="J43" i="1" s="1"/>
  <c r="K43" i="1" s="1"/>
  <c r="L43" i="1" s="1"/>
  <c r="M43" i="1" s="1"/>
  <c r="N43" i="1" s="1"/>
  <c r="O43" i="1" s="1"/>
  <c r="O7" i="1" s="1" a="1"/>
  <c r="O7" i="1" s="1"/>
  <c r="Q42" i="1"/>
  <c r="R42" i="1" s="1"/>
  <c r="S42" i="1" s="1"/>
  <c r="T42" i="1" s="1"/>
  <c r="U42" i="1" s="1"/>
  <c r="V42" i="1" s="1"/>
  <c r="W42" i="1" s="1"/>
  <c r="X42" i="1" s="1"/>
  <c r="Y42" i="1" s="1"/>
  <c r="Z42" i="1" s="1"/>
  <c r="AA42" i="1" s="1"/>
  <c r="AB42" i="1" s="1"/>
  <c r="AC42" i="1" s="1"/>
  <c r="AD42" i="1" s="1"/>
  <c r="AE42" i="1" s="1"/>
  <c r="AF42" i="1" s="1"/>
  <c r="AG42" i="1" s="1"/>
  <c r="AH42" i="1" s="1"/>
  <c r="AI42" i="1" s="1"/>
  <c r="F42" i="1"/>
  <c r="F6" i="1" s="1" a="1"/>
  <c r="F6" i="1" s="1"/>
  <c r="Q41" i="1"/>
  <c r="R41" i="1" s="1"/>
  <c r="S41" i="1" s="1"/>
  <c r="T41" i="1" s="1"/>
  <c r="U41" i="1" s="1"/>
  <c r="V41" i="1" s="1"/>
  <c r="W41" i="1" s="1"/>
  <c r="X41" i="1" s="1"/>
  <c r="Y41" i="1" s="1"/>
  <c r="Z41" i="1" s="1"/>
  <c r="AA41" i="1" s="1"/>
  <c r="AB41" i="1" s="1"/>
  <c r="AC41" i="1" s="1"/>
  <c r="AD41" i="1" s="1"/>
  <c r="AE41" i="1" s="1"/>
  <c r="AF41" i="1" s="1"/>
  <c r="AG41" i="1" s="1"/>
  <c r="AH41" i="1" s="1"/>
  <c r="AI41" i="1" s="1"/>
  <c r="F41" i="1"/>
  <c r="Q40" i="1"/>
  <c r="R40" i="1" s="1"/>
  <c r="S40" i="1" s="1"/>
  <c r="T40" i="1" s="1"/>
  <c r="U40" i="1" s="1"/>
  <c r="V40" i="1" s="1"/>
  <c r="W40" i="1" s="1"/>
  <c r="X40" i="1" s="1"/>
  <c r="Y40" i="1" s="1"/>
  <c r="Z40" i="1" s="1"/>
  <c r="AA40" i="1" s="1"/>
  <c r="AB40" i="1" s="1"/>
  <c r="AC40" i="1" s="1"/>
  <c r="AD40" i="1" s="1"/>
  <c r="AE40" i="1" s="1"/>
  <c r="AF40" i="1" s="1"/>
  <c r="AG40" i="1" s="1"/>
  <c r="AH40" i="1" s="1"/>
  <c r="AI40" i="1" s="1"/>
  <c r="F40" i="1"/>
  <c r="Q39" i="1"/>
  <c r="R39" i="1" s="1"/>
  <c r="S39" i="1" s="1"/>
  <c r="T39" i="1" s="1"/>
  <c r="U39" i="1" s="1"/>
  <c r="V39" i="1" s="1"/>
  <c r="W39" i="1" s="1"/>
  <c r="X39" i="1" s="1"/>
  <c r="Y39" i="1" s="1"/>
  <c r="Z39" i="1" s="1"/>
  <c r="AA39" i="1" s="1"/>
  <c r="AB39" i="1" s="1"/>
  <c r="AC39" i="1" s="1"/>
  <c r="AD39" i="1" s="1"/>
  <c r="AE39" i="1" s="1"/>
  <c r="AF39" i="1" s="1"/>
  <c r="AG39" i="1" s="1"/>
  <c r="AH39" i="1" s="1"/>
  <c r="AI39" i="1" s="1"/>
  <c r="Q38" i="1"/>
  <c r="N49" i="22" l="1"/>
  <c r="O56" i="22"/>
  <c r="P58" i="22"/>
  <c r="S34" i="6"/>
  <c r="S34" i="25" s="1"/>
  <c r="G426" i="33" s="1"/>
  <c r="H426" i="33" s="1"/>
  <c r="S33" i="6"/>
  <c r="S33" i="25" s="1"/>
  <c r="G385" i="33" s="1"/>
  <c r="H385" i="33" s="1"/>
  <c r="S32" i="6"/>
  <c r="S32" i="25" s="1"/>
  <c r="G344" i="33" s="1"/>
  <c r="H344" i="33" s="1"/>
  <c r="S26" i="6"/>
  <c r="S26" i="25" s="1"/>
  <c r="G98" i="33" s="1"/>
  <c r="H98" i="33" s="1"/>
  <c r="S31" i="6"/>
  <c r="S31" i="25" s="1"/>
  <c r="G303" i="33" s="1"/>
  <c r="H303" i="33" s="1"/>
  <c r="S27" i="6"/>
  <c r="S27" i="25" s="1"/>
  <c r="G139" i="33" s="1"/>
  <c r="H139" i="33" s="1"/>
  <c r="S28" i="6"/>
  <c r="S28" i="25" s="1"/>
  <c r="G180" i="33" s="1"/>
  <c r="H180" i="33" s="1"/>
  <c r="S30" i="6"/>
  <c r="S30" i="25" s="1"/>
  <c r="G262" i="33" s="1"/>
  <c r="H262" i="33" s="1"/>
  <c r="S24" i="6"/>
  <c r="S24" i="25" s="1"/>
  <c r="S29" i="6"/>
  <c r="S29" i="25" s="1"/>
  <c r="G221" i="33" s="1"/>
  <c r="H221" i="33" s="1"/>
  <c r="S25" i="6"/>
  <c r="S25" i="25" s="1"/>
  <c r="J34" i="22"/>
  <c r="J29" i="22"/>
  <c r="J30" i="22"/>
  <c r="J31" i="22"/>
  <c r="J33" i="22"/>
  <c r="J24" i="22"/>
  <c r="J32" i="22"/>
  <c r="J25" i="22"/>
  <c r="J27" i="22"/>
  <c r="J28" i="22"/>
  <c r="J26" i="22"/>
  <c r="S71" i="22" a="1"/>
  <c r="S71" i="22" s="1"/>
  <c r="F39" i="1"/>
  <c r="G39" i="1" s="1"/>
  <c r="H46" i="1"/>
  <c r="G10" i="1" a="1"/>
  <c r="G10" i="1" s="1"/>
  <c r="H44" i="1"/>
  <c r="G8" i="1" a="1"/>
  <c r="G8" i="1" s="1"/>
  <c r="G9" i="1" a="1"/>
  <c r="G9" i="1" s="1"/>
  <c r="H45" i="1"/>
  <c r="G42" i="1"/>
  <c r="G7" i="1" a="1"/>
  <c r="G7" i="1" s="1"/>
  <c r="N7" i="1" a="1"/>
  <c r="N7" i="1" s="1"/>
  <c r="F8" i="1" a="1"/>
  <c r="F8" i="1" s="1"/>
  <c r="F10" i="1" a="1"/>
  <c r="F10" i="1" s="1"/>
  <c r="H7" i="1" a="1"/>
  <c r="H7" i="1" s="1"/>
  <c r="E2" i="1" a="1"/>
  <c r="E2" i="1" s="1"/>
  <c r="F38" i="1"/>
  <c r="G38" i="1" s="1"/>
  <c r="F7" i="1" a="1"/>
  <c r="F7" i="1" s="1"/>
  <c r="M7" i="1" a="1"/>
  <c r="M7" i="1" s="1"/>
  <c r="F9" i="1" a="1"/>
  <c r="F9" i="1" s="1"/>
  <c r="I7" i="1" a="1"/>
  <c r="I7" i="1" s="1"/>
  <c r="K11" i="1" a="1"/>
  <c r="K11" i="1" s="1"/>
  <c r="J11" i="1" a="1"/>
  <c r="J11" i="1" s="1"/>
  <c r="I11" i="1" a="1"/>
  <c r="I11" i="1" s="1"/>
  <c r="J7" i="1" a="1"/>
  <c r="J7" i="1" s="1"/>
  <c r="L7" i="1" a="1"/>
  <c r="L7" i="1" s="1"/>
  <c r="K7" i="1" a="1"/>
  <c r="K7" i="1" s="1"/>
  <c r="U5" i="1" a="1"/>
  <c r="U5" i="1" s="1"/>
  <c r="U6" i="1" a="1"/>
  <c r="U6" i="1" s="1"/>
  <c r="U7" i="1" a="1"/>
  <c r="U7" i="1" s="1"/>
  <c r="U3" i="1" a="1"/>
  <c r="U3" i="1" s="1"/>
  <c r="U8" i="1" a="1"/>
  <c r="U8" i="1" s="1"/>
  <c r="U9" i="1" a="1"/>
  <c r="U9" i="1" s="1"/>
  <c r="U10" i="1" a="1"/>
  <c r="U10" i="1" s="1"/>
  <c r="U4" i="1" a="1"/>
  <c r="U4" i="1" s="1"/>
  <c r="U11" i="1" a="1"/>
  <c r="U11" i="1" s="1"/>
  <c r="G40" i="1"/>
  <c r="F4" i="1" a="1"/>
  <c r="F4" i="1" s="1"/>
  <c r="G41" i="1"/>
  <c r="F5" i="1" a="1"/>
  <c r="F5" i="1" s="1"/>
  <c r="R38" i="1"/>
  <c r="G57" i="33" l="1"/>
  <c r="D139" i="34"/>
  <c r="J139" i="34"/>
  <c r="G16" i="33"/>
  <c r="D98" i="34"/>
  <c r="J98" i="34"/>
  <c r="Q58" i="22"/>
  <c r="J26" i="26" a="1"/>
  <c r="J26" i="26" s="1"/>
  <c r="J28" i="26" a="1"/>
  <c r="J28" i="26" s="1"/>
  <c r="J27" i="26" a="1"/>
  <c r="J27" i="26" s="1"/>
  <c r="J25" i="26" a="1"/>
  <c r="J25" i="26" s="1"/>
  <c r="J32" i="26" a="1"/>
  <c r="J32" i="26" s="1"/>
  <c r="J24" i="26" a="1"/>
  <c r="J24" i="26" s="1"/>
  <c r="J33" i="26" a="1"/>
  <c r="J33" i="26" s="1"/>
  <c r="J31" i="26" a="1"/>
  <c r="J31" i="26" s="1"/>
  <c r="J30" i="26" a="1"/>
  <c r="J30" i="26" s="1"/>
  <c r="J29" i="26" a="1"/>
  <c r="J29" i="26" s="1"/>
  <c r="J34" i="26" a="1"/>
  <c r="J34" i="26" s="1"/>
  <c r="J63" i="29"/>
  <c r="J25" i="29"/>
  <c r="J101" i="29"/>
  <c r="J67" i="29"/>
  <c r="J29" i="29"/>
  <c r="J105" i="29"/>
  <c r="J24" i="29"/>
  <c r="J100" i="29"/>
  <c r="J62" i="29"/>
  <c r="J30" i="29"/>
  <c r="J106" i="29"/>
  <c r="J68" i="29"/>
  <c r="J28" i="29"/>
  <c r="J104" i="29"/>
  <c r="J66" i="29"/>
  <c r="J27" i="29"/>
  <c r="J103" i="29"/>
  <c r="J65" i="29"/>
  <c r="J69" i="29"/>
  <c r="J31" i="29"/>
  <c r="J107" i="29"/>
  <c r="J102" i="29"/>
  <c r="J26" i="29"/>
  <c r="J64" i="29"/>
  <c r="J70" i="29"/>
  <c r="J32" i="29"/>
  <c r="J108" i="29"/>
  <c r="J33" i="29"/>
  <c r="J109" i="29"/>
  <c r="J71" i="29"/>
  <c r="J110" i="29"/>
  <c r="J72" i="29"/>
  <c r="J34" i="29"/>
  <c r="P56" i="22"/>
  <c r="O49" i="22"/>
  <c r="T71" i="22" a="1"/>
  <c r="T71" i="22" s="1"/>
  <c r="F2" i="1" a="1"/>
  <c r="F2" i="1" s="1"/>
  <c r="F71" i="1" s="1"/>
  <c r="F3" i="1" a="1"/>
  <c r="F3" i="1" s="1"/>
  <c r="E71" i="1"/>
  <c r="I45" i="1"/>
  <c r="H9" i="1" a="1"/>
  <c r="H9" i="1" s="1"/>
  <c r="I44" i="1"/>
  <c r="H8" i="1" a="1"/>
  <c r="H8" i="1" s="1"/>
  <c r="H42" i="1"/>
  <c r="G6" i="1" a="1"/>
  <c r="G6" i="1" s="1"/>
  <c r="I46" i="1"/>
  <c r="H10" i="1" a="1"/>
  <c r="H10" i="1" s="1"/>
  <c r="Z9" i="1" a="1"/>
  <c r="Z9" i="1" s="1"/>
  <c r="Z10" i="1" a="1"/>
  <c r="Z10" i="1" s="1"/>
  <c r="Z4" i="1" a="1"/>
  <c r="Z4" i="1" s="1"/>
  <c r="Z11" i="1" a="1"/>
  <c r="Z11" i="1" s="1"/>
  <c r="Z5" i="1" a="1"/>
  <c r="Z5" i="1" s="1"/>
  <c r="Z6" i="1" a="1"/>
  <c r="Z6" i="1" s="1"/>
  <c r="Z7" i="1" a="1"/>
  <c r="Z7" i="1" s="1"/>
  <c r="Z3" i="1" a="1"/>
  <c r="Z3" i="1" s="1"/>
  <c r="Z8" i="1" a="1"/>
  <c r="Z8" i="1" s="1"/>
  <c r="H39" i="1"/>
  <c r="G3" i="1" a="1"/>
  <c r="G3" i="1" s="1"/>
  <c r="H41" i="1"/>
  <c r="G5" i="1" a="1"/>
  <c r="G5" i="1" s="1"/>
  <c r="H38" i="1"/>
  <c r="G2" i="1" a="1"/>
  <c r="G2" i="1" s="1"/>
  <c r="H40" i="1"/>
  <c r="G4" i="1" a="1"/>
  <c r="G4" i="1" s="1"/>
  <c r="S38" i="1"/>
  <c r="L139" i="34" l="1"/>
  <c r="H57" i="33"/>
  <c r="L98" i="34"/>
  <c r="H16" i="33"/>
  <c r="J37" i="29"/>
  <c r="E72" i="22" a="1"/>
  <c r="E72" i="22" s="1"/>
  <c r="R58" i="22"/>
  <c r="P49" i="22"/>
  <c r="Q56" i="22"/>
  <c r="J110" i="26"/>
  <c r="J72" i="26"/>
  <c r="J34" i="30"/>
  <c r="J110" i="30"/>
  <c r="J72" i="30"/>
  <c r="J105" i="30"/>
  <c r="J67" i="30"/>
  <c r="J105" i="26"/>
  <c r="J29" i="30"/>
  <c r="J67" i="26"/>
  <c r="J30" i="30"/>
  <c r="J68" i="30"/>
  <c r="J68" i="26"/>
  <c r="J106" i="26"/>
  <c r="J106" i="30"/>
  <c r="J107" i="26"/>
  <c r="J69" i="26"/>
  <c r="J31" i="30"/>
  <c r="J107" i="30"/>
  <c r="J69" i="30"/>
  <c r="J109" i="26"/>
  <c r="J71" i="26"/>
  <c r="J109" i="30"/>
  <c r="J71" i="30"/>
  <c r="J33" i="30"/>
  <c r="J100" i="26"/>
  <c r="J62" i="26"/>
  <c r="J62" i="30"/>
  <c r="J24" i="30"/>
  <c r="J100" i="30"/>
  <c r="J37" i="26"/>
  <c r="J108" i="26"/>
  <c r="J70" i="26"/>
  <c r="J32" i="30"/>
  <c r="J108" i="30"/>
  <c r="J70" i="30"/>
  <c r="J63" i="30"/>
  <c r="J101" i="30"/>
  <c r="J63" i="26"/>
  <c r="J25" i="30"/>
  <c r="J101" i="26"/>
  <c r="J103" i="26"/>
  <c r="J65" i="26"/>
  <c r="J27" i="30"/>
  <c r="J65" i="30"/>
  <c r="J103" i="30"/>
  <c r="J104" i="26"/>
  <c r="J66" i="30"/>
  <c r="J66" i="26"/>
  <c r="J28" i="30"/>
  <c r="J104" i="30"/>
  <c r="J26" i="30"/>
  <c r="J64" i="30"/>
  <c r="J102" i="30"/>
  <c r="J102" i="26"/>
  <c r="J64" i="26"/>
  <c r="J44" i="1"/>
  <c r="I8" i="1" a="1"/>
  <c r="I8" i="1" s="1"/>
  <c r="J45" i="1"/>
  <c r="I9" i="1" a="1"/>
  <c r="I9" i="1" s="1"/>
  <c r="J46" i="1"/>
  <c r="I10" i="1" a="1"/>
  <c r="I10" i="1" s="1"/>
  <c r="I42" i="1"/>
  <c r="H6" i="1" a="1"/>
  <c r="H6" i="1" s="1"/>
  <c r="G71" i="1"/>
  <c r="AE6" i="1" a="1"/>
  <c r="AE6" i="1" s="1"/>
  <c r="AE7" i="1" a="1"/>
  <c r="AE7" i="1" s="1"/>
  <c r="AE3" i="1" a="1"/>
  <c r="AE3" i="1" s="1"/>
  <c r="AE8" i="1" a="1"/>
  <c r="AE8" i="1" s="1"/>
  <c r="AE9" i="1" a="1"/>
  <c r="AE9" i="1" s="1"/>
  <c r="AE10" i="1" a="1"/>
  <c r="AE10" i="1" s="1"/>
  <c r="AE4" i="1" a="1"/>
  <c r="AE4" i="1" s="1"/>
  <c r="AE11" i="1" a="1"/>
  <c r="AE11" i="1" s="1"/>
  <c r="AE5" i="1" a="1"/>
  <c r="AE5" i="1" s="1"/>
  <c r="V5" i="1" a="1"/>
  <c r="V5" i="1" s="1"/>
  <c r="V6" i="1" a="1"/>
  <c r="V6" i="1" s="1"/>
  <c r="V7" i="1" a="1"/>
  <c r="V7" i="1" s="1"/>
  <c r="V3" i="1" a="1"/>
  <c r="V3" i="1" s="1"/>
  <c r="V8" i="1" a="1"/>
  <c r="V8" i="1" s="1"/>
  <c r="V9" i="1" a="1"/>
  <c r="V9" i="1" s="1"/>
  <c r="V10" i="1" a="1"/>
  <c r="V10" i="1" s="1"/>
  <c r="V4" i="1" a="1"/>
  <c r="V4" i="1" s="1"/>
  <c r="V11" i="1" a="1"/>
  <c r="V11" i="1" s="1"/>
  <c r="H2" i="1" a="1"/>
  <c r="H2" i="1" s="1"/>
  <c r="I38" i="1"/>
  <c r="I40" i="1"/>
  <c r="H4" i="1" a="1"/>
  <c r="H4" i="1" s="1"/>
  <c r="I41" i="1"/>
  <c r="H5" i="1" a="1"/>
  <c r="H5" i="1" s="1"/>
  <c r="I39" i="1"/>
  <c r="H3" i="1" a="1"/>
  <c r="H3" i="1" s="1"/>
  <c r="T38" i="1"/>
  <c r="J113" i="26" l="1"/>
  <c r="Q49" i="22"/>
  <c r="J37" i="30"/>
  <c r="J113" i="30"/>
  <c r="J75" i="26"/>
  <c r="N13" i="6"/>
  <c r="N13" i="25" s="1"/>
  <c r="N16" i="6"/>
  <c r="N16" i="25" s="1"/>
  <c r="G585" i="33" s="1"/>
  <c r="H585" i="33" s="1"/>
  <c r="N21" i="6"/>
  <c r="N21" i="25" s="1"/>
  <c r="G790" i="33" s="1"/>
  <c r="H790" i="33" s="1"/>
  <c r="N18" i="6"/>
  <c r="N18" i="25" s="1"/>
  <c r="G667" i="33" s="1"/>
  <c r="H667" i="33" s="1"/>
  <c r="N23" i="6"/>
  <c r="N23" i="25" s="1"/>
  <c r="G872" i="33" s="1"/>
  <c r="H872" i="33" s="1"/>
  <c r="N15" i="6"/>
  <c r="N15" i="25" s="1"/>
  <c r="G544" i="33" s="1"/>
  <c r="H544" i="33" s="1"/>
  <c r="N19" i="6"/>
  <c r="N19" i="25" s="1"/>
  <c r="G708" i="33" s="1"/>
  <c r="H708" i="33" s="1"/>
  <c r="N14" i="6"/>
  <c r="N14" i="25" s="1"/>
  <c r="N22" i="6"/>
  <c r="N22" i="25" s="1"/>
  <c r="G831" i="33" s="1"/>
  <c r="H831" i="33" s="1"/>
  <c r="N20" i="6"/>
  <c r="N20" i="25" s="1"/>
  <c r="G749" i="33" s="1"/>
  <c r="H749" i="33" s="1"/>
  <c r="N17" i="6"/>
  <c r="N17" i="25" s="1"/>
  <c r="G626" i="33" s="1"/>
  <c r="H626" i="33" s="1"/>
  <c r="J75" i="30"/>
  <c r="F72" i="22" a="1"/>
  <c r="F72" i="22" s="1"/>
  <c r="AJ71" i="22" a="1"/>
  <c r="AJ71" i="22" s="1"/>
  <c r="E17" i="22"/>
  <c r="E18" i="22"/>
  <c r="E22" i="22"/>
  <c r="E14" i="22"/>
  <c r="E20" i="22"/>
  <c r="E16" i="22"/>
  <c r="E23" i="22"/>
  <c r="E15" i="22"/>
  <c r="E21" i="22"/>
  <c r="E19" i="22"/>
  <c r="E13" i="22"/>
  <c r="S58" i="22"/>
  <c r="R22" i="22"/>
  <c r="R56" i="22"/>
  <c r="K46" i="1"/>
  <c r="J10" i="1" a="1"/>
  <c r="J10" i="1" s="1"/>
  <c r="J42" i="1"/>
  <c r="I6" i="1" a="1"/>
  <c r="I6" i="1" s="1"/>
  <c r="K45" i="1"/>
  <c r="J9" i="1" a="1"/>
  <c r="J9" i="1" s="1"/>
  <c r="K44" i="1"/>
  <c r="J8" i="1" a="1"/>
  <c r="J8" i="1" s="1"/>
  <c r="H71" i="1"/>
  <c r="AA10" i="1" a="1"/>
  <c r="AA10" i="1" s="1"/>
  <c r="AA4" i="1" a="1"/>
  <c r="AA4" i="1" s="1"/>
  <c r="AA11" i="1" a="1"/>
  <c r="AA11" i="1" s="1"/>
  <c r="AA5" i="1" a="1"/>
  <c r="AA5" i="1" s="1"/>
  <c r="AA6" i="1" a="1"/>
  <c r="AA6" i="1" s="1"/>
  <c r="AA7" i="1" a="1"/>
  <c r="AA7" i="1" s="1"/>
  <c r="AA3" i="1" a="1"/>
  <c r="AA3" i="1" s="1"/>
  <c r="AA8" i="1" a="1"/>
  <c r="AA8" i="1" s="1"/>
  <c r="AA9" i="1" a="1"/>
  <c r="AA9" i="1" s="1"/>
  <c r="W6" i="1" a="1"/>
  <c r="W6" i="1" s="1"/>
  <c r="W7" i="1" a="1"/>
  <c r="W7" i="1" s="1"/>
  <c r="W3" i="1" a="1"/>
  <c r="W3" i="1" s="1"/>
  <c r="W8" i="1" a="1"/>
  <c r="W8" i="1" s="1"/>
  <c r="W9" i="1" a="1"/>
  <c r="W9" i="1" s="1"/>
  <c r="W10" i="1" a="1"/>
  <c r="W10" i="1" s="1"/>
  <c r="W4" i="1" a="1"/>
  <c r="W4" i="1" s="1"/>
  <c r="W11" i="1" a="1"/>
  <c r="W11" i="1" s="1"/>
  <c r="W5" i="1" a="1"/>
  <c r="W5" i="1" s="1"/>
  <c r="AF7" i="1" a="1"/>
  <c r="AF7" i="1" s="1"/>
  <c r="AF3" i="1" a="1"/>
  <c r="AF3" i="1" s="1"/>
  <c r="AF8" i="1" a="1"/>
  <c r="AF8" i="1" s="1"/>
  <c r="AF9" i="1" a="1"/>
  <c r="AF9" i="1" s="1"/>
  <c r="AF10" i="1" a="1"/>
  <c r="AF10" i="1" s="1"/>
  <c r="AF4" i="1" a="1"/>
  <c r="AF4" i="1" s="1"/>
  <c r="AF11" i="1" a="1"/>
  <c r="AF11" i="1" s="1"/>
  <c r="AF5" i="1" a="1"/>
  <c r="AF5" i="1" s="1"/>
  <c r="AF6" i="1" a="1"/>
  <c r="AF6" i="1" s="1"/>
  <c r="J39" i="1"/>
  <c r="I3" i="1" a="1"/>
  <c r="I3" i="1" s="1"/>
  <c r="J41" i="1"/>
  <c r="I5" i="1" a="1"/>
  <c r="I5" i="1" s="1"/>
  <c r="J40" i="1"/>
  <c r="I4" i="1" a="1"/>
  <c r="I4" i="1" s="1"/>
  <c r="I2" i="1" a="1"/>
  <c r="I2" i="1" s="1"/>
  <c r="J38" i="1"/>
  <c r="U38" i="1"/>
  <c r="U2" i="1" s="1" a="1"/>
  <c r="U2" i="1" s="1"/>
  <c r="G462" i="33" l="1"/>
  <c r="D11" i="34"/>
  <c r="L11" i="34" s="1"/>
  <c r="G503" i="33"/>
  <c r="D52" i="34"/>
  <c r="L52" i="34" s="1"/>
  <c r="R49" i="22"/>
  <c r="R22" i="26" a="1"/>
  <c r="R22" i="26" s="1"/>
  <c r="T58" i="22"/>
  <c r="E13" i="26" a="1"/>
  <c r="E13" i="26" s="1"/>
  <c r="E19" i="26" a="1"/>
  <c r="E19" i="26" s="1"/>
  <c r="E21" i="26" a="1"/>
  <c r="E21" i="26" s="1"/>
  <c r="E15" i="26" a="1"/>
  <c r="E15" i="26" s="1"/>
  <c r="E23" i="26" a="1"/>
  <c r="E23" i="26" s="1"/>
  <c r="E16" i="26" a="1"/>
  <c r="E16" i="26" s="1"/>
  <c r="E20" i="26" a="1"/>
  <c r="E20" i="26" s="1"/>
  <c r="E14" i="26" a="1"/>
  <c r="E14" i="26" s="1"/>
  <c r="E22" i="26" a="1"/>
  <c r="E22" i="26" s="1"/>
  <c r="E18" i="26" a="1"/>
  <c r="E18" i="26" s="1"/>
  <c r="E17" i="26" a="1"/>
  <c r="E17" i="26" s="1"/>
  <c r="E51" i="29"/>
  <c r="E13" i="29"/>
  <c r="E89" i="29"/>
  <c r="F19" i="22"/>
  <c r="F15" i="22"/>
  <c r="F14" i="22"/>
  <c r="F21" i="22"/>
  <c r="F18" i="22"/>
  <c r="F17" i="22"/>
  <c r="F23" i="22"/>
  <c r="F13" i="22"/>
  <c r="F20" i="22"/>
  <c r="F16" i="22"/>
  <c r="F22" i="22"/>
  <c r="O17" i="6"/>
  <c r="O17" i="25" s="1"/>
  <c r="G627" i="33" s="1"/>
  <c r="H627" i="33" s="1"/>
  <c r="O18" i="6"/>
  <c r="O18" i="25" s="1"/>
  <c r="G668" i="33" s="1"/>
  <c r="H668" i="33" s="1"/>
  <c r="O23" i="6"/>
  <c r="O23" i="25" s="1"/>
  <c r="G873" i="33" s="1"/>
  <c r="H873" i="33" s="1"/>
  <c r="O22" i="6"/>
  <c r="O22" i="25" s="1"/>
  <c r="G832" i="33" s="1"/>
  <c r="H832" i="33" s="1"/>
  <c r="O19" i="6"/>
  <c r="O19" i="25" s="1"/>
  <c r="G709" i="33" s="1"/>
  <c r="H709" i="33" s="1"/>
  <c r="O16" i="6"/>
  <c r="O16" i="25" s="1"/>
  <c r="G586" i="33" s="1"/>
  <c r="H586" i="33" s="1"/>
  <c r="O20" i="6"/>
  <c r="O20" i="25" s="1"/>
  <c r="G750" i="33" s="1"/>
  <c r="H750" i="33" s="1"/>
  <c r="O14" i="6"/>
  <c r="O14" i="25" s="1"/>
  <c r="O21" i="6"/>
  <c r="O21" i="25" s="1"/>
  <c r="G791" i="33" s="1"/>
  <c r="H791" i="33" s="1"/>
  <c r="O13" i="6"/>
  <c r="O13" i="25" s="1"/>
  <c r="O15" i="6"/>
  <c r="O15" i="25" s="1"/>
  <c r="G545" i="33" s="1"/>
  <c r="H545" i="33" s="1"/>
  <c r="S56" i="22"/>
  <c r="R20" i="22"/>
  <c r="K42" i="1"/>
  <c r="J6" i="1" a="1"/>
  <c r="J6" i="1" s="1"/>
  <c r="L44" i="1"/>
  <c r="K8" i="1" a="1"/>
  <c r="K8" i="1" s="1"/>
  <c r="L46" i="1"/>
  <c r="K10" i="1" a="1"/>
  <c r="K10" i="1" s="1"/>
  <c r="L45" i="1"/>
  <c r="K9" i="1" a="1"/>
  <c r="K9" i="1" s="1"/>
  <c r="I71" i="1"/>
  <c r="X7" i="1" a="1"/>
  <c r="X7" i="1" s="1"/>
  <c r="X3" i="1" a="1"/>
  <c r="X3" i="1" s="1"/>
  <c r="X8" i="1" a="1"/>
  <c r="X8" i="1" s="1"/>
  <c r="X9" i="1" a="1"/>
  <c r="X9" i="1" s="1"/>
  <c r="X10" i="1" a="1"/>
  <c r="X10" i="1" s="1"/>
  <c r="X4" i="1" a="1"/>
  <c r="X4" i="1" s="1"/>
  <c r="X11" i="1" a="1"/>
  <c r="X11" i="1" s="1"/>
  <c r="X5" i="1" a="1"/>
  <c r="X5" i="1" s="1"/>
  <c r="X6" i="1" a="1"/>
  <c r="X6" i="1" s="1"/>
  <c r="AG8" i="1" a="1"/>
  <c r="AG8" i="1" s="1"/>
  <c r="AG9" i="1" a="1"/>
  <c r="AG9" i="1" s="1"/>
  <c r="AG10" i="1" a="1"/>
  <c r="AG10" i="1" s="1"/>
  <c r="AG4" i="1" a="1"/>
  <c r="AG4" i="1" s="1"/>
  <c r="AG11" i="1" a="1"/>
  <c r="AG11" i="1" s="1"/>
  <c r="AG5" i="1" a="1"/>
  <c r="AG5" i="1" s="1"/>
  <c r="AG6" i="1" a="1"/>
  <c r="AG6" i="1" s="1"/>
  <c r="AG7" i="1" a="1"/>
  <c r="AG7" i="1" s="1"/>
  <c r="AG3" i="1" a="1"/>
  <c r="AG3" i="1" s="1"/>
  <c r="AB11" i="1" a="1"/>
  <c r="AB11" i="1" s="1"/>
  <c r="AB5" i="1" a="1"/>
  <c r="AB5" i="1" s="1"/>
  <c r="AB6" i="1" a="1"/>
  <c r="AB6" i="1" s="1"/>
  <c r="AB7" i="1" a="1"/>
  <c r="AB7" i="1" s="1"/>
  <c r="AB3" i="1" a="1"/>
  <c r="AB3" i="1" s="1"/>
  <c r="AB8" i="1" a="1"/>
  <c r="AB8" i="1" s="1"/>
  <c r="AB9" i="1" a="1"/>
  <c r="AB9" i="1" s="1"/>
  <c r="AB10" i="1" a="1"/>
  <c r="AB10" i="1" s="1"/>
  <c r="AB4" i="1" a="1"/>
  <c r="AB4" i="1" s="1"/>
  <c r="J2" i="1" a="1"/>
  <c r="J2" i="1" s="1"/>
  <c r="K38" i="1"/>
  <c r="K41" i="1"/>
  <c r="J5" i="1" a="1"/>
  <c r="J5" i="1" s="1"/>
  <c r="K40" i="1"/>
  <c r="J4" i="1" a="1"/>
  <c r="J4" i="1" s="1"/>
  <c r="K39" i="1"/>
  <c r="J3" i="1" a="1"/>
  <c r="J3" i="1" s="1"/>
  <c r="U71" i="1"/>
  <c r="V38" i="1"/>
  <c r="V2" i="1" s="1" a="1"/>
  <c r="V2" i="1" s="1"/>
  <c r="H462" i="33" l="1"/>
  <c r="G504" i="33"/>
  <c r="H504" i="33" s="1"/>
  <c r="D53" i="34"/>
  <c r="L53" i="34" s="1"/>
  <c r="H503" i="33"/>
  <c r="G463" i="33"/>
  <c r="D12" i="34"/>
  <c r="L12" i="34" s="1"/>
  <c r="N36" i="25"/>
  <c r="E91" i="29"/>
  <c r="E97" i="29"/>
  <c r="E21" i="29"/>
  <c r="E57" i="29"/>
  <c r="E95" i="29"/>
  <c r="E19" i="29"/>
  <c r="E92" i="29"/>
  <c r="E54" i="29"/>
  <c r="E17" i="29"/>
  <c r="E96" i="29"/>
  <c r="E58" i="29"/>
  <c r="E20" i="29"/>
  <c r="E99" i="29"/>
  <c r="E61" i="29"/>
  <c r="E23" i="29"/>
  <c r="E14" i="29"/>
  <c r="E90" i="29"/>
  <c r="E52" i="29"/>
  <c r="E18" i="29"/>
  <c r="E56" i="29"/>
  <c r="E94" i="29"/>
  <c r="E98" i="29"/>
  <c r="E22" i="29"/>
  <c r="U58" i="22"/>
  <c r="R60" i="26"/>
  <c r="R22" i="30"/>
  <c r="R98" i="26"/>
  <c r="R60" i="30"/>
  <c r="R98" i="30"/>
  <c r="E15" i="29"/>
  <c r="E53" i="29"/>
  <c r="S49" i="22"/>
  <c r="R13" i="22"/>
  <c r="R13" i="26" s="1" a="1"/>
  <c r="R13" i="26" s="1"/>
  <c r="E60" i="29"/>
  <c r="E16" i="29"/>
  <c r="E59" i="29"/>
  <c r="E93" i="29"/>
  <c r="E55" i="29"/>
  <c r="F22" i="26" a="1"/>
  <c r="F22" i="26" s="1"/>
  <c r="F16" i="26" a="1"/>
  <c r="F16" i="26" s="1"/>
  <c r="F20" i="26" a="1"/>
  <c r="F20" i="26" s="1"/>
  <c r="F13" i="26" a="1"/>
  <c r="F13" i="26" s="1"/>
  <c r="F23" i="26" a="1"/>
  <c r="F23" i="26" s="1"/>
  <c r="F17" i="26" a="1"/>
  <c r="F17" i="26" s="1"/>
  <c r="F18" i="26" a="1"/>
  <c r="F18" i="26" s="1"/>
  <c r="F21" i="26" a="1"/>
  <c r="F21" i="26" s="1"/>
  <c r="F14" i="26" a="1"/>
  <c r="F14" i="26" s="1"/>
  <c r="F15" i="26" a="1"/>
  <c r="F15" i="26" s="1"/>
  <c r="F19" i="26" a="1"/>
  <c r="F19" i="26" s="1"/>
  <c r="E93" i="26"/>
  <c r="E17" i="30"/>
  <c r="E55" i="26"/>
  <c r="E55" i="30"/>
  <c r="E93" i="30"/>
  <c r="E94" i="26"/>
  <c r="E56" i="26"/>
  <c r="E56" i="30"/>
  <c r="E94" i="30"/>
  <c r="E18" i="30"/>
  <c r="E98" i="26"/>
  <c r="E60" i="26"/>
  <c r="E98" i="30"/>
  <c r="E60" i="30"/>
  <c r="E22" i="30"/>
  <c r="E52" i="26"/>
  <c r="E52" i="30"/>
  <c r="E90" i="30"/>
  <c r="E14" i="30"/>
  <c r="E90" i="26"/>
  <c r="E96" i="26"/>
  <c r="E58" i="30"/>
  <c r="E20" i="30"/>
  <c r="E96" i="30"/>
  <c r="E58" i="26"/>
  <c r="E54" i="26"/>
  <c r="E92" i="26"/>
  <c r="E54" i="30"/>
  <c r="E16" i="30"/>
  <c r="E92" i="30"/>
  <c r="E61" i="30"/>
  <c r="E61" i="26"/>
  <c r="E99" i="30"/>
  <c r="E99" i="26"/>
  <c r="E23" i="30"/>
  <c r="E91" i="26"/>
  <c r="E53" i="26"/>
  <c r="E53" i="30"/>
  <c r="E91" i="30"/>
  <c r="E15" i="30"/>
  <c r="E59" i="26"/>
  <c r="E97" i="26"/>
  <c r="E97" i="30"/>
  <c r="E21" i="30"/>
  <c r="E59" i="30"/>
  <c r="E57" i="26"/>
  <c r="E95" i="30"/>
  <c r="E95" i="26"/>
  <c r="E57" i="30"/>
  <c r="E19" i="30"/>
  <c r="E89" i="30"/>
  <c r="E51" i="30"/>
  <c r="E36" i="26"/>
  <c r="E89" i="26"/>
  <c r="E13" i="30"/>
  <c r="E51" i="26"/>
  <c r="R20" i="26" a="1"/>
  <c r="R20" i="26" s="1"/>
  <c r="T56" i="22"/>
  <c r="Z72" i="22" a="1"/>
  <c r="Z72" i="22" s="1"/>
  <c r="X71" i="22" a="1"/>
  <c r="X71" i="22" s="1"/>
  <c r="M46" i="1"/>
  <c r="L10" i="1" a="1"/>
  <c r="L10" i="1" s="1"/>
  <c r="L42" i="1"/>
  <c r="K6" i="1" a="1"/>
  <c r="K6" i="1" s="1"/>
  <c r="M45" i="1"/>
  <c r="L9" i="1" a="1"/>
  <c r="L9" i="1" s="1"/>
  <c r="M44" i="1"/>
  <c r="L8" i="1" a="1"/>
  <c r="L8" i="1" s="1"/>
  <c r="J71" i="1"/>
  <c r="AH9" i="1" a="1"/>
  <c r="AH9" i="1" s="1"/>
  <c r="AH10" i="1" a="1"/>
  <c r="AH10" i="1" s="1"/>
  <c r="AH4" i="1" a="1"/>
  <c r="AH4" i="1" s="1"/>
  <c r="AH11" i="1" a="1"/>
  <c r="AH11" i="1" s="1"/>
  <c r="AH5" i="1" a="1"/>
  <c r="AH5" i="1" s="1"/>
  <c r="AH6" i="1" a="1"/>
  <c r="AH6" i="1" s="1"/>
  <c r="AH7" i="1" a="1"/>
  <c r="AH7" i="1" s="1"/>
  <c r="AH3" i="1" a="1"/>
  <c r="AH3" i="1" s="1"/>
  <c r="AH8" i="1" a="1"/>
  <c r="AH8" i="1" s="1"/>
  <c r="AC5" i="1" a="1"/>
  <c r="AC5" i="1" s="1"/>
  <c r="AC6" i="1" a="1"/>
  <c r="AC6" i="1" s="1"/>
  <c r="AC7" i="1" a="1"/>
  <c r="AC7" i="1" s="1"/>
  <c r="AC3" i="1" a="1"/>
  <c r="AC3" i="1" s="1"/>
  <c r="AC8" i="1" a="1"/>
  <c r="AC8" i="1" s="1"/>
  <c r="AC9" i="1" a="1"/>
  <c r="AC9" i="1" s="1"/>
  <c r="AC10" i="1" a="1"/>
  <c r="AC10" i="1" s="1"/>
  <c r="AC4" i="1" a="1"/>
  <c r="AC4" i="1" s="1"/>
  <c r="AC11" i="1" a="1"/>
  <c r="AC11" i="1" s="1"/>
  <c r="Y8" i="1" a="1"/>
  <c r="Y8" i="1" s="1"/>
  <c r="Y9" i="1" a="1"/>
  <c r="Y9" i="1" s="1"/>
  <c r="Y10" i="1" a="1"/>
  <c r="Y10" i="1" s="1"/>
  <c r="Y4" i="1" a="1"/>
  <c r="Y4" i="1" s="1"/>
  <c r="Y11" i="1" a="1"/>
  <c r="Y11" i="1" s="1"/>
  <c r="Y5" i="1" a="1"/>
  <c r="Y5" i="1" s="1"/>
  <c r="Y6" i="1" a="1"/>
  <c r="Y6" i="1" s="1"/>
  <c r="Y7" i="1" a="1"/>
  <c r="Y7" i="1" s="1"/>
  <c r="Y3" i="1" a="1"/>
  <c r="Y3" i="1" s="1"/>
  <c r="L39" i="1"/>
  <c r="K3" i="1" a="1"/>
  <c r="K3" i="1" s="1"/>
  <c r="L40" i="1"/>
  <c r="K4" i="1" a="1"/>
  <c r="K4" i="1" s="1"/>
  <c r="L41" i="1"/>
  <c r="K5" i="1" a="1"/>
  <c r="K5" i="1" s="1"/>
  <c r="K2" i="1" a="1"/>
  <c r="K2" i="1" s="1"/>
  <c r="L38" i="1"/>
  <c r="V71" i="1"/>
  <c r="W38" i="1"/>
  <c r="W2" i="1" s="1" a="1"/>
  <c r="W2" i="1" s="1"/>
  <c r="H463" i="33" l="1"/>
  <c r="E112" i="29"/>
  <c r="N74" i="25"/>
  <c r="E74" i="29"/>
  <c r="E36" i="29"/>
  <c r="Z21" i="22"/>
  <c r="Z20" i="22"/>
  <c r="Z13" i="22"/>
  <c r="R36" i="26"/>
  <c r="R13" i="30"/>
  <c r="R89" i="26"/>
  <c r="R51" i="30"/>
  <c r="R51" i="26"/>
  <c r="R89" i="30"/>
  <c r="T49" i="22"/>
  <c r="V58" i="22"/>
  <c r="Z22" i="22"/>
  <c r="Z14" i="22"/>
  <c r="Z23" i="22"/>
  <c r="Z19" i="22"/>
  <c r="U56" i="22"/>
  <c r="R96" i="26"/>
  <c r="R96" i="30"/>
  <c r="R20" i="30"/>
  <c r="R58" i="26"/>
  <c r="R58" i="30"/>
  <c r="E74" i="26"/>
  <c r="E36" i="30"/>
  <c r="E112" i="26"/>
  <c r="E74" i="30"/>
  <c r="E112" i="30"/>
  <c r="F95" i="26"/>
  <c r="F57" i="26"/>
  <c r="F19" i="30"/>
  <c r="F57" i="30"/>
  <c r="F95" i="30"/>
  <c r="F53" i="26"/>
  <c r="F91" i="26"/>
  <c r="F91" i="30"/>
  <c r="F53" i="30"/>
  <c r="F15" i="30"/>
  <c r="F90" i="26"/>
  <c r="F14" i="30"/>
  <c r="F90" i="30"/>
  <c r="F52" i="26"/>
  <c r="F52" i="30"/>
  <c r="F21" i="30"/>
  <c r="F97" i="26"/>
  <c r="F59" i="26"/>
  <c r="F59" i="30"/>
  <c r="F97" i="30"/>
  <c r="F56" i="26"/>
  <c r="F94" i="26"/>
  <c r="F94" i="30"/>
  <c r="F56" i="30"/>
  <c r="F18" i="30"/>
  <c r="F93" i="26"/>
  <c r="F55" i="26"/>
  <c r="F55" i="30"/>
  <c r="F93" i="30"/>
  <c r="F17" i="30"/>
  <c r="F61" i="30"/>
  <c r="F99" i="30"/>
  <c r="F99" i="26"/>
  <c r="F61" i="26"/>
  <c r="F23" i="30"/>
  <c r="F36" i="26"/>
  <c r="F89" i="30"/>
  <c r="F51" i="26"/>
  <c r="F89" i="26"/>
  <c r="F13" i="30"/>
  <c r="F51" i="30"/>
  <c r="F20" i="30"/>
  <c r="F96" i="26"/>
  <c r="F58" i="26"/>
  <c r="F58" i="30"/>
  <c r="F96" i="30"/>
  <c r="F54" i="26"/>
  <c r="F92" i="26"/>
  <c r="F54" i="30"/>
  <c r="F92" i="30"/>
  <c r="F16" i="30"/>
  <c r="F60" i="30"/>
  <c r="F98" i="26"/>
  <c r="F60" i="26"/>
  <c r="F22" i="30"/>
  <c r="F98" i="30"/>
  <c r="F55" i="29"/>
  <c r="F17" i="29"/>
  <c r="F93" i="29"/>
  <c r="F18" i="29"/>
  <c r="F94" i="29"/>
  <c r="F56" i="29"/>
  <c r="F99" i="29"/>
  <c r="F23" i="29"/>
  <c r="F61" i="29"/>
  <c r="F98" i="29"/>
  <c r="F22" i="29"/>
  <c r="F60" i="29"/>
  <c r="F57" i="29"/>
  <c r="F19" i="29"/>
  <c r="F95" i="29"/>
  <c r="F16" i="29"/>
  <c r="F92" i="29"/>
  <c r="F54" i="29"/>
  <c r="F20" i="29"/>
  <c r="F96" i="29"/>
  <c r="F58" i="29"/>
  <c r="F14" i="29"/>
  <c r="F52" i="29"/>
  <c r="F90" i="29"/>
  <c r="F97" i="29"/>
  <c r="F21" i="29"/>
  <c r="F59" i="29"/>
  <c r="F13" i="29"/>
  <c r="F51" i="29"/>
  <c r="F89" i="29"/>
  <c r="F15" i="29"/>
  <c r="F53" i="29"/>
  <c r="F91" i="29"/>
  <c r="Z18" i="22"/>
  <c r="Z15" i="22"/>
  <c r="Z17" i="22"/>
  <c r="Z16" i="22"/>
  <c r="Y71" i="22" a="1"/>
  <c r="Y71" i="22" s="1"/>
  <c r="N44" i="1"/>
  <c r="M8" i="1" a="1"/>
  <c r="M8" i="1" s="1"/>
  <c r="M42" i="1"/>
  <c r="L6" i="1" a="1"/>
  <c r="L6" i="1" s="1"/>
  <c r="N45" i="1"/>
  <c r="M9" i="1" a="1"/>
  <c r="M9" i="1" s="1"/>
  <c r="N46" i="1"/>
  <c r="M10" i="1" a="1"/>
  <c r="M10" i="1" s="1"/>
  <c r="K71" i="1"/>
  <c r="AD5" i="1" a="1"/>
  <c r="AD5" i="1" s="1"/>
  <c r="AD6" i="1" a="1"/>
  <c r="AD6" i="1" s="1"/>
  <c r="AD7" i="1" a="1"/>
  <c r="AD7" i="1" s="1"/>
  <c r="AD3" i="1" a="1"/>
  <c r="AD3" i="1" s="1"/>
  <c r="AD8" i="1" a="1"/>
  <c r="AD8" i="1" s="1"/>
  <c r="AD9" i="1" a="1"/>
  <c r="AD9" i="1" s="1"/>
  <c r="AD10" i="1" a="1"/>
  <c r="AD10" i="1" s="1"/>
  <c r="AD4" i="1" a="1"/>
  <c r="AD4" i="1" s="1"/>
  <c r="AD11" i="1" a="1"/>
  <c r="AD11" i="1" s="1"/>
  <c r="AI10" i="1" a="1"/>
  <c r="AI10" i="1" s="1"/>
  <c r="AI4" i="1" a="1"/>
  <c r="AI4" i="1" s="1"/>
  <c r="AI11" i="1" a="1"/>
  <c r="AI11" i="1" s="1"/>
  <c r="AI5" i="1" a="1"/>
  <c r="AI5" i="1" s="1"/>
  <c r="AI6" i="1" a="1"/>
  <c r="AI6" i="1" s="1"/>
  <c r="AI7" i="1" a="1"/>
  <c r="AI7" i="1" s="1"/>
  <c r="AI3" i="1" a="1"/>
  <c r="AI3" i="1" s="1"/>
  <c r="AI8" i="1" a="1"/>
  <c r="AI8" i="1" s="1"/>
  <c r="AI9" i="1" a="1"/>
  <c r="AI9" i="1" s="1"/>
  <c r="L2" i="1" a="1"/>
  <c r="L2" i="1" s="1"/>
  <c r="M38" i="1"/>
  <c r="M41" i="1"/>
  <c r="L5" i="1" a="1"/>
  <c r="L5" i="1" s="1"/>
  <c r="M40" i="1"/>
  <c r="L4" i="1" a="1"/>
  <c r="L4" i="1" s="1"/>
  <c r="M39" i="1"/>
  <c r="L3" i="1" a="1"/>
  <c r="L3" i="1" s="1"/>
  <c r="W71" i="1"/>
  <c r="X38" i="1"/>
  <c r="X2" i="1" s="1" a="1"/>
  <c r="X2" i="1" s="1"/>
  <c r="U49" i="22" l="1"/>
  <c r="V49" i="22" s="1"/>
  <c r="V56" i="22"/>
  <c r="Z19" i="26" a="1"/>
  <c r="Z19" i="26" s="1"/>
  <c r="Z23" i="26" a="1"/>
  <c r="Z23" i="26" s="1"/>
  <c r="Z14" i="26" a="1"/>
  <c r="Z14" i="26" s="1"/>
  <c r="Z22" i="26" a="1"/>
  <c r="Z22" i="26" s="1"/>
  <c r="W58" i="22"/>
  <c r="R112" i="30"/>
  <c r="R74" i="26"/>
  <c r="R74" i="30"/>
  <c r="R112" i="26"/>
  <c r="R36" i="30"/>
  <c r="Z13" i="26" a="1"/>
  <c r="Z13" i="26" s="1"/>
  <c r="Z20" i="26" a="1"/>
  <c r="Z20" i="26" s="1"/>
  <c r="Z21" i="26" a="1"/>
  <c r="Z21" i="26" s="1"/>
  <c r="J72" i="22" a="1"/>
  <c r="J72" i="22" s="1"/>
  <c r="Z16" i="26" a="1"/>
  <c r="Z16" i="26" s="1"/>
  <c r="Z17" i="26" a="1"/>
  <c r="Z17" i="26" s="1"/>
  <c r="Z15" i="26" a="1"/>
  <c r="Z15" i="26" s="1"/>
  <c r="F36" i="29"/>
  <c r="F74" i="30"/>
  <c r="F36" i="30"/>
  <c r="F112" i="26"/>
  <c r="F74" i="26"/>
  <c r="F112" i="30"/>
  <c r="Z18" i="26" a="1"/>
  <c r="Z18" i="26" s="1"/>
  <c r="AA73" i="22" a="1"/>
  <c r="AA73" i="22" s="1"/>
  <c r="Z71" i="22" a="1"/>
  <c r="Z71" i="22" s="1"/>
  <c r="O44" i="1"/>
  <c r="O8" i="1" s="1" a="1"/>
  <c r="O8" i="1" s="1"/>
  <c r="N8" i="1" a="1"/>
  <c r="N8" i="1" s="1"/>
  <c r="O46" i="1"/>
  <c r="O10" i="1" s="1" a="1"/>
  <c r="O10" i="1" s="1"/>
  <c r="N10" i="1" a="1"/>
  <c r="N10" i="1" s="1"/>
  <c r="O45" i="1"/>
  <c r="O9" i="1" s="1" a="1"/>
  <c r="O9" i="1" s="1"/>
  <c r="N9" i="1" a="1"/>
  <c r="N9" i="1" s="1"/>
  <c r="N42" i="1"/>
  <c r="M6" i="1" a="1"/>
  <c r="M6" i="1" s="1"/>
  <c r="L71" i="1"/>
  <c r="AJ11" i="1" a="1"/>
  <c r="AJ11" i="1" s="1"/>
  <c r="AJ2" i="1" a="1"/>
  <c r="AJ2" i="1" s="1"/>
  <c r="AJ5" i="1" a="1"/>
  <c r="AJ5" i="1" s="1"/>
  <c r="AJ6" i="1" a="1"/>
  <c r="AJ6" i="1" s="1"/>
  <c r="AJ7" i="1" a="1"/>
  <c r="AJ7" i="1" s="1"/>
  <c r="AJ3" i="1" a="1"/>
  <c r="AJ3" i="1" s="1"/>
  <c r="AJ8" i="1" a="1"/>
  <c r="AJ8" i="1" s="1"/>
  <c r="AJ9" i="1" a="1"/>
  <c r="AJ9" i="1" s="1"/>
  <c r="AJ10" i="1" a="1"/>
  <c r="AJ10" i="1" s="1"/>
  <c r="AJ4" i="1" a="1"/>
  <c r="AJ4" i="1" s="1"/>
  <c r="N39" i="1"/>
  <c r="M3" i="1" a="1"/>
  <c r="M3" i="1" s="1"/>
  <c r="N40" i="1"/>
  <c r="M4" i="1" a="1"/>
  <c r="M4" i="1" s="1"/>
  <c r="N41" i="1"/>
  <c r="M5" i="1" a="1"/>
  <c r="M5" i="1" s="1"/>
  <c r="M2" i="1" a="1"/>
  <c r="M2" i="1" s="1"/>
  <c r="N38" i="1"/>
  <c r="X71" i="1"/>
  <c r="Y38" i="1"/>
  <c r="Y2" i="1" s="1" a="1"/>
  <c r="Y2" i="1" s="1"/>
  <c r="W49" i="22" l="1"/>
  <c r="S21" i="6"/>
  <c r="S21" i="25" s="1"/>
  <c r="G795" i="33" s="1"/>
  <c r="H795" i="33" s="1"/>
  <c r="S22" i="6"/>
  <c r="S22" i="25" s="1"/>
  <c r="G836" i="33" s="1"/>
  <c r="H836" i="33" s="1"/>
  <c r="S20" i="6"/>
  <c r="S20" i="25" s="1"/>
  <c r="G754" i="33" s="1"/>
  <c r="H754" i="33" s="1"/>
  <c r="X58" i="22"/>
  <c r="Z15" i="30"/>
  <c r="Z91" i="30"/>
  <c r="Z53" i="30"/>
  <c r="Z91" i="26"/>
  <c r="Z53" i="26"/>
  <c r="Z55" i="26"/>
  <c r="Z55" i="30"/>
  <c r="Z93" i="30"/>
  <c r="Z17" i="30"/>
  <c r="Z93" i="26"/>
  <c r="Z16" i="30"/>
  <c r="Z54" i="30"/>
  <c r="Z92" i="26"/>
  <c r="Z92" i="30"/>
  <c r="Z54" i="26"/>
  <c r="Z59" i="30"/>
  <c r="Z59" i="26"/>
  <c r="Z21" i="30"/>
  <c r="Z97" i="30"/>
  <c r="Z97" i="26"/>
  <c r="Z20" i="30"/>
  <c r="Z96" i="26"/>
  <c r="Z58" i="26"/>
  <c r="Z96" i="30"/>
  <c r="Z58" i="30"/>
  <c r="Z89" i="30"/>
  <c r="Z13" i="30"/>
  <c r="Z51" i="26"/>
  <c r="Z51" i="30"/>
  <c r="Z89" i="26"/>
  <c r="Z36" i="26"/>
  <c r="Z22" i="30"/>
  <c r="Z98" i="26"/>
  <c r="Z60" i="30"/>
  <c r="Z60" i="26"/>
  <c r="Z98" i="30"/>
  <c r="Z14" i="30"/>
  <c r="Z90" i="26"/>
  <c r="Z52" i="30"/>
  <c r="Z52" i="26"/>
  <c r="Z90" i="30"/>
  <c r="Z99" i="30"/>
  <c r="Z61" i="26"/>
  <c r="Z23" i="30"/>
  <c r="Z99" i="26"/>
  <c r="Z61" i="30"/>
  <c r="Z19" i="30"/>
  <c r="Z95" i="26"/>
  <c r="Z95" i="30"/>
  <c r="Z57" i="26"/>
  <c r="Z57" i="30"/>
  <c r="W56" i="22"/>
  <c r="K72" i="22" a="1"/>
  <c r="K72" i="22" s="1"/>
  <c r="Z56" i="30"/>
  <c r="Z94" i="30"/>
  <c r="Z18" i="30"/>
  <c r="Z56" i="26"/>
  <c r="Z94" i="26"/>
  <c r="J21" i="22"/>
  <c r="J18" i="22"/>
  <c r="J16" i="22"/>
  <c r="J14" i="22"/>
  <c r="J22" i="22"/>
  <c r="J20" i="22"/>
  <c r="J15" i="22"/>
  <c r="J23" i="22"/>
  <c r="J17" i="22"/>
  <c r="J19" i="22"/>
  <c r="J13" i="22"/>
  <c r="AA30" i="22"/>
  <c r="AA27" i="22"/>
  <c r="AA32" i="22"/>
  <c r="AB73" i="22" a="1"/>
  <c r="AB73" i="22" s="1"/>
  <c r="AA26" i="22"/>
  <c r="AA33" i="22"/>
  <c r="AA28" i="22"/>
  <c r="AA24" i="22"/>
  <c r="AA29" i="22"/>
  <c r="AA34" i="22"/>
  <c r="AA71" i="22" a="1"/>
  <c r="AA71" i="22" s="1"/>
  <c r="O42" i="1"/>
  <c r="O6" i="1" s="1" a="1"/>
  <c r="O6" i="1" s="1"/>
  <c r="N6" i="1" a="1"/>
  <c r="N6" i="1" s="1"/>
  <c r="M71" i="1"/>
  <c r="AJ71" i="1"/>
  <c r="N2" i="1" a="1"/>
  <c r="N2" i="1" s="1"/>
  <c r="O38" i="1"/>
  <c r="O41" i="1"/>
  <c r="O5" i="1" s="1" a="1"/>
  <c r="O5" i="1" s="1"/>
  <c r="N5" i="1" a="1"/>
  <c r="N5" i="1" s="1"/>
  <c r="O40" i="1"/>
  <c r="O4" i="1" s="1" a="1"/>
  <c r="O4" i="1" s="1"/>
  <c r="N4" i="1" a="1"/>
  <c r="N4" i="1" s="1"/>
  <c r="O39" i="1"/>
  <c r="O3" i="1" s="1" a="1"/>
  <c r="O3" i="1" s="1"/>
  <c r="N3" i="1" a="1"/>
  <c r="N3" i="1" s="1"/>
  <c r="Y71" i="1"/>
  <c r="Z38" i="1"/>
  <c r="Z2" i="1" s="1" a="1"/>
  <c r="Z2" i="1" s="1"/>
  <c r="S9" i="6" l="1"/>
  <c r="S11" i="6"/>
  <c r="S10" i="6"/>
  <c r="X49" i="22"/>
  <c r="T20" i="6"/>
  <c r="T20" i="25" s="1"/>
  <c r="G755" i="33" s="1"/>
  <c r="H755" i="33" s="1"/>
  <c r="T21" i="6"/>
  <c r="T21" i="25" s="1"/>
  <c r="G796" i="33" s="1"/>
  <c r="H796" i="33" s="1"/>
  <c r="T22" i="6"/>
  <c r="T22" i="25" s="1"/>
  <c r="G837" i="33" s="1"/>
  <c r="H837" i="33" s="1"/>
  <c r="Z112" i="26"/>
  <c r="Z74" i="30"/>
  <c r="Z74" i="26"/>
  <c r="Z112" i="30"/>
  <c r="Z36" i="30"/>
  <c r="Y58" i="22"/>
  <c r="J14" i="26" a="1"/>
  <c r="J14" i="26" s="1"/>
  <c r="J52" i="26" s="1"/>
  <c r="J41" i="26" s="1"/>
  <c r="J3" i="22"/>
  <c r="X56" i="22"/>
  <c r="L72" i="22" a="1"/>
  <c r="L72" i="22" s="1"/>
  <c r="J2" i="22"/>
  <c r="J13" i="26" a="1"/>
  <c r="J13" i="26" s="1"/>
  <c r="J19" i="26" a="1"/>
  <c r="J19" i="26" s="1"/>
  <c r="J8" i="22"/>
  <c r="J6" i="22"/>
  <c r="J17" i="26" a="1"/>
  <c r="J17" i="26" s="1"/>
  <c r="J12" i="22"/>
  <c r="J23" i="26" a="1"/>
  <c r="J23" i="26" s="1"/>
  <c r="J4" i="22"/>
  <c r="J15" i="26" a="1"/>
  <c r="J15" i="26" s="1"/>
  <c r="J9" i="22"/>
  <c r="J20" i="26" a="1"/>
  <c r="J20" i="26" s="1"/>
  <c r="J11" i="22"/>
  <c r="J22" i="26" a="1"/>
  <c r="J22" i="26" s="1"/>
  <c r="J5" i="22"/>
  <c r="J16" i="26" a="1"/>
  <c r="J16" i="26" s="1"/>
  <c r="J18" i="26" a="1"/>
  <c r="J18" i="26" s="1"/>
  <c r="J7" i="22"/>
  <c r="J21" i="26" a="1"/>
  <c r="J21" i="26" s="1"/>
  <c r="J10" i="22"/>
  <c r="K19" i="22"/>
  <c r="K14" i="22"/>
  <c r="K20" i="22"/>
  <c r="K22" i="22"/>
  <c r="K13" i="22"/>
  <c r="K15" i="22"/>
  <c r="K18" i="22"/>
  <c r="K21" i="22"/>
  <c r="K23" i="22"/>
  <c r="K16" i="22"/>
  <c r="K17" i="22"/>
  <c r="AB30" i="22"/>
  <c r="AB27" i="22"/>
  <c r="AB32" i="22"/>
  <c r="AA32" i="26" a="1"/>
  <c r="AA32" i="26" s="1"/>
  <c r="AA27" i="26" a="1"/>
  <c r="AA27" i="26" s="1"/>
  <c r="AA30" i="26" a="1"/>
  <c r="AA30" i="26" s="1"/>
  <c r="AA34" i="26" a="1"/>
  <c r="AA34" i="26" s="1"/>
  <c r="AA29" i="26" a="1"/>
  <c r="AA29" i="26" s="1"/>
  <c r="AA28" i="26" a="1"/>
  <c r="AA28" i="26" s="1"/>
  <c r="AA33" i="26" a="1"/>
  <c r="AA33" i="26" s="1"/>
  <c r="AA24" i="26" a="1"/>
  <c r="AA24" i="26" s="1"/>
  <c r="AA26" i="26" a="1"/>
  <c r="AA26" i="26" s="1"/>
  <c r="AC73" i="22" a="1"/>
  <c r="AC73" i="22" s="1"/>
  <c r="AB34" i="22"/>
  <c r="AB29" i="22"/>
  <c r="AB28" i="22"/>
  <c r="AB33" i="22"/>
  <c r="AB26" i="22"/>
  <c r="AB24" i="22"/>
  <c r="AB71" i="22" a="1"/>
  <c r="AB71" i="22" s="1"/>
  <c r="S16" i="6"/>
  <c r="S16" i="25" s="1"/>
  <c r="G590" i="33" s="1"/>
  <c r="H590" i="33" s="1"/>
  <c r="S23" i="6"/>
  <c r="S23" i="25" s="1"/>
  <c r="G877" i="33" s="1"/>
  <c r="H877" i="33" s="1"/>
  <c r="S19" i="6"/>
  <c r="S19" i="25" s="1"/>
  <c r="G713" i="33" s="1"/>
  <c r="H713" i="33" s="1"/>
  <c r="S18" i="6"/>
  <c r="S18" i="25" s="1"/>
  <c r="G672" i="33" s="1"/>
  <c r="H672" i="33" s="1"/>
  <c r="S14" i="6"/>
  <c r="S14" i="25" s="1"/>
  <c r="N71" i="1"/>
  <c r="O2" i="1" a="1"/>
  <c r="O2" i="1" s="1"/>
  <c r="Z71" i="1"/>
  <c r="AA38" i="1"/>
  <c r="AA2" i="1" s="1" a="1"/>
  <c r="AA2" i="1" s="1"/>
  <c r="G508" i="33" l="1"/>
  <c r="H508" i="33" s="1"/>
  <c r="D57" i="34"/>
  <c r="L57" i="34" s="1"/>
  <c r="J52" i="30"/>
  <c r="J41" i="30" s="1"/>
  <c r="J14" i="30"/>
  <c r="J3" i="30" s="1"/>
  <c r="AA102" i="26"/>
  <c r="J90" i="26"/>
  <c r="J79" i="26" s="1"/>
  <c r="AA64" i="26"/>
  <c r="J3" i="26"/>
  <c r="J90" i="30"/>
  <c r="J79" i="30" s="1"/>
  <c r="Y49" i="22"/>
  <c r="J21" i="29"/>
  <c r="J10" i="29" s="1"/>
  <c r="J97" i="29"/>
  <c r="J59" i="29"/>
  <c r="J48" i="29" s="1"/>
  <c r="S10" i="25"/>
  <c r="J98" i="29"/>
  <c r="J22" i="29"/>
  <c r="J11" i="29" s="1"/>
  <c r="J60" i="29"/>
  <c r="J49" i="29" s="1"/>
  <c r="S11" i="25"/>
  <c r="J20" i="29"/>
  <c r="J9" i="29" s="1"/>
  <c r="J96" i="29"/>
  <c r="J58" i="29"/>
  <c r="J47" i="29" s="1"/>
  <c r="S9" i="25"/>
  <c r="U21" i="6"/>
  <c r="U21" i="25" s="1"/>
  <c r="G797" i="33" s="1"/>
  <c r="H797" i="33" s="1"/>
  <c r="U22" i="6"/>
  <c r="U22" i="25" s="1"/>
  <c r="G838" i="33" s="1"/>
  <c r="H838" i="33" s="1"/>
  <c r="U20" i="6"/>
  <c r="U20" i="25" s="1"/>
  <c r="G756" i="33" s="1"/>
  <c r="H756" i="33" s="1"/>
  <c r="Y56" i="22"/>
  <c r="AC32" i="22"/>
  <c r="AC32" i="26" s="1" a="1"/>
  <c r="AC32" i="26" s="1"/>
  <c r="K13" i="26" a="1"/>
  <c r="K13" i="26" s="1"/>
  <c r="K51" i="26" s="1"/>
  <c r="K14" i="26" a="1"/>
  <c r="K14" i="26" s="1"/>
  <c r="K90" i="26" s="1"/>
  <c r="M72" i="22" a="1"/>
  <c r="M72" i="22" s="1"/>
  <c r="K17" i="26" a="1"/>
  <c r="K17" i="26" s="1"/>
  <c r="K16" i="26" a="1"/>
  <c r="K16" i="26" s="1"/>
  <c r="K23" i="26" a="1"/>
  <c r="K23" i="26" s="1"/>
  <c r="K21" i="26" a="1"/>
  <c r="K21" i="26" s="1"/>
  <c r="K18" i="26" a="1"/>
  <c r="K18" i="26" s="1"/>
  <c r="K15" i="26" a="1"/>
  <c r="K15" i="26" s="1"/>
  <c r="K22" i="26" a="1"/>
  <c r="K22" i="26" s="1"/>
  <c r="K20" i="26" a="1"/>
  <c r="K20" i="26" s="1"/>
  <c r="K19" i="26" a="1"/>
  <c r="K19" i="26" s="1"/>
  <c r="J10" i="26"/>
  <c r="J59" i="30"/>
  <c r="J48" i="30" s="1"/>
  <c r="J59" i="26"/>
  <c r="J97" i="26"/>
  <c r="J21" i="30"/>
  <c r="J10" i="30" s="1"/>
  <c r="J97" i="30"/>
  <c r="J18" i="30"/>
  <c r="J7" i="30" s="1"/>
  <c r="J94" i="26"/>
  <c r="J83" i="26" s="1"/>
  <c r="J56" i="26"/>
  <c r="J45" i="26" s="1"/>
  <c r="J56" i="30"/>
  <c r="J45" i="30" s="1"/>
  <c r="J94" i="30"/>
  <c r="J83" i="30" s="1"/>
  <c r="J7" i="26"/>
  <c r="J92" i="30"/>
  <c r="J5" i="26"/>
  <c r="J54" i="30"/>
  <c r="J43" i="30" s="1"/>
  <c r="J16" i="30"/>
  <c r="J5" i="30" s="1"/>
  <c r="J92" i="26"/>
  <c r="J81" i="26" s="1"/>
  <c r="J54" i="26"/>
  <c r="J60" i="30"/>
  <c r="J49" i="30" s="1"/>
  <c r="J11" i="26"/>
  <c r="J98" i="26"/>
  <c r="J98" i="30"/>
  <c r="J87" i="30" s="1"/>
  <c r="J22" i="30"/>
  <c r="J60" i="26"/>
  <c r="J49" i="26" s="1"/>
  <c r="J96" i="26"/>
  <c r="J96" i="30"/>
  <c r="J85" i="30" s="1"/>
  <c r="J58" i="26"/>
  <c r="J47" i="26" s="1"/>
  <c r="J20" i="30"/>
  <c r="J9" i="30" s="1"/>
  <c r="J9" i="26"/>
  <c r="J58" i="30"/>
  <c r="J47" i="30" s="1"/>
  <c r="J53" i="30"/>
  <c r="J42" i="30" s="1"/>
  <c r="J91" i="30"/>
  <c r="J80" i="30" s="1"/>
  <c r="J91" i="26"/>
  <c r="J80" i="26" s="1"/>
  <c r="J4" i="26"/>
  <c r="J15" i="30"/>
  <c r="J4" i="30" s="1"/>
  <c r="J53" i="26"/>
  <c r="J42" i="26" s="1"/>
  <c r="J61" i="30"/>
  <c r="J50" i="30" s="1"/>
  <c r="J23" i="30"/>
  <c r="J12" i="30" s="1"/>
  <c r="J99" i="30"/>
  <c r="J12" i="26"/>
  <c r="J99" i="26"/>
  <c r="J88" i="26" s="1"/>
  <c r="J61" i="26"/>
  <c r="J93" i="26"/>
  <c r="J82" i="26" s="1"/>
  <c r="J93" i="30"/>
  <c r="J82" i="30" s="1"/>
  <c r="J17" i="30"/>
  <c r="J6" i="30" s="1"/>
  <c r="J55" i="30"/>
  <c r="J44" i="30" s="1"/>
  <c r="J55" i="26"/>
  <c r="J44" i="26" s="1"/>
  <c r="J6" i="26"/>
  <c r="J57" i="30"/>
  <c r="J46" i="30" s="1"/>
  <c r="J95" i="30"/>
  <c r="J84" i="30" s="1"/>
  <c r="J95" i="26"/>
  <c r="J84" i="26" s="1"/>
  <c r="J8" i="26"/>
  <c r="J19" i="30"/>
  <c r="J8" i="30" s="1"/>
  <c r="J57" i="26"/>
  <c r="J46" i="26" s="1"/>
  <c r="J13" i="30"/>
  <c r="J2" i="30" s="1"/>
  <c r="J51" i="26"/>
  <c r="J51" i="30"/>
  <c r="J89" i="30"/>
  <c r="J89" i="26"/>
  <c r="J2" i="26"/>
  <c r="J36" i="26"/>
  <c r="L23" i="22"/>
  <c r="L17" i="22"/>
  <c r="L16" i="22"/>
  <c r="L18" i="22"/>
  <c r="L21" i="22"/>
  <c r="L15" i="22"/>
  <c r="L19" i="22"/>
  <c r="L14" i="22"/>
  <c r="L22" i="22"/>
  <c r="L20" i="22"/>
  <c r="L13" i="22"/>
  <c r="AA108" i="30"/>
  <c r="AA70" i="26"/>
  <c r="AA32" i="30"/>
  <c r="AA108" i="26"/>
  <c r="AA70" i="30"/>
  <c r="AB32" i="26" a="1"/>
  <c r="AB32" i="26" s="1"/>
  <c r="AB26" i="26" a="1"/>
  <c r="AB26" i="26" s="1"/>
  <c r="AB33" i="26" a="1"/>
  <c r="AB33" i="26" s="1"/>
  <c r="AC27" i="22"/>
  <c r="AC30" i="22"/>
  <c r="AA62" i="30"/>
  <c r="AA24" i="30"/>
  <c r="AA100" i="30"/>
  <c r="AA100" i="26"/>
  <c r="AA62" i="26"/>
  <c r="AA71" i="30"/>
  <c r="AA109" i="30"/>
  <c r="AA109" i="26"/>
  <c r="AA33" i="30"/>
  <c r="AA71" i="26"/>
  <c r="AA66" i="26"/>
  <c r="AA104" i="26"/>
  <c r="AA104" i="30"/>
  <c r="AA66" i="30"/>
  <c r="AA28" i="30"/>
  <c r="AA67" i="30"/>
  <c r="AA105" i="30"/>
  <c r="AA67" i="26"/>
  <c r="AA105" i="26"/>
  <c r="AA29" i="30"/>
  <c r="AA110" i="30"/>
  <c r="AA110" i="26"/>
  <c r="AA72" i="30"/>
  <c r="AA34" i="30"/>
  <c r="AA72" i="26"/>
  <c r="AA30" i="30"/>
  <c r="AA106" i="26"/>
  <c r="AA106" i="30"/>
  <c r="AA68" i="30"/>
  <c r="AA68" i="26"/>
  <c r="AA65" i="30"/>
  <c r="AA103" i="30"/>
  <c r="AA103" i="26"/>
  <c r="AA65" i="26"/>
  <c r="AA27" i="30"/>
  <c r="AB27" i="26" a="1"/>
  <c r="AB27" i="26" s="1"/>
  <c r="AB30" i="26" a="1"/>
  <c r="AB30" i="26" s="1"/>
  <c r="AB24" i="26" a="1"/>
  <c r="AB24" i="26" s="1"/>
  <c r="AB28" i="26" a="1"/>
  <c r="AB28" i="26" s="1"/>
  <c r="AB29" i="26" a="1"/>
  <c r="AB29" i="26" s="1"/>
  <c r="AA102" i="30"/>
  <c r="AA26" i="30"/>
  <c r="AA64" i="30"/>
  <c r="AB34" i="26" a="1"/>
  <c r="AB34" i="26" s="1"/>
  <c r="AC29" i="22"/>
  <c r="AC34" i="22"/>
  <c r="AC26" i="22"/>
  <c r="AC33" i="22"/>
  <c r="AC28" i="22"/>
  <c r="AC24" i="22"/>
  <c r="AC71" i="22" a="1"/>
  <c r="AC71" i="22" s="1"/>
  <c r="S7" i="6"/>
  <c r="S8" i="6"/>
  <c r="S3" i="6"/>
  <c r="S12" i="6"/>
  <c r="S5" i="6"/>
  <c r="O36" i="25"/>
  <c r="T14" i="6"/>
  <c r="T14" i="25" s="1"/>
  <c r="T18" i="6"/>
  <c r="T18" i="25" s="1"/>
  <c r="G673" i="33" s="1"/>
  <c r="H673" i="33" s="1"/>
  <c r="T19" i="6"/>
  <c r="T19" i="25" s="1"/>
  <c r="G714" i="33" s="1"/>
  <c r="H714" i="33" s="1"/>
  <c r="T23" i="6"/>
  <c r="T23" i="25" s="1"/>
  <c r="G878" i="33" s="1"/>
  <c r="H878" i="33" s="1"/>
  <c r="S15" i="6"/>
  <c r="S15" i="25" s="1"/>
  <c r="G549" i="33" s="1"/>
  <c r="H549" i="33" s="1"/>
  <c r="T16" i="6"/>
  <c r="T16" i="25" s="1"/>
  <c r="G591" i="33" s="1"/>
  <c r="H591" i="33" s="1"/>
  <c r="O71" i="1"/>
  <c r="AA71" i="1"/>
  <c r="AB38" i="1"/>
  <c r="AB2" i="1" s="1" a="1"/>
  <c r="AB2" i="1" s="1"/>
  <c r="G509" i="33" l="1"/>
  <c r="H509" i="33" s="1"/>
  <c r="D58" i="34"/>
  <c r="L58" i="34" s="1"/>
  <c r="K52" i="26"/>
  <c r="K52" i="30"/>
  <c r="K89" i="26"/>
  <c r="K51" i="30"/>
  <c r="K13" i="30"/>
  <c r="K89" i="30"/>
  <c r="K14" i="30"/>
  <c r="K90" i="30"/>
  <c r="J35" i="26"/>
  <c r="K36" i="26"/>
  <c r="J87" i="26"/>
  <c r="J86" i="29"/>
  <c r="J86" i="26"/>
  <c r="J87" i="29"/>
  <c r="J85" i="26"/>
  <c r="J85" i="29"/>
  <c r="K20" i="29"/>
  <c r="K96" i="29"/>
  <c r="K58" i="29"/>
  <c r="K97" i="29"/>
  <c r="K59" i="29"/>
  <c r="K21" i="29"/>
  <c r="K98" i="29"/>
  <c r="K60" i="29"/>
  <c r="K22" i="29"/>
  <c r="V21" i="6"/>
  <c r="V21" i="25" s="1"/>
  <c r="G798" i="33" s="1"/>
  <c r="H798" i="33" s="1"/>
  <c r="V20" i="6"/>
  <c r="V20" i="25" s="1"/>
  <c r="G757" i="33" s="1"/>
  <c r="H757" i="33" s="1"/>
  <c r="V22" i="6"/>
  <c r="V22" i="25" s="1"/>
  <c r="G839" i="33" s="1"/>
  <c r="H839" i="33" s="1"/>
  <c r="L13" i="26" a="1"/>
  <c r="L13" i="26" s="1"/>
  <c r="L20" i="26" a="1"/>
  <c r="L20" i="26" s="1"/>
  <c r="L58" i="26" s="1"/>
  <c r="L14" i="26" a="1"/>
  <c r="L14" i="26" s="1"/>
  <c r="L52" i="30" s="1"/>
  <c r="M13" i="22"/>
  <c r="N72" i="22" a="1"/>
  <c r="N72" i="22" s="1"/>
  <c r="L22" i="26" a="1"/>
  <c r="L22" i="26" s="1"/>
  <c r="L19" i="26" a="1"/>
  <c r="L19" i="26" s="1"/>
  <c r="L15" i="26" a="1"/>
  <c r="L15" i="26" s="1"/>
  <c r="L21" i="26" a="1"/>
  <c r="L21" i="26" s="1"/>
  <c r="L18" i="26" a="1"/>
  <c r="L18" i="26" s="1"/>
  <c r="L16" i="26" a="1"/>
  <c r="L16" i="26" s="1"/>
  <c r="L17" i="26" a="1"/>
  <c r="L17" i="26" s="1"/>
  <c r="L23" i="26" a="1"/>
  <c r="L23" i="26" s="1"/>
  <c r="J78" i="26"/>
  <c r="J112" i="26"/>
  <c r="J78" i="30"/>
  <c r="J112" i="30"/>
  <c r="J40" i="30"/>
  <c r="J73" i="30" s="1"/>
  <c r="J74" i="30"/>
  <c r="J40" i="26"/>
  <c r="J74" i="26"/>
  <c r="J88" i="30"/>
  <c r="J50" i="26"/>
  <c r="J36" i="30"/>
  <c r="J11" i="30"/>
  <c r="J35" i="30" s="1"/>
  <c r="J81" i="30"/>
  <c r="J43" i="26"/>
  <c r="J86" i="30"/>
  <c r="J48" i="26"/>
  <c r="K95" i="26"/>
  <c r="K57" i="30"/>
  <c r="K95" i="30"/>
  <c r="K57" i="26"/>
  <c r="K19" i="30"/>
  <c r="K58" i="30"/>
  <c r="K96" i="26"/>
  <c r="K20" i="30"/>
  <c r="K58" i="26"/>
  <c r="K96" i="30"/>
  <c r="K60" i="26"/>
  <c r="K60" i="30"/>
  <c r="K22" i="30"/>
  <c r="K98" i="30"/>
  <c r="K98" i="26"/>
  <c r="K53" i="26"/>
  <c r="K15" i="30"/>
  <c r="K53" i="30"/>
  <c r="K91" i="26"/>
  <c r="K91" i="30"/>
  <c r="K94" i="30"/>
  <c r="K56" i="26"/>
  <c r="K18" i="30"/>
  <c r="K56" i="30"/>
  <c r="K94" i="26"/>
  <c r="K97" i="30"/>
  <c r="K59" i="26"/>
  <c r="K21" i="30"/>
  <c r="K59" i="30"/>
  <c r="K97" i="26"/>
  <c r="K61" i="26"/>
  <c r="K99" i="30"/>
  <c r="K23" i="30"/>
  <c r="K61" i="30"/>
  <c r="K99" i="26"/>
  <c r="K92" i="30"/>
  <c r="K16" i="30"/>
  <c r="K54" i="26"/>
  <c r="K92" i="26"/>
  <c r="K54" i="30"/>
  <c r="K55" i="26"/>
  <c r="K55" i="30"/>
  <c r="K93" i="26"/>
  <c r="K93" i="30"/>
  <c r="K17" i="30"/>
  <c r="M14" i="22"/>
  <c r="M17" i="22"/>
  <c r="M19" i="22"/>
  <c r="M23" i="22"/>
  <c r="M18" i="22"/>
  <c r="M15" i="22"/>
  <c r="M16" i="22"/>
  <c r="M21" i="22"/>
  <c r="M22" i="22"/>
  <c r="M20" i="22"/>
  <c r="AB30" i="30"/>
  <c r="AB68" i="30"/>
  <c r="AB106" i="26"/>
  <c r="AB106" i="30"/>
  <c r="AB68" i="26"/>
  <c r="AB27" i="30"/>
  <c r="AB65" i="26"/>
  <c r="AB65" i="30"/>
  <c r="AB103" i="26"/>
  <c r="AB103" i="30"/>
  <c r="AC30" i="26" a="1"/>
  <c r="AC30" i="26" s="1"/>
  <c r="AC27" i="26" a="1"/>
  <c r="AC27" i="26" s="1"/>
  <c r="AB108" i="26"/>
  <c r="AB108" i="30"/>
  <c r="AB32" i="30"/>
  <c r="AB70" i="30"/>
  <c r="AB70" i="26"/>
  <c r="AC108" i="26"/>
  <c r="AC32" i="30"/>
  <c r="AC108" i="30"/>
  <c r="AC70" i="30"/>
  <c r="AC70" i="26"/>
  <c r="AC28" i="26" a="1"/>
  <c r="AC28" i="26" s="1"/>
  <c r="AB67" i="30"/>
  <c r="AB105" i="30"/>
  <c r="AB67" i="26"/>
  <c r="AB29" i="30"/>
  <c r="AB105" i="26"/>
  <c r="AB104" i="30"/>
  <c r="AB66" i="30"/>
  <c r="AB66" i="26"/>
  <c r="AB28" i="30"/>
  <c r="AB104" i="26"/>
  <c r="AB62" i="30"/>
  <c r="AB100" i="30"/>
  <c r="AB62" i="26"/>
  <c r="AB24" i="30"/>
  <c r="AB100" i="26"/>
  <c r="AB109" i="30"/>
  <c r="AB71" i="30"/>
  <c r="AB71" i="26"/>
  <c r="AB33" i="30"/>
  <c r="AB109" i="26"/>
  <c r="AB64" i="30"/>
  <c r="AB102" i="30"/>
  <c r="AB102" i="26"/>
  <c r="AB64" i="26"/>
  <c r="AB26" i="30"/>
  <c r="AC24" i="26" a="1"/>
  <c r="AC24" i="26" s="1"/>
  <c r="AC33" i="26" a="1"/>
  <c r="AC33" i="26" s="1"/>
  <c r="AC26" i="26" a="1"/>
  <c r="AC26" i="26" s="1"/>
  <c r="AC34" i="26" a="1"/>
  <c r="AC34" i="26" s="1"/>
  <c r="AC29" i="26" a="1"/>
  <c r="AC29" i="26" s="1"/>
  <c r="AB72" i="30"/>
  <c r="AB34" i="30"/>
  <c r="AB72" i="26"/>
  <c r="AB110" i="26"/>
  <c r="AB110" i="30"/>
  <c r="AD71" i="22" a="1"/>
  <c r="AD71" i="22" s="1"/>
  <c r="J92" i="29"/>
  <c r="J54" i="29"/>
  <c r="J99" i="29"/>
  <c r="J61" i="29"/>
  <c r="J52" i="29"/>
  <c r="J90" i="29"/>
  <c r="J95" i="29"/>
  <c r="J57" i="29"/>
  <c r="J56" i="29"/>
  <c r="J94" i="29"/>
  <c r="F112" i="29"/>
  <c r="J23" i="29"/>
  <c r="J12" i="29" s="1"/>
  <c r="J18" i="29"/>
  <c r="J7" i="29" s="1"/>
  <c r="J16" i="29"/>
  <c r="J5" i="29" s="1"/>
  <c r="S4" i="6"/>
  <c r="J19" i="29"/>
  <c r="J8" i="29" s="1"/>
  <c r="J14" i="29"/>
  <c r="J3" i="29" s="1"/>
  <c r="S12" i="25"/>
  <c r="S8" i="25"/>
  <c r="S7" i="25"/>
  <c r="S5" i="25"/>
  <c r="O74" i="25"/>
  <c r="S3" i="25"/>
  <c r="U16" i="6"/>
  <c r="U16" i="25" s="1"/>
  <c r="G592" i="33" s="1"/>
  <c r="H592" i="33" s="1"/>
  <c r="S13" i="6"/>
  <c r="S13" i="25" s="1"/>
  <c r="U14" i="6"/>
  <c r="U14" i="25" s="1"/>
  <c r="U23" i="6"/>
  <c r="U23" i="25" s="1"/>
  <c r="G879" i="33" s="1"/>
  <c r="H879" i="33" s="1"/>
  <c r="U19" i="6"/>
  <c r="U19" i="25" s="1"/>
  <c r="G715" i="33" s="1"/>
  <c r="H715" i="33" s="1"/>
  <c r="T15" i="6"/>
  <c r="T15" i="25" s="1"/>
  <c r="G550" i="33" s="1"/>
  <c r="H550" i="33" s="1"/>
  <c r="U18" i="6"/>
  <c r="U18" i="25" s="1"/>
  <c r="G674" i="33" s="1"/>
  <c r="H674" i="33" s="1"/>
  <c r="AB71" i="1"/>
  <c r="AC38" i="1"/>
  <c r="AC2" i="1" s="1" a="1"/>
  <c r="AC2" i="1" s="1"/>
  <c r="G510" i="33" l="1"/>
  <c r="H510" i="33" s="1"/>
  <c r="D59" i="34"/>
  <c r="L59" i="34" s="1"/>
  <c r="G467" i="33"/>
  <c r="D16" i="34"/>
  <c r="L16" i="34" s="1"/>
  <c r="M139" i="34"/>
  <c r="M98" i="34"/>
  <c r="M57" i="34"/>
  <c r="J111" i="26"/>
  <c r="J73" i="26"/>
  <c r="L90" i="30"/>
  <c r="K74" i="30"/>
  <c r="J111" i="30"/>
  <c r="L52" i="26"/>
  <c r="J81" i="29"/>
  <c r="L90" i="26"/>
  <c r="L96" i="30"/>
  <c r="L14" i="30"/>
  <c r="K112" i="30"/>
  <c r="L96" i="26"/>
  <c r="L20" i="30"/>
  <c r="J84" i="29"/>
  <c r="L58" i="30"/>
  <c r="J88" i="29"/>
  <c r="K112" i="26"/>
  <c r="AC67" i="26"/>
  <c r="K74" i="26"/>
  <c r="AC67" i="30"/>
  <c r="L97" i="29"/>
  <c r="L59" i="29"/>
  <c r="L21" i="29"/>
  <c r="L98" i="29"/>
  <c r="L60" i="29"/>
  <c r="L22" i="29"/>
  <c r="L96" i="29"/>
  <c r="L58" i="29"/>
  <c r="L20" i="29"/>
  <c r="W21" i="6"/>
  <c r="W21" i="25" s="1"/>
  <c r="G799" i="33" s="1"/>
  <c r="H799" i="33" s="1"/>
  <c r="W20" i="6"/>
  <c r="W20" i="25" s="1"/>
  <c r="G758" i="33" s="1"/>
  <c r="H758" i="33" s="1"/>
  <c r="W22" i="6"/>
  <c r="W22" i="25" s="1"/>
  <c r="G840" i="33" s="1"/>
  <c r="H840" i="33" s="1"/>
  <c r="M20" i="26" a="1"/>
  <c r="M20" i="26" s="1"/>
  <c r="M14" i="26" a="1"/>
  <c r="M14" i="26" s="1"/>
  <c r="M52" i="30" s="1"/>
  <c r="N20" i="22"/>
  <c r="N13" i="22"/>
  <c r="M13" i="26" a="1"/>
  <c r="M13" i="26" s="1"/>
  <c r="L36" i="26"/>
  <c r="L51" i="30"/>
  <c r="L89" i="30"/>
  <c r="L89" i="26"/>
  <c r="L13" i="30"/>
  <c r="L51" i="26"/>
  <c r="O72" i="22" a="1"/>
  <c r="O72" i="22" s="1"/>
  <c r="M22" i="26" a="1"/>
  <c r="M22" i="26" s="1"/>
  <c r="M21" i="26" a="1"/>
  <c r="M21" i="26" s="1"/>
  <c r="M16" i="26" a="1"/>
  <c r="M16" i="26" s="1"/>
  <c r="M15" i="26" a="1"/>
  <c r="M15" i="26" s="1"/>
  <c r="M18" i="26" a="1"/>
  <c r="M18" i="26" s="1"/>
  <c r="M23" i="26" a="1"/>
  <c r="M23" i="26" s="1"/>
  <c r="M19" i="26" a="1"/>
  <c r="M19" i="26" s="1"/>
  <c r="M17" i="26" a="1"/>
  <c r="M17" i="26" s="1"/>
  <c r="K36" i="30"/>
  <c r="L61" i="30"/>
  <c r="L23" i="30"/>
  <c r="L99" i="30"/>
  <c r="L61" i="26"/>
  <c r="L99" i="26"/>
  <c r="L55" i="26"/>
  <c r="L55" i="30"/>
  <c r="L17" i="30"/>
  <c r="L93" i="30"/>
  <c r="L93" i="26"/>
  <c r="L54" i="30"/>
  <c r="L16" i="30"/>
  <c r="L54" i="26"/>
  <c r="L92" i="26"/>
  <c r="L92" i="30"/>
  <c r="L94" i="26"/>
  <c r="L56" i="30"/>
  <c r="L94" i="30"/>
  <c r="L56" i="26"/>
  <c r="L18" i="30"/>
  <c r="L21" i="30"/>
  <c r="L59" i="30"/>
  <c r="L97" i="30"/>
  <c r="L97" i="26"/>
  <c r="L59" i="26"/>
  <c r="L53" i="26"/>
  <c r="L15" i="30"/>
  <c r="L53" i="30"/>
  <c r="L91" i="30"/>
  <c r="L91" i="26"/>
  <c r="L57" i="30"/>
  <c r="L95" i="26"/>
  <c r="L57" i="26"/>
  <c r="L19" i="30"/>
  <c r="L95" i="30"/>
  <c r="L60" i="30"/>
  <c r="L60" i="26"/>
  <c r="L98" i="30"/>
  <c r="L98" i="26"/>
  <c r="L22" i="30"/>
  <c r="N19" i="22"/>
  <c r="N16" i="22"/>
  <c r="N21" i="22"/>
  <c r="N17" i="22"/>
  <c r="N14" i="22"/>
  <c r="N18" i="22"/>
  <c r="N15" i="22"/>
  <c r="N23" i="22"/>
  <c r="N22" i="22"/>
  <c r="AC65" i="30"/>
  <c r="AC103" i="26"/>
  <c r="AC27" i="30"/>
  <c r="AC103" i="30"/>
  <c r="AC65" i="26"/>
  <c r="AC106" i="30"/>
  <c r="AC68" i="30"/>
  <c r="AC68" i="26"/>
  <c r="AC106" i="26"/>
  <c r="AC30" i="30"/>
  <c r="AC72" i="30"/>
  <c r="AC110" i="30"/>
  <c r="AC34" i="30"/>
  <c r="AC72" i="26"/>
  <c r="AC110" i="26"/>
  <c r="AC64" i="26"/>
  <c r="AC102" i="30"/>
  <c r="AC64" i="30"/>
  <c r="AC26" i="30"/>
  <c r="AC102" i="26"/>
  <c r="AC109" i="30"/>
  <c r="AC71" i="30"/>
  <c r="AC33" i="30"/>
  <c r="AC109" i="26"/>
  <c r="AC71" i="26"/>
  <c r="AC100" i="30"/>
  <c r="AC62" i="30"/>
  <c r="AC24" i="30"/>
  <c r="AC100" i="26"/>
  <c r="AC62" i="26"/>
  <c r="AC66" i="30"/>
  <c r="AC104" i="26"/>
  <c r="AC104" i="30"/>
  <c r="AC66" i="26"/>
  <c r="AC28" i="30"/>
  <c r="AC29" i="30"/>
  <c r="AC105" i="30"/>
  <c r="AC105" i="26"/>
  <c r="AG72" i="22" a="1"/>
  <c r="AG72" i="22" s="1"/>
  <c r="AE71" i="22" a="1"/>
  <c r="AE71" i="22" s="1"/>
  <c r="K52" i="29"/>
  <c r="K90" i="29"/>
  <c r="K92" i="29"/>
  <c r="K54" i="29"/>
  <c r="K94" i="29"/>
  <c r="K56" i="29"/>
  <c r="J53" i="29"/>
  <c r="J91" i="29"/>
  <c r="K57" i="29"/>
  <c r="K95" i="29"/>
  <c r="K99" i="29"/>
  <c r="K61" i="29"/>
  <c r="J83" i="29"/>
  <c r="J79" i="29"/>
  <c r="F74" i="29"/>
  <c r="K18" i="29"/>
  <c r="J41" i="29"/>
  <c r="J50" i="29"/>
  <c r="K16" i="29"/>
  <c r="K19" i="29"/>
  <c r="K14" i="29"/>
  <c r="S2" i="6"/>
  <c r="J46" i="29"/>
  <c r="K23" i="29"/>
  <c r="J45" i="29"/>
  <c r="J43" i="29"/>
  <c r="J15" i="29"/>
  <c r="J4" i="29" s="1"/>
  <c r="S4" i="25"/>
  <c r="V19" i="6"/>
  <c r="V19" i="25" s="1"/>
  <c r="G716" i="33" s="1"/>
  <c r="H716" i="33" s="1"/>
  <c r="S17" i="6"/>
  <c r="S17" i="25" s="1"/>
  <c r="G631" i="33" s="1"/>
  <c r="H631" i="33" s="1"/>
  <c r="V23" i="6"/>
  <c r="V23" i="25" s="1"/>
  <c r="G880" i="33" s="1"/>
  <c r="H880" i="33" s="1"/>
  <c r="V14" i="6"/>
  <c r="V14" i="25" s="1"/>
  <c r="V16" i="6"/>
  <c r="V16" i="25" s="1"/>
  <c r="G593" i="33" s="1"/>
  <c r="H593" i="33" s="1"/>
  <c r="V18" i="6"/>
  <c r="V18" i="25" s="1"/>
  <c r="G675" i="33" s="1"/>
  <c r="H675" i="33" s="1"/>
  <c r="T13" i="6"/>
  <c r="T13" i="25" s="1"/>
  <c r="U15" i="6"/>
  <c r="U15" i="25" s="1"/>
  <c r="G551" i="33" s="1"/>
  <c r="H551" i="33" s="1"/>
  <c r="AC71" i="1"/>
  <c r="AD38" i="1"/>
  <c r="AD2" i="1" s="1" a="1"/>
  <c r="AD2" i="1" s="1"/>
  <c r="G468" i="33" l="1"/>
  <c r="H468" i="33" s="1"/>
  <c r="D17" i="34"/>
  <c r="L17" i="34" s="1"/>
  <c r="G511" i="33"/>
  <c r="D60" i="34"/>
  <c r="L60" i="34" s="1"/>
  <c r="H467" i="33"/>
  <c r="M14" i="30"/>
  <c r="M90" i="26"/>
  <c r="M90" i="30"/>
  <c r="M52" i="26"/>
  <c r="AG20" i="22"/>
  <c r="AG21" i="22"/>
  <c r="AG13" i="22"/>
  <c r="AG18" i="22"/>
  <c r="AG15" i="22"/>
  <c r="AG16" i="22"/>
  <c r="AG17" i="22"/>
  <c r="AG14" i="22"/>
  <c r="AG19" i="22"/>
  <c r="AG23" i="22"/>
  <c r="AG22" i="22"/>
  <c r="M97" i="29"/>
  <c r="M59" i="29"/>
  <c r="M21" i="29"/>
  <c r="M96" i="29"/>
  <c r="M20" i="29"/>
  <c r="M58" i="29"/>
  <c r="M98" i="29"/>
  <c r="M60" i="29"/>
  <c r="M22" i="29"/>
  <c r="N23" i="26" a="1"/>
  <c r="N23" i="26" s="1"/>
  <c r="N99" i="26" s="1"/>
  <c r="N14" i="26" a="1"/>
  <c r="N14" i="26" s="1"/>
  <c r="N52" i="26" s="1"/>
  <c r="N17" i="26" a="1"/>
  <c r="N17" i="26" s="1"/>
  <c r="N93" i="30" s="1"/>
  <c r="N19" i="26" a="1"/>
  <c r="N19" i="26" s="1"/>
  <c r="N57" i="26" s="1"/>
  <c r="X21" i="6"/>
  <c r="X21" i="25" s="1"/>
  <c r="G800" i="33" s="1"/>
  <c r="H800" i="33" s="1"/>
  <c r="X22" i="6"/>
  <c r="X22" i="25" s="1"/>
  <c r="G841" i="33" s="1"/>
  <c r="H841" i="33" s="1"/>
  <c r="X20" i="6"/>
  <c r="X20" i="25" s="1"/>
  <c r="G759" i="33" s="1"/>
  <c r="H759" i="33" s="1"/>
  <c r="N22" i="26" a="1"/>
  <c r="N22" i="26" s="1"/>
  <c r="O22" i="22"/>
  <c r="O20" i="22"/>
  <c r="O13" i="22"/>
  <c r="L74" i="26"/>
  <c r="L36" i="30"/>
  <c r="L112" i="26"/>
  <c r="L112" i="30"/>
  <c r="L74" i="30"/>
  <c r="M51" i="26"/>
  <c r="M89" i="26"/>
  <c r="M51" i="30"/>
  <c r="M36" i="26"/>
  <c r="M13" i="30"/>
  <c r="M89" i="30"/>
  <c r="N13" i="26" a="1"/>
  <c r="N13" i="26" s="1"/>
  <c r="N20" i="26" a="1"/>
  <c r="N20" i="26" s="1"/>
  <c r="M20" i="30"/>
  <c r="M58" i="26"/>
  <c r="M96" i="30"/>
  <c r="M96" i="26"/>
  <c r="M58" i="30"/>
  <c r="Y17" i="6"/>
  <c r="Y17" i="25" s="1"/>
  <c r="G637" i="33" s="1"/>
  <c r="H637" i="33" s="1"/>
  <c r="P72" i="22" a="1"/>
  <c r="P72" i="22" s="1"/>
  <c r="Q72" i="22" a="1"/>
  <c r="Q72" i="22" s="1"/>
  <c r="N15" i="26" a="1"/>
  <c r="N15" i="26" s="1"/>
  <c r="N18" i="26" a="1"/>
  <c r="N18" i="26" s="1"/>
  <c r="N21" i="26" a="1"/>
  <c r="N21" i="26" s="1"/>
  <c r="N16" i="26" a="1"/>
  <c r="N16" i="26" s="1"/>
  <c r="M93" i="26"/>
  <c r="M55" i="30"/>
  <c r="M17" i="30"/>
  <c r="M93" i="30"/>
  <c r="M55" i="26"/>
  <c r="M95" i="26"/>
  <c r="M19" i="30"/>
  <c r="M57" i="26"/>
  <c r="M57" i="30"/>
  <c r="M95" i="30"/>
  <c r="M61" i="26"/>
  <c r="M23" i="30"/>
  <c r="M61" i="30"/>
  <c r="M99" i="30"/>
  <c r="M99" i="26"/>
  <c r="M56" i="30"/>
  <c r="M94" i="30"/>
  <c r="M56" i="26"/>
  <c r="M18" i="30"/>
  <c r="M94" i="26"/>
  <c r="M91" i="26"/>
  <c r="M15" i="30"/>
  <c r="M53" i="30"/>
  <c r="M91" i="30"/>
  <c r="M53" i="26"/>
  <c r="M54" i="30"/>
  <c r="M92" i="30"/>
  <c r="M92" i="26"/>
  <c r="M16" i="30"/>
  <c r="M54" i="26"/>
  <c r="M59" i="30"/>
  <c r="M97" i="30"/>
  <c r="M59" i="26"/>
  <c r="M97" i="26"/>
  <c r="M21" i="30"/>
  <c r="M98" i="26"/>
  <c r="M60" i="30"/>
  <c r="M60" i="26"/>
  <c r="M98" i="30"/>
  <c r="M22" i="30"/>
  <c r="O15" i="22"/>
  <c r="O19" i="22"/>
  <c r="O17" i="22"/>
  <c r="O14" i="22"/>
  <c r="O21" i="22"/>
  <c r="O16" i="22"/>
  <c r="O23" i="22"/>
  <c r="O18" i="22"/>
  <c r="AG73" i="22" a="1"/>
  <c r="AG73" i="22" s="1"/>
  <c r="AF71" i="22" a="1"/>
  <c r="AF71" i="22" s="1"/>
  <c r="J80" i="29"/>
  <c r="K53" i="29"/>
  <c r="K91" i="29"/>
  <c r="L56" i="29"/>
  <c r="L94" i="29"/>
  <c r="L92" i="29"/>
  <c r="L54" i="29"/>
  <c r="J89" i="29"/>
  <c r="J51" i="29"/>
  <c r="L52" i="29"/>
  <c r="L90" i="29"/>
  <c r="L99" i="29"/>
  <c r="L61" i="29"/>
  <c r="L95" i="29"/>
  <c r="L57" i="29"/>
  <c r="L14" i="29"/>
  <c r="K15" i="29"/>
  <c r="L16" i="29"/>
  <c r="J42" i="29"/>
  <c r="L23" i="29"/>
  <c r="L19" i="29"/>
  <c r="L18" i="29"/>
  <c r="S6" i="6"/>
  <c r="J13" i="29"/>
  <c r="S37" i="25"/>
  <c r="S2" i="25"/>
  <c r="M16" i="34" s="1"/>
  <c r="V15" i="6"/>
  <c r="V15" i="25" s="1"/>
  <c r="G552" i="33" s="1"/>
  <c r="H552" i="33" s="1"/>
  <c r="X14" i="6"/>
  <c r="X14" i="25" s="1"/>
  <c r="W14" i="6"/>
  <c r="W14" i="25" s="1"/>
  <c r="X23" i="6"/>
  <c r="X23" i="25" s="1"/>
  <c r="G882" i="33" s="1"/>
  <c r="H882" i="33" s="1"/>
  <c r="W23" i="6"/>
  <c r="W23" i="25" s="1"/>
  <c r="G881" i="33" s="1"/>
  <c r="H881" i="33" s="1"/>
  <c r="X19" i="6"/>
  <c r="X19" i="25" s="1"/>
  <c r="G718" i="33" s="1"/>
  <c r="H718" i="33" s="1"/>
  <c r="W19" i="6"/>
  <c r="W19" i="25" s="1"/>
  <c r="G717" i="33" s="1"/>
  <c r="H717" i="33" s="1"/>
  <c r="U13" i="6"/>
  <c r="U13" i="25" s="1"/>
  <c r="X18" i="6"/>
  <c r="X18" i="25" s="1"/>
  <c r="G677" i="33" s="1"/>
  <c r="H677" i="33" s="1"/>
  <c r="W18" i="6"/>
  <c r="W18" i="25" s="1"/>
  <c r="G676" i="33" s="1"/>
  <c r="H676" i="33" s="1"/>
  <c r="T17" i="6"/>
  <c r="T17" i="25" s="1"/>
  <c r="G632" i="33" s="1"/>
  <c r="H632" i="33" s="1"/>
  <c r="X16" i="6"/>
  <c r="X16" i="25" s="1"/>
  <c r="G595" i="33" s="1"/>
  <c r="H595" i="33" s="1"/>
  <c r="W16" i="6"/>
  <c r="W16" i="25" s="1"/>
  <c r="G594" i="33" s="1"/>
  <c r="H594" i="33" s="1"/>
  <c r="AD71" i="1"/>
  <c r="AE38" i="1"/>
  <c r="AE2" i="1" s="1" a="1"/>
  <c r="AE2" i="1" s="1"/>
  <c r="G512" i="33" l="1"/>
  <c r="H512" i="33" s="1"/>
  <c r="D61" i="34"/>
  <c r="L61" i="34" s="1"/>
  <c r="G469" i="33"/>
  <c r="D18" i="34"/>
  <c r="L18" i="34" s="1"/>
  <c r="G513" i="33"/>
  <c r="D62" i="34"/>
  <c r="L62" i="34" s="1"/>
  <c r="H511" i="33"/>
  <c r="N95" i="30"/>
  <c r="N90" i="26"/>
  <c r="N95" i="26"/>
  <c r="N93" i="26"/>
  <c r="N57" i="30"/>
  <c r="N55" i="26"/>
  <c r="N55" i="30"/>
  <c r="N90" i="30"/>
  <c r="N61" i="30"/>
  <c r="N19" i="30"/>
  <c r="N52" i="30"/>
  <c r="N61" i="26"/>
  <c r="N14" i="30"/>
  <c r="N99" i="30"/>
  <c r="N23" i="30"/>
  <c r="N17" i="30"/>
  <c r="C18" i="27"/>
  <c r="AG22" i="26" a="1"/>
  <c r="AG22" i="26" s="1"/>
  <c r="AG23" i="26" a="1"/>
  <c r="AG23" i="26" s="1"/>
  <c r="AG19" i="26" a="1"/>
  <c r="AG19" i="26" s="1"/>
  <c r="AG14" i="26" a="1"/>
  <c r="AG14" i="26" s="1"/>
  <c r="AG13" i="26" a="1"/>
  <c r="AG13" i="26" s="1"/>
  <c r="AG21" i="26" a="1"/>
  <c r="AG21" i="26" s="1"/>
  <c r="AG20" i="26" a="1"/>
  <c r="AG20" i="26" s="1"/>
  <c r="O23" i="26" a="1"/>
  <c r="O23" i="26" s="1"/>
  <c r="O23" i="30" s="1"/>
  <c r="O17" i="26" a="1"/>
  <c r="O17" i="26" s="1"/>
  <c r="O55" i="26" s="1"/>
  <c r="O19" i="26" a="1"/>
  <c r="O19" i="26" s="1"/>
  <c r="O57" i="30" s="1"/>
  <c r="Y19" i="6"/>
  <c r="Y22" i="6"/>
  <c r="Y22" i="25" s="1"/>
  <c r="G842" i="33" s="1"/>
  <c r="H842" i="33" s="1"/>
  <c r="Y18" i="6"/>
  <c r="Y14" i="6"/>
  <c r="Y23" i="6"/>
  <c r="Y15" i="6"/>
  <c r="Y21" i="6"/>
  <c r="Y21" i="25" s="1"/>
  <c r="G801" i="33" s="1"/>
  <c r="H801" i="33" s="1"/>
  <c r="Y20" i="6"/>
  <c r="Y20" i="25" s="1"/>
  <c r="G760" i="33" s="1"/>
  <c r="H760" i="33" s="1"/>
  <c r="Y16" i="6"/>
  <c r="Y13" i="6"/>
  <c r="N97" i="29"/>
  <c r="N21" i="29"/>
  <c r="N59" i="29"/>
  <c r="N96" i="29"/>
  <c r="N20" i="29"/>
  <c r="N58" i="29"/>
  <c r="N22" i="29"/>
  <c r="N98" i="29"/>
  <c r="N60" i="29"/>
  <c r="AG17" i="26" a="1"/>
  <c r="AG17" i="26" s="1"/>
  <c r="AG16" i="26" a="1"/>
  <c r="AG16" i="26" s="1"/>
  <c r="AG15" i="26" a="1"/>
  <c r="AG15" i="26" s="1"/>
  <c r="AG18" i="26" a="1"/>
  <c r="AG18" i="26" s="1"/>
  <c r="AG32" i="22"/>
  <c r="AG10" i="22" s="1"/>
  <c r="O14" i="26" a="1"/>
  <c r="O14" i="26" s="1"/>
  <c r="Q13" i="22"/>
  <c r="Q22" i="22"/>
  <c r="Q20" i="22"/>
  <c r="P22" i="22"/>
  <c r="P20" i="22"/>
  <c r="P13" i="22"/>
  <c r="AL13" i="22" s="1"/>
  <c r="N58" i="26"/>
  <c r="N96" i="30"/>
  <c r="N20" i="30"/>
  <c r="N58" i="30"/>
  <c r="N96" i="26"/>
  <c r="N89" i="30"/>
  <c r="N13" i="30"/>
  <c r="N89" i="26"/>
  <c r="N51" i="30"/>
  <c r="N51" i="26"/>
  <c r="N36" i="26"/>
  <c r="M112" i="30"/>
  <c r="M36" i="30"/>
  <c r="M74" i="30"/>
  <c r="M112" i="26"/>
  <c r="M74" i="26"/>
  <c r="O13" i="26" a="1"/>
  <c r="O13" i="26" s="1"/>
  <c r="O20" i="26" a="1"/>
  <c r="O20" i="26" s="1"/>
  <c r="O22" i="26" a="1"/>
  <c r="O22" i="26" s="1"/>
  <c r="N22" i="30"/>
  <c r="N60" i="26"/>
  <c r="N60" i="30"/>
  <c r="N98" i="26"/>
  <c r="N98" i="30"/>
  <c r="O18" i="26" a="1"/>
  <c r="O18" i="26" s="1"/>
  <c r="O16" i="26" a="1"/>
  <c r="O16" i="26" s="1"/>
  <c r="O21" i="26" a="1"/>
  <c r="O21" i="26" s="1"/>
  <c r="O15" i="26" a="1"/>
  <c r="O15" i="26" s="1"/>
  <c r="N54" i="30"/>
  <c r="N92" i="30"/>
  <c r="N54" i="26"/>
  <c r="N16" i="30"/>
  <c r="N92" i="26"/>
  <c r="N59" i="26"/>
  <c r="N21" i="30"/>
  <c r="N97" i="26"/>
  <c r="N59" i="30"/>
  <c r="N97" i="30"/>
  <c r="N56" i="26"/>
  <c r="N94" i="26"/>
  <c r="N56" i="30"/>
  <c r="N94" i="30"/>
  <c r="N18" i="30"/>
  <c r="N91" i="30"/>
  <c r="N91" i="26"/>
  <c r="N53" i="26"/>
  <c r="N15" i="30"/>
  <c r="N53" i="30"/>
  <c r="Q14" i="22"/>
  <c r="Q21" i="22"/>
  <c r="Q19" i="22"/>
  <c r="Q15" i="22"/>
  <c r="Q16" i="22"/>
  <c r="Q23" i="22"/>
  <c r="Q18" i="22"/>
  <c r="Q17" i="22"/>
  <c r="P14" i="22"/>
  <c r="P19" i="22"/>
  <c r="P23" i="22"/>
  <c r="P21" i="22"/>
  <c r="P17" i="22"/>
  <c r="P16" i="22"/>
  <c r="AL16" i="22" s="1"/>
  <c r="P15" i="22"/>
  <c r="AL15" i="22" s="1"/>
  <c r="P18" i="22"/>
  <c r="AL18" i="22" s="1"/>
  <c r="AG30" i="22"/>
  <c r="AG8" i="22" s="1"/>
  <c r="AG27" i="22"/>
  <c r="AG5" i="22" s="1"/>
  <c r="AH73" i="22" a="1"/>
  <c r="AH73" i="22" s="1"/>
  <c r="AI73" i="22" a="1"/>
  <c r="AI73" i="22" s="1"/>
  <c r="AG24" i="22"/>
  <c r="AG2" i="22" s="1"/>
  <c r="AG29" i="22"/>
  <c r="AG29" i="26" s="1" a="1"/>
  <c r="AG29" i="26" s="1"/>
  <c r="AG26" i="22"/>
  <c r="AG4" i="22" s="1"/>
  <c r="AG34" i="22"/>
  <c r="AG12" i="22" s="1"/>
  <c r="AG28" i="22"/>
  <c r="AG6" i="22" s="1"/>
  <c r="AG33" i="22"/>
  <c r="AG33" i="26" s="1" a="1"/>
  <c r="AG33" i="26" s="1"/>
  <c r="AG71" i="22" a="1"/>
  <c r="AG71" i="22" s="1"/>
  <c r="M57" i="29"/>
  <c r="M95" i="29"/>
  <c r="J93" i="29"/>
  <c r="J55" i="29"/>
  <c r="M90" i="29"/>
  <c r="M52" i="29"/>
  <c r="M92" i="29"/>
  <c r="M54" i="29"/>
  <c r="M99" i="29"/>
  <c r="M61" i="29"/>
  <c r="M94" i="29"/>
  <c r="M56" i="29"/>
  <c r="K51" i="29"/>
  <c r="K89" i="29"/>
  <c r="L91" i="29"/>
  <c r="L53" i="29"/>
  <c r="J113" i="29"/>
  <c r="J78" i="29"/>
  <c r="M14" i="29"/>
  <c r="K13" i="29"/>
  <c r="J17" i="29"/>
  <c r="J6" i="29" s="1"/>
  <c r="AT17" i="6"/>
  <c r="M23" i="29"/>
  <c r="J2" i="29"/>
  <c r="M19" i="29"/>
  <c r="M18" i="29"/>
  <c r="S75" i="25"/>
  <c r="J75" i="29"/>
  <c r="M16" i="29"/>
  <c r="L15" i="29"/>
  <c r="S6" i="25"/>
  <c r="S35" i="25" s="1"/>
  <c r="S36" i="25"/>
  <c r="V13" i="6"/>
  <c r="V13" i="25" s="1"/>
  <c r="X15" i="6"/>
  <c r="X15" i="25" s="1"/>
  <c r="G554" i="33" s="1"/>
  <c r="H554" i="33" s="1"/>
  <c r="W15" i="6"/>
  <c r="W15" i="25" s="1"/>
  <c r="G553" i="33" s="1"/>
  <c r="H553" i="33" s="1"/>
  <c r="U17" i="6"/>
  <c r="U17" i="25" s="1"/>
  <c r="G633" i="33" s="1"/>
  <c r="H633" i="33" s="1"/>
  <c r="AE71" i="1"/>
  <c r="AF38" i="1"/>
  <c r="AF2" i="1" s="1" a="1"/>
  <c r="AF2" i="1" s="1"/>
  <c r="H469" i="33" l="1"/>
  <c r="G470" i="33"/>
  <c r="D19" i="34"/>
  <c r="L19" i="34" s="1"/>
  <c r="H513" i="33"/>
  <c r="AT13" i="6"/>
  <c r="Y13" i="25"/>
  <c r="AT16" i="6"/>
  <c r="Y16" i="25"/>
  <c r="G596" i="33" s="1"/>
  <c r="H596" i="33" s="1"/>
  <c r="AT15" i="6"/>
  <c r="Y15" i="25"/>
  <c r="G555" i="33" s="1"/>
  <c r="H555" i="33" s="1"/>
  <c r="AT23" i="6"/>
  <c r="Y23" i="25"/>
  <c r="G883" i="33" s="1"/>
  <c r="H883" i="33" s="1"/>
  <c r="AT14" i="6"/>
  <c r="Y14" i="25"/>
  <c r="AT18" i="6"/>
  <c r="Y18" i="25"/>
  <c r="G678" i="33" s="1"/>
  <c r="H678" i="33" s="1"/>
  <c r="AT19" i="6"/>
  <c r="Y19" i="25"/>
  <c r="G719" i="33" s="1"/>
  <c r="H719" i="33" s="1"/>
  <c r="Z42" i="6"/>
  <c r="O93" i="26"/>
  <c r="O93" i="30"/>
  <c r="O99" i="26"/>
  <c r="O61" i="26"/>
  <c r="O57" i="26"/>
  <c r="O95" i="26"/>
  <c r="O17" i="30"/>
  <c r="O19" i="30"/>
  <c r="O61" i="30"/>
  <c r="O55" i="30"/>
  <c r="O99" i="30"/>
  <c r="O14" i="30"/>
  <c r="O90" i="30"/>
  <c r="AG7" i="22"/>
  <c r="O52" i="30"/>
  <c r="O90" i="26"/>
  <c r="AG32" i="26" a="1"/>
  <c r="AG32" i="26" s="1"/>
  <c r="AG10" i="26" s="1"/>
  <c r="O52" i="26"/>
  <c r="AG11" i="22"/>
  <c r="AG40" i="22"/>
  <c r="AG46" i="22"/>
  <c r="AG43" i="22"/>
  <c r="AG44" i="22"/>
  <c r="AG38" i="22"/>
  <c r="AG41" i="22"/>
  <c r="AG48" i="22"/>
  <c r="AG42" i="22"/>
  <c r="AG47" i="22"/>
  <c r="O95" i="30"/>
  <c r="Q17" i="26" a="1"/>
  <c r="Q17" i="26" s="1"/>
  <c r="Q93" i="26" s="1"/>
  <c r="Q23" i="26" a="1"/>
  <c r="Q23" i="26" s="1"/>
  <c r="Q23" i="30" s="1"/>
  <c r="Q19" i="26" a="1"/>
  <c r="Q19" i="26" s="1"/>
  <c r="Q19" i="30" s="1"/>
  <c r="Q13" i="26" a="1"/>
  <c r="Q13" i="26" s="1"/>
  <c r="Q13" i="30" s="1"/>
  <c r="AG91" i="26"/>
  <c r="AG53" i="26"/>
  <c r="AG15" i="30"/>
  <c r="AG53" i="30"/>
  <c r="AG91" i="30"/>
  <c r="AG92" i="26"/>
  <c r="AG54" i="26"/>
  <c r="AG54" i="30"/>
  <c r="AG92" i="30"/>
  <c r="AG16" i="30"/>
  <c r="AG55" i="26"/>
  <c r="AG17" i="30"/>
  <c r="AG55" i="30"/>
  <c r="C14" i="27"/>
  <c r="AG96" i="26"/>
  <c r="AG58" i="30"/>
  <c r="AG96" i="30"/>
  <c r="AG20" i="30"/>
  <c r="AG58" i="26"/>
  <c r="AG97" i="26"/>
  <c r="AG97" i="30"/>
  <c r="AG21" i="30"/>
  <c r="AG59" i="30"/>
  <c r="AG59" i="26"/>
  <c r="AG89" i="30"/>
  <c r="AG13" i="30"/>
  <c r="AG51" i="30"/>
  <c r="AG36" i="26"/>
  <c r="AG51" i="26"/>
  <c r="AG89" i="26"/>
  <c r="AG14" i="30"/>
  <c r="AG52" i="30"/>
  <c r="AG90" i="30"/>
  <c r="AG90" i="26"/>
  <c r="AG52" i="26"/>
  <c r="AG19" i="30"/>
  <c r="AG57" i="30"/>
  <c r="AG95" i="30"/>
  <c r="AG95" i="26"/>
  <c r="AG57" i="26"/>
  <c r="AG99" i="30"/>
  <c r="AG23" i="30"/>
  <c r="AG61" i="26"/>
  <c r="AG99" i="26"/>
  <c r="AG61" i="30"/>
  <c r="AG22" i="30"/>
  <c r="AG60" i="30"/>
  <c r="AG98" i="26"/>
  <c r="AG98" i="30"/>
  <c r="AG11" i="26"/>
  <c r="AG60" i="26"/>
  <c r="P93" i="29"/>
  <c r="P55" i="29"/>
  <c r="P17" i="29"/>
  <c r="AL17" i="22"/>
  <c r="AL21" i="22"/>
  <c r="AL23" i="22"/>
  <c r="AL19" i="22"/>
  <c r="AL14" i="22"/>
  <c r="Q14" i="26" a="1"/>
  <c r="Q14" i="26" s="1"/>
  <c r="Q90" i="30" s="1"/>
  <c r="AL20" i="22"/>
  <c r="AL22" i="22"/>
  <c r="O97" i="29"/>
  <c r="O59" i="29"/>
  <c r="O21" i="29"/>
  <c r="AG7" i="26"/>
  <c r="AG56" i="30"/>
  <c r="AG18" i="30"/>
  <c r="AG94" i="30"/>
  <c r="AG94" i="26"/>
  <c r="AG56" i="26"/>
  <c r="AG93" i="30"/>
  <c r="AG93" i="26"/>
  <c r="O98" i="29"/>
  <c r="O22" i="29"/>
  <c r="O60" i="29"/>
  <c r="O96" i="29"/>
  <c r="O58" i="29"/>
  <c r="O20" i="29"/>
  <c r="C17" i="27"/>
  <c r="C21" i="27"/>
  <c r="AT20" i="6"/>
  <c r="C22" i="27"/>
  <c r="AT21" i="6"/>
  <c r="C16" i="27"/>
  <c r="C24" i="27"/>
  <c r="C15" i="27"/>
  <c r="C19" i="27"/>
  <c r="C23" i="27"/>
  <c r="AT22" i="6"/>
  <c r="C20" i="27"/>
  <c r="AI32" i="22"/>
  <c r="AI32" i="26" s="1" a="1"/>
  <c r="AI32" i="26" s="1"/>
  <c r="O89" i="30"/>
  <c r="O89" i="26"/>
  <c r="O36" i="26"/>
  <c r="O13" i="30"/>
  <c r="O51" i="30"/>
  <c r="O51" i="26"/>
  <c r="N74" i="26"/>
  <c r="N74" i="30"/>
  <c r="N112" i="26"/>
  <c r="N36" i="30"/>
  <c r="N112" i="30"/>
  <c r="Q20" i="26" a="1"/>
  <c r="Q20" i="26" s="1"/>
  <c r="O98" i="26"/>
  <c r="O98" i="30"/>
  <c r="O60" i="26"/>
  <c r="O22" i="30"/>
  <c r="O60" i="30"/>
  <c r="O96" i="26"/>
  <c r="O58" i="30"/>
  <c r="O96" i="30"/>
  <c r="O20" i="30"/>
  <c r="O58" i="26"/>
  <c r="AK13" i="22"/>
  <c r="P13" i="26" a="1"/>
  <c r="P13" i="26" s="1"/>
  <c r="AK20" i="22"/>
  <c r="P20" i="26" a="1"/>
  <c r="P20" i="26" s="1"/>
  <c r="P22" i="26" a="1"/>
  <c r="P22" i="26" s="1"/>
  <c r="AK22" i="22"/>
  <c r="Q22" i="26" a="1"/>
  <c r="Q22" i="26" s="1"/>
  <c r="P18" i="26" a="1"/>
  <c r="P18" i="26" s="1"/>
  <c r="AK18" i="22"/>
  <c r="P15" i="26" a="1"/>
  <c r="P15" i="26" s="1"/>
  <c r="AK15" i="22"/>
  <c r="P16" i="26" a="1"/>
  <c r="P16" i="26" s="1"/>
  <c r="AK16" i="22"/>
  <c r="P17" i="26" a="1"/>
  <c r="P17" i="26" s="1"/>
  <c r="AK17" i="22"/>
  <c r="P21" i="26" a="1"/>
  <c r="P21" i="26" s="1"/>
  <c r="AK21" i="22"/>
  <c r="P23" i="26" a="1"/>
  <c r="P23" i="26" s="1"/>
  <c r="AK23" i="22"/>
  <c r="AK19" i="22"/>
  <c r="P19" i="26" a="1"/>
  <c r="P19" i="26" s="1"/>
  <c r="P14" i="26" a="1"/>
  <c r="P14" i="26" s="1"/>
  <c r="AK14" i="22"/>
  <c r="Q18" i="26" a="1"/>
  <c r="Q18" i="26" s="1"/>
  <c r="Q16" i="26" a="1"/>
  <c r="Q16" i="26" s="1"/>
  <c r="Q15" i="26" a="1"/>
  <c r="Q15" i="26" s="1"/>
  <c r="Q21" i="26" a="1"/>
  <c r="Q21" i="26" s="1"/>
  <c r="O53" i="30"/>
  <c r="O15" i="30"/>
  <c r="O91" i="30"/>
  <c r="O91" i="26"/>
  <c r="O53" i="26"/>
  <c r="O21" i="30"/>
  <c r="O59" i="30"/>
  <c r="O97" i="26"/>
  <c r="O97" i="30"/>
  <c r="O59" i="26"/>
  <c r="O92" i="30"/>
  <c r="O54" i="26"/>
  <c r="O16" i="30"/>
  <c r="O92" i="26"/>
  <c r="O54" i="30"/>
  <c r="O18" i="30"/>
  <c r="O56" i="26"/>
  <c r="O56" i="30"/>
  <c r="O94" i="30"/>
  <c r="O94" i="26"/>
  <c r="AI27" i="22"/>
  <c r="AI30" i="22"/>
  <c r="AH30" i="22"/>
  <c r="AH27" i="22"/>
  <c r="AH32" i="22"/>
  <c r="AG27" i="26" a="1"/>
  <c r="AG27" i="26" s="1"/>
  <c r="AG5" i="26" s="1"/>
  <c r="AG30" i="26" a="1"/>
  <c r="AG30" i="26" s="1"/>
  <c r="AG8" i="26" s="1"/>
  <c r="AG71" i="30"/>
  <c r="AG109" i="30"/>
  <c r="AG33" i="30"/>
  <c r="AG109" i="26"/>
  <c r="AG71" i="26"/>
  <c r="AG67" i="30"/>
  <c r="AG105" i="30"/>
  <c r="AG67" i="26"/>
  <c r="AG105" i="26"/>
  <c r="AG29" i="30"/>
  <c r="AG24" i="26" a="1"/>
  <c r="AG24" i="26" s="1"/>
  <c r="AG2" i="26" s="1"/>
  <c r="AG28" i="26" a="1"/>
  <c r="AG28" i="26" s="1"/>
  <c r="AG6" i="26" s="1"/>
  <c r="AG34" i="26" a="1"/>
  <c r="AG34" i="26" s="1"/>
  <c r="AG12" i="26" s="1"/>
  <c r="AG26" i="26" a="1"/>
  <c r="AG26" i="26" s="1"/>
  <c r="AG4" i="26" s="1"/>
  <c r="AI26" i="22"/>
  <c r="AI24" i="22"/>
  <c r="AI28" i="22"/>
  <c r="AI33" i="22"/>
  <c r="AI29" i="22"/>
  <c r="AI34" i="22"/>
  <c r="AI71" i="22" a="1"/>
  <c r="AI71" i="22" s="1"/>
  <c r="AH29" i="22"/>
  <c r="AH28" i="22"/>
  <c r="AH24" i="22"/>
  <c r="AH26" i="22"/>
  <c r="AH33" i="22"/>
  <c r="AH34" i="22"/>
  <c r="AH71" i="22" a="1"/>
  <c r="AH71" i="22" s="1"/>
  <c r="N99" i="29"/>
  <c r="N61" i="29"/>
  <c r="N92" i="29"/>
  <c r="N54" i="29"/>
  <c r="O57" i="29"/>
  <c r="O95" i="29"/>
  <c r="M91" i="29"/>
  <c r="M53" i="29"/>
  <c r="O90" i="29"/>
  <c r="O52" i="29"/>
  <c r="N94" i="29"/>
  <c r="N56" i="29"/>
  <c r="N57" i="29"/>
  <c r="N95" i="29"/>
  <c r="L51" i="29"/>
  <c r="L89" i="29"/>
  <c r="O94" i="29"/>
  <c r="O56" i="29"/>
  <c r="N90" i="29"/>
  <c r="N52" i="29"/>
  <c r="K55" i="29"/>
  <c r="K93" i="29"/>
  <c r="O99" i="29"/>
  <c r="O61" i="29"/>
  <c r="O92" i="29"/>
  <c r="O54" i="29"/>
  <c r="J36" i="29"/>
  <c r="J35" i="29"/>
  <c r="O18" i="29"/>
  <c r="O19" i="29"/>
  <c r="O16" i="29"/>
  <c r="K17" i="29"/>
  <c r="N19" i="29"/>
  <c r="J44" i="29"/>
  <c r="O14" i="29"/>
  <c r="N18" i="29"/>
  <c r="N16" i="29"/>
  <c r="N14" i="29"/>
  <c r="J74" i="29"/>
  <c r="J40" i="29"/>
  <c r="M15" i="29"/>
  <c r="N23" i="29"/>
  <c r="L13" i="29"/>
  <c r="O23" i="29"/>
  <c r="S74" i="25"/>
  <c r="S73" i="25"/>
  <c r="T36" i="25"/>
  <c r="V17" i="6"/>
  <c r="V17" i="25" s="1"/>
  <c r="G634" i="33" s="1"/>
  <c r="H634" i="33" s="1"/>
  <c r="X13" i="6"/>
  <c r="X13" i="25" s="1"/>
  <c r="W13" i="6"/>
  <c r="W13" i="25" s="1"/>
  <c r="Z44" i="6"/>
  <c r="Z13" i="6"/>
  <c r="Z13" i="25" s="1"/>
  <c r="Z19" i="6"/>
  <c r="Z19" i="25" s="1"/>
  <c r="G720" i="33" s="1"/>
  <c r="H720" i="33" s="1"/>
  <c r="Z17" i="6"/>
  <c r="Z17" i="25" s="1"/>
  <c r="G638" i="33" s="1"/>
  <c r="H638" i="33" s="1"/>
  <c r="Z38" i="6"/>
  <c r="AF71" i="1"/>
  <c r="AG38" i="1"/>
  <c r="AG2" i="1" s="1" a="1"/>
  <c r="AG2" i="1" s="1"/>
  <c r="H470" i="33" l="1"/>
  <c r="G474" i="33"/>
  <c r="H474" i="33" s="1"/>
  <c r="D23" i="34"/>
  <c r="L23" i="34" s="1"/>
  <c r="G471" i="33"/>
  <c r="D20" i="34"/>
  <c r="L20" i="34" s="1"/>
  <c r="G472" i="33"/>
  <c r="D21" i="34"/>
  <c r="L21" i="34" s="1"/>
  <c r="AG70" i="30"/>
  <c r="G514" i="33"/>
  <c r="D63" i="34"/>
  <c r="L63" i="34" s="1"/>
  <c r="G473" i="33"/>
  <c r="D22" i="34"/>
  <c r="L22" i="34" s="1"/>
  <c r="Q61" i="26"/>
  <c r="Q99" i="26"/>
  <c r="Q61" i="30"/>
  <c r="Q95" i="26"/>
  <c r="Q57" i="26"/>
  <c r="Q95" i="30"/>
  <c r="Q57" i="30"/>
  <c r="AA42" i="6"/>
  <c r="Q55" i="30"/>
  <c r="Q55" i="26"/>
  <c r="Q93" i="30"/>
  <c r="Q17" i="30"/>
  <c r="Q99" i="30"/>
  <c r="Q89" i="30"/>
  <c r="Q89" i="26"/>
  <c r="AG108" i="26"/>
  <c r="AG70" i="26"/>
  <c r="AG48" i="26" s="1"/>
  <c r="AG32" i="30"/>
  <c r="AG10" i="30" s="1"/>
  <c r="AG108" i="30"/>
  <c r="AG86" i="30" s="1"/>
  <c r="Q51" i="26"/>
  <c r="Q51" i="30"/>
  <c r="AG11" i="30"/>
  <c r="AG7" i="30"/>
  <c r="AG45" i="30"/>
  <c r="AG49" i="26"/>
  <c r="Q52" i="30"/>
  <c r="AG87" i="30"/>
  <c r="AG48" i="30"/>
  <c r="AG87" i="26"/>
  <c r="AG83" i="26"/>
  <c r="AG49" i="30"/>
  <c r="Q52" i="26"/>
  <c r="Q36" i="26"/>
  <c r="Q90" i="26"/>
  <c r="C38" i="27"/>
  <c r="Q14" i="30"/>
  <c r="P22" i="29"/>
  <c r="P60" i="29"/>
  <c r="P98" i="29"/>
  <c r="P56" i="29"/>
  <c r="P18" i="29"/>
  <c r="P94" i="29"/>
  <c r="P14" i="29"/>
  <c r="P90" i="29"/>
  <c r="P52" i="29"/>
  <c r="P23" i="29"/>
  <c r="P61" i="29"/>
  <c r="P99" i="29"/>
  <c r="P91" i="29"/>
  <c r="P53" i="29"/>
  <c r="P15" i="29"/>
  <c r="P21" i="29"/>
  <c r="P59" i="29"/>
  <c r="P97" i="29"/>
  <c r="P58" i="29"/>
  <c r="P96" i="29"/>
  <c r="P20" i="29"/>
  <c r="P92" i="29"/>
  <c r="P16" i="29"/>
  <c r="P54" i="29"/>
  <c r="AG83" i="30"/>
  <c r="AG45" i="26"/>
  <c r="C56" i="27"/>
  <c r="C94" i="27"/>
  <c r="C132" i="27"/>
  <c r="C170" i="27"/>
  <c r="AG112" i="26"/>
  <c r="AG74" i="26"/>
  <c r="AG74" i="30"/>
  <c r="AG36" i="30"/>
  <c r="AG112" i="30"/>
  <c r="P13" i="29"/>
  <c r="P89" i="29"/>
  <c r="P51" i="29"/>
  <c r="Y36" i="25"/>
  <c r="P19" i="29"/>
  <c r="P57" i="29"/>
  <c r="P95" i="29"/>
  <c r="Q98" i="26"/>
  <c r="Q60" i="30"/>
  <c r="Q98" i="30"/>
  <c r="Q22" i="30"/>
  <c r="Q60" i="26"/>
  <c r="P96" i="30"/>
  <c r="P58" i="30"/>
  <c r="P20" i="30"/>
  <c r="P58" i="26"/>
  <c r="P96" i="26"/>
  <c r="Q96" i="30"/>
  <c r="Q58" i="26"/>
  <c r="Q96" i="26"/>
  <c r="Q20" i="30"/>
  <c r="Q58" i="30"/>
  <c r="O74" i="26"/>
  <c r="O74" i="30"/>
  <c r="O36" i="30"/>
  <c r="O112" i="26"/>
  <c r="O112" i="30"/>
  <c r="AI32" i="30"/>
  <c r="AI70" i="30"/>
  <c r="AI108" i="30"/>
  <c r="AI70" i="26"/>
  <c r="AI108" i="26"/>
  <c r="P98" i="30"/>
  <c r="P60" i="26"/>
  <c r="P60" i="30"/>
  <c r="P22" i="30"/>
  <c r="P98" i="26"/>
  <c r="P89" i="30"/>
  <c r="P36" i="26"/>
  <c r="P13" i="30"/>
  <c r="P51" i="30"/>
  <c r="P89" i="26"/>
  <c r="P51" i="26"/>
  <c r="AH32" i="26" a="1"/>
  <c r="AH32" i="26" s="1"/>
  <c r="Q97" i="30"/>
  <c r="Q59" i="26"/>
  <c r="Q59" i="30"/>
  <c r="Q97" i="26"/>
  <c r="Q21" i="30"/>
  <c r="Q91" i="26"/>
  <c r="Q53" i="30"/>
  <c r="Q91" i="30"/>
  <c r="Q53" i="26"/>
  <c r="Q15" i="30"/>
  <c r="Q54" i="30"/>
  <c r="Q16" i="30"/>
  <c r="Q92" i="30"/>
  <c r="Q54" i="26"/>
  <c r="Q92" i="26"/>
  <c r="Q56" i="30"/>
  <c r="Q18" i="30"/>
  <c r="Q56" i="26"/>
  <c r="Q94" i="26"/>
  <c r="Q94" i="30"/>
  <c r="P52" i="26"/>
  <c r="P90" i="26"/>
  <c r="P14" i="30"/>
  <c r="P90" i="30"/>
  <c r="P52" i="30"/>
  <c r="P57" i="30"/>
  <c r="P95" i="30"/>
  <c r="P57" i="26"/>
  <c r="P19" i="30"/>
  <c r="P95" i="26"/>
  <c r="P61" i="30"/>
  <c r="P61" i="26"/>
  <c r="P99" i="26"/>
  <c r="P23" i="30"/>
  <c r="P99" i="30"/>
  <c r="P59" i="30"/>
  <c r="P97" i="26"/>
  <c r="P59" i="26"/>
  <c r="P97" i="30"/>
  <c r="P21" i="30"/>
  <c r="P55" i="26"/>
  <c r="P55" i="30"/>
  <c r="P17" i="30"/>
  <c r="P93" i="30"/>
  <c r="P93" i="26"/>
  <c r="P92" i="26"/>
  <c r="P54" i="30"/>
  <c r="P92" i="30"/>
  <c r="P16" i="30"/>
  <c r="P54" i="26"/>
  <c r="P15" i="30"/>
  <c r="P91" i="26"/>
  <c r="P53" i="30"/>
  <c r="P53" i="26"/>
  <c r="P91" i="30"/>
  <c r="P56" i="30"/>
  <c r="P94" i="30"/>
  <c r="P56" i="26"/>
  <c r="P18" i="30"/>
  <c r="P94" i="26"/>
  <c r="AG68" i="30"/>
  <c r="AG46" i="30" s="1"/>
  <c r="AG106" i="30"/>
  <c r="AG84" i="30" s="1"/>
  <c r="AG68" i="26"/>
  <c r="AG46" i="26" s="1"/>
  <c r="AG30" i="30"/>
  <c r="AG8" i="30" s="1"/>
  <c r="AG106" i="26"/>
  <c r="AG27" i="30"/>
  <c r="AG5" i="30" s="1"/>
  <c r="AG103" i="30"/>
  <c r="AG81" i="30" s="1"/>
  <c r="AG65" i="30"/>
  <c r="AG43" i="30" s="1"/>
  <c r="AG65" i="26"/>
  <c r="AG43" i="26" s="1"/>
  <c r="AG103" i="26"/>
  <c r="AH27" i="26" a="1"/>
  <c r="AH27" i="26" s="1"/>
  <c r="AH30" i="26" a="1"/>
  <c r="AH30" i="26" s="1"/>
  <c r="AI30" i="26" a="1"/>
  <c r="AI30" i="26" s="1"/>
  <c r="AI27" i="26" a="1"/>
  <c r="AI27" i="26" s="1"/>
  <c r="AH26" i="26" a="1"/>
  <c r="AH26" i="26" s="1"/>
  <c r="AH24" i="26" a="1"/>
  <c r="AH24" i="26" s="1"/>
  <c r="AH28" i="26" a="1"/>
  <c r="AH28" i="26" s="1"/>
  <c r="AI34" i="26" a="1"/>
  <c r="AI34" i="26" s="1"/>
  <c r="AI24" i="26" a="1"/>
  <c r="AI24" i="26" s="1"/>
  <c r="AG102" i="30"/>
  <c r="AG80" i="30" s="1"/>
  <c r="AG64" i="30"/>
  <c r="AG42" i="30" s="1"/>
  <c r="AG102" i="26"/>
  <c r="AG26" i="30"/>
  <c r="AG4" i="30" s="1"/>
  <c r="AG64" i="26"/>
  <c r="AG42" i="26" s="1"/>
  <c r="AG110" i="30"/>
  <c r="AG88" i="30" s="1"/>
  <c r="AG72" i="26"/>
  <c r="AG50" i="26" s="1"/>
  <c r="AG72" i="30"/>
  <c r="AG50" i="30" s="1"/>
  <c r="AG110" i="26"/>
  <c r="AG34" i="30"/>
  <c r="AG12" i="30" s="1"/>
  <c r="AG66" i="30"/>
  <c r="AG44" i="30" s="1"/>
  <c r="AG104" i="30"/>
  <c r="AG82" i="30" s="1"/>
  <c r="AG28" i="30"/>
  <c r="AG6" i="30" s="1"/>
  <c r="AG104" i="26"/>
  <c r="AG66" i="26"/>
  <c r="AG44" i="26" s="1"/>
  <c r="AG62" i="30"/>
  <c r="AG40" i="30" s="1"/>
  <c r="AG100" i="30"/>
  <c r="AG78" i="30" s="1"/>
  <c r="AG24" i="30"/>
  <c r="AG2" i="30" s="1"/>
  <c r="AG62" i="26"/>
  <c r="AG40" i="26" s="1"/>
  <c r="AG100" i="26"/>
  <c r="AG78" i="26" s="1"/>
  <c r="AH34" i="26" a="1"/>
  <c r="AH34" i="26" s="1"/>
  <c r="AH33" i="26" a="1"/>
  <c r="AH33" i="26" s="1"/>
  <c r="AH29" i="26" a="1"/>
  <c r="AH29" i="26" s="1"/>
  <c r="AI29" i="26" a="1"/>
  <c r="AI29" i="26" s="1"/>
  <c r="AI33" i="26" a="1"/>
  <c r="AI33" i="26" s="1"/>
  <c r="AI28" i="26" a="1"/>
  <c r="AI28" i="26" s="1"/>
  <c r="AI26" i="26" a="1"/>
  <c r="AI26" i="26" s="1"/>
  <c r="Q17" i="29"/>
  <c r="Q93" i="29"/>
  <c r="Q55" i="29"/>
  <c r="Q13" i="29"/>
  <c r="Q89" i="29"/>
  <c r="Q51" i="29"/>
  <c r="U36" i="25"/>
  <c r="L93" i="29"/>
  <c r="L55" i="29"/>
  <c r="N91" i="29"/>
  <c r="N53" i="29"/>
  <c r="M89" i="29"/>
  <c r="M51" i="29"/>
  <c r="O91" i="29"/>
  <c r="O53" i="29"/>
  <c r="K36" i="29"/>
  <c r="J82" i="29"/>
  <c r="J111" i="29" s="1"/>
  <c r="J112" i="29"/>
  <c r="K74" i="29"/>
  <c r="J73" i="29"/>
  <c r="N15" i="29"/>
  <c r="L17" i="29"/>
  <c r="O15" i="29"/>
  <c r="M13" i="29"/>
  <c r="T74" i="25"/>
  <c r="X17" i="6"/>
  <c r="X17" i="25" s="1"/>
  <c r="G636" i="33" s="1"/>
  <c r="H636" i="33" s="1"/>
  <c r="W17" i="6"/>
  <c r="W17" i="25" s="1"/>
  <c r="G635" i="33" s="1"/>
  <c r="H635" i="33" s="1"/>
  <c r="AA44" i="6"/>
  <c r="AA17" i="6"/>
  <c r="AA17" i="25" s="1"/>
  <c r="G639" i="33" s="1"/>
  <c r="H639" i="33" s="1"/>
  <c r="AA38" i="6"/>
  <c r="AA19" i="6"/>
  <c r="AA19" i="25" s="1"/>
  <c r="G721" i="33" s="1"/>
  <c r="H721" i="33" s="1"/>
  <c r="AA13" i="6"/>
  <c r="AA13" i="25" s="1"/>
  <c r="AG71" i="1"/>
  <c r="AH38" i="1"/>
  <c r="AH2" i="1" s="1" a="1"/>
  <c r="AH2" i="1" s="1"/>
  <c r="H514" i="33" l="1"/>
  <c r="H472" i="33"/>
  <c r="H473" i="33"/>
  <c r="G475" i="33"/>
  <c r="D24" i="34"/>
  <c r="L24" i="34" s="1"/>
  <c r="H471" i="33"/>
  <c r="AB42" i="6"/>
  <c r="AG86" i="26"/>
  <c r="P36" i="29"/>
  <c r="AG80" i="26"/>
  <c r="AG88" i="26"/>
  <c r="Q36" i="30"/>
  <c r="Q112" i="26"/>
  <c r="AI64" i="30"/>
  <c r="AG82" i="26"/>
  <c r="AG84" i="26"/>
  <c r="P112" i="29"/>
  <c r="AG81" i="26"/>
  <c r="Q74" i="26"/>
  <c r="AI64" i="26"/>
  <c r="Q112" i="30"/>
  <c r="AI102" i="26"/>
  <c r="Q74" i="30"/>
  <c r="C172" i="27"/>
  <c r="C134" i="27"/>
  <c r="C96" i="27"/>
  <c r="C58" i="27"/>
  <c r="C128" i="27"/>
  <c r="P74" i="29"/>
  <c r="C166" i="27"/>
  <c r="C90" i="27"/>
  <c r="C52" i="27"/>
  <c r="Y74" i="25"/>
  <c r="C131" i="27"/>
  <c r="C93" i="27"/>
  <c r="C55" i="27"/>
  <c r="C169" i="27"/>
  <c r="C97" i="27"/>
  <c r="C59" i="27"/>
  <c r="C173" i="27"/>
  <c r="C135" i="27"/>
  <c r="C174" i="27"/>
  <c r="C136" i="27"/>
  <c r="C98" i="27"/>
  <c r="C60" i="27"/>
  <c r="C54" i="27"/>
  <c r="C92" i="27"/>
  <c r="C130" i="27"/>
  <c r="C168" i="27"/>
  <c r="C176" i="27"/>
  <c r="C138" i="27"/>
  <c r="C62" i="27"/>
  <c r="C100" i="27"/>
  <c r="C53" i="27"/>
  <c r="C129" i="27"/>
  <c r="C167" i="27"/>
  <c r="C91" i="27"/>
  <c r="C57" i="27"/>
  <c r="C171" i="27"/>
  <c r="C95" i="27"/>
  <c r="C133" i="27"/>
  <c r="C175" i="27"/>
  <c r="C137" i="27"/>
  <c r="C61" i="27"/>
  <c r="C99" i="27"/>
  <c r="P112" i="26"/>
  <c r="AH32" i="30"/>
  <c r="AH108" i="30"/>
  <c r="AH70" i="30"/>
  <c r="AH108" i="26"/>
  <c r="AH70" i="26"/>
  <c r="P74" i="26"/>
  <c r="P74" i="30"/>
  <c r="P36" i="30"/>
  <c r="P112" i="30"/>
  <c r="AI65" i="26"/>
  <c r="AI27" i="30"/>
  <c r="AI103" i="26"/>
  <c r="AI65" i="30"/>
  <c r="AI103" i="30"/>
  <c r="AI30" i="30"/>
  <c r="AI68" i="26"/>
  <c r="AI68" i="30"/>
  <c r="AI106" i="30"/>
  <c r="AI106" i="26"/>
  <c r="AH68" i="26"/>
  <c r="AH106" i="30"/>
  <c r="AH106" i="26"/>
  <c r="AH30" i="30"/>
  <c r="AH68" i="30"/>
  <c r="AH103" i="26"/>
  <c r="AH103" i="30"/>
  <c r="AH65" i="26"/>
  <c r="AH65" i="30"/>
  <c r="AH27" i="30"/>
  <c r="AI66" i="26"/>
  <c r="AI104" i="26"/>
  <c r="AI66" i="30"/>
  <c r="AI28" i="30"/>
  <c r="AI104" i="30"/>
  <c r="AI71" i="30"/>
  <c r="AI33" i="30"/>
  <c r="AI109" i="30"/>
  <c r="AI71" i="26"/>
  <c r="AI109" i="26"/>
  <c r="AI67" i="30"/>
  <c r="AI105" i="30"/>
  <c r="AI29" i="30"/>
  <c r="AI67" i="26"/>
  <c r="AI105" i="26"/>
  <c r="AH105" i="30"/>
  <c r="AH67" i="30"/>
  <c r="AH67" i="26"/>
  <c r="AH29" i="30"/>
  <c r="AH105" i="26"/>
  <c r="AH71" i="26"/>
  <c r="AH109" i="30"/>
  <c r="AH71" i="30"/>
  <c r="AH33" i="30"/>
  <c r="AH109" i="26"/>
  <c r="AH110" i="30"/>
  <c r="AH72" i="30"/>
  <c r="AH34" i="30"/>
  <c r="AH110" i="26"/>
  <c r="AH72" i="26"/>
  <c r="AI62" i="30"/>
  <c r="AI100" i="30"/>
  <c r="AI100" i="26"/>
  <c r="AI62" i="26"/>
  <c r="AI24" i="30"/>
  <c r="AI110" i="30"/>
  <c r="AI72" i="30"/>
  <c r="AI72" i="26"/>
  <c r="AI34" i="30"/>
  <c r="AI110" i="26"/>
  <c r="AH104" i="30"/>
  <c r="AH66" i="30"/>
  <c r="AH66" i="26"/>
  <c r="AH104" i="26"/>
  <c r="AH28" i="30"/>
  <c r="AH62" i="30"/>
  <c r="AH100" i="30"/>
  <c r="AH62" i="26"/>
  <c r="AH100" i="26"/>
  <c r="AH24" i="30"/>
  <c r="AH102" i="26"/>
  <c r="AH64" i="30"/>
  <c r="AH102" i="30"/>
  <c r="AH26" i="30"/>
  <c r="AH64" i="26"/>
  <c r="AI26" i="30"/>
  <c r="AI102" i="30"/>
  <c r="L36" i="29"/>
  <c r="R13" i="29"/>
  <c r="R51" i="29"/>
  <c r="R89" i="29"/>
  <c r="R17" i="29"/>
  <c r="R93" i="29"/>
  <c r="R55" i="29"/>
  <c r="N89" i="29"/>
  <c r="N51" i="29"/>
  <c r="Q95" i="29"/>
  <c r="Q57" i="29"/>
  <c r="M93" i="29"/>
  <c r="M55" i="29"/>
  <c r="O89" i="29"/>
  <c r="O51" i="29"/>
  <c r="K112" i="29"/>
  <c r="L74" i="29"/>
  <c r="M17" i="29"/>
  <c r="N13" i="29"/>
  <c r="O13" i="29"/>
  <c r="Q19" i="29"/>
  <c r="U74" i="25"/>
  <c r="V36" i="25"/>
  <c r="AB38" i="6"/>
  <c r="AB44" i="6"/>
  <c r="AH71" i="1"/>
  <c r="AI38" i="1"/>
  <c r="H475" i="33" l="1"/>
  <c r="AC42" i="6"/>
  <c r="C190" i="27"/>
  <c r="C76" i="27"/>
  <c r="C114" i="27"/>
  <c r="C152" i="27"/>
  <c r="R95" i="29"/>
  <c r="R57" i="29"/>
  <c r="O93" i="29"/>
  <c r="O55" i="29"/>
  <c r="N93" i="29"/>
  <c r="N55" i="29"/>
  <c r="M36" i="29"/>
  <c r="L112" i="29"/>
  <c r="M74" i="29"/>
  <c r="N17" i="29"/>
  <c r="R19" i="29"/>
  <c r="O17" i="29"/>
  <c r="V74" i="25"/>
  <c r="X36" i="25"/>
  <c r="W36" i="25"/>
  <c r="AC44" i="6"/>
  <c r="AC38" i="6"/>
  <c r="AI2" i="1" a="1"/>
  <c r="AI2" i="1" s="1"/>
  <c r="AI71" i="1" s="1"/>
  <c r="AD42" i="6" l="1"/>
  <c r="M112" i="29"/>
  <c r="O36" i="29"/>
  <c r="O74" i="29"/>
  <c r="N36" i="29"/>
  <c r="N74" i="29"/>
  <c r="W74" i="25"/>
  <c r="X74" i="25"/>
  <c r="AD38" i="6"/>
  <c r="AD44" i="6"/>
  <c r="AE42" i="6"/>
  <c r="Q8" i="1" a="1"/>
  <c r="Q8" i="1" s="1"/>
  <c r="Q9" i="1" a="1"/>
  <c r="Q9" i="1" s="1"/>
  <c r="Q10" i="1" a="1"/>
  <c r="Q10" i="1" s="1"/>
  <c r="Q4" i="1" a="1"/>
  <c r="Q4" i="1" s="1"/>
  <c r="Q11" i="1" a="1"/>
  <c r="Q11" i="1" s="1"/>
  <c r="Q2" i="1" a="1"/>
  <c r="Q2" i="1" s="1"/>
  <c r="Q71" i="1" s="1"/>
  <c r="Q5" i="1" a="1"/>
  <c r="Q5" i="1" s="1"/>
  <c r="Q6" i="1" a="1"/>
  <c r="Q6" i="1" s="1"/>
  <c r="Q7" i="1" a="1"/>
  <c r="Q7" i="1" s="1"/>
  <c r="Q3" i="1" a="1"/>
  <c r="Q3" i="1" s="1"/>
  <c r="N112" i="29" l="1"/>
  <c r="O112" i="29"/>
  <c r="AE38" i="6"/>
  <c r="AE44" i="6"/>
  <c r="R9" i="1" a="1"/>
  <c r="R9" i="1" s="1"/>
  <c r="R10" i="1" a="1"/>
  <c r="R10" i="1" s="1"/>
  <c r="R4" i="1" a="1"/>
  <c r="R4" i="1" s="1"/>
  <c r="R11" i="1" a="1"/>
  <c r="R11" i="1" s="1"/>
  <c r="R2" i="1" a="1"/>
  <c r="R2" i="1" s="1"/>
  <c r="R71" i="1" s="1"/>
  <c r="R5" i="1" a="1"/>
  <c r="R5" i="1" s="1"/>
  <c r="R6" i="1" a="1"/>
  <c r="R6" i="1" s="1"/>
  <c r="R7" i="1" a="1"/>
  <c r="R7" i="1" s="1"/>
  <c r="R3" i="1" a="1"/>
  <c r="R3" i="1" s="1"/>
  <c r="R8" i="1" a="1"/>
  <c r="R8" i="1" s="1"/>
  <c r="AF42" i="6" l="1"/>
  <c r="AF44" i="6"/>
  <c r="AF38" i="6"/>
  <c r="AG42" i="6"/>
  <c r="S10" i="1" a="1"/>
  <c r="S10" i="1" s="1"/>
  <c r="S4" i="1" a="1"/>
  <c r="S4" i="1" s="1"/>
  <c r="S11" i="1" a="1"/>
  <c r="S11" i="1" s="1"/>
  <c r="S2" i="1" a="1"/>
  <c r="S2" i="1" s="1"/>
  <c r="S71" i="1" s="1"/>
  <c r="S5" i="1" a="1"/>
  <c r="S5" i="1" s="1"/>
  <c r="S6" i="1" a="1"/>
  <c r="S6" i="1" s="1"/>
  <c r="S7" i="1" a="1"/>
  <c r="S7" i="1" s="1"/>
  <c r="S3" i="1" a="1"/>
  <c r="S3" i="1" s="1"/>
  <c r="S8" i="1" a="1"/>
  <c r="S8" i="1" s="1"/>
  <c r="S9" i="1" a="1"/>
  <c r="S9" i="1" s="1"/>
  <c r="AH42" i="6" l="1"/>
  <c r="AG38" i="6"/>
  <c r="AG44" i="6"/>
  <c r="T11" i="1" a="1"/>
  <c r="T11" i="1" s="1"/>
  <c r="T2" i="1" a="1"/>
  <c r="T2" i="1" s="1"/>
  <c r="T71" i="1" s="1"/>
  <c r="T5" i="1" a="1"/>
  <c r="T5" i="1" s="1"/>
  <c r="T6" i="1" a="1"/>
  <c r="T6" i="1" s="1"/>
  <c r="T7" i="1" a="1"/>
  <c r="T7" i="1" s="1"/>
  <c r="T3" i="1" a="1"/>
  <c r="T3" i="1" s="1"/>
  <c r="T8" i="1" a="1"/>
  <c r="T8" i="1" s="1"/>
  <c r="T9" i="1" a="1"/>
  <c r="T9" i="1" s="1"/>
  <c r="T10" i="1" a="1"/>
  <c r="T10" i="1" s="1"/>
  <c r="T4" i="1" a="1"/>
  <c r="T4" i="1" s="1"/>
  <c r="AH44" i="6" l="1"/>
  <c r="AH38" i="6"/>
  <c r="AI42" i="6"/>
  <c r="AI38" i="6" l="1"/>
  <c r="AI19" i="6"/>
  <c r="AI44" i="6"/>
  <c r="AJ28" i="6"/>
  <c r="AJ28" i="25" s="1"/>
  <c r="G197" i="33" s="1"/>
  <c r="H197" i="33" s="1"/>
  <c r="AJ42" i="6"/>
  <c r="AI17" i="6"/>
  <c r="AI13" i="6"/>
  <c r="E14" i="27" l="1"/>
  <c r="AI13" i="25"/>
  <c r="E18" i="27"/>
  <c r="AI17" i="25"/>
  <c r="G647" i="33" s="1"/>
  <c r="H647" i="33" s="1"/>
  <c r="E20" i="27"/>
  <c r="AI19" i="25"/>
  <c r="G729" i="33" s="1"/>
  <c r="H729" i="33" s="1"/>
  <c r="AA66" i="29"/>
  <c r="AA104" i="29"/>
  <c r="AA28" i="29"/>
  <c r="AU19" i="6"/>
  <c r="AU13" i="6"/>
  <c r="AU17" i="6"/>
  <c r="AK28" i="6"/>
  <c r="AK28" i="25" s="1"/>
  <c r="G198" i="33" s="1"/>
  <c r="H198" i="33" s="1"/>
  <c r="AJ24" i="6"/>
  <c r="AJ24" i="25" s="1"/>
  <c r="AJ30" i="6"/>
  <c r="AJ30" i="25" s="1"/>
  <c r="G279" i="33" s="1"/>
  <c r="H279" i="33" s="1"/>
  <c r="G33" i="33" l="1"/>
  <c r="D115" i="34"/>
  <c r="J115" i="34"/>
  <c r="G483" i="33"/>
  <c r="D32" i="34"/>
  <c r="L32" i="34" s="1"/>
  <c r="AK42" i="6"/>
  <c r="AJ38" i="6"/>
  <c r="AJ44" i="6"/>
  <c r="AA30" i="29"/>
  <c r="AA68" i="29"/>
  <c r="AA106" i="29"/>
  <c r="AA100" i="29"/>
  <c r="AA62" i="29"/>
  <c r="AA24" i="29"/>
  <c r="Z17" i="29"/>
  <c r="E94" i="27" s="1"/>
  <c r="Z93" i="29"/>
  <c r="Z55" i="29"/>
  <c r="Z13" i="29"/>
  <c r="E90" i="27" s="1"/>
  <c r="Z51" i="29"/>
  <c r="Z89" i="29"/>
  <c r="Z95" i="29"/>
  <c r="Z57" i="29"/>
  <c r="Z19" i="29"/>
  <c r="AL28" i="6"/>
  <c r="AL28" i="25" s="1"/>
  <c r="G199" i="33" s="1"/>
  <c r="H199" i="33" s="1"/>
  <c r="AK24" i="6"/>
  <c r="AK24" i="25" s="1"/>
  <c r="AK30" i="6"/>
  <c r="AK30" i="25" s="1"/>
  <c r="G280" i="33" s="1"/>
  <c r="H280" i="33" s="1"/>
  <c r="H483" i="33" l="1"/>
  <c r="L115" i="34"/>
  <c r="H33" i="33"/>
  <c r="G34" i="33"/>
  <c r="J116" i="34"/>
  <c r="D116" i="34"/>
  <c r="AL42" i="6"/>
  <c r="AK44" i="6"/>
  <c r="AK38" i="6"/>
  <c r="AB28" i="29"/>
  <c r="AB66" i="29"/>
  <c r="AB104" i="29"/>
  <c r="E166" i="27"/>
  <c r="E132" i="27"/>
  <c r="E172" i="27"/>
  <c r="E58" i="27"/>
  <c r="E96" i="27"/>
  <c r="E52" i="27"/>
  <c r="E128" i="27"/>
  <c r="E56" i="27"/>
  <c r="AL24" i="6"/>
  <c r="AL24" i="25" s="1"/>
  <c r="AL30" i="6"/>
  <c r="AL30" i="25" s="1"/>
  <c r="G281" i="33" s="1"/>
  <c r="H281" i="33" s="1"/>
  <c r="L116" i="34" l="1"/>
  <c r="H34" i="33"/>
  <c r="G35" i="33"/>
  <c r="D117" i="34"/>
  <c r="J117" i="34"/>
  <c r="AM42" i="6"/>
  <c r="AL38" i="6"/>
  <c r="AL44" i="6"/>
  <c r="AC66" i="29"/>
  <c r="AC104" i="29"/>
  <c r="AC28" i="29"/>
  <c r="AB68" i="29"/>
  <c r="AB106" i="29"/>
  <c r="AB30" i="29"/>
  <c r="AB62" i="29"/>
  <c r="AB100" i="29"/>
  <c r="AB24" i="29"/>
  <c r="E170" i="27"/>
  <c r="E134" i="27"/>
  <c r="AM38" i="6"/>
  <c r="AM44" i="6"/>
  <c r="L117" i="34" l="1"/>
  <c r="H35" i="33"/>
  <c r="AN42" i="6"/>
  <c r="AC106" i="29"/>
  <c r="AC68" i="29"/>
  <c r="AC30" i="29"/>
  <c r="AC24" i="29"/>
  <c r="AC62" i="29"/>
  <c r="AC100" i="29"/>
  <c r="AN44" i="6"/>
  <c r="AN38" i="6"/>
  <c r="AO42" i="6" l="1"/>
  <c r="AO44" i="6"/>
  <c r="AO38" i="6"/>
  <c r="AP28" i="6"/>
  <c r="AP28" i="25" s="1"/>
  <c r="G203" i="33" s="1"/>
  <c r="H203" i="33" s="1"/>
  <c r="AP42" i="6" l="1"/>
  <c r="AG28" i="29"/>
  <c r="AG104" i="29"/>
  <c r="AG66" i="29"/>
  <c r="AP30" i="6"/>
  <c r="AP30" i="25" s="1"/>
  <c r="G285" i="33" s="1"/>
  <c r="H285" i="33" s="1"/>
  <c r="AP19" i="6"/>
  <c r="AP19" i="25" s="1"/>
  <c r="G736" i="33" s="1"/>
  <c r="H736" i="33" s="1"/>
  <c r="AP13" i="6"/>
  <c r="AP13" i="25" s="1"/>
  <c r="AQ28" i="6"/>
  <c r="AQ28" i="25" s="1"/>
  <c r="G204" i="33" s="1"/>
  <c r="H204" i="33" s="1"/>
  <c r="AP17" i="6"/>
  <c r="AP17" i="25" s="1"/>
  <c r="G654" i="33" s="1"/>
  <c r="H654" i="33" s="1"/>
  <c r="AP24" i="6"/>
  <c r="AP24" i="25" s="1"/>
  <c r="G490" i="33" l="1"/>
  <c r="H490" i="33" s="1"/>
  <c r="D39" i="34"/>
  <c r="L39" i="34" s="1"/>
  <c r="G39" i="33"/>
  <c r="D121" i="34"/>
  <c r="J121" i="34"/>
  <c r="AQ42" i="6"/>
  <c r="AP38" i="6"/>
  <c r="AP44" i="6"/>
  <c r="AG68" i="29"/>
  <c r="AG30" i="29"/>
  <c r="AG106" i="29"/>
  <c r="AG24" i="29"/>
  <c r="AG100" i="29"/>
  <c r="AG62" i="29"/>
  <c r="AG17" i="29"/>
  <c r="AG6" i="29" s="1"/>
  <c r="AG93" i="29"/>
  <c r="AG55" i="29"/>
  <c r="AG13" i="29"/>
  <c r="AG89" i="29"/>
  <c r="AG51" i="29"/>
  <c r="AP8" i="6"/>
  <c r="AP2" i="6"/>
  <c r="AP6" i="6"/>
  <c r="AQ30" i="6"/>
  <c r="AQ30" i="25" s="1"/>
  <c r="G286" i="33" s="1"/>
  <c r="H286" i="33" s="1"/>
  <c r="AR28" i="6"/>
  <c r="AR28" i="25" s="1"/>
  <c r="G205" i="33" s="1"/>
  <c r="H205" i="33" s="1"/>
  <c r="AQ24" i="6"/>
  <c r="AQ24" i="25" s="1"/>
  <c r="L121" i="34" l="1"/>
  <c r="H39" i="33"/>
  <c r="G40" i="33"/>
  <c r="D122" i="34"/>
  <c r="J122" i="34"/>
  <c r="AR42" i="6"/>
  <c r="AQ44" i="6"/>
  <c r="AQ38" i="6"/>
  <c r="AG2" i="29"/>
  <c r="AH66" i="29"/>
  <c r="AH104" i="29"/>
  <c r="AH28" i="29"/>
  <c r="AG95" i="29"/>
  <c r="AG57" i="29"/>
  <c r="AG19" i="29"/>
  <c r="AG8" i="29" s="1"/>
  <c r="AP8" i="25"/>
  <c r="AP6" i="25"/>
  <c r="AP2" i="25"/>
  <c r="M39" i="34" s="1"/>
  <c r="AG82" i="29"/>
  <c r="AR30" i="6"/>
  <c r="AR30" i="25" s="1"/>
  <c r="G287" i="33" s="1"/>
  <c r="H287" i="33" s="1"/>
  <c r="AR24" i="6"/>
  <c r="AR24" i="25" s="1"/>
  <c r="L122" i="34" l="1"/>
  <c r="H40" i="33"/>
  <c r="G41" i="33"/>
  <c r="D123" i="34"/>
  <c r="J123" i="34"/>
  <c r="AR38" i="6"/>
  <c r="AR44" i="6"/>
  <c r="AH30" i="29"/>
  <c r="AH106" i="29"/>
  <c r="AH68" i="29"/>
  <c r="AI104" i="29"/>
  <c r="AI66" i="29"/>
  <c r="AI28" i="29"/>
  <c r="AH24" i="29"/>
  <c r="AH62" i="29"/>
  <c r="AH100" i="29"/>
  <c r="AG84" i="29"/>
  <c r="AG40" i="29"/>
  <c r="AG46" i="29"/>
  <c r="AG44" i="29"/>
  <c r="L123" i="34" l="1"/>
  <c r="H41" i="33"/>
  <c r="AI30" i="29"/>
  <c r="AI68" i="29"/>
  <c r="AI106" i="29"/>
  <c r="AI24" i="29"/>
  <c r="AI100" i="29"/>
  <c r="AI62" i="29"/>
  <c r="AG78" i="29"/>
  <c r="AD73" i="22" l="1" a="1"/>
  <c r="AD73" i="22" s="1"/>
  <c r="G72" i="22" a="1"/>
  <c r="G72" i="22" s="1"/>
  <c r="G13" i="22" s="1"/>
  <c r="AF73" i="22" l="1" a="1"/>
  <c r="AF73" i="22" s="1"/>
  <c r="AE73" i="22" a="1"/>
  <c r="AE73" i="22" s="1"/>
  <c r="AM24" i="6"/>
  <c r="AM24" i="25" s="1"/>
  <c r="AM30" i="6"/>
  <c r="AM30" i="25" s="1"/>
  <c r="G282" i="33" s="1"/>
  <c r="H282" i="33" s="1"/>
  <c r="AM28" i="6"/>
  <c r="AM28" i="25" s="1"/>
  <c r="G200" i="33" s="1"/>
  <c r="H200" i="33" s="1"/>
  <c r="AD34" i="22"/>
  <c r="AD26" i="22"/>
  <c r="AD28" i="22"/>
  <c r="AD29" i="22"/>
  <c r="AD24" i="22"/>
  <c r="AD30" i="22"/>
  <c r="AD27" i="22"/>
  <c r="AD32" i="22"/>
  <c r="AD33" i="22"/>
  <c r="U71" i="22" a="1"/>
  <c r="U71" i="22" s="1"/>
  <c r="P20" i="6"/>
  <c r="P20" i="25" s="1"/>
  <c r="G751" i="33" s="1"/>
  <c r="H751" i="33" s="1"/>
  <c r="P21" i="6"/>
  <c r="P21" i="25" s="1"/>
  <c r="G792" i="33" s="1"/>
  <c r="H792" i="33" s="1"/>
  <c r="P22" i="6"/>
  <c r="P22" i="25" s="1"/>
  <c r="G833" i="33" s="1"/>
  <c r="H833" i="33" s="1"/>
  <c r="P23" i="6"/>
  <c r="P23" i="25" s="1"/>
  <c r="G874" i="33" s="1"/>
  <c r="H874" i="33" s="1"/>
  <c r="P16" i="6"/>
  <c r="P16" i="25" s="1"/>
  <c r="G587" i="33" s="1"/>
  <c r="H587" i="33" s="1"/>
  <c r="P14" i="6"/>
  <c r="P14" i="25" s="1"/>
  <c r="P18" i="6"/>
  <c r="P18" i="25" s="1"/>
  <c r="G669" i="33" s="1"/>
  <c r="H669" i="33" s="1"/>
  <c r="P19" i="6"/>
  <c r="P19" i="25" s="1"/>
  <c r="G710" i="33" s="1"/>
  <c r="H710" i="33" s="1"/>
  <c r="P15" i="6"/>
  <c r="P15" i="25" s="1"/>
  <c r="G546" i="33" s="1"/>
  <c r="H546" i="33" s="1"/>
  <c r="P13" i="6"/>
  <c r="P13" i="25" s="1"/>
  <c r="P17" i="6"/>
  <c r="P17" i="25" s="1"/>
  <c r="G628" i="33" s="1"/>
  <c r="H628" i="33" s="1"/>
  <c r="G13" i="26" a="1"/>
  <c r="G13" i="26" s="1"/>
  <c r="G17" i="22"/>
  <c r="G22" i="22"/>
  <c r="G14" i="22"/>
  <c r="G20" i="22"/>
  <c r="G23" i="22"/>
  <c r="G19" i="22"/>
  <c r="G16" i="22"/>
  <c r="G15" i="22"/>
  <c r="G21" i="22"/>
  <c r="G18" i="22"/>
  <c r="H72" i="22" a="1"/>
  <c r="H72" i="22" s="1"/>
  <c r="I72" i="22" a="1"/>
  <c r="I72" i="22" s="1"/>
  <c r="G505" i="33" l="1"/>
  <c r="H505" i="33" s="1"/>
  <c r="D54" i="34"/>
  <c r="L54" i="34" s="1"/>
  <c r="G36" i="33"/>
  <c r="D118" i="34"/>
  <c r="J118" i="34"/>
  <c r="G464" i="33"/>
  <c r="D13" i="34"/>
  <c r="L13" i="34" s="1"/>
  <c r="AD68" i="29"/>
  <c r="AF29" i="22"/>
  <c r="AF33" i="22"/>
  <c r="AF28" i="22"/>
  <c r="AF32" i="22"/>
  <c r="AF30" i="22"/>
  <c r="AF24" i="22"/>
  <c r="AF26" i="22"/>
  <c r="AF34" i="22"/>
  <c r="AF27" i="22"/>
  <c r="AO28" i="6"/>
  <c r="AO28" i="25" s="1"/>
  <c r="G202" i="33" s="1"/>
  <c r="H202" i="33" s="1"/>
  <c r="AO24" i="6"/>
  <c r="AO24" i="25" s="1"/>
  <c r="AO30" i="6"/>
  <c r="AO30" i="25" s="1"/>
  <c r="G284" i="33" s="1"/>
  <c r="H284" i="33" s="1"/>
  <c r="AD33" i="26" a="1"/>
  <c r="AD33" i="26" s="1"/>
  <c r="AD32" i="26" a="1"/>
  <c r="AD32" i="26" s="1"/>
  <c r="AD27" i="26" a="1"/>
  <c r="AD27" i="26" s="1"/>
  <c r="AD30" i="26" a="1"/>
  <c r="AD30" i="26" s="1"/>
  <c r="AD24" i="26" a="1"/>
  <c r="AD24" i="26" s="1"/>
  <c r="AD29" i="26" a="1"/>
  <c r="AD29" i="26" s="1"/>
  <c r="AD28" i="26" a="1"/>
  <c r="AD28" i="26" s="1"/>
  <c r="AD26" i="26" a="1"/>
  <c r="AD26" i="26" s="1"/>
  <c r="AD34" i="26" a="1"/>
  <c r="AD34" i="26" s="1"/>
  <c r="AE26" i="22"/>
  <c r="AE27" i="22"/>
  <c r="AE33" i="22"/>
  <c r="AE30" i="22"/>
  <c r="AE29" i="22"/>
  <c r="AE32" i="22"/>
  <c r="AE28" i="22"/>
  <c r="AE24" i="22"/>
  <c r="AE34" i="22"/>
  <c r="AN28" i="6"/>
  <c r="AN28" i="25" s="1"/>
  <c r="G201" i="33" s="1"/>
  <c r="AN30" i="6"/>
  <c r="AN30" i="25" s="1"/>
  <c r="G283" i="33" s="1"/>
  <c r="AN24" i="6"/>
  <c r="AN24" i="25" s="1"/>
  <c r="W71" i="22" a="1"/>
  <c r="W71" i="22" s="1"/>
  <c r="V71" i="22" a="1"/>
  <c r="V71" i="22" s="1"/>
  <c r="G13" i="30"/>
  <c r="G51" i="30"/>
  <c r="G89" i="30"/>
  <c r="Q20" i="6"/>
  <c r="Q20" i="25" s="1"/>
  <c r="G752" i="33" s="1"/>
  <c r="H752" i="33" s="1"/>
  <c r="Q22" i="6"/>
  <c r="Q22" i="25" s="1"/>
  <c r="G834" i="33" s="1"/>
  <c r="H834" i="33" s="1"/>
  <c r="Q21" i="6"/>
  <c r="Q21" i="25" s="1"/>
  <c r="G793" i="33" s="1"/>
  <c r="H793" i="33" s="1"/>
  <c r="Q18" i="6"/>
  <c r="Q18" i="25" s="1"/>
  <c r="G670" i="33" s="1"/>
  <c r="H670" i="33" s="1"/>
  <c r="Q19" i="6"/>
  <c r="Q19" i="25" s="1"/>
  <c r="G711" i="33" s="1"/>
  <c r="H711" i="33" s="1"/>
  <c r="Q16" i="6"/>
  <c r="Q16" i="25" s="1"/>
  <c r="G588" i="33" s="1"/>
  <c r="H588" i="33" s="1"/>
  <c r="Q23" i="6"/>
  <c r="Q23" i="25" s="1"/>
  <c r="G875" i="33" s="1"/>
  <c r="H875" i="33" s="1"/>
  <c r="Q14" i="6"/>
  <c r="Q14" i="25" s="1"/>
  <c r="Q15" i="6"/>
  <c r="Q15" i="25" s="1"/>
  <c r="G547" i="33" s="1"/>
  <c r="H547" i="33" s="1"/>
  <c r="Q13" i="6"/>
  <c r="Q13" i="25" s="1"/>
  <c r="Q17" i="6"/>
  <c r="Q17" i="25" s="1"/>
  <c r="G629" i="33" s="1"/>
  <c r="H629" i="33" s="1"/>
  <c r="H22" i="22"/>
  <c r="H23" i="22"/>
  <c r="H14" i="22"/>
  <c r="H13" i="22"/>
  <c r="I14" i="22"/>
  <c r="I19" i="22"/>
  <c r="I15" i="22"/>
  <c r="I17" i="22"/>
  <c r="I18" i="22"/>
  <c r="I16" i="22"/>
  <c r="I20" i="22"/>
  <c r="I23" i="22"/>
  <c r="I21" i="22"/>
  <c r="I13" i="22"/>
  <c r="I22" i="22"/>
  <c r="G14" i="26" a="1"/>
  <c r="G14" i="26" s="1"/>
  <c r="R21" i="6"/>
  <c r="R21" i="25" s="1"/>
  <c r="G794" i="33" s="1"/>
  <c r="H794" i="33" s="1"/>
  <c r="R22" i="6"/>
  <c r="R22" i="25" s="1"/>
  <c r="G835" i="33" s="1"/>
  <c r="H835" i="33" s="1"/>
  <c r="R20" i="6"/>
  <c r="R20" i="25" s="1"/>
  <c r="G753" i="33" s="1"/>
  <c r="H753" i="33" s="1"/>
  <c r="R23" i="6"/>
  <c r="R23" i="25" s="1"/>
  <c r="G876" i="33" s="1"/>
  <c r="H876" i="33" s="1"/>
  <c r="R19" i="6"/>
  <c r="R19" i="25" s="1"/>
  <c r="G712" i="33" s="1"/>
  <c r="H712" i="33" s="1"/>
  <c r="R16" i="6"/>
  <c r="R16" i="25" s="1"/>
  <c r="G589" i="33" s="1"/>
  <c r="H589" i="33" s="1"/>
  <c r="R14" i="6"/>
  <c r="R14" i="25" s="1"/>
  <c r="R18" i="6"/>
  <c r="R18" i="25" s="1"/>
  <c r="G671" i="33" s="1"/>
  <c r="H671" i="33" s="1"/>
  <c r="R15" i="6"/>
  <c r="R15" i="25" s="1"/>
  <c r="G548" i="33" s="1"/>
  <c r="H548" i="33" s="1"/>
  <c r="R13" i="6"/>
  <c r="R13" i="25" s="1"/>
  <c r="R17" i="6"/>
  <c r="R17" i="25" s="1"/>
  <c r="G630" i="33" s="1"/>
  <c r="H630" i="33" s="1"/>
  <c r="H21" i="22"/>
  <c r="H16" i="22"/>
  <c r="H19" i="22"/>
  <c r="H20" i="22"/>
  <c r="H18" i="22"/>
  <c r="H15" i="22"/>
  <c r="H17" i="22"/>
  <c r="G18" i="26" a="1"/>
  <c r="G18" i="26" s="1"/>
  <c r="G21" i="26" a="1"/>
  <c r="G21" i="26" s="1"/>
  <c r="G15" i="26" a="1"/>
  <c r="G15" i="26" s="1"/>
  <c r="G16" i="26" a="1"/>
  <c r="G16" i="26" s="1"/>
  <c r="G19" i="26" a="1"/>
  <c r="G19" i="26" s="1"/>
  <c r="G23" i="26" a="1"/>
  <c r="G23" i="26" s="1"/>
  <c r="G20" i="26" a="1"/>
  <c r="G20" i="26" s="1"/>
  <c r="G22" i="26" a="1"/>
  <c r="G22" i="26" s="1"/>
  <c r="G17" i="26" a="1"/>
  <c r="G17" i="26" s="1"/>
  <c r="G89" i="26"/>
  <c r="G51" i="26"/>
  <c r="I71" i="22" a="1"/>
  <c r="I71" i="22" s="1"/>
  <c r="H283" i="33" l="1"/>
  <c r="H201" i="33"/>
  <c r="G507" i="33"/>
  <c r="H507" i="33" s="1"/>
  <c r="D56" i="34"/>
  <c r="L56" i="34" s="1"/>
  <c r="G465" i="33"/>
  <c r="D14" i="34"/>
  <c r="L14" i="34" s="1"/>
  <c r="G506" i="33"/>
  <c r="D55" i="34"/>
  <c r="L55" i="34" s="1"/>
  <c r="H464" i="33"/>
  <c r="L118" i="34"/>
  <c r="G466" i="33"/>
  <c r="D15" i="34"/>
  <c r="L15" i="34" s="1"/>
  <c r="G38" i="33"/>
  <c r="J120" i="34"/>
  <c r="D120" i="34"/>
  <c r="G37" i="33"/>
  <c r="J119" i="34"/>
  <c r="D119" i="34"/>
  <c r="AD106" i="29"/>
  <c r="AD104" i="29"/>
  <c r="AD100" i="29"/>
  <c r="AD62" i="29"/>
  <c r="AD66" i="29"/>
  <c r="AD28" i="29"/>
  <c r="AD24" i="29"/>
  <c r="AD30" i="29"/>
  <c r="AE66" i="29"/>
  <c r="AF24" i="29"/>
  <c r="AF104" i="29"/>
  <c r="AE34" i="26" a="1"/>
  <c r="AE34" i="26" s="1"/>
  <c r="AE24" i="26" a="1"/>
  <c r="AE24" i="26" s="1"/>
  <c r="AE28" i="26" a="1"/>
  <c r="AE28" i="26" s="1"/>
  <c r="AE32" i="26" a="1"/>
  <c r="AE32" i="26" s="1"/>
  <c r="AE29" i="26" a="1"/>
  <c r="AE29" i="26" s="1"/>
  <c r="AE30" i="26" a="1"/>
  <c r="AE30" i="26" s="1"/>
  <c r="AE33" i="26" a="1"/>
  <c r="AE33" i="26" s="1"/>
  <c r="AE27" i="26" a="1"/>
  <c r="AE27" i="26" s="1"/>
  <c r="AE26" i="26" a="1"/>
  <c r="AE26" i="26" s="1"/>
  <c r="AD110" i="26"/>
  <c r="AD110" i="30"/>
  <c r="AD72" i="30"/>
  <c r="AD34" i="30"/>
  <c r="AD72" i="26"/>
  <c r="AD26" i="30"/>
  <c r="AD102" i="30"/>
  <c r="AD64" i="26"/>
  <c r="AD102" i="26"/>
  <c r="AD64" i="30"/>
  <c r="AD66" i="30"/>
  <c r="AD66" i="26"/>
  <c r="AD104" i="30"/>
  <c r="AD104" i="26"/>
  <c r="AD28" i="30"/>
  <c r="AD67" i="30"/>
  <c r="AD105" i="26"/>
  <c r="AD67" i="26"/>
  <c r="AD105" i="30"/>
  <c r="AD29" i="30"/>
  <c r="AD24" i="30"/>
  <c r="AD100" i="30"/>
  <c r="AD62" i="26"/>
  <c r="AD100" i="26"/>
  <c r="AD62" i="30"/>
  <c r="AD106" i="30"/>
  <c r="AD68" i="26"/>
  <c r="AD106" i="26"/>
  <c r="AD68" i="30"/>
  <c r="AD30" i="30"/>
  <c r="AD65" i="30"/>
  <c r="AD65" i="26"/>
  <c r="AD103" i="30"/>
  <c r="AD27" i="30"/>
  <c r="AD103" i="26"/>
  <c r="AD32" i="30"/>
  <c r="AD70" i="26"/>
  <c r="AD70" i="30"/>
  <c r="AD108" i="26"/>
  <c r="AD108" i="30"/>
  <c r="AD71" i="30"/>
  <c r="AD109" i="26"/>
  <c r="AD33" i="30"/>
  <c r="AD71" i="26"/>
  <c r="AD109" i="30"/>
  <c r="AF27" i="26" a="1"/>
  <c r="AF27" i="26" s="1"/>
  <c r="AF34" i="26" a="1"/>
  <c r="AF34" i="26" s="1"/>
  <c r="AF26" i="26" a="1"/>
  <c r="AF26" i="26" s="1"/>
  <c r="AF24" i="26" a="1"/>
  <c r="AF24" i="26" s="1"/>
  <c r="AF30" i="26" a="1"/>
  <c r="AF30" i="26" s="1"/>
  <c r="AF32" i="26" a="1"/>
  <c r="AF32" i="26" s="1"/>
  <c r="AF28" i="26" a="1"/>
  <c r="AF28" i="26" s="1"/>
  <c r="AF33" i="26" a="1"/>
  <c r="AF33" i="26" s="1"/>
  <c r="AF29" i="26" a="1"/>
  <c r="AF29" i="26" s="1"/>
  <c r="G55" i="29"/>
  <c r="G17" i="29"/>
  <c r="G93" i="29"/>
  <c r="I17" i="26" a="1"/>
  <c r="I17" i="26" s="1"/>
  <c r="H23" i="26" a="1"/>
  <c r="H23" i="26" s="1"/>
  <c r="G61" i="29"/>
  <c r="G99" i="29"/>
  <c r="G23" i="29"/>
  <c r="G19" i="30"/>
  <c r="G57" i="26"/>
  <c r="G57" i="30"/>
  <c r="G95" i="30"/>
  <c r="G95" i="26"/>
  <c r="G54" i="30"/>
  <c r="G92" i="30"/>
  <c r="G16" i="30"/>
  <c r="G92" i="26"/>
  <c r="G54" i="26"/>
  <c r="H17" i="26" a="1"/>
  <c r="H17" i="26" s="1"/>
  <c r="G16" i="29"/>
  <c r="G92" i="29"/>
  <c r="G54" i="29"/>
  <c r="I22" i="26" a="1"/>
  <c r="I22" i="26" s="1"/>
  <c r="I15" i="26" a="1"/>
  <c r="I15" i="26" s="1"/>
  <c r="H22" i="26" a="1"/>
  <c r="H22" i="26" s="1"/>
  <c r="G98" i="30"/>
  <c r="G60" i="26"/>
  <c r="G60" i="30"/>
  <c r="G22" i="30"/>
  <c r="G98" i="26"/>
  <c r="H15" i="26" a="1"/>
  <c r="H15" i="26" s="1"/>
  <c r="G53" i="29"/>
  <c r="G15" i="29"/>
  <c r="G91" i="29"/>
  <c r="I13" i="26" a="1"/>
  <c r="I13" i="26" s="1"/>
  <c r="I19" i="26" a="1"/>
  <c r="I19" i="26" s="1"/>
  <c r="G59" i="29"/>
  <c r="G97" i="29"/>
  <c r="G21" i="29"/>
  <c r="G58" i="26"/>
  <c r="G20" i="30"/>
  <c r="G96" i="26"/>
  <c r="G58" i="30"/>
  <c r="G96" i="30"/>
  <c r="G15" i="30"/>
  <c r="G53" i="26"/>
  <c r="G53" i="30"/>
  <c r="G91" i="30"/>
  <c r="G91" i="26"/>
  <c r="H18" i="26" a="1"/>
  <c r="H18" i="26" s="1"/>
  <c r="I21" i="26" a="1"/>
  <c r="I21" i="26" s="1"/>
  <c r="I14" i="26" a="1"/>
  <c r="I14" i="26" s="1"/>
  <c r="G55" i="30"/>
  <c r="G17" i="30"/>
  <c r="G93" i="26"/>
  <c r="G93" i="30"/>
  <c r="G55" i="26"/>
  <c r="G14" i="29"/>
  <c r="G90" i="29"/>
  <c r="G52" i="29"/>
  <c r="I23" i="26" a="1"/>
  <c r="I23" i="26" s="1"/>
  <c r="G89" i="29"/>
  <c r="G13" i="29"/>
  <c r="G51" i="29"/>
  <c r="P36" i="25"/>
  <c r="H20" i="26" a="1"/>
  <c r="H20" i="26" s="1"/>
  <c r="G21" i="30"/>
  <c r="G59" i="26"/>
  <c r="G59" i="30"/>
  <c r="G97" i="26"/>
  <c r="G97" i="30"/>
  <c r="H19" i="26" a="1"/>
  <c r="H19" i="26" s="1"/>
  <c r="G96" i="29"/>
  <c r="G20" i="29"/>
  <c r="G58" i="29"/>
  <c r="G61" i="30"/>
  <c r="G99" i="30"/>
  <c r="G23" i="30"/>
  <c r="G99" i="26"/>
  <c r="G61" i="26"/>
  <c r="G90" i="26"/>
  <c r="G14" i="30"/>
  <c r="G52" i="30"/>
  <c r="G52" i="26"/>
  <c r="G90" i="30"/>
  <c r="I20" i="26" a="1"/>
  <c r="I20" i="26" s="1"/>
  <c r="H16" i="26" a="1"/>
  <c r="H16" i="26" s="1"/>
  <c r="I16" i="26" a="1"/>
  <c r="I16" i="26" s="1"/>
  <c r="H13" i="26" a="1"/>
  <c r="H13" i="26" s="1"/>
  <c r="G98" i="29"/>
  <c r="G22" i="29"/>
  <c r="G60" i="29"/>
  <c r="G36" i="26"/>
  <c r="G94" i="26"/>
  <c r="G56" i="30"/>
  <c r="G56" i="26"/>
  <c r="G18" i="30"/>
  <c r="G94" i="30"/>
  <c r="H21" i="26" a="1"/>
  <c r="H21" i="26" s="1"/>
  <c r="G95" i="29"/>
  <c r="G57" i="29"/>
  <c r="G19" i="29"/>
  <c r="G56" i="29"/>
  <c r="G94" i="29"/>
  <c r="G18" i="29"/>
  <c r="I18" i="26" a="1"/>
  <c r="I18" i="26" s="1"/>
  <c r="H14" i="26" a="1"/>
  <c r="H14" i="26" s="1"/>
  <c r="L120" i="34" l="1"/>
  <c r="L119" i="34"/>
  <c r="H37" i="33"/>
  <c r="H506" i="33"/>
  <c r="H38" i="33"/>
  <c r="H465" i="33"/>
  <c r="H466" i="33"/>
  <c r="H36" i="33"/>
  <c r="AE24" i="29"/>
  <c r="AE62" i="29"/>
  <c r="AF28" i="29"/>
  <c r="AF106" i="29"/>
  <c r="G112" i="26"/>
  <c r="AF100" i="29"/>
  <c r="AF68" i="29"/>
  <c r="AF62" i="29"/>
  <c r="AE28" i="29"/>
  <c r="AE30" i="29"/>
  <c r="AE68" i="29"/>
  <c r="AE106" i="29"/>
  <c r="AF30" i="29"/>
  <c r="AF66" i="29"/>
  <c r="AE100" i="29"/>
  <c r="AE104" i="29"/>
  <c r="AF67" i="26"/>
  <c r="AF105" i="26"/>
  <c r="AF67" i="30"/>
  <c r="AF29" i="30"/>
  <c r="AF105" i="30"/>
  <c r="AF33" i="30"/>
  <c r="AF109" i="26"/>
  <c r="AF71" i="26"/>
  <c r="AF109" i="30"/>
  <c r="AF71" i="30"/>
  <c r="AF66" i="26"/>
  <c r="AF104" i="26"/>
  <c r="AF104" i="30"/>
  <c r="AF66" i="30"/>
  <c r="AF28" i="30"/>
  <c r="AF70" i="26"/>
  <c r="AF108" i="26"/>
  <c r="AF32" i="30"/>
  <c r="AF70" i="30"/>
  <c r="AF108" i="30"/>
  <c r="AF68" i="30"/>
  <c r="AF106" i="30"/>
  <c r="AF68" i="26"/>
  <c r="AF106" i="26"/>
  <c r="AF30" i="30"/>
  <c r="AF24" i="30"/>
  <c r="AF62" i="30"/>
  <c r="AF100" i="30"/>
  <c r="AF62" i="26"/>
  <c r="AF100" i="26"/>
  <c r="AF64" i="26"/>
  <c r="AF26" i="30"/>
  <c r="AF102" i="26"/>
  <c r="AF64" i="30"/>
  <c r="AF102" i="30"/>
  <c r="AF110" i="26"/>
  <c r="AF34" i="30"/>
  <c r="AF72" i="26"/>
  <c r="AF72" i="30"/>
  <c r="AF110" i="30"/>
  <c r="AF27" i="30"/>
  <c r="AF65" i="30"/>
  <c r="AF103" i="30"/>
  <c r="AF103" i="26"/>
  <c r="AF65" i="26"/>
  <c r="AE26" i="30"/>
  <c r="AE102" i="30"/>
  <c r="AE64" i="26"/>
  <c r="AE102" i="26"/>
  <c r="AE64" i="30"/>
  <c r="AE65" i="26"/>
  <c r="AE103" i="30"/>
  <c r="AE103" i="26"/>
  <c r="AE27" i="30"/>
  <c r="AE65" i="30"/>
  <c r="AE71" i="26"/>
  <c r="AE109" i="30"/>
  <c r="AE71" i="30"/>
  <c r="AE33" i="30"/>
  <c r="AE109" i="26"/>
  <c r="AE106" i="26"/>
  <c r="AE68" i="26"/>
  <c r="AE106" i="30"/>
  <c r="AE30" i="30"/>
  <c r="AE68" i="30"/>
  <c r="AE105" i="26"/>
  <c r="AE67" i="30"/>
  <c r="AE105" i="30"/>
  <c r="AE29" i="30"/>
  <c r="AE67" i="26"/>
  <c r="AE70" i="30"/>
  <c r="AE108" i="30"/>
  <c r="AE70" i="26"/>
  <c r="AE108" i="26"/>
  <c r="AE32" i="30"/>
  <c r="AE66" i="30"/>
  <c r="AE104" i="30"/>
  <c r="AE28" i="30"/>
  <c r="AE66" i="26"/>
  <c r="AE104" i="26"/>
  <c r="AE24" i="30"/>
  <c r="AE62" i="26"/>
  <c r="AE100" i="26"/>
  <c r="AE62" i="30"/>
  <c r="AE100" i="30"/>
  <c r="AE72" i="26"/>
  <c r="AE72" i="30"/>
  <c r="AE34" i="30"/>
  <c r="AE110" i="26"/>
  <c r="AE110" i="30"/>
  <c r="G36" i="30"/>
  <c r="I90" i="26"/>
  <c r="I52" i="26"/>
  <c r="I52" i="30"/>
  <c r="I14" i="30"/>
  <c r="I90" i="30"/>
  <c r="H61" i="29"/>
  <c r="H99" i="29"/>
  <c r="H23" i="29"/>
  <c r="I54" i="29"/>
  <c r="I16" i="29"/>
  <c r="I92" i="29"/>
  <c r="G74" i="30"/>
  <c r="P74" i="25"/>
  <c r="H60" i="29"/>
  <c r="H98" i="29"/>
  <c r="H22" i="29"/>
  <c r="I90" i="29"/>
  <c r="I52" i="29"/>
  <c r="I14" i="29"/>
  <c r="I22" i="30"/>
  <c r="I60" i="30"/>
  <c r="I98" i="30"/>
  <c r="I98" i="26"/>
  <c r="I60" i="26"/>
  <c r="I58" i="29"/>
  <c r="I96" i="29"/>
  <c r="I20" i="29"/>
  <c r="H97" i="26"/>
  <c r="H59" i="26"/>
  <c r="H59" i="30"/>
  <c r="H97" i="30"/>
  <c r="H21" i="30"/>
  <c r="I92" i="26"/>
  <c r="I54" i="30"/>
  <c r="I16" i="30"/>
  <c r="I92" i="30"/>
  <c r="I54" i="26"/>
  <c r="I96" i="26"/>
  <c r="I58" i="26"/>
  <c r="I58" i="30"/>
  <c r="I96" i="30"/>
  <c r="I20" i="30"/>
  <c r="G74" i="29"/>
  <c r="H13" i="29"/>
  <c r="H89" i="29"/>
  <c r="H51" i="29"/>
  <c r="Q36" i="25"/>
  <c r="H17" i="30"/>
  <c r="H55" i="30"/>
  <c r="H93" i="30"/>
  <c r="H55" i="26"/>
  <c r="H93" i="26"/>
  <c r="H52" i="26"/>
  <c r="H14" i="30"/>
  <c r="H90" i="26"/>
  <c r="H52" i="30"/>
  <c r="H90" i="30"/>
  <c r="I94" i="26"/>
  <c r="I94" i="30"/>
  <c r="I56" i="26"/>
  <c r="I18" i="30"/>
  <c r="I56" i="30"/>
  <c r="H54" i="29"/>
  <c r="H16" i="29"/>
  <c r="H92" i="29"/>
  <c r="I93" i="29"/>
  <c r="I17" i="29"/>
  <c r="I55" i="29"/>
  <c r="H17" i="29"/>
  <c r="H93" i="29"/>
  <c r="H55" i="29"/>
  <c r="I57" i="26"/>
  <c r="I19" i="30"/>
  <c r="I95" i="26"/>
  <c r="I57" i="30"/>
  <c r="I95" i="30"/>
  <c r="H54" i="26"/>
  <c r="H54" i="30"/>
  <c r="H92" i="30"/>
  <c r="H16" i="30"/>
  <c r="H92" i="26"/>
  <c r="H14" i="29"/>
  <c r="H90" i="29"/>
  <c r="H52" i="29"/>
  <c r="H58" i="29"/>
  <c r="H96" i="29"/>
  <c r="H20" i="29"/>
  <c r="G36" i="29"/>
  <c r="I97" i="29"/>
  <c r="I21" i="29"/>
  <c r="I59" i="29"/>
  <c r="I60" i="29"/>
  <c r="I98" i="29"/>
  <c r="I22" i="29"/>
  <c r="G112" i="29"/>
  <c r="I51" i="30"/>
  <c r="I13" i="30"/>
  <c r="I89" i="26"/>
  <c r="I51" i="26"/>
  <c r="I89" i="30"/>
  <c r="I36" i="26"/>
  <c r="H15" i="30"/>
  <c r="H91" i="30"/>
  <c r="H91" i="26"/>
  <c r="H53" i="26"/>
  <c r="H53" i="30"/>
  <c r="H60" i="26"/>
  <c r="H98" i="26"/>
  <c r="H60" i="30"/>
  <c r="H98" i="30"/>
  <c r="H22" i="30"/>
  <c r="I91" i="29"/>
  <c r="I53" i="29"/>
  <c r="I15" i="29"/>
  <c r="H57" i="30"/>
  <c r="H95" i="30"/>
  <c r="H19" i="30"/>
  <c r="H95" i="26"/>
  <c r="H57" i="26"/>
  <c r="H53" i="29"/>
  <c r="H15" i="29"/>
  <c r="H91" i="29"/>
  <c r="G112" i="30"/>
  <c r="I97" i="26"/>
  <c r="I59" i="26"/>
  <c r="I59" i="30"/>
  <c r="I21" i="30"/>
  <c r="I97" i="30"/>
  <c r="H94" i="26"/>
  <c r="H56" i="26"/>
  <c r="H56" i="30"/>
  <c r="H94" i="30"/>
  <c r="H18" i="30"/>
  <c r="I89" i="29"/>
  <c r="I51" i="29"/>
  <c r="I13" i="29"/>
  <c r="R36" i="25"/>
  <c r="H61" i="30"/>
  <c r="H23" i="30"/>
  <c r="H99" i="30"/>
  <c r="H99" i="26"/>
  <c r="H61" i="26"/>
  <c r="H89" i="26"/>
  <c r="H89" i="30"/>
  <c r="H51" i="30"/>
  <c r="H51" i="26"/>
  <c r="H36" i="26"/>
  <c r="H13" i="30"/>
  <c r="I23" i="29"/>
  <c r="I61" i="29"/>
  <c r="I99" i="29"/>
  <c r="G74" i="26"/>
  <c r="I99" i="26"/>
  <c r="I61" i="30"/>
  <c r="I23" i="30"/>
  <c r="I61" i="26"/>
  <c r="I99" i="30"/>
  <c r="I18" i="29"/>
  <c r="I94" i="29"/>
  <c r="I56" i="29"/>
  <c r="I15" i="30"/>
  <c r="I53" i="26"/>
  <c r="I91" i="30"/>
  <c r="I91" i="26"/>
  <c r="I53" i="30"/>
  <c r="I55" i="30"/>
  <c r="I93" i="30"/>
  <c r="I93" i="26"/>
  <c r="I55" i="26"/>
  <c r="I17" i="30"/>
  <c r="I57" i="29"/>
  <c r="I19" i="29"/>
  <c r="I95" i="29"/>
  <c r="H20" i="30"/>
  <c r="H58" i="26"/>
  <c r="H96" i="26"/>
  <c r="H58" i="30"/>
  <c r="H96" i="30"/>
  <c r="H21" i="29"/>
  <c r="H59" i="29"/>
  <c r="H97" i="29"/>
  <c r="H94" i="29"/>
  <c r="H56" i="29"/>
  <c r="H18" i="29"/>
  <c r="H19" i="29"/>
  <c r="H95" i="29"/>
  <c r="H57" i="29"/>
  <c r="H74" i="26" l="1"/>
  <c r="H112" i="29"/>
  <c r="H74" i="30"/>
  <c r="I74" i="29"/>
  <c r="Q74" i="25"/>
  <c r="I112" i="30"/>
  <c r="H112" i="30"/>
  <c r="I112" i="29"/>
  <c r="I74" i="26"/>
  <c r="H36" i="29"/>
  <c r="H112" i="26"/>
  <c r="I112" i="26"/>
  <c r="I36" i="30"/>
  <c r="I74" i="30"/>
  <c r="H36" i="30"/>
  <c r="R74" i="25"/>
  <c r="I36" i="29"/>
  <c r="H74" i="29"/>
  <c r="AJ27" i="6" l="1"/>
  <c r="AJ27" i="25" s="1"/>
  <c r="G156" i="33" s="1"/>
  <c r="H156" i="33" s="1"/>
  <c r="AA27" i="29" l="1"/>
  <c r="AA103" i="29"/>
  <c r="AA65" i="29"/>
  <c r="AK27" i="6"/>
  <c r="AK27" i="25" s="1"/>
  <c r="G157" i="33" s="1"/>
  <c r="H157" i="33" s="1"/>
  <c r="AL27" i="6" l="1"/>
  <c r="AL27" i="25" s="1"/>
  <c r="G158" i="33" s="1"/>
  <c r="H158" i="33" s="1"/>
  <c r="AB27" i="29" l="1"/>
  <c r="AB103" i="29"/>
  <c r="AB65" i="29"/>
  <c r="AM27" i="6"/>
  <c r="AM27" i="25" s="1"/>
  <c r="G159" i="33" s="1"/>
  <c r="H159" i="33" s="1"/>
  <c r="AJ26" i="6"/>
  <c r="AJ26" i="25" s="1"/>
  <c r="G115" i="33" s="1"/>
  <c r="H115" i="33" s="1"/>
  <c r="AC27" i="29" l="1"/>
  <c r="AC65" i="29"/>
  <c r="AC103" i="29"/>
  <c r="AA26" i="29"/>
  <c r="AA64" i="29"/>
  <c r="AA102" i="29"/>
  <c r="AN27" i="6"/>
  <c r="AN27" i="25" s="1"/>
  <c r="G160" i="33" s="1"/>
  <c r="AK26" i="6"/>
  <c r="AK26" i="25" s="1"/>
  <c r="G116" i="33" s="1"/>
  <c r="H116" i="33" s="1"/>
  <c r="H160" i="33" l="1"/>
  <c r="AD103" i="29"/>
  <c r="AD65" i="29"/>
  <c r="AD27" i="29"/>
  <c r="AO27" i="6"/>
  <c r="AO27" i="25" s="1"/>
  <c r="G161" i="33" s="1"/>
  <c r="H161" i="33" s="1"/>
  <c r="AL26" i="6"/>
  <c r="AL26" i="25" s="1"/>
  <c r="G117" i="33" s="1"/>
  <c r="H117" i="33" s="1"/>
  <c r="AB64" i="29" l="1"/>
  <c r="AB26" i="29"/>
  <c r="AB102" i="29"/>
  <c r="AE27" i="29"/>
  <c r="AE65" i="29"/>
  <c r="AE103" i="29"/>
  <c r="AP27" i="6"/>
  <c r="AP27" i="25" s="1"/>
  <c r="G162" i="33" s="1"/>
  <c r="H162" i="33" s="1"/>
  <c r="AM26" i="6"/>
  <c r="AM26" i="25" s="1"/>
  <c r="G118" i="33" s="1"/>
  <c r="H118" i="33" s="1"/>
  <c r="AC102" i="29" l="1"/>
  <c r="AC64" i="29"/>
  <c r="AC26" i="29"/>
  <c r="AF103" i="29"/>
  <c r="AF27" i="29"/>
  <c r="AF65" i="29"/>
  <c r="AQ27" i="6"/>
  <c r="AQ27" i="25" s="1"/>
  <c r="G163" i="33" s="1"/>
  <c r="H163" i="33" s="1"/>
  <c r="AN26" i="6"/>
  <c r="AN26" i="25" s="1"/>
  <c r="G119" i="33" s="1"/>
  <c r="H119" i="33" l="1"/>
  <c r="AG103" i="29"/>
  <c r="AG27" i="29"/>
  <c r="AG65" i="29"/>
  <c r="AD102" i="29"/>
  <c r="AD64" i="29"/>
  <c r="AD26" i="29"/>
  <c r="AR27" i="6"/>
  <c r="AR27" i="25" s="1"/>
  <c r="G164" i="33" s="1"/>
  <c r="H164" i="33" s="1"/>
  <c r="AO26" i="6"/>
  <c r="AO26" i="25" s="1"/>
  <c r="G120" i="33" s="1"/>
  <c r="H120" i="33" s="1"/>
  <c r="AH27" i="29" l="1"/>
  <c r="AH103" i="29"/>
  <c r="AH65" i="29"/>
  <c r="AE26" i="29"/>
  <c r="AE64" i="29"/>
  <c r="AE102" i="29"/>
  <c r="AP26" i="6"/>
  <c r="AP26" i="25" s="1"/>
  <c r="G121" i="33" s="1"/>
  <c r="H121" i="33" s="1"/>
  <c r="AF64" i="29" l="1"/>
  <c r="AF102" i="29"/>
  <c r="AF26" i="29"/>
  <c r="AI27" i="29"/>
  <c r="AI103" i="29"/>
  <c r="AI65" i="29"/>
  <c r="AQ26" i="6"/>
  <c r="AQ26" i="25" s="1"/>
  <c r="G122" i="33" s="1"/>
  <c r="H122" i="33" s="1"/>
  <c r="AG64" i="29" l="1"/>
  <c r="AG26" i="29"/>
  <c r="AG102" i="29"/>
  <c r="AR26" i="6"/>
  <c r="AR26" i="25" s="1"/>
  <c r="G123" i="33" s="1"/>
  <c r="H123" i="33" s="1"/>
  <c r="AA48" i="6" l="1"/>
  <c r="Z16" i="6"/>
  <c r="Z16" i="25" s="1"/>
  <c r="G597" i="33" s="1"/>
  <c r="H597" i="33" s="1"/>
  <c r="Z41" i="6"/>
  <c r="Z15" i="6"/>
  <c r="Z15" i="25" s="1"/>
  <c r="G556" i="33" s="1"/>
  <c r="H556" i="33" s="1"/>
  <c r="Z40" i="6"/>
  <c r="Z23" i="6"/>
  <c r="Z23" i="25" s="1"/>
  <c r="G884" i="33" s="1"/>
  <c r="H884" i="33" s="1"/>
  <c r="Z48" i="6"/>
  <c r="Z22" i="6"/>
  <c r="Z22" i="25" s="1"/>
  <c r="G843" i="33" s="1"/>
  <c r="H843" i="33" s="1"/>
  <c r="Z47" i="6"/>
  <c r="Z45" i="6"/>
  <c r="Z18" i="6"/>
  <c r="Z18" i="25" s="1"/>
  <c r="G679" i="33" s="1"/>
  <c r="H679" i="33" s="1"/>
  <c r="Z43" i="6"/>
  <c r="Z46" i="6"/>
  <c r="AA22" i="6"/>
  <c r="AA22" i="25" s="1"/>
  <c r="G844" i="33" s="1"/>
  <c r="H844" i="33" s="1"/>
  <c r="AA16" i="6"/>
  <c r="AA16" i="25" s="1"/>
  <c r="G598" i="33" s="1"/>
  <c r="H598" i="33" s="1"/>
  <c r="AH26" i="29"/>
  <c r="AH102" i="29"/>
  <c r="AH64" i="29"/>
  <c r="AA40" i="6"/>
  <c r="AA43" i="6"/>
  <c r="AS25" i="6"/>
  <c r="AS25" i="25" s="1"/>
  <c r="Z21" i="6"/>
  <c r="Z21" i="25" s="1"/>
  <c r="G802" i="33" s="1"/>
  <c r="H802" i="33" s="1"/>
  <c r="Z14" i="6"/>
  <c r="Z14" i="25" s="1"/>
  <c r="Z20" i="6"/>
  <c r="Z20" i="25" s="1"/>
  <c r="G761" i="33" s="1"/>
  <c r="H761" i="33" s="1"/>
  <c r="AA23" i="6"/>
  <c r="AA23" i="25" s="1"/>
  <c r="G885" i="33" s="1"/>
  <c r="H885" i="33" s="1"/>
  <c r="G83" i="33" l="1"/>
  <c r="J165" i="34"/>
  <c r="D165" i="34"/>
  <c r="L165" i="34" s="1"/>
  <c r="G515" i="33"/>
  <c r="H515" i="33" s="1"/>
  <c r="D64" i="34"/>
  <c r="L64" i="34" s="1"/>
  <c r="AB43" i="6"/>
  <c r="AA18" i="6"/>
  <c r="AA18" i="25" s="1"/>
  <c r="G680" i="33" s="1"/>
  <c r="H680" i="33" s="1"/>
  <c r="Q94" i="29"/>
  <c r="Z39" i="6"/>
  <c r="AB48" i="6"/>
  <c r="AB39" i="6"/>
  <c r="AA41" i="6"/>
  <c r="AA47" i="6"/>
  <c r="AA21" i="6"/>
  <c r="AA46" i="6"/>
  <c r="AA20" i="6"/>
  <c r="AA20" i="25" s="1"/>
  <c r="G762" i="33" s="1"/>
  <c r="H762" i="33" s="1"/>
  <c r="AA45" i="6"/>
  <c r="AA14" i="6"/>
  <c r="AA39" i="6"/>
  <c r="AI64" i="29"/>
  <c r="AI102" i="29"/>
  <c r="AI26" i="29"/>
  <c r="AA15" i="6"/>
  <c r="AA15" i="25" s="1"/>
  <c r="G557" i="33" s="1"/>
  <c r="H557" i="33" s="1"/>
  <c r="AJ101" i="29"/>
  <c r="AJ113" i="29" s="1"/>
  <c r="AJ63" i="29"/>
  <c r="AJ75" i="29" s="1"/>
  <c r="AJ25" i="29"/>
  <c r="AJ37" i="29" s="1"/>
  <c r="AS75" i="25"/>
  <c r="AS37" i="25"/>
  <c r="Q60" i="29"/>
  <c r="Q98" i="29"/>
  <c r="Q92" i="29"/>
  <c r="Q54" i="29"/>
  <c r="Q61" i="29"/>
  <c r="Q99" i="29"/>
  <c r="Q91" i="29"/>
  <c r="Q53" i="29"/>
  <c r="Q23" i="29"/>
  <c r="Q16" i="29"/>
  <c r="Q15" i="29"/>
  <c r="Q22" i="29"/>
  <c r="AC39" i="6"/>
  <c r="AB46" i="6"/>
  <c r="AC43" i="6"/>
  <c r="AB45" i="6"/>
  <c r="H83" i="33" l="1"/>
  <c r="AA14" i="25"/>
  <c r="AA21" i="25"/>
  <c r="G803" i="33" s="1"/>
  <c r="H803" i="33" s="1"/>
  <c r="Q18" i="29"/>
  <c r="Q56" i="29"/>
  <c r="R20" i="29"/>
  <c r="R58" i="29"/>
  <c r="AC48" i="6"/>
  <c r="R96" i="29"/>
  <c r="AB40" i="6"/>
  <c r="AB47" i="6"/>
  <c r="AB41" i="6"/>
  <c r="R94" i="29"/>
  <c r="R56" i="29"/>
  <c r="R54" i="29"/>
  <c r="R92" i="29"/>
  <c r="Q90" i="29"/>
  <c r="Q52" i="29"/>
  <c r="Q59" i="29"/>
  <c r="Q97" i="29"/>
  <c r="Q58" i="29"/>
  <c r="Q96" i="29"/>
  <c r="R98" i="29"/>
  <c r="R60" i="29"/>
  <c r="R99" i="29"/>
  <c r="R61" i="29"/>
  <c r="Q20" i="29"/>
  <c r="R23" i="29"/>
  <c r="Q14" i="29"/>
  <c r="Z36" i="25"/>
  <c r="Q21" i="29"/>
  <c r="R16" i="29"/>
  <c r="R22" i="29"/>
  <c r="R18" i="29"/>
  <c r="AD39" i="6"/>
  <c r="AC46" i="6"/>
  <c r="AC45" i="6"/>
  <c r="AD48" i="6"/>
  <c r="AD43" i="6"/>
  <c r="R21" i="29" l="1"/>
  <c r="R14" i="29"/>
  <c r="G516" i="33"/>
  <c r="H516" i="33" s="1"/>
  <c r="D65" i="34"/>
  <c r="L65" i="34" s="1"/>
  <c r="R97" i="29"/>
  <c r="R59" i="29"/>
  <c r="AA36" i="25"/>
  <c r="R90" i="29"/>
  <c r="R52" i="29"/>
  <c r="AC41" i="6"/>
  <c r="AC40" i="6"/>
  <c r="AC47" i="6"/>
  <c r="R53" i="29"/>
  <c r="R15" i="29"/>
  <c r="R36" i="29" s="1"/>
  <c r="R91" i="29"/>
  <c r="AA74" i="25"/>
  <c r="Q112" i="29"/>
  <c r="Z74" i="25"/>
  <c r="Q36" i="29"/>
  <c r="AE39" i="6"/>
  <c r="AD46" i="6"/>
  <c r="AE43" i="6"/>
  <c r="AD45" i="6"/>
  <c r="AE48" i="6"/>
  <c r="R112" i="29" l="1"/>
  <c r="AD47" i="6"/>
  <c r="AD40" i="6"/>
  <c r="AD41" i="6"/>
  <c r="R74" i="29"/>
  <c r="Q74" i="29"/>
  <c r="AF39" i="6"/>
  <c r="AE46" i="6"/>
  <c r="AE45" i="6"/>
  <c r="AF48" i="6"/>
  <c r="AF43" i="6"/>
  <c r="AE40" i="6" l="1"/>
  <c r="AE41" i="6"/>
  <c r="AE47" i="6"/>
  <c r="AG39" i="6"/>
  <c r="AG48" i="6"/>
  <c r="AF45" i="6"/>
  <c r="AG43" i="6"/>
  <c r="AF46" i="6"/>
  <c r="AF41" i="6" l="1"/>
  <c r="AF40" i="6"/>
  <c r="AF47" i="6"/>
  <c r="AH39" i="6"/>
  <c r="AH43" i="6"/>
  <c r="AI20" i="6"/>
  <c r="AG45" i="6"/>
  <c r="AG46" i="6"/>
  <c r="AH48" i="6"/>
  <c r="AJ25" i="6"/>
  <c r="AJ25" i="25" s="1"/>
  <c r="G74" i="33" l="1"/>
  <c r="D156" i="34"/>
  <c r="J156" i="34"/>
  <c r="E21" i="27"/>
  <c r="AI20" i="25"/>
  <c r="G770" i="33" s="1"/>
  <c r="H770" i="33" s="1"/>
  <c r="AG40" i="6"/>
  <c r="AG41" i="6"/>
  <c r="AG47" i="6"/>
  <c r="AA25" i="29"/>
  <c r="AA101" i="29"/>
  <c r="AA63" i="29"/>
  <c r="AU20" i="6"/>
  <c r="AI39" i="6"/>
  <c r="AH46" i="6"/>
  <c r="AJ34" i="6"/>
  <c r="AJ34" i="25" s="1"/>
  <c r="G443" i="33" s="1"/>
  <c r="H443" i="33" s="1"/>
  <c r="AJ33" i="6"/>
  <c r="AJ33" i="25" s="1"/>
  <c r="G402" i="33" s="1"/>
  <c r="H402" i="33" s="1"/>
  <c r="AI21" i="6"/>
  <c r="AJ29" i="6"/>
  <c r="AJ29" i="25" s="1"/>
  <c r="G238" i="33" s="1"/>
  <c r="H238" i="33" s="1"/>
  <c r="AI43" i="6"/>
  <c r="AK25" i="6"/>
  <c r="AK25" i="25" s="1"/>
  <c r="AI48" i="6"/>
  <c r="AH45" i="6"/>
  <c r="G75" i="33" l="1"/>
  <c r="H75" i="33" s="1"/>
  <c r="J157" i="34"/>
  <c r="D157" i="34"/>
  <c r="L157" i="34" s="1"/>
  <c r="L156" i="34"/>
  <c r="H74" i="33"/>
  <c r="E22" i="27"/>
  <c r="AI21" i="25"/>
  <c r="G811" i="33" s="1"/>
  <c r="H811" i="33" s="1"/>
  <c r="AH47" i="6"/>
  <c r="AH41" i="6"/>
  <c r="AH40" i="6"/>
  <c r="AB25" i="29"/>
  <c r="AB101" i="29"/>
  <c r="AB63" i="29"/>
  <c r="AA105" i="29"/>
  <c r="AA67" i="29"/>
  <c r="AA29" i="29"/>
  <c r="AA109" i="29"/>
  <c r="AA71" i="29"/>
  <c r="AA33" i="29"/>
  <c r="AA110" i="29"/>
  <c r="AA34" i="29"/>
  <c r="AA72" i="29"/>
  <c r="Z96" i="29"/>
  <c r="Z58" i="29"/>
  <c r="AU21" i="6"/>
  <c r="Z20" i="29"/>
  <c r="AJ39" i="6"/>
  <c r="AI14" i="6"/>
  <c r="AJ43" i="6"/>
  <c r="AI18" i="6"/>
  <c r="AI45" i="6"/>
  <c r="AJ48" i="6"/>
  <c r="AI23" i="6"/>
  <c r="AK33" i="6"/>
  <c r="AK33" i="25" s="1"/>
  <c r="G403" i="33" s="1"/>
  <c r="H403" i="33" s="1"/>
  <c r="AK29" i="6"/>
  <c r="AK29" i="25" s="1"/>
  <c r="G239" i="33" s="1"/>
  <c r="H239" i="33" s="1"/>
  <c r="AK34" i="6"/>
  <c r="AK34" i="25" s="1"/>
  <c r="G444" i="33" s="1"/>
  <c r="H444" i="33" s="1"/>
  <c r="AL25" i="6"/>
  <c r="AL25" i="25" s="1"/>
  <c r="AI46" i="6"/>
  <c r="G76" i="33" l="1"/>
  <c r="D158" i="34"/>
  <c r="J158" i="34"/>
  <c r="E24" i="27"/>
  <c r="AI23" i="25"/>
  <c r="G893" i="33" s="1"/>
  <c r="H893" i="33" s="1"/>
  <c r="E19" i="27"/>
  <c r="AI18" i="25"/>
  <c r="G688" i="33" s="1"/>
  <c r="H688" i="33" s="1"/>
  <c r="E15" i="27"/>
  <c r="AI14" i="25"/>
  <c r="AI40" i="6"/>
  <c r="AI15" i="6"/>
  <c r="AI15" i="25" s="1"/>
  <c r="G565" i="33" s="1"/>
  <c r="H565" i="33" s="1"/>
  <c r="AI41" i="6"/>
  <c r="AI16" i="6"/>
  <c r="AI16" i="25" s="1"/>
  <c r="G606" i="33" s="1"/>
  <c r="H606" i="33" s="1"/>
  <c r="AI47" i="6"/>
  <c r="AI22" i="6"/>
  <c r="AI22" i="25" s="1"/>
  <c r="G852" i="33" s="1"/>
  <c r="H852" i="33" s="1"/>
  <c r="AC25" i="29"/>
  <c r="AC63" i="29"/>
  <c r="AC101" i="29"/>
  <c r="Z97" i="29"/>
  <c r="Z59" i="29"/>
  <c r="E173" i="27"/>
  <c r="AU18" i="6"/>
  <c r="E97" i="27"/>
  <c r="Z21" i="29"/>
  <c r="AU14" i="6"/>
  <c r="AU23" i="6"/>
  <c r="E59" i="27"/>
  <c r="AK39" i="6"/>
  <c r="AM25" i="6"/>
  <c r="AM25" i="25" s="1"/>
  <c r="AL29" i="6"/>
  <c r="AL29" i="25" s="1"/>
  <c r="G240" i="33" s="1"/>
  <c r="H240" i="33" s="1"/>
  <c r="AL33" i="6"/>
  <c r="AL33" i="25" s="1"/>
  <c r="G404" i="33" s="1"/>
  <c r="H404" i="33" s="1"/>
  <c r="AK48" i="6"/>
  <c r="AL34" i="6"/>
  <c r="AL34" i="25" s="1"/>
  <c r="G445" i="33" s="1"/>
  <c r="H445" i="33" s="1"/>
  <c r="AK43" i="6"/>
  <c r="G77" i="33" l="1"/>
  <c r="D159" i="34"/>
  <c r="J159" i="34"/>
  <c r="G524" i="33"/>
  <c r="D73" i="34"/>
  <c r="L73" i="34" s="1"/>
  <c r="L158" i="34"/>
  <c r="H76" i="33" s="1"/>
  <c r="AJ31" i="6"/>
  <c r="AJ45" i="6"/>
  <c r="AJ41" i="6"/>
  <c r="E17" i="27"/>
  <c r="AU16" i="6"/>
  <c r="E23" i="27"/>
  <c r="AU22" i="6"/>
  <c r="AJ40" i="6"/>
  <c r="AJ32" i="6"/>
  <c r="AJ46" i="6"/>
  <c r="AJ47" i="6"/>
  <c r="E16" i="27"/>
  <c r="AU15" i="6"/>
  <c r="AB110" i="29"/>
  <c r="AB72" i="29"/>
  <c r="AB34" i="29"/>
  <c r="AB29" i="29"/>
  <c r="AB105" i="29"/>
  <c r="AB67" i="29"/>
  <c r="AB109" i="29"/>
  <c r="AB33" i="29"/>
  <c r="AB71" i="29"/>
  <c r="AD101" i="29"/>
  <c r="AD25" i="29"/>
  <c r="AD63" i="29"/>
  <c r="Z99" i="29"/>
  <c r="Z61" i="29"/>
  <c r="Z90" i="29"/>
  <c r="Z52" i="29"/>
  <c r="Z94" i="29"/>
  <c r="Z56" i="29"/>
  <c r="E174" i="27"/>
  <c r="Z18" i="29"/>
  <c r="Z14" i="29"/>
  <c r="E135" i="27"/>
  <c r="Z23" i="29"/>
  <c r="E60" i="27"/>
  <c r="E98" i="27"/>
  <c r="AL39" i="6"/>
  <c r="AM33" i="6"/>
  <c r="AM33" i="25" s="1"/>
  <c r="G405" i="33" s="1"/>
  <c r="H405" i="33" s="1"/>
  <c r="AM34" i="6"/>
  <c r="AM34" i="25" s="1"/>
  <c r="G446" i="33" s="1"/>
  <c r="H446" i="33" s="1"/>
  <c r="AL43" i="6"/>
  <c r="AL48" i="6"/>
  <c r="AM29" i="6"/>
  <c r="AM29" i="25" s="1"/>
  <c r="G241" i="33" s="1"/>
  <c r="H241" i="33" s="1"/>
  <c r="AN25" i="6"/>
  <c r="AN25" i="25" s="1"/>
  <c r="H524" i="33" l="1"/>
  <c r="G78" i="33"/>
  <c r="J160" i="34"/>
  <c r="D160" i="34"/>
  <c r="L160" i="34" s="1"/>
  <c r="L159" i="34"/>
  <c r="H77" i="33" s="1"/>
  <c r="AJ32" i="25"/>
  <c r="AJ31" i="25"/>
  <c r="G320" i="33" s="1"/>
  <c r="H320" i="33" s="1"/>
  <c r="E38" i="27"/>
  <c r="Z92" i="29"/>
  <c r="E169" i="27" s="1"/>
  <c r="Z16" i="29"/>
  <c r="E93" i="27" s="1"/>
  <c r="E55" i="27"/>
  <c r="Z54" i="29"/>
  <c r="E131" i="27" s="1"/>
  <c r="Z15" i="29"/>
  <c r="E92" i="27" s="1"/>
  <c r="Z53" i="29"/>
  <c r="E130" i="27" s="1"/>
  <c r="E54" i="27"/>
  <c r="Z91" i="29"/>
  <c r="E168" i="27" s="1"/>
  <c r="AK40" i="6"/>
  <c r="AK32" i="6"/>
  <c r="AK32" i="25" s="1"/>
  <c r="G362" i="33" s="1"/>
  <c r="H362" i="33" s="1"/>
  <c r="AK46" i="6"/>
  <c r="AI36" i="25"/>
  <c r="AK41" i="6"/>
  <c r="E61" i="27"/>
  <c r="Z98" i="29"/>
  <c r="E175" i="27" s="1"/>
  <c r="Z60" i="29"/>
  <c r="E137" i="27" s="1"/>
  <c r="Z22" i="29"/>
  <c r="E99" i="27" s="1"/>
  <c r="AK31" i="6"/>
  <c r="AK45" i="6"/>
  <c r="AK47" i="6"/>
  <c r="AE63" i="29"/>
  <c r="AE101" i="29"/>
  <c r="AE25" i="29"/>
  <c r="AC109" i="29"/>
  <c r="AC71" i="29"/>
  <c r="AC33" i="29"/>
  <c r="AC34" i="29"/>
  <c r="AC110" i="29"/>
  <c r="AC72" i="29"/>
  <c r="AC67" i="29"/>
  <c r="AC29" i="29"/>
  <c r="AC105" i="29"/>
  <c r="E171" i="27"/>
  <c r="E176" i="27"/>
  <c r="E167" i="27"/>
  <c r="E53" i="27"/>
  <c r="E62" i="27"/>
  <c r="E91" i="27"/>
  <c r="E136" i="27"/>
  <c r="E100" i="27"/>
  <c r="E57" i="27"/>
  <c r="E95" i="27"/>
  <c r="AM39" i="6"/>
  <c r="AM48" i="6"/>
  <c r="AN34" i="6"/>
  <c r="AN34" i="25" s="1"/>
  <c r="G447" i="33" s="1"/>
  <c r="H447" i="33" s="1"/>
  <c r="AN29" i="6"/>
  <c r="AN29" i="25" s="1"/>
  <c r="G242" i="33" s="1"/>
  <c r="AO25" i="6"/>
  <c r="AO25" i="25" s="1"/>
  <c r="AM43" i="6"/>
  <c r="AN33" i="6"/>
  <c r="AN33" i="25" s="1"/>
  <c r="G406" i="33" s="1"/>
  <c r="H406" i="33" l="1"/>
  <c r="H242" i="33"/>
  <c r="AA107" i="29"/>
  <c r="AA31" i="29"/>
  <c r="AA32" i="29"/>
  <c r="AA37" i="29" s="1"/>
  <c r="G361" i="33"/>
  <c r="H361" i="33" s="1"/>
  <c r="G79" i="33"/>
  <c r="J161" i="34"/>
  <c r="D161" i="34"/>
  <c r="H78" i="33"/>
  <c r="AA69" i="29"/>
  <c r="AA70" i="29"/>
  <c r="AJ37" i="25"/>
  <c r="AA108" i="29"/>
  <c r="AA113" i="29" s="1"/>
  <c r="AK31" i="25"/>
  <c r="AJ75" i="25"/>
  <c r="Z112" i="29"/>
  <c r="Z36" i="29"/>
  <c r="AI74" i="25"/>
  <c r="AL32" i="6"/>
  <c r="AL32" i="25" s="1"/>
  <c r="G363" i="33" s="1"/>
  <c r="H363" i="33" s="1"/>
  <c r="AL46" i="6"/>
  <c r="AL47" i="6"/>
  <c r="AL41" i="6"/>
  <c r="AL40" i="6"/>
  <c r="AL31" i="6"/>
  <c r="AL45" i="6"/>
  <c r="AD109" i="29"/>
  <c r="AD71" i="29"/>
  <c r="AD33" i="29"/>
  <c r="AF63" i="29"/>
  <c r="AF101" i="29"/>
  <c r="AF25" i="29"/>
  <c r="AD72" i="29"/>
  <c r="AD110" i="29"/>
  <c r="AD34" i="29"/>
  <c r="AB32" i="29"/>
  <c r="AB70" i="29"/>
  <c r="AB108" i="29"/>
  <c r="AD105" i="29"/>
  <c r="AD29" i="29"/>
  <c r="AD67" i="29"/>
  <c r="E190" i="27"/>
  <c r="E129" i="27"/>
  <c r="Z74" i="29"/>
  <c r="E114" i="27"/>
  <c r="E138" i="27"/>
  <c r="E76" i="27"/>
  <c r="E133" i="27"/>
  <c r="AN39" i="6"/>
  <c r="AN48" i="6"/>
  <c r="AO34" i="6"/>
  <c r="AO34" i="25" s="1"/>
  <c r="G448" i="33" s="1"/>
  <c r="H448" i="33" s="1"/>
  <c r="AO33" i="6"/>
  <c r="AO33" i="25" s="1"/>
  <c r="G407" i="33" s="1"/>
  <c r="H407" i="33" s="1"/>
  <c r="AN43" i="6"/>
  <c r="AO29" i="6"/>
  <c r="AO29" i="25" s="1"/>
  <c r="G243" i="33" s="1"/>
  <c r="H243" i="33" s="1"/>
  <c r="AP25" i="6"/>
  <c r="AP25" i="25" s="1"/>
  <c r="L161" i="34" l="1"/>
  <c r="H79" i="33"/>
  <c r="AA75" i="29"/>
  <c r="G80" i="33"/>
  <c r="D162" i="34"/>
  <c r="J162" i="34"/>
  <c r="AB107" i="29"/>
  <c r="AB113" i="29" s="1"/>
  <c r="G321" i="33"/>
  <c r="H321" i="33" s="1"/>
  <c r="AB31" i="29"/>
  <c r="AB37" i="29" s="1"/>
  <c r="AK37" i="25"/>
  <c r="AB69" i="29"/>
  <c r="AB75" i="29" s="1"/>
  <c r="AL31" i="25"/>
  <c r="AC107" i="29" s="1"/>
  <c r="AM40" i="6"/>
  <c r="AM41" i="6"/>
  <c r="AM47" i="6"/>
  <c r="AK75" i="25"/>
  <c r="AM32" i="6"/>
  <c r="AM32" i="25" s="1"/>
  <c r="G364" i="33" s="1"/>
  <c r="H364" i="33" s="1"/>
  <c r="AM46" i="6"/>
  <c r="AM31" i="6"/>
  <c r="AM31" i="25" s="1"/>
  <c r="G323" i="33" s="1"/>
  <c r="H323" i="33" s="1"/>
  <c r="AM45" i="6"/>
  <c r="AC32" i="29"/>
  <c r="AC70" i="29"/>
  <c r="AC108" i="29"/>
  <c r="AE67" i="29"/>
  <c r="AE29" i="29"/>
  <c r="AE105" i="29"/>
  <c r="AE34" i="29"/>
  <c r="AE72" i="29"/>
  <c r="AE110" i="29"/>
  <c r="AG25" i="29"/>
  <c r="AG101" i="29"/>
  <c r="AG63" i="29"/>
  <c r="AE33" i="29"/>
  <c r="AE71" i="29"/>
  <c r="AE109" i="29"/>
  <c r="E152" i="27"/>
  <c r="AO39" i="6"/>
  <c r="AP33" i="6"/>
  <c r="AP33" i="25" s="1"/>
  <c r="G408" i="33" s="1"/>
  <c r="H408" i="33" s="1"/>
  <c r="AP20" i="6"/>
  <c r="AP20" i="25" s="1"/>
  <c r="G777" i="33" s="1"/>
  <c r="H777" i="33" s="1"/>
  <c r="AQ25" i="6"/>
  <c r="AQ25" i="25" s="1"/>
  <c r="AP29" i="6"/>
  <c r="AP29" i="25" s="1"/>
  <c r="G244" i="33" s="1"/>
  <c r="H244" i="33" s="1"/>
  <c r="AP34" i="6"/>
  <c r="AP34" i="25" s="1"/>
  <c r="G449" i="33" s="1"/>
  <c r="H449" i="33" s="1"/>
  <c r="AO48" i="6"/>
  <c r="AO43" i="6"/>
  <c r="AL37" i="25" l="1"/>
  <c r="G322" i="33"/>
  <c r="H322" i="33" s="1"/>
  <c r="G81" i="33"/>
  <c r="D163" i="34"/>
  <c r="J163" i="34"/>
  <c r="L162" i="34"/>
  <c r="H80" i="33"/>
  <c r="AC69" i="29"/>
  <c r="AC75" i="29" s="1"/>
  <c r="AC31" i="29"/>
  <c r="AC37" i="29" s="1"/>
  <c r="AC113" i="29"/>
  <c r="AL75" i="25"/>
  <c r="AN41" i="6"/>
  <c r="AD69" i="29"/>
  <c r="AD107" i="29"/>
  <c r="AN31" i="6"/>
  <c r="AN45" i="6"/>
  <c r="AN40" i="6"/>
  <c r="AN47" i="6"/>
  <c r="AD31" i="29"/>
  <c r="AN32" i="6"/>
  <c r="AN32" i="25" s="1"/>
  <c r="G365" i="33" s="1"/>
  <c r="AN46" i="6"/>
  <c r="AH25" i="29"/>
  <c r="AH63" i="29"/>
  <c r="AH101" i="29"/>
  <c r="AF67" i="29"/>
  <c r="AF105" i="29"/>
  <c r="AF29" i="29"/>
  <c r="AF34" i="29"/>
  <c r="AF72" i="29"/>
  <c r="AF110" i="29"/>
  <c r="AF33" i="29"/>
  <c r="AF109" i="29"/>
  <c r="AF71" i="29"/>
  <c r="AP39" i="6"/>
  <c r="AP48" i="6"/>
  <c r="AR25" i="6"/>
  <c r="AR25" i="25" s="1"/>
  <c r="AP43" i="6"/>
  <c r="AQ29" i="6"/>
  <c r="AQ29" i="25" s="1"/>
  <c r="G245" i="33" s="1"/>
  <c r="H245" i="33" s="1"/>
  <c r="AP21" i="6"/>
  <c r="AP21" i="25" s="1"/>
  <c r="G818" i="33" s="1"/>
  <c r="H818" i="33" s="1"/>
  <c r="AQ34" i="6"/>
  <c r="AQ34" i="25" s="1"/>
  <c r="G450" i="33" s="1"/>
  <c r="H450" i="33" s="1"/>
  <c r="AQ33" i="6"/>
  <c r="AQ33" i="25" s="1"/>
  <c r="G409" i="33" s="1"/>
  <c r="H409" i="33" s="1"/>
  <c r="H365" i="33" l="1"/>
  <c r="L163" i="34"/>
  <c r="G82" i="33"/>
  <c r="D164" i="34"/>
  <c r="J164" i="34"/>
  <c r="H81" i="33"/>
  <c r="AN31" i="25"/>
  <c r="AD108" i="29"/>
  <c r="AD113" i="29" s="1"/>
  <c r="AM37" i="25"/>
  <c r="AD32" i="29"/>
  <c r="AD37" i="29" s="1"/>
  <c r="AM75" i="25"/>
  <c r="AD70" i="29"/>
  <c r="AD75" i="29" s="1"/>
  <c r="AO32" i="6"/>
  <c r="AO32" i="25" s="1"/>
  <c r="G366" i="33" s="1"/>
  <c r="H366" i="33" s="1"/>
  <c r="AO46" i="6"/>
  <c r="AO47" i="6"/>
  <c r="AO31" i="6"/>
  <c r="AO45" i="6"/>
  <c r="AO40" i="6"/>
  <c r="AO41" i="6"/>
  <c r="AG33" i="29"/>
  <c r="AG71" i="29"/>
  <c r="AG109" i="29"/>
  <c r="AI101" i="29"/>
  <c r="AI25" i="29"/>
  <c r="AI63" i="29"/>
  <c r="AG72" i="29"/>
  <c r="AG110" i="29"/>
  <c r="AG34" i="29"/>
  <c r="AG67" i="29"/>
  <c r="AG105" i="29"/>
  <c r="AG29" i="29"/>
  <c r="AG96" i="29"/>
  <c r="AG58" i="29"/>
  <c r="AG20" i="29"/>
  <c r="AP14" i="6"/>
  <c r="AP14" i="25" s="1"/>
  <c r="AQ39" i="6"/>
  <c r="AR34" i="6"/>
  <c r="AR34" i="25" s="1"/>
  <c r="G451" i="33" s="1"/>
  <c r="H451" i="33" s="1"/>
  <c r="AR29" i="6"/>
  <c r="AR29" i="25" s="1"/>
  <c r="G246" i="33" s="1"/>
  <c r="H246" i="33" s="1"/>
  <c r="AR33" i="6"/>
  <c r="AR33" i="25" s="1"/>
  <c r="G410" i="33" s="1"/>
  <c r="H410" i="33" s="1"/>
  <c r="AQ43" i="6"/>
  <c r="AP18" i="6"/>
  <c r="AP18" i="25" s="1"/>
  <c r="G695" i="33" s="1"/>
  <c r="H695" i="33" s="1"/>
  <c r="AQ48" i="6"/>
  <c r="AP23" i="6"/>
  <c r="AP23" i="25" s="1"/>
  <c r="G900" i="33" s="1"/>
  <c r="H900" i="33" s="1"/>
  <c r="L164" i="34" l="1"/>
  <c r="AE31" i="29"/>
  <c r="G324" i="33"/>
  <c r="AE107" i="29"/>
  <c r="H82" i="33"/>
  <c r="G531" i="33"/>
  <c r="H531" i="33" s="1"/>
  <c r="D80" i="34"/>
  <c r="L80" i="34" s="1"/>
  <c r="AE69" i="29"/>
  <c r="AO31" i="25"/>
  <c r="AF107" i="29" s="1"/>
  <c r="AO37" i="25"/>
  <c r="AN37" i="25"/>
  <c r="AE70" i="29"/>
  <c r="AE32" i="29"/>
  <c r="AE37" i="29" s="1"/>
  <c r="AE108" i="29"/>
  <c r="AN75" i="25"/>
  <c r="AP40" i="6"/>
  <c r="AP15" i="6"/>
  <c r="AP15" i="25" s="1"/>
  <c r="G572" i="33" s="1"/>
  <c r="H572" i="33" s="1"/>
  <c r="AP47" i="6"/>
  <c r="AP22" i="6"/>
  <c r="AP22" i="25" s="1"/>
  <c r="G859" i="33" s="1"/>
  <c r="H859" i="33" s="1"/>
  <c r="AP32" i="6"/>
  <c r="AP46" i="6"/>
  <c r="AF69" i="29"/>
  <c r="AP31" i="6"/>
  <c r="AP31" i="25" s="1"/>
  <c r="G326" i="33" s="1"/>
  <c r="H326" i="33" s="1"/>
  <c r="AP45" i="6"/>
  <c r="AP41" i="6"/>
  <c r="AP16" i="6"/>
  <c r="AP16" i="25" s="1"/>
  <c r="G613" i="33" s="1"/>
  <c r="H613" i="33" s="1"/>
  <c r="AH110" i="29"/>
  <c r="AH72" i="29"/>
  <c r="AH34" i="29"/>
  <c r="AH71" i="29"/>
  <c r="AH33" i="29"/>
  <c r="AH109" i="29"/>
  <c r="AH29" i="29"/>
  <c r="AH105" i="29"/>
  <c r="AH67" i="29"/>
  <c r="AF70" i="29"/>
  <c r="AF108" i="29"/>
  <c r="AF32" i="29"/>
  <c r="AG97" i="29"/>
  <c r="AG59" i="29"/>
  <c r="AG21" i="29"/>
  <c r="AP12" i="6"/>
  <c r="AP7" i="6"/>
  <c r="AP3" i="6"/>
  <c r="AR39" i="6"/>
  <c r="AR43" i="6"/>
  <c r="AR48" i="6"/>
  <c r="H324" i="33" l="1"/>
  <c r="AE113" i="29"/>
  <c r="AF113" i="29"/>
  <c r="AE75" i="29"/>
  <c r="AF31" i="29"/>
  <c r="AF37" i="29" s="1"/>
  <c r="G325" i="33"/>
  <c r="H325" i="33" s="1"/>
  <c r="AP10" i="6"/>
  <c r="AP32" i="25"/>
  <c r="G367" i="33" s="1"/>
  <c r="H367" i="33" s="1"/>
  <c r="AP9" i="6"/>
  <c r="AF75" i="29"/>
  <c r="AO75" i="25"/>
  <c r="AQ31" i="6"/>
  <c r="AQ31" i="25" s="1"/>
  <c r="G327" i="33" s="1"/>
  <c r="H327" i="33" s="1"/>
  <c r="AQ45" i="6"/>
  <c r="AP11" i="6"/>
  <c r="AQ47" i="6"/>
  <c r="AR47" i="6"/>
  <c r="AP5" i="6"/>
  <c r="AQ41" i="6"/>
  <c r="AR41" i="6"/>
  <c r="AQ40" i="6"/>
  <c r="AR40" i="6"/>
  <c r="AP4" i="6"/>
  <c r="AQ32" i="6"/>
  <c r="AQ32" i="25" s="1"/>
  <c r="G368" i="33" s="1"/>
  <c r="H368" i="33" s="1"/>
  <c r="AQ46" i="6"/>
  <c r="AI110" i="29"/>
  <c r="AI72" i="29"/>
  <c r="AI34" i="29"/>
  <c r="AI67" i="29"/>
  <c r="AI105" i="29"/>
  <c r="AI29" i="29"/>
  <c r="AG31" i="29"/>
  <c r="AG9" i="29" s="1"/>
  <c r="AG69" i="29"/>
  <c r="AG47" i="29" s="1"/>
  <c r="AG107" i="29"/>
  <c r="AG85" i="29" s="1"/>
  <c r="AP9" i="25"/>
  <c r="AI71" i="29"/>
  <c r="AI33" i="29"/>
  <c r="AI109" i="29"/>
  <c r="AG90" i="29"/>
  <c r="AG52" i="29"/>
  <c r="AG94" i="29"/>
  <c r="AG56" i="29"/>
  <c r="AG99" i="29"/>
  <c r="AG61" i="29"/>
  <c r="AG14" i="29"/>
  <c r="AP3" i="25"/>
  <c r="AG23" i="29"/>
  <c r="AG12" i="29" s="1"/>
  <c r="AP12" i="25"/>
  <c r="AG18" i="29"/>
  <c r="AG7" i="29" s="1"/>
  <c r="AP7" i="25"/>
  <c r="AP10" i="25" l="1"/>
  <c r="M121" i="34"/>
  <c r="M162" i="34"/>
  <c r="M80" i="34"/>
  <c r="AG108" i="29"/>
  <c r="AG86" i="29" s="1"/>
  <c r="AG32" i="29"/>
  <c r="AG37" i="29" s="1"/>
  <c r="AP37" i="25"/>
  <c r="AG70" i="29"/>
  <c r="AG48" i="29" s="1"/>
  <c r="AP75" i="25"/>
  <c r="AP36" i="25"/>
  <c r="AR31" i="6"/>
  <c r="AR45" i="6"/>
  <c r="AP5" i="25"/>
  <c r="AG54" i="29"/>
  <c r="AG43" i="29" s="1"/>
  <c r="AG92" i="29"/>
  <c r="AG81" i="29" s="1"/>
  <c r="AG16" i="29"/>
  <c r="AG5" i="29" s="1"/>
  <c r="AH69" i="29"/>
  <c r="AH107" i="29"/>
  <c r="AH70" i="29"/>
  <c r="AG15" i="29"/>
  <c r="AG4" i="29" s="1"/>
  <c r="AP4" i="25"/>
  <c r="AG91" i="29"/>
  <c r="AG80" i="29" s="1"/>
  <c r="AG53" i="29"/>
  <c r="AG42" i="29" s="1"/>
  <c r="AH31" i="29"/>
  <c r="AG98" i="29"/>
  <c r="AG87" i="29" s="1"/>
  <c r="AG22" i="29"/>
  <c r="AG11" i="29" s="1"/>
  <c r="AG60" i="29"/>
  <c r="AG49" i="29" s="1"/>
  <c r="AP11" i="25"/>
  <c r="AR32" i="6"/>
  <c r="AR32" i="25" s="1"/>
  <c r="G369" i="33" s="1"/>
  <c r="H369" i="33" s="1"/>
  <c r="AR46" i="6"/>
  <c r="AG88" i="29"/>
  <c r="AG83" i="29"/>
  <c r="AG79" i="29"/>
  <c r="AG45" i="29"/>
  <c r="AG50" i="29"/>
  <c r="AG3" i="29"/>
  <c r="AG10" i="29" l="1"/>
  <c r="AG113" i="29"/>
  <c r="AR31" i="25"/>
  <c r="AH75" i="29"/>
  <c r="AG75" i="29"/>
  <c r="AP35" i="25"/>
  <c r="AP74" i="25"/>
  <c r="AG112" i="29"/>
  <c r="AH32" i="29"/>
  <c r="AH37" i="29" s="1"/>
  <c r="AH108" i="29"/>
  <c r="AH113" i="29" s="1"/>
  <c r="AQ75" i="25"/>
  <c r="AG35" i="29"/>
  <c r="AG36" i="29"/>
  <c r="AQ37" i="25"/>
  <c r="AG111" i="29"/>
  <c r="AP73" i="25"/>
  <c r="AG41" i="29"/>
  <c r="AG73" i="29" s="1"/>
  <c r="AG74" i="29"/>
  <c r="AI69" i="29" l="1"/>
  <c r="G328" i="33"/>
  <c r="H328" i="33" s="1"/>
  <c r="AI107" i="29"/>
  <c r="AI31" i="29"/>
  <c r="AR37" i="25"/>
  <c r="AI70" i="29"/>
  <c r="AI75" i="29" s="1"/>
  <c r="AI108" i="29"/>
  <c r="AI32" i="29"/>
  <c r="AR75" i="25"/>
  <c r="AI37" i="29" l="1"/>
  <c r="AI113" i="29"/>
  <c r="J71" i="22" a="1"/>
  <c r="J71" i="22" s="1"/>
  <c r="S72" i="22" l="1" a="1"/>
  <c r="S72" i="22" s="1"/>
  <c r="T72" i="22" a="1"/>
  <c r="T72" i="22" s="1"/>
  <c r="T13" i="22" s="1"/>
  <c r="V72" i="22" a="1"/>
  <c r="V72" i="22" s="1"/>
  <c r="W72" i="22" a="1"/>
  <c r="W72" i="22" s="1"/>
  <c r="X72" i="22" a="1"/>
  <c r="X72" i="22" s="1"/>
  <c r="K73" i="22" a="1"/>
  <c r="K73" i="22" s="1"/>
  <c r="K27" i="22" l="1"/>
  <c r="K24" i="22"/>
  <c r="K2" i="22" s="1"/>
  <c r="X21" i="22"/>
  <c r="X16" i="22"/>
  <c r="X20" i="22"/>
  <c r="X22" i="22"/>
  <c r="X18" i="22"/>
  <c r="X15" i="22"/>
  <c r="X14" i="22"/>
  <c r="X17" i="22"/>
  <c r="X19" i="22"/>
  <c r="X23" i="22"/>
  <c r="X13" i="22"/>
  <c r="V22" i="22"/>
  <c r="V20" i="22"/>
  <c r="V21" i="22"/>
  <c r="V16" i="22"/>
  <c r="V15" i="22"/>
  <c r="V18" i="22"/>
  <c r="V19" i="22"/>
  <c r="V23" i="22"/>
  <c r="V17" i="22"/>
  <c r="V13" i="22"/>
  <c r="V14" i="22"/>
  <c r="K25" i="22"/>
  <c r="K28" i="22"/>
  <c r="K31" i="22"/>
  <c r="K9" i="22" s="1"/>
  <c r="K30" i="22"/>
  <c r="K26" i="22"/>
  <c r="K4" i="22" s="1"/>
  <c r="K29" i="22"/>
  <c r="K7" i="22" s="1"/>
  <c r="K32" i="22"/>
  <c r="K10" i="22" s="1"/>
  <c r="K34" i="22"/>
  <c r="K33" i="22"/>
  <c r="K11" i="22" s="1"/>
  <c r="W22" i="22"/>
  <c r="W20" i="22"/>
  <c r="W16" i="22"/>
  <c r="W21" i="22"/>
  <c r="W15" i="22"/>
  <c r="W18" i="22"/>
  <c r="W14" i="22"/>
  <c r="W17" i="22"/>
  <c r="W19" i="22"/>
  <c r="W23" i="22"/>
  <c r="W13" i="22"/>
  <c r="Y72" i="22" a="1"/>
  <c r="Y72" i="22" s="1"/>
  <c r="S16" i="22"/>
  <c r="S20" i="22"/>
  <c r="S21" i="22"/>
  <c r="S18" i="22"/>
  <c r="S15" i="22"/>
  <c r="S22" i="22"/>
  <c r="S13" i="22"/>
  <c r="S14" i="22"/>
  <c r="S23" i="22"/>
  <c r="S17" i="22"/>
  <c r="S19" i="22"/>
  <c r="AG19" i="6"/>
  <c r="AG19" i="25" s="1"/>
  <c r="G727" i="33" s="1"/>
  <c r="H727" i="33" s="1"/>
  <c r="AG17" i="6"/>
  <c r="AG17" i="25" s="1"/>
  <c r="G645" i="33" s="1"/>
  <c r="H645" i="33" s="1"/>
  <c r="AG22" i="6"/>
  <c r="AG22" i="25" s="1"/>
  <c r="G850" i="33" s="1"/>
  <c r="H850" i="33" s="1"/>
  <c r="AG20" i="6"/>
  <c r="AG20" i="25" s="1"/>
  <c r="G768" i="33" s="1"/>
  <c r="H768" i="33" s="1"/>
  <c r="AG16" i="6"/>
  <c r="AG16" i="25" s="1"/>
  <c r="G604" i="33" s="1"/>
  <c r="H604" i="33" s="1"/>
  <c r="AG21" i="6"/>
  <c r="AG21" i="25" s="1"/>
  <c r="G809" i="33" s="1"/>
  <c r="H809" i="33" s="1"/>
  <c r="AG13" i="6"/>
  <c r="AG13" i="25" s="1"/>
  <c r="AG15" i="6"/>
  <c r="AG15" i="25" s="1"/>
  <c r="G563" i="33" s="1"/>
  <c r="H563" i="33" s="1"/>
  <c r="AG18" i="6"/>
  <c r="AG18" i="25" s="1"/>
  <c r="G686" i="33" s="1"/>
  <c r="H686" i="33" s="1"/>
  <c r="AG23" i="6"/>
  <c r="AG23" i="25" s="1"/>
  <c r="G891" i="33" s="1"/>
  <c r="H891" i="33" s="1"/>
  <c r="AG14" i="6"/>
  <c r="AG14" i="25" s="1"/>
  <c r="AA72" i="22" a="1"/>
  <c r="AA72" i="22" s="1"/>
  <c r="T13" i="26" a="1"/>
  <c r="T13" i="26" s="1"/>
  <c r="T20" i="22"/>
  <c r="T16" i="22"/>
  <c r="T15" i="22"/>
  <c r="T22" i="22"/>
  <c r="T21" i="22"/>
  <c r="T18" i="22"/>
  <c r="T17" i="22"/>
  <c r="T14" i="22"/>
  <c r="T19" i="22"/>
  <c r="T23" i="22"/>
  <c r="U72" i="22" a="1"/>
  <c r="U72" i="22" s="1"/>
  <c r="AC20" i="6"/>
  <c r="AC20" i="25" s="1"/>
  <c r="G764" i="33" s="1"/>
  <c r="H764" i="33" s="1"/>
  <c r="AC15" i="6"/>
  <c r="AC15" i="25" s="1"/>
  <c r="G559" i="33" s="1"/>
  <c r="H559" i="33" s="1"/>
  <c r="AC18" i="6"/>
  <c r="AC18" i="25" s="1"/>
  <c r="G682" i="33" s="1"/>
  <c r="H682" i="33" s="1"/>
  <c r="AC16" i="6"/>
  <c r="AC16" i="25" s="1"/>
  <c r="G600" i="33" s="1"/>
  <c r="H600" i="33" s="1"/>
  <c r="AC22" i="6"/>
  <c r="AC22" i="25" s="1"/>
  <c r="G846" i="33" s="1"/>
  <c r="H846" i="33" s="1"/>
  <c r="AC21" i="6"/>
  <c r="AC21" i="25" s="1"/>
  <c r="G805" i="33" s="1"/>
  <c r="H805" i="33" s="1"/>
  <c r="AC23" i="6"/>
  <c r="AC23" i="25" s="1"/>
  <c r="G887" i="33" s="1"/>
  <c r="H887" i="33" s="1"/>
  <c r="AC14" i="6"/>
  <c r="AC14" i="25" s="1"/>
  <c r="AC17" i="6"/>
  <c r="AC17" i="25" s="1"/>
  <c r="G641" i="33" s="1"/>
  <c r="H641" i="33" s="1"/>
  <c r="AC13" i="6"/>
  <c r="AC13" i="25" s="1"/>
  <c r="AC19" i="6"/>
  <c r="AC19" i="25" s="1"/>
  <c r="G723" i="33" s="1"/>
  <c r="H723" i="33" s="1"/>
  <c r="G481" i="33" l="1"/>
  <c r="H481" i="33" s="1"/>
  <c r="D30" i="34"/>
  <c r="L30" i="34" s="1"/>
  <c r="G518" i="33"/>
  <c r="D67" i="34"/>
  <c r="L67" i="34" s="1"/>
  <c r="G522" i="33"/>
  <c r="D71" i="34"/>
  <c r="L71" i="34" s="1"/>
  <c r="G477" i="33"/>
  <c r="D26" i="34"/>
  <c r="L26" i="34" s="1"/>
  <c r="K24" i="26" a="1"/>
  <c r="K24" i="26" s="1"/>
  <c r="K2" i="26" s="1"/>
  <c r="K27" i="26" a="1"/>
  <c r="K27" i="26" s="1"/>
  <c r="K5" i="26" s="1"/>
  <c r="K5" i="22"/>
  <c r="AJ17" i="6"/>
  <c r="AJ17" i="25" s="1"/>
  <c r="G648" i="33" s="1"/>
  <c r="H648" i="33" s="1"/>
  <c r="AJ19" i="6"/>
  <c r="AJ19" i="25" s="1"/>
  <c r="G730" i="33" s="1"/>
  <c r="H730" i="33" s="1"/>
  <c r="AJ22" i="6"/>
  <c r="AJ22" i="25" s="1"/>
  <c r="G853" i="33" s="1"/>
  <c r="H853" i="33" s="1"/>
  <c r="AJ16" i="6"/>
  <c r="AJ16" i="25" s="1"/>
  <c r="G607" i="33" s="1"/>
  <c r="H607" i="33" s="1"/>
  <c r="AJ20" i="6"/>
  <c r="AJ20" i="25" s="1"/>
  <c r="G771" i="33" s="1"/>
  <c r="H771" i="33" s="1"/>
  <c r="AJ15" i="6"/>
  <c r="AJ15" i="25" s="1"/>
  <c r="G566" i="33" s="1"/>
  <c r="H566" i="33" s="1"/>
  <c r="AJ21" i="6"/>
  <c r="AJ21" i="25" s="1"/>
  <c r="G812" i="33" s="1"/>
  <c r="H812" i="33" s="1"/>
  <c r="AJ13" i="6"/>
  <c r="AJ13" i="25" s="1"/>
  <c r="AJ18" i="6"/>
  <c r="AJ18" i="25" s="1"/>
  <c r="G689" i="33" s="1"/>
  <c r="H689" i="33" s="1"/>
  <c r="AJ23" i="6"/>
  <c r="AJ23" i="25" s="1"/>
  <c r="G894" i="33" s="1"/>
  <c r="H894" i="33" s="1"/>
  <c r="AJ14" i="6"/>
  <c r="AJ14" i="25" s="1"/>
  <c r="T29" i="6"/>
  <c r="T29" i="25" s="1"/>
  <c r="G222" i="33" s="1"/>
  <c r="T27" i="6"/>
  <c r="T33" i="6"/>
  <c r="T33" i="25" s="1"/>
  <c r="G386" i="33" s="1"/>
  <c r="T32" i="6"/>
  <c r="T32" i="25" s="1"/>
  <c r="G345" i="33" s="1"/>
  <c r="T28" i="6"/>
  <c r="T28" i="25" s="1"/>
  <c r="G181" i="33" s="1"/>
  <c r="T31" i="6"/>
  <c r="T31" i="25" s="1"/>
  <c r="G304" i="33" s="1"/>
  <c r="T26" i="6"/>
  <c r="T26" i="25" s="1"/>
  <c r="G99" i="33" s="1"/>
  <c r="T25" i="6"/>
  <c r="T25" i="25" s="1"/>
  <c r="T34" i="6"/>
  <c r="T34" i="25" s="1"/>
  <c r="G427" i="33" s="1"/>
  <c r="H427" i="33" s="1"/>
  <c r="T24" i="6"/>
  <c r="T24" i="25" s="1"/>
  <c r="T30" i="6"/>
  <c r="T30" i="25" s="1"/>
  <c r="G263" i="33" s="1"/>
  <c r="S23" i="26" a="1"/>
  <c r="S23" i="26" s="1"/>
  <c r="S13" i="26" a="1"/>
  <c r="S13" i="26" s="1"/>
  <c r="S18" i="26" a="1"/>
  <c r="S18" i="26" s="1"/>
  <c r="W21" i="26" a="1"/>
  <c r="W21" i="26" s="1"/>
  <c r="K12" i="22"/>
  <c r="K34" i="26" a="1"/>
  <c r="K34" i="26" s="1"/>
  <c r="V13" i="26" a="1"/>
  <c r="V13" i="26" s="1"/>
  <c r="V20" i="26" a="1"/>
  <c r="V20" i="26" s="1"/>
  <c r="T14" i="26" a="1"/>
  <c r="T14" i="26" s="1"/>
  <c r="T15" i="26" a="1"/>
  <c r="T15" i="26" s="1"/>
  <c r="AB20" i="6"/>
  <c r="AB20" i="25" s="1"/>
  <c r="G763" i="33" s="1"/>
  <c r="H763" i="33" s="1"/>
  <c r="AB23" i="6"/>
  <c r="AB23" i="25" s="1"/>
  <c r="G886" i="33" s="1"/>
  <c r="H886" i="33" s="1"/>
  <c r="AB22" i="6"/>
  <c r="AB22" i="25" s="1"/>
  <c r="G845" i="33" s="1"/>
  <c r="H845" i="33" s="1"/>
  <c r="AB18" i="6"/>
  <c r="AB18" i="25" s="1"/>
  <c r="G681" i="33" s="1"/>
  <c r="H681" i="33" s="1"/>
  <c r="AB15" i="6"/>
  <c r="AB15" i="25" s="1"/>
  <c r="G558" i="33" s="1"/>
  <c r="H558" i="33" s="1"/>
  <c r="AB21" i="6"/>
  <c r="AB21" i="25" s="1"/>
  <c r="G804" i="33" s="1"/>
  <c r="H804" i="33" s="1"/>
  <c r="AB16" i="6"/>
  <c r="AB16" i="25" s="1"/>
  <c r="G599" i="33" s="1"/>
  <c r="H599" i="33" s="1"/>
  <c r="AB14" i="6"/>
  <c r="AB14" i="25" s="1"/>
  <c r="AB19" i="6"/>
  <c r="AB19" i="25" s="1"/>
  <c r="G722" i="33" s="1"/>
  <c r="H722" i="33" s="1"/>
  <c r="AB17" i="6"/>
  <c r="AB17" i="25" s="1"/>
  <c r="G640" i="33" s="1"/>
  <c r="H640" i="33" s="1"/>
  <c r="AB13" i="6"/>
  <c r="AB13" i="25" s="1"/>
  <c r="S14" i="26" a="1"/>
  <c r="S14" i="26" s="1"/>
  <c r="S21" i="26" a="1"/>
  <c r="S21" i="26" s="1"/>
  <c r="W13" i="26" a="1"/>
  <c r="W13" i="26" s="1"/>
  <c r="W16" i="26" a="1"/>
  <c r="W16" i="26" s="1"/>
  <c r="K32" i="26" a="1"/>
  <c r="K32" i="26" s="1"/>
  <c r="K10" i="26" s="1"/>
  <c r="V17" i="26" a="1"/>
  <c r="V17" i="26" s="1"/>
  <c r="V22" i="26" a="1"/>
  <c r="V22" i="26" s="1"/>
  <c r="T89" i="26"/>
  <c r="T89" i="30"/>
  <c r="T51" i="26"/>
  <c r="T13" i="30"/>
  <c r="T51" i="30"/>
  <c r="V23" i="26" a="1"/>
  <c r="V23" i="26" s="1"/>
  <c r="X13" i="26" a="1"/>
  <c r="X13" i="26" s="1"/>
  <c r="X15" i="26" a="1"/>
  <c r="X15" i="26" s="1"/>
  <c r="S20" i="26" a="1"/>
  <c r="S20" i="26" s="1"/>
  <c r="W23" i="26" a="1"/>
  <c r="W23" i="26" s="1"/>
  <c r="W20" i="26" a="1"/>
  <c r="W20" i="26" s="1"/>
  <c r="K29" i="26" a="1"/>
  <c r="K29" i="26" s="1"/>
  <c r="K7" i="26" s="1"/>
  <c r="T23" i="26" a="1"/>
  <c r="T23" i="26" s="1"/>
  <c r="T21" i="26" a="1"/>
  <c r="T21" i="26" s="1"/>
  <c r="K26" i="26" a="1"/>
  <c r="K26" i="26" s="1"/>
  <c r="K4" i="26" s="1"/>
  <c r="V19" i="26" a="1"/>
  <c r="V19" i="26" s="1"/>
  <c r="X23" i="26" a="1"/>
  <c r="X23" i="26" s="1"/>
  <c r="X18" i="26" a="1"/>
  <c r="X18" i="26" s="1"/>
  <c r="U22" i="22"/>
  <c r="U20" i="22"/>
  <c r="U18" i="22"/>
  <c r="U21" i="22"/>
  <c r="U13" i="22"/>
  <c r="U16" i="22"/>
  <c r="U23" i="22"/>
  <c r="U19" i="22"/>
  <c r="U17" i="22"/>
  <c r="U15" i="22"/>
  <c r="U14" i="22"/>
  <c r="T17" i="26" a="1"/>
  <c r="T17" i="26" s="1"/>
  <c r="T16" i="26" a="1"/>
  <c r="T16" i="26" s="1"/>
  <c r="AF19" i="6"/>
  <c r="AF19" i="25" s="1"/>
  <c r="G726" i="33" s="1"/>
  <c r="H726" i="33" s="1"/>
  <c r="AF17" i="6"/>
  <c r="AF17" i="25" s="1"/>
  <c r="G644" i="33" s="1"/>
  <c r="H644" i="33" s="1"/>
  <c r="AF22" i="6"/>
  <c r="AF22" i="25" s="1"/>
  <c r="G849" i="33" s="1"/>
  <c r="H849" i="33" s="1"/>
  <c r="AF15" i="6"/>
  <c r="AF15" i="25" s="1"/>
  <c r="G562" i="33" s="1"/>
  <c r="H562" i="33" s="1"/>
  <c r="AF21" i="6"/>
  <c r="AF21" i="25" s="1"/>
  <c r="G808" i="33" s="1"/>
  <c r="H808" i="33" s="1"/>
  <c r="AF20" i="6"/>
  <c r="AF20" i="25" s="1"/>
  <c r="G767" i="33" s="1"/>
  <c r="H767" i="33" s="1"/>
  <c r="AF16" i="6"/>
  <c r="AF16" i="25" s="1"/>
  <c r="G603" i="33" s="1"/>
  <c r="H603" i="33" s="1"/>
  <c r="AF18" i="6"/>
  <c r="AF18" i="25" s="1"/>
  <c r="G685" i="33" s="1"/>
  <c r="H685" i="33" s="1"/>
  <c r="AF23" i="6"/>
  <c r="AF23" i="25" s="1"/>
  <c r="G890" i="33" s="1"/>
  <c r="H890" i="33" s="1"/>
  <c r="AF13" i="6"/>
  <c r="AF13" i="25" s="1"/>
  <c r="AF14" i="6"/>
  <c r="AF14" i="25" s="1"/>
  <c r="T18" i="26" a="1"/>
  <c r="T18" i="26" s="1"/>
  <c r="S16" i="26" a="1"/>
  <c r="S16" i="26" s="1"/>
  <c r="W19" i="26" a="1"/>
  <c r="W19" i="26" s="1"/>
  <c r="W22" i="26" a="1"/>
  <c r="W22" i="26" s="1"/>
  <c r="T19" i="26" a="1"/>
  <c r="T19" i="26" s="1"/>
  <c r="T22" i="26" a="1"/>
  <c r="T22" i="26" s="1"/>
  <c r="S19" i="26" a="1"/>
  <c r="S19" i="26" s="1"/>
  <c r="W17" i="26" a="1"/>
  <c r="W17" i="26" s="1"/>
  <c r="K8" i="22"/>
  <c r="K30" i="26" a="1"/>
  <c r="K30" i="26" s="1"/>
  <c r="V18" i="26" a="1"/>
  <c r="V18" i="26" s="1"/>
  <c r="X19" i="26" a="1"/>
  <c r="X19" i="26" s="1"/>
  <c r="X22" i="26" a="1"/>
  <c r="X22" i="26" s="1"/>
  <c r="AE19" i="6"/>
  <c r="AE19" i="25" s="1"/>
  <c r="G725" i="33" s="1"/>
  <c r="H725" i="33" s="1"/>
  <c r="AE17" i="6"/>
  <c r="AE17" i="25" s="1"/>
  <c r="G643" i="33" s="1"/>
  <c r="H643" i="33" s="1"/>
  <c r="AE20" i="6"/>
  <c r="AE20" i="25" s="1"/>
  <c r="G766" i="33" s="1"/>
  <c r="H766" i="33" s="1"/>
  <c r="AE22" i="6"/>
  <c r="AE22" i="25" s="1"/>
  <c r="G848" i="33" s="1"/>
  <c r="H848" i="33" s="1"/>
  <c r="AE21" i="6"/>
  <c r="AE21" i="25" s="1"/>
  <c r="G807" i="33" s="1"/>
  <c r="H807" i="33" s="1"/>
  <c r="AE15" i="6"/>
  <c r="AE15" i="25" s="1"/>
  <c r="G561" i="33" s="1"/>
  <c r="H561" i="33" s="1"/>
  <c r="AE16" i="6"/>
  <c r="AE16" i="25" s="1"/>
  <c r="G602" i="33" s="1"/>
  <c r="H602" i="33" s="1"/>
  <c r="AE23" i="6"/>
  <c r="AE23" i="25" s="1"/>
  <c r="G889" i="33" s="1"/>
  <c r="H889" i="33" s="1"/>
  <c r="AE18" i="6"/>
  <c r="AE18" i="25" s="1"/>
  <c r="G684" i="33" s="1"/>
  <c r="H684" i="33" s="1"/>
  <c r="AE14" i="6"/>
  <c r="AE14" i="25" s="1"/>
  <c r="AE13" i="6"/>
  <c r="AE13" i="25" s="1"/>
  <c r="Y22" i="22"/>
  <c r="Y18" i="22"/>
  <c r="Y16" i="22"/>
  <c r="Y20" i="22"/>
  <c r="Y13" i="22"/>
  <c r="Y14" i="22"/>
  <c r="Y19" i="22"/>
  <c r="Y23" i="22"/>
  <c r="Y21" i="22"/>
  <c r="Y17" i="22"/>
  <c r="Y15" i="22"/>
  <c r="W14" i="26" a="1"/>
  <c r="W14" i="26" s="1"/>
  <c r="K31" i="26" a="1"/>
  <c r="K31" i="26" s="1"/>
  <c r="K9" i="26" s="1"/>
  <c r="V15" i="26" a="1"/>
  <c r="V15" i="26" s="1"/>
  <c r="X17" i="26" a="1"/>
  <c r="X17" i="26" s="1"/>
  <c r="X20" i="26" a="1"/>
  <c r="X20" i="26" s="1"/>
  <c r="AA19" i="22"/>
  <c r="AA17" i="22"/>
  <c r="AA15" i="22"/>
  <c r="AA16" i="22"/>
  <c r="AA22" i="22"/>
  <c r="AA23" i="22"/>
  <c r="AA21" i="22"/>
  <c r="AA18" i="22"/>
  <c r="AA38" i="22"/>
  <c r="AA44" i="22"/>
  <c r="AA40" i="22"/>
  <c r="AA43" i="22"/>
  <c r="AA42" i="22"/>
  <c r="AA13" i="22"/>
  <c r="AA46" i="22"/>
  <c r="AA47" i="22"/>
  <c r="AA48" i="22"/>
  <c r="AA41" i="22"/>
  <c r="AA20" i="22"/>
  <c r="AA14" i="22"/>
  <c r="S22" i="26" a="1"/>
  <c r="S22" i="26" s="1"/>
  <c r="W18" i="26" a="1"/>
  <c r="W18" i="26" s="1"/>
  <c r="K28" i="26" a="1"/>
  <c r="K28" i="26" s="1"/>
  <c r="K6" i="22"/>
  <c r="V16" i="26" a="1"/>
  <c r="V16" i="26" s="1"/>
  <c r="X14" i="26" a="1"/>
  <c r="X14" i="26" s="1"/>
  <c r="X16" i="26" a="1"/>
  <c r="X16" i="26" s="1"/>
  <c r="AD17" i="6"/>
  <c r="AD17" i="25" s="1"/>
  <c r="G642" i="33" s="1"/>
  <c r="H642" i="33" s="1"/>
  <c r="AD19" i="6"/>
  <c r="AD19" i="25" s="1"/>
  <c r="G724" i="33" s="1"/>
  <c r="H724" i="33" s="1"/>
  <c r="AD22" i="6"/>
  <c r="AD22" i="25" s="1"/>
  <c r="G847" i="33" s="1"/>
  <c r="H847" i="33" s="1"/>
  <c r="AD20" i="6"/>
  <c r="AD20" i="25" s="1"/>
  <c r="G765" i="33" s="1"/>
  <c r="H765" i="33" s="1"/>
  <c r="AD18" i="6"/>
  <c r="AD18" i="25" s="1"/>
  <c r="G683" i="33" s="1"/>
  <c r="H683" i="33" s="1"/>
  <c r="AD14" i="6"/>
  <c r="AD14" i="25" s="1"/>
  <c r="AD13" i="6"/>
  <c r="AD13" i="25" s="1"/>
  <c r="AD16" i="6"/>
  <c r="AD16" i="25" s="1"/>
  <c r="G601" i="33" s="1"/>
  <c r="H601" i="33" s="1"/>
  <c r="AD21" i="6"/>
  <c r="AD21" i="25" s="1"/>
  <c r="G806" i="33" s="1"/>
  <c r="H806" i="33" s="1"/>
  <c r="AD23" i="6"/>
  <c r="AD23" i="25" s="1"/>
  <c r="G888" i="33" s="1"/>
  <c r="H888" i="33" s="1"/>
  <c r="AD15" i="6"/>
  <c r="AD15" i="25" s="1"/>
  <c r="G560" i="33" s="1"/>
  <c r="H560" i="33" s="1"/>
  <c r="T20" i="26" a="1"/>
  <c r="T20" i="26" s="1"/>
  <c r="AH72" i="22" a="1"/>
  <c r="AH72" i="22" s="1"/>
  <c r="S17" i="26" a="1"/>
  <c r="S17" i="26" s="1"/>
  <c r="S15" i="26" a="1"/>
  <c r="S15" i="26" s="1"/>
  <c r="AH17" i="6"/>
  <c r="AH17" i="25" s="1"/>
  <c r="G646" i="33" s="1"/>
  <c r="H646" i="33" s="1"/>
  <c r="AH19" i="6"/>
  <c r="AH19" i="25" s="1"/>
  <c r="G728" i="33" s="1"/>
  <c r="H728" i="33" s="1"/>
  <c r="AH20" i="6"/>
  <c r="AH20" i="25" s="1"/>
  <c r="G769" i="33" s="1"/>
  <c r="H769" i="33" s="1"/>
  <c r="AH22" i="6"/>
  <c r="AH22" i="25" s="1"/>
  <c r="G851" i="33" s="1"/>
  <c r="H851" i="33" s="1"/>
  <c r="AH16" i="6"/>
  <c r="AH16" i="25" s="1"/>
  <c r="G605" i="33" s="1"/>
  <c r="H605" i="33" s="1"/>
  <c r="AH14" i="6"/>
  <c r="AH14" i="25" s="1"/>
  <c r="AH21" i="6"/>
  <c r="AH21" i="25" s="1"/>
  <c r="G810" i="33" s="1"/>
  <c r="H810" i="33" s="1"/>
  <c r="AH23" i="6"/>
  <c r="AH23" i="25" s="1"/>
  <c r="G892" i="33" s="1"/>
  <c r="H892" i="33" s="1"/>
  <c r="AH13" i="6"/>
  <c r="AH13" i="25" s="1"/>
  <c r="AH15" i="6"/>
  <c r="AH15" i="25" s="1"/>
  <c r="G564" i="33" s="1"/>
  <c r="H564" i="33" s="1"/>
  <c r="AH18" i="6"/>
  <c r="AH18" i="25" s="1"/>
  <c r="G687" i="33" s="1"/>
  <c r="H687" i="33" s="1"/>
  <c r="W15" i="26" a="1"/>
  <c r="W15" i="26" s="1"/>
  <c r="K33" i="26" a="1"/>
  <c r="K33" i="26" s="1"/>
  <c r="K11" i="26" s="1"/>
  <c r="K25" i="26" a="1"/>
  <c r="K25" i="26" s="1"/>
  <c r="K3" i="22"/>
  <c r="V14" i="26" a="1"/>
  <c r="V14" i="26" s="1"/>
  <c r="V21" i="26" a="1"/>
  <c r="V21" i="26" s="1"/>
  <c r="X21" i="26" a="1"/>
  <c r="X21" i="26" s="1"/>
  <c r="H222" i="33" l="1"/>
  <c r="T36" i="33" s="1"/>
  <c r="T7" i="33"/>
  <c r="H99" i="33"/>
  <c r="T5" i="33"/>
  <c r="H304" i="33"/>
  <c r="T40" i="33" s="1"/>
  <c r="T11" i="33"/>
  <c r="H181" i="33"/>
  <c r="T37" i="33" s="1"/>
  <c r="T8" i="33"/>
  <c r="H345" i="33"/>
  <c r="T41" i="33" s="1"/>
  <c r="T12" i="33"/>
  <c r="H263" i="33"/>
  <c r="T39" i="33" s="1"/>
  <c r="T10" i="33"/>
  <c r="H386" i="33"/>
  <c r="T38" i="33" s="1"/>
  <c r="T9" i="33"/>
  <c r="H522" i="33"/>
  <c r="H477" i="33"/>
  <c r="H518" i="33"/>
  <c r="G482" i="33"/>
  <c r="D31" i="34"/>
  <c r="L31" i="34" s="1"/>
  <c r="G523" i="33"/>
  <c r="D72" i="34"/>
  <c r="L72" i="34" s="1"/>
  <c r="G478" i="33"/>
  <c r="D27" i="34"/>
  <c r="L27" i="34" s="1"/>
  <c r="G519" i="33"/>
  <c r="D68" i="34"/>
  <c r="L68" i="34" s="1"/>
  <c r="G479" i="33"/>
  <c r="D28" i="34"/>
  <c r="L28" i="34" s="1"/>
  <c r="G520" i="33"/>
  <c r="D69" i="34"/>
  <c r="L69" i="34" s="1"/>
  <c r="G521" i="33"/>
  <c r="D70" i="34"/>
  <c r="L70" i="34" s="1"/>
  <c r="G480" i="33"/>
  <c r="D29" i="34"/>
  <c r="L29" i="34" s="1"/>
  <c r="G476" i="33"/>
  <c r="D25" i="34"/>
  <c r="L25" i="34" s="1"/>
  <c r="G517" i="33"/>
  <c r="D66" i="34"/>
  <c r="L66" i="34" s="1"/>
  <c r="G17" i="33"/>
  <c r="T3" i="33" s="1"/>
  <c r="D99" i="34"/>
  <c r="J99" i="34"/>
  <c r="G58" i="33"/>
  <c r="T4" i="33" s="1"/>
  <c r="D140" i="34"/>
  <c r="J140" i="34"/>
  <c r="G525" i="33"/>
  <c r="D74" i="34"/>
  <c r="L74" i="34" s="1"/>
  <c r="G484" i="33"/>
  <c r="D33" i="34"/>
  <c r="L33" i="34" s="1"/>
  <c r="T5" i="6"/>
  <c r="T27" i="25"/>
  <c r="G140" i="33" s="1"/>
  <c r="K27" i="30"/>
  <c r="K5" i="30" s="1"/>
  <c r="K103" i="30"/>
  <c r="K81" i="30" s="1"/>
  <c r="K103" i="26"/>
  <c r="K81" i="26" s="1"/>
  <c r="K100" i="26"/>
  <c r="K78" i="26" s="1"/>
  <c r="K62" i="26"/>
  <c r="K40" i="26" s="1"/>
  <c r="K24" i="30"/>
  <c r="K2" i="30" s="1"/>
  <c r="K62" i="30"/>
  <c r="K100" i="30"/>
  <c r="K65" i="30"/>
  <c r="K43" i="30" s="1"/>
  <c r="K65" i="26"/>
  <c r="K43" i="26" s="1"/>
  <c r="AV8" i="26"/>
  <c r="AV24" i="26"/>
  <c r="AV25" i="26"/>
  <c r="AV9" i="26"/>
  <c r="T10" i="25"/>
  <c r="T10" i="6"/>
  <c r="K37" i="26"/>
  <c r="T11" i="25"/>
  <c r="T11" i="6"/>
  <c r="AV19" i="26"/>
  <c r="AV21" i="26"/>
  <c r="AV5" i="26"/>
  <c r="T7" i="25"/>
  <c r="T7" i="6"/>
  <c r="AV23" i="26"/>
  <c r="AV7" i="26"/>
  <c r="AV18" i="26"/>
  <c r="T4" i="25"/>
  <c r="BE18" i="25" s="1"/>
  <c r="T4" i="6"/>
  <c r="T9" i="25"/>
  <c r="T9" i="6"/>
  <c r="T36" i="26"/>
  <c r="L73" i="22" a="1"/>
  <c r="L73" i="22" s="1"/>
  <c r="V90" i="26"/>
  <c r="V14" i="30"/>
  <c r="V52" i="26"/>
  <c r="V52" i="30"/>
  <c r="V90" i="30"/>
  <c r="X90" i="26"/>
  <c r="X90" i="30"/>
  <c r="X52" i="30"/>
  <c r="X52" i="26"/>
  <c r="X14" i="30"/>
  <c r="AC36" i="25"/>
  <c r="T13" i="29"/>
  <c r="T89" i="29"/>
  <c r="T51" i="29"/>
  <c r="T61" i="29"/>
  <c r="T23" i="29"/>
  <c r="T99" i="29"/>
  <c r="T93" i="26"/>
  <c r="T17" i="30"/>
  <c r="T55" i="26"/>
  <c r="T93" i="30"/>
  <c r="T55" i="30"/>
  <c r="U17" i="26" a="1"/>
  <c r="U17" i="26" s="1"/>
  <c r="U22" i="26" a="1"/>
  <c r="U22" i="26" s="1"/>
  <c r="V95" i="26"/>
  <c r="V19" i="30"/>
  <c r="V57" i="26"/>
  <c r="V57" i="30"/>
  <c r="V95" i="30"/>
  <c r="K105" i="30"/>
  <c r="K83" i="30" s="1"/>
  <c r="AV81" i="30" s="1"/>
  <c r="K67" i="30"/>
  <c r="K67" i="26"/>
  <c r="K105" i="26"/>
  <c r="K83" i="26" s="1"/>
  <c r="K29" i="30"/>
  <c r="AV16" i="26"/>
  <c r="AV2" i="26"/>
  <c r="X17" i="29"/>
  <c r="X93" i="29"/>
  <c r="X55" i="29"/>
  <c r="T20" i="29"/>
  <c r="T58" i="29"/>
  <c r="T96" i="29"/>
  <c r="T8" i="6"/>
  <c r="AJ2" i="6"/>
  <c r="X18" i="29"/>
  <c r="X56" i="29"/>
  <c r="X94" i="29"/>
  <c r="AA7" i="22"/>
  <c r="AA18" i="26" a="1"/>
  <c r="AA18" i="26" s="1"/>
  <c r="Y23" i="26" a="1"/>
  <c r="Y23" i="26" s="1"/>
  <c r="Y16" i="26" a="1"/>
  <c r="Y16" i="26" s="1"/>
  <c r="X58" i="30"/>
  <c r="X96" i="30"/>
  <c r="X58" i="26"/>
  <c r="X96" i="26"/>
  <c r="X20" i="30"/>
  <c r="Y19" i="26" a="1"/>
  <c r="Y19" i="26" s="1"/>
  <c r="Y18" i="26" a="1"/>
  <c r="Y18" i="26" s="1"/>
  <c r="T60" i="30"/>
  <c r="T98" i="30"/>
  <c r="T22" i="30"/>
  <c r="T60" i="26"/>
  <c r="T98" i="26"/>
  <c r="W98" i="30"/>
  <c r="W60" i="30"/>
  <c r="W60" i="26"/>
  <c r="W22" i="30"/>
  <c r="W98" i="26"/>
  <c r="S16" i="30"/>
  <c r="S54" i="26"/>
  <c r="S54" i="30"/>
  <c r="S92" i="30"/>
  <c r="S92" i="26"/>
  <c r="U19" i="26" a="1"/>
  <c r="U19" i="26" s="1"/>
  <c r="X16" i="29"/>
  <c r="X92" i="29"/>
  <c r="X54" i="29"/>
  <c r="K40" i="30"/>
  <c r="V93" i="26"/>
  <c r="V55" i="26"/>
  <c r="V55" i="30"/>
  <c r="V93" i="30"/>
  <c r="V17" i="30"/>
  <c r="S90" i="26"/>
  <c r="S90" i="30"/>
  <c r="S52" i="26"/>
  <c r="S52" i="30"/>
  <c r="S14" i="30"/>
  <c r="T22" i="29"/>
  <c r="T98" i="29"/>
  <c r="T60" i="29"/>
  <c r="W59" i="30"/>
  <c r="W97" i="30"/>
  <c r="W21" i="30"/>
  <c r="W59" i="26"/>
  <c r="W97" i="26"/>
  <c r="S94" i="30"/>
  <c r="S56" i="30"/>
  <c r="S18" i="30"/>
  <c r="S56" i="26"/>
  <c r="S94" i="26"/>
  <c r="T2" i="6"/>
  <c r="T5" i="25"/>
  <c r="BE19" i="25" s="1"/>
  <c r="AJ10" i="6"/>
  <c r="K101" i="30"/>
  <c r="K79" i="30" s="1"/>
  <c r="AV79" i="30" s="1"/>
  <c r="K3" i="26"/>
  <c r="K63" i="30"/>
  <c r="K25" i="30"/>
  <c r="K63" i="26"/>
  <c r="K101" i="26"/>
  <c r="K71" i="30"/>
  <c r="K33" i="30"/>
  <c r="K71" i="26"/>
  <c r="K109" i="30"/>
  <c r="K87" i="30" s="1"/>
  <c r="AV85" i="30" s="1"/>
  <c r="K109" i="26"/>
  <c r="K87" i="26" s="1"/>
  <c r="K31" i="30"/>
  <c r="K69" i="30"/>
  <c r="K69" i="26"/>
  <c r="K107" i="30"/>
  <c r="K85" i="30" s="1"/>
  <c r="AV83" i="30" s="1"/>
  <c r="K107" i="26"/>
  <c r="K85" i="26" s="1"/>
  <c r="Y14" i="26" a="1"/>
  <c r="Y14" i="26" s="1"/>
  <c r="Y22" i="26" a="1"/>
  <c r="Y22" i="26" s="1"/>
  <c r="T54" i="30"/>
  <c r="T92" i="30"/>
  <c r="T16" i="30"/>
  <c r="T54" i="26"/>
  <c r="T92" i="26"/>
  <c r="U23" i="26" a="1"/>
  <c r="U23" i="26" s="1"/>
  <c r="W99" i="26"/>
  <c r="W99" i="30"/>
  <c r="W61" i="30"/>
  <c r="W61" i="26"/>
  <c r="W23" i="30"/>
  <c r="V99" i="26"/>
  <c r="V61" i="26"/>
  <c r="V61" i="30"/>
  <c r="V99" i="30"/>
  <c r="V23" i="30"/>
  <c r="X23" i="29"/>
  <c r="X61" i="29"/>
  <c r="X99" i="29"/>
  <c r="T90" i="26"/>
  <c r="T52" i="30"/>
  <c r="T14" i="30"/>
  <c r="T52" i="26"/>
  <c r="T90" i="30"/>
  <c r="V36" i="26"/>
  <c r="V51" i="26"/>
  <c r="V89" i="26"/>
  <c r="V51" i="30"/>
  <c r="V13" i="30"/>
  <c r="V89" i="30"/>
  <c r="K110" i="30"/>
  <c r="K88" i="30" s="1"/>
  <c r="K12" i="26"/>
  <c r="K72" i="30"/>
  <c r="K34" i="30"/>
  <c r="K72" i="26"/>
  <c r="K110" i="26"/>
  <c r="S99" i="26"/>
  <c r="S99" i="30"/>
  <c r="S23" i="30"/>
  <c r="S61" i="26"/>
  <c r="S61" i="30"/>
  <c r="T12" i="6"/>
  <c r="AJ4" i="6"/>
  <c r="V59" i="30"/>
  <c r="V59" i="26"/>
  <c r="V97" i="30"/>
  <c r="V21" i="30"/>
  <c r="V97" i="26"/>
  <c r="X59" i="30"/>
  <c r="X59" i="26"/>
  <c r="X97" i="30"/>
  <c r="X21" i="30"/>
  <c r="X97" i="26"/>
  <c r="W56" i="30"/>
  <c r="W94" i="30"/>
  <c r="W56" i="26"/>
  <c r="W18" i="30"/>
  <c r="W94" i="26"/>
  <c r="AA14" i="26" a="1"/>
  <c r="AA14" i="26" s="1"/>
  <c r="AA12" i="22"/>
  <c r="AA23" i="26" a="1"/>
  <c r="AA23" i="26" s="1"/>
  <c r="V18" i="30"/>
  <c r="V94" i="30"/>
  <c r="V56" i="26"/>
  <c r="V56" i="30"/>
  <c r="V94" i="26"/>
  <c r="T94" i="30"/>
  <c r="T56" i="26"/>
  <c r="T18" i="30"/>
  <c r="T56" i="30"/>
  <c r="T94" i="26"/>
  <c r="X99" i="26"/>
  <c r="X23" i="30"/>
  <c r="X99" i="30"/>
  <c r="X61" i="30"/>
  <c r="X61" i="26"/>
  <c r="AA20" i="26" a="1"/>
  <c r="AA20" i="26" s="1"/>
  <c r="AA11" i="22"/>
  <c r="AA22" i="26" a="1"/>
  <c r="AA22" i="26" s="1"/>
  <c r="Y13" i="26" a="1"/>
  <c r="Y13" i="26" s="1"/>
  <c r="U16" i="26" a="1"/>
  <c r="U16" i="26" s="1"/>
  <c r="X20" i="29"/>
  <c r="X58" i="29"/>
  <c r="X96" i="29"/>
  <c r="T94" i="29"/>
  <c r="T18" i="29"/>
  <c r="T56" i="29"/>
  <c r="V98" i="30"/>
  <c r="V22" i="30"/>
  <c r="V60" i="26"/>
  <c r="V60" i="30"/>
  <c r="V98" i="26"/>
  <c r="T17" i="29"/>
  <c r="T55" i="29"/>
  <c r="T93" i="29"/>
  <c r="T3" i="6"/>
  <c r="AG36" i="25"/>
  <c r="X51" i="29"/>
  <c r="X13" i="29"/>
  <c r="X89" i="29"/>
  <c r="AJ9" i="6"/>
  <c r="K104" i="30"/>
  <c r="K82" i="30" s="1"/>
  <c r="AV80" i="30" s="1"/>
  <c r="K6" i="26"/>
  <c r="K66" i="30"/>
  <c r="K66" i="26"/>
  <c r="K104" i="26"/>
  <c r="K28" i="30"/>
  <c r="T58" i="26"/>
  <c r="T96" i="30"/>
  <c r="T20" i="30"/>
  <c r="T58" i="30"/>
  <c r="T96" i="26"/>
  <c r="AA2" i="22"/>
  <c r="AA13" i="26" a="1"/>
  <c r="AA13" i="26" s="1"/>
  <c r="AA10" i="22"/>
  <c r="AA21" i="26" a="1"/>
  <c r="AA21" i="26" s="1"/>
  <c r="S60" i="30"/>
  <c r="S22" i="30"/>
  <c r="S60" i="26"/>
  <c r="S98" i="30"/>
  <c r="S98" i="26"/>
  <c r="AA5" i="22"/>
  <c r="AA16" i="26" a="1"/>
  <c r="AA16" i="26" s="1"/>
  <c r="X95" i="26"/>
  <c r="X57" i="30"/>
  <c r="X95" i="30"/>
  <c r="X19" i="30"/>
  <c r="X57" i="26"/>
  <c r="X22" i="29"/>
  <c r="X98" i="29"/>
  <c r="X60" i="29"/>
  <c r="T16" i="29"/>
  <c r="T54" i="29"/>
  <c r="T92" i="29"/>
  <c r="U13" i="26" a="1"/>
  <c r="U13" i="26" s="1"/>
  <c r="X56" i="26"/>
  <c r="X56" i="30"/>
  <c r="X94" i="30"/>
  <c r="X18" i="30"/>
  <c r="X94" i="26"/>
  <c r="W58" i="26"/>
  <c r="W20" i="30"/>
  <c r="W96" i="30"/>
  <c r="W58" i="30"/>
  <c r="W96" i="26"/>
  <c r="S20" i="30"/>
  <c r="S58" i="26"/>
  <c r="S96" i="30"/>
  <c r="S96" i="26"/>
  <c r="S58" i="30"/>
  <c r="X36" i="26"/>
  <c r="X89" i="26"/>
  <c r="X13" i="30"/>
  <c r="X89" i="30"/>
  <c r="X51" i="26"/>
  <c r="X51" i="30"/>
  <c r="K32" i="30"/>
  <c r="K10" i="30" s="1"/>
  <c r="K70" i="26"/>
  <c r="K48" i="26" s="1"/>
  <c r="K108" i="30"/>
  <c r="K86" i="30" s="1"/>
  <c r="AV84" i="30" s="1"/>
  <c r="K70" i="30"/>
  <c r="K48" i="30" s="1"/>
  <c r="K108" i="26"/>
  <c r="K86" i="26" s="1"/>
  <c r="T91" i="30"/>
  <c r="T91" i="26"/>
  <c r="T53" i="26"/>
  <c r="T15" i="30"/>
  <c r="T53" i="30"/>
  <c r="AJ5" i="6"/>
  <c r="S93" i="26"/>
  <c r="S55" i="30"/>
  <c r="S55" i="26"/>
  <c r="S17" i="30"/>
  <c r="S93" i="30"/>
  <c r="K106" i="30"/>
  <c r="K84" i="30" s="1"/>
  <c r="AV82" i="30" s="1"/>
  <c r="K8" i="26"/>
  <c r="K68" i="30"/>
  <c r="K68" i="26"/>
  <c r="K30" i="30"/>
  <c r="K106" i="26"/>
  <c r="S15" i="30"/>
  <c r="S53" i="26"/>
  <c r="S53" i="30"/>
  <c r="S91" i="30"/>
  <c r="S91" i="26"/>
  <c r="V15" i="30"/>
  <c r="V53" i="26"/>
  <c r="V91" i="30"/>
  <c r="V53" i="30"/>
  <c r="V91" i="26"/>
  <c r="AH19" i="22"/>
  <c r="AH17" i="22"/>
  <c r="AH23" i="22"/>
  <c r="AH22" i="22"/>
  <c r="AH18" i="22"/>
  <c r="AH16" i="22"/>
  <c r="AH15" i="22"/>
  <c r="AH38" i="22"/>
  <c r="AH46" i="22"/>
  <c r="AH14" i="22"/>
  <c r="AH40" i="22"/>
  <c r="AH21" i="22"/>
  <c r="AH43" i="22"/>
  <c r="AH20" i="22"/>
  <c r="AH41" i="22"/>
  <c r="AH44" i="22"/>
  <c r="AH42" i="22"/>
  <c r="AH47" i="22"/>
  <c r="AH48" i="22"/>
  <c r="AH13" i="22"/>
  <c r="X54" i="30"/>
  <c r="X92" i="30"/>
  <c r="X16" i="30"/>
  <c r="X92" i="26"/>
  <c r="X54" i="26"/>
  <c r="AA4" i="22"/>
  <c r="AA15" i="26" a="1"/>
  <c r="AA15" i="26" s="1"/>
  <c r="Y15" i="26" a="1"/>
  <c r="Y15" i="26" s="1"/>
  <c r="E73" i="22" a="1"/>
  <c r="E73" i="22" s="1"/>
  <c r="T15" i="29"/>
  <c r="T91" i="29"/>
  <c r="T53" i="29"/>
  <c r="U21" i="26" a="1"/>
  <c r="U21" i="26" s="1"/>
  <c r="T99" i="26"/>
  <c r="T61" i="26"/>
  <c r="T61" i="30"/>
  <c r="T23" i="30"/>
  <c r="T99" i="30"/>
  <c r="W36" i="26"/>
  <c r="W89" i="26"/>
  <c r="W51" i="26"/>
  <c r="W51" i="30"/>
  <c r="W89" i="30"/>
  <c r="W13" i="30"/>
  <c r="S89" i="26"/>
  <c r="S36" i="26"/>
  <c r="S13" i="30"/>
  <c r="S51" i="26"/>
  <c r="S51" i="30"/>
  <c r="S89" i="30"/>
  <c r="AJ3" i="6"/>
  <c r="AJ11" i="6"/>
  <c r="V16" i="30"/>
  <c r="V54" i="26"/>
  <c r="V54" i="30"/>
  <c r="V92" i="30"/>
  <c r="V92" i="26"/>
  <c r="X57" i="29"/>
  <c r="X19" i="29"/>
  <c r="X95" i="29"/>
  <c r="AA17" i="26" a="1"/>
  <c r="AA17" i="26" s="1"/>
  <c r="AA6" i="22"/>
  <c r="X93" i="26"/>
  <c r="X17" i="30"/>
  <c r="X55" i="30"/>
  <c r="X55" i="26"/>
  <c r="X93" i="30"/>
  <c r="Y17" i="26" a="1"/>
  <c r="Y17" i="26" s="1"/>
  <c r="X60" i="26"/>
  <c r="X98" i="30"/>
  <c r="X22" i="30"/>
  <c r="X98" i="26"/>
  <c r="X60" i="30"/>
  <c r="W93" i="26"/>
  <c r="W55" i="26"/>
  <c r="W55" i="30"/>
  <c r="W93" i="30"/>
  <c r="W17" i="30"/>
  <c r="S95" i="26"/>
  <c r="S57" i="30"/>
  <c r="S95" i="30"/>
  <c r="S57" i="26"/>
  <c r="S19" i="30"/>
  <c r="X14" i="29"/>
  <c r="X90" i="29"/>
  <c r="X52" i="29"/>
  <c r="X21" i="29"/>
  <c r="X97" i="29"/>
  <c r="X59" i="29"/>
  <c r="T97" i="29"/>
  <c r="T21" i="29"/>
  <c r="T59" i="29"/>
  <c r="U14" i="26" a="1"/>
  <c r="U14" i="26" s="1"/>
  <c r="U18" i="26" a="1"/>
  <c r="U18" i="26" s="1"/>
  <c r="T57" i="29"/>
  <c r="T19" i="29"/>
  <c r="T95" i="29"/>
  <c r="X91" i="30"/>
  <c r="X53" i="30"/>
  <c r="X53" i="26"/>
  <c r="X15" i="30"/>
  <c r="X91" i="26"/>
  <c r="K78" i="30"/>
  <c r="T6" i="6"/>
  <c r="AJ12" i="6"/>
  <c r="AJ8" i="6"/>
  <c r="AQ17" i="6"/>
  <c r="AQ17" i="25" s="1"/>
  <c r="G655" i="33" s="1"/>
  <c r="H655" i="33" s="1"/>
  <c r="AQ19" i="6"/>
  <c r="AQ19" i="25" s="1"/>
  <c r="G737" i="33" s="1"/>
  <c r="H737" i="33" s="1"/>
  <c r="AQ22" i="6"/>
  <c r="AQ22" i="25" s="1"/>
  <c r="G860" i="33" s="1"/>
  <c r="H860" i="33" s="1"/>
  <c r="AQ18" i="6"/>
  <c r="AQ18" i="25" s="1"/>
  <c r="G696" i="33" s="1"/>
  <c r="H696" i="33" s="1"/>
  <c r="AQ16" i="6"/>
  <c r="AQ16" i="25" s="1"/>
  <c r="G614" i="33" s="1"/>
  <c r="H614" i="33" s="1"/>
  <c r="AQ21" i="6"/>
  <c r="AQ21" i="25" s="1"/>
  <c r="G819" i="33" s="1"/>
  <c r="H819" i="33" s="1"/>
  <c r="AQ15" i="6"/>
  <c r="AQ15" i="25" s="1"/>
  <c r="G573" i="33" s="1"/>
  <c r="H573" i="33" s="1"/>
  <c r="AQ13" i="6"/>
  <c r="AQ13" i="25" s="1"/>
  <c r="AQ20" i="6"/>
  <c r="AQ20" i="25" s="1"/>
  <c r="G778" i="33" s="1"/>
  <c r="H778" i="33" s="1"/>
  <c r="AQ23" i="6"/>
  <c r="AQ23" i="25" s="1"/>
  <c r="G901" i="33" s="1"/>
  <c r="H901" i="33" s="1"/>
  <c r="AQ14" i="6"/>
  <c r="AQ14" i="25" s="1"/>
  <c r="W15" i="30"/>
  <c r="W53" i="26"/>
  <c r="W53" i="30"/>
  <c r="W91" i="30"/>
  <c r="W91" i="26"/>
  <c r="X91" i="29"/>
  <c r="X15" i="29"/>
  <c r="X53" i="29"/>
  <c r="AA8" i="22"/>
  <c r="AA19" i="26" a="1"/>
  <c r="AA19" i="26" s="1"/>
  <c r="W90" i="30"/>
  <c r="W52" i="30"/>
  <c r="W90" i="26"/>
  <c r="W14" i="30"/>
  <c r="W52" i="26"/>
  <c r="Y21" i="26" a="1"/>
  <c r="Y21" i="26" s="1"/>
  <c r="Y20" i="26" a="1"/>
  <c r="Y20" i="26" s="1"/>
  <c r="T95" i="26"/>
  <c r="T57" i="26"/>
  <c r="T19" i="30"/>
  <c r="T57" i="30"/>
  <c r="T95" i="30"/>
  <c r="W95" i="26"/>
  <c r="W19" i="30"/>
  <c r="W95" i="30"/>
  <c r="W57" i="30"/>
  <c r="W57" i="26"/>
  <c r="U15" i="26" a="1"/>
  <c r="U15" i="26" s="1"/>
  <c r="U20" i="26" a="1"/>
  <c r="U20" i="26" s="1"/>
  <c r="K102" i="26"/>
  <c r="K80" i="26" s="1"/>
  <c r="K64" i="30"/>
  <c r="K64" i="26"/>
  <c r="K102" i="30"/>
  <c r="K26" i="30"/>
  <c r="T21" i="30"/>
  <c r="T97" i="26"/>
  <c r="T59" i="30"/>
  <c r="T97" i="30"/>
  <c r="T59" i="26"/>
  <c r="W54" i="26"/>
  <c r="W92" i="30"/>
  <c r="W16" i="30"/>
  <c r="W54" i="30"/>
  <c r="W92" i="26"/>
  <c r="S21" i="30"/>
  <c r="S97" i="30"/>
  <c r="S59" i="30"/>
  <c r="S59" i="26"/>
  <c r="S97" i="26"/>
  <c r="T14" i="29"/>
  <c r="T90" i="29"/>
  <c r="T52" i="29"/>
  <c r="V58" i="26"/>
  <c r="V20" i="30"/>
  <c r="V96" i="30"/>
  <c r="V58" i="30"/>
  <c r="V96" i="26"/>
  <c r="AJ7" i="6"/>
  <c r="AJ6" i="6"/>
  <c r="H140" i="33" l="1"/>
  <c r="T6" i="33"/>
  <c r="T34" i="33"/>
  <c r="T51" i="33" s="1"/>
  <c r="H525" i="33"/>
  <c r="H517" i="33"/>
  <c r="H520" i="33"/>
  <c r="H523" i="33"/>
  <c r="L140" i="34"/>
  <c r="H476" i="33"/>
  <c r="H479" i="33"/>
  <c r="H482" i="33"/>
  <c r="H58" i="33"/>
  <c r="H480" i="33"/>
  <c r="H519" i="33"/>
  <c r="L99" i="34"/>
  <c r="H484" i="33"/>
  <c r="H521" i="33"/>
  <c r="H478" i="33"/>
  <c r="G532" i="33"/>
  <c r="D81" i="34"/>
  <c r="L81" i="34" s="1"/>
  <c r="G491" i="33"/>
  <c r="D40" i="34"/>
  <c r="L40" i="34" s="1"/>
  <c r="H17" i="33"/>
  <c r="T13" i="33"/>
  <c r="K32" i="29"/>
  <c r="K10" i="29" s="1"/>
  <c r="AV8" i="29" s="1"/>
  <c r="K71" i="29"/>
  <c r="K49" i="29" s="1"/>
  <c r="AV47" i="29" s="1"/>
  <c r="K67" i="29"/>
  <c r="K45" i="29" s="1"/>
  <c r="AV43" i="29" s="1"/>
  <c r="K69" i="29"/>
  <c r="K47" i="29" s="1"/>
  <c r="AV45" i="29" s="1"/>
  <c r="K108" i="29"/>
  <c r="K86" i="29" s="1"/>
  <c r="AV84" i="29" s="1"/>
  <c r="K64" i="29"/>
  <c r="K42" i="29" s="1"/>
  <c r="K70" i="29"/>
  <c r="K48" i="29" s="1"/>
  <c r="AV46" i="29" s="1"/>
  <c r="K26" i="29"/>
  <c r="K4" i="29" s="1"/>
  <c r="K102" i="29"/>
  <c r="K80" i="29" s="1"/>
  <c r="K11" i="30"/>
  <c r="AV8" i="30"/>
  <c r="AV46" i="26"/>
  <c r="BE25" i="25"/>
  <c r="BE9" i="25"/>
  <c r="K109" i="29"/>
  <c r="K87" i="29" s="1"/>
  <c r="AV85" i="29" s="1"/>
  <c r="K107" i="29"/>
  <c r="K85" i="29" s="1"/>
  <c r="AV83" i="29" s="1"/>
  <c r="AV46" i="30"/>
  <c r="K29" i="29"/>
  <c r="K7" i="29" s="1"/>
  <c r="AV5" i="29" s="1"/>
  <c r="K33" i="29"/>
  <c r="K11" i="29" s="1"/>
  <c r="AV9" i="29" s="1"/>
  <c r="BE24" i="25"/>
  <c r="BE8" i="25"/>
  <c r="K49" i="30"/>
  <c r="K31" i="29"/>
  <c r="K9" i="29" s="1"/>
  <c r="AV7" i="29" s="1"/>
  <c r="K105" i="29"/>
  <c r="K83" i="29" s="1"/>
  <c r="AV81" i="29" s="1"/>
  <c r="K49" i="26"/>
  <c r="K35" i="26"/>
  <c r="BE23" i="25"/>
  <c r="BE7" i="25"/>
  <c r="K113" i="30"/>
  <c r="K80" i="30"/>
  <c r="K111" i="30" s="1"/>
  <c r="K42" i="26"/>
  <c r="K47" i="26"/>
  <c r="K7" i="30"/>
  <c r="BE21" i="25"/>
  <c r="BE5" i="25"/>
  <c r="K47" i="30"/>
  <c r="K4" i="30"/>
  <c r="AV2" i="30" s="1"/>
  <c r="K45" i="26"/>
  <c r="K42" i="30"/>
  <c r="AV40" i="30" s="1"/>
  <c r="K45" i="30"/>
  <c r="K9" i="30"/>
  <c r="K75" i="30"/>
  <c r="K113" i="26"/>
  <c r="K75" i="26"/>
  <c r="T112" i="30"/>
  <c r="K37" i="30"/>
  <c r="AI72" i="22" a="1"/>
  <c r="AI72" i="22" s="1"/>
  <c r="L43" i="22"/>
  <c r="L33" i="22"/>
  <c r="L11" i="22" s="1"/>
  <c r="L48" i="22"/>
  <c r="L42" i="22"/>
  <c r="L32" i="22"/>
  <c r="L10" i="22" s="1"/>
  <c r="L27" i="22"/>
  <c r="L5" i="22" s="1"/>
  <c r="L47" i="22"/>
  <c r="L29" i="22"/>
  <c r="L7" i="22" s="1"/>
  <c r="L34" i="22"/>
  <c r="L46" i="22"/>
  <c r="L30" i="22"/>
  <c r="L40" i="22"/>
  <c r="L26" i="22"/>
  <c r="L4" i="22" s="1"/>
  <c r="L24" i="22"/>
  <c r="L38" i="22"/>
  <c r="L44" i="22"/>
  <c r="L41" i="22"/>
  <c r="L28" i="22"/>
  <c r="U27" i="6"/>
  <c r="U27" i="25" s="1"/>
  <c r="G141" i="33" s="1"/>
  <c r="H141" i="33" s="1"/>
  <c r="U34" i="6"/>
  <c r="U34" i="25" s="1"/>
  <c r="G428" i="33" s="1"/>
  <c r="H428" i="33" s="1"/>
  <c r="U24" i="6"/>
  <c r="U24" i="25" s="1"/>
  <c r="U30" i="6"/>
  <c r="U30" i="25" s="1"/>
  <c r="G264" i="33" s="1"/>
  <c r="H264" i="33" s="1"/>
  <c r="U26" i="6"/>
  <c r="U26" i="25" s="1"/>
  <c r="G100" i="33" s="1"/>
  <c r="H100" i="33" s="1"/>
  <c r="U28" i="6"/>
  <c r="U28" i="25" s="1"/>
  <c r="G182" i="33" s="1"/>
  <c r="H182" i="33" s="1"/>
  <c r="U29" i="6"/>
  <c r="U29" i="25" s="1"/>
  <c r="G223" i="33" s="1"/>
  <c r="H223" i="33" s="1"/>
  <c r="U33" i="6"/>
  <c r="U33" i="25" s="1"/>
  <c r="G387" i="33" s="1"/>
  <c r="H387" i="33" s="1"/>
  <c r="U32" i="6"/>
  <c r="U32" i="25" s="1"/>
  <c r="G346" i="33" s="1"/>
  <c r="H346" i="33" s="1"/>
  <c r="U25" i="6"/>
  <c r="U25" i="25" s="1"/>
  <c r="U31" i="6"/>
  <c r="U31" i="25" s="1"/>
  <c r="G305" i="33" s="1"/>
  <c r="H305" i="33" s="1"/>
  <c r="M73" i="22" a="1"/>
  <c r="M73" i="22" s="1"/>
  <c r="T112" i="26"/>
  <c r="T36" i="30"/>
  <c r="AA93" i="30"/>
  <c r="AA82" i="30" s="1"/>
  <c r="AA6" i="26"/>
  <c r="AA93" i="26"/>
  <c r="AA17" i="30"/>
  <c r="AA6" i="30" s="1"/>
  <c r="AA55" i="30"/>
  <c r="AA44" i="30" s="1"/>
  <c r="AA55" i="26"/>
  <c r="AA44" i="26" s="1"/>
  <c r="V17" i="29"/>
  <c r="V93" i="29"/>
  <c r="V55" i="29"/>
  <c r="K46" i="30"/>
  <c r="AA57" i="26"/>
  <c r="AA46" i="26" s="1"/>
  <c r="AA19" i="30"/>
  <c r="AA8" i="30" s="1"/>
  <c r="AA57" i="30"/>
  <c r="AA46" i="30" s="1"/>
  <c r="AA95" i="26"/>
  <c r="AA8" i="26"/>
  <c r="AA95" i="30"/>
  <c r="AA84" i="30" s="1"/>
  <c r="V92" i="29"/>
  <c r="V16" i="29"/>
  <c r="V54" i="29"/>
  <c r="AQ9" i="6"/>
  <c r="AQ6" i="25"/>
  <c r="AQ6" i="6"/>
  <c r="U18" i="30"/>
  <c r="U56" i="26"/>
  <c r="U94" i="30"/>
  <c r="U56" i="30"/>
  <c r="U94" i="26"/>
  <c r="S74" i="30"/>
  <c r="W74" i="30"/>
  <c r="AB72" i="22" a="1"/>
  <c r="AB72" i="22" s="1"/>
  <c r="V19" i="29"/>
  <c r="V57" i="29"/>
  <c r="V95" i="29"/>
  <c r="AH7" i="22"/>
  <c r="AH18" i="26" a="1"/>
  <c r="AH18" i="26" s="1"/>
  <c r="K84" i="26"/>
  <c r="X112" i="26"/>
  <c r="AA36" i="26"/>
  <c r="AA2" i="26"/>
  <c r="AA89" i="26"/>
  <c r="AA51" i="30"/>
  <c r="AA89" i="30"/>
  <c r="AA13" i="30"/>
  <c r="AA51" i="26"/>
  <c r="K6" i="30"/>
  <c r="AJ9" i="25"/>
  <c r="AA58" i="29"/>
  <c r="AA47" i="29" s="1"/>
  <c r="AA96" i="29"/>
  <c r="AA85" i="29" s="1"/>
  <c r="AA20" i="29"/>
  <c r="AA9" i="29" s="1"/>
  <c r="U92" i="26"/>
  <c r="U16" i="30"/>
  <c r="U92" i="30"/>
  <c r="U54" i="26"/>
  <c r="U54" i="30"/>
  <c r="W53" i="29"/>
  <c r="W91" i="29"/>
  <c r="W15" i="29"/>
  <c r="Y61" i="29"/>
  <c r="Y23" i="29"/>
  <c r="Y99" i="29"/>
  <c r="K110" i="29"/>
  <c r="K88" i="29" s="1"/>
  <c r="T12" i="25"/>
  <c r="K34" i="29"/>
  <c r="K12" i="29" s="1"/>
  <c r="K72" i="29"/>
  <c r="K50" i="29" s="1"/>
  <c r="K50" i="26"/>
  <c r="V74" i="30"/>
  <c r="Y14" i="29"/>
  <c r="Y90" i="29"/>
  <c r="Y52" i="29"/>
  <c r="K41" i="30"/>
  <c r="V15" i="29"/>
  <c r="V91" i="29"/>
  <c r="V53" i="29"/>
  <c r="AC74" i="25"/>
  <c r="AH36" i="25"/>
  <c r="Y13" i="29"/>
  <c r="Y89" i="29"/>
  <c r="Y51" i="29"/>
  <c r="AQ2" i="6"/>
  <c r="Y93" i="26"/>
  <c r="Y93" i="30"/>
  <c r="Y55" i="26"/>
  <c r="Y55" i="30"/>
  <c r="Y17" i="30"/>
  <c r="W74" i="26"/>
  <c r="U59" i="26"/>
  <c r="U59" i="30"/>
  <c r="U97" i="30"/>
  <c r="U21" i="30"/>
  <c r="U97" i="26"/>
  <c r="W95" i="29"/>
  <c r="W57" i="29"/>
  <c r="W19" i="29"/>
  <c r="N30" i="6"/>
  <c r="N30" i="25" s="1"/>
  <c r="G257" i="33" s="1"/>
  <c r="H257" i="33" s="1"/>
  <c r="N33" i="6"/>
  <c r="N33" i="25" s="1"/>
  <c r="G380" i="33" s="1"/>
  <c r="H380" i="33" s="1"/>
  <c r="N28" i="6"/>
  <c r="N28" i="25" s="1"/>
  <c r="G175" i="33" s="1"/>
  <c r="H175" i="33" s="1"/>
  <c r="N34" i="6"/>
  <c r="N34" i="25" s="1"/>
  <c r="G421" i="33" s="1"/>
  <c r="H421" i="33" s="1"/>
  <c r="N32" i="6"/>
  <c r="N32" i="25" s="1"/>
  <c r="G339" i="33" s="1"/>
  <c r="H339" i="33" s="1"/>
  <c r="N25" i="6"/>
  <c r="N25" i="25" s="1"/>
  <c r="N26" i="6"/>
  <c r="N26" i="25" s="1"/>
  <c r="G93" i="33" s="1"/>
  <c r="H93" i="33" s="1"/>
  <c r="N27" i="6"/>
  <c r="N27" i="25" s="1"/>
  <c r="G134" i="33" s="1"/>
  <c r="H134" i="33" s="1"/>
  <c r="N29" i="6"/>
  <c r="N29" i="25" s="1"/>
  <c r="G216" i="33" s="1"/>
  <c r="H216" i="33" s="1"/>
  <c r="N31" i="6"/>
  <c r="N31" i="25" s="1"/>
  <c r="G298" i="33" s="1"/>
  <c r="H298" i="33" s="1"/>
  <c r="N24" i="6"/>
  <c r="N24" i="25" s="1"/>
  <c r="AH21" i="26" a="1"/>
  <c r="AH21" i="26" s="1"/>
  <c r="AH10" i="22"/>
  <c r="AH11" i="22"/>
  <c r="AH22" i="26" a="1"/>
  <c r="AH22" i="26" s="1"/>
  <c r="AA16" i="29"/>
  <c r="AA5" i="29" s="1"/>
  <c r="AA92" i="29"/>
  <c r="AA81" i="29" s="1"/>
  <c r="AA54" i="29"/>
  <c r="AA43" i="29" s="1"/>
  <c r="AJ5" i="25"/>
  <c r="S55" i="29"/>
  <c r="S93" i="29"/>
  <c r="S17" i="29"/>
  <c r="Y22" i="29"/>
  <c r="Y98" i="29"/>
  <c r="Y60" i="29"/>
  <c r="K82" i="26"/>
  <c r="K63" i="29"/>
  <c r="K41" i="29" s="1"/>
  <c r="T3" i="25"/>
  <c r="M58" i="34" s="1"/>
  <c r="K25" i="29"/>
  <c r="K3" i="29" s="1"/>
  <c r="K101" i="29"/>
  <c r="K79" i="29" s="1"/>
  <c r="W14" i="29"/>
  <c r="W52" i="29"/>
  <c r="W90" i="29"/>
  <c r="AE36" i="25"/>
  <c r="V51" i="29"/>
  <c r="V13" i="29"/>
  <c r="V89" i="29"/>
  <c r="AA90" i="26"/>
  <c r="AA52" i="30"/>
  <c r="AA90" i="30"/>
  <c r="AA52" i="26"/>
  <c r="AA14" i="30"/>
  <c r="K12" i="30"/>
  <c r="V112" i="26"/>
  <c r="V60" i="29"/>
  <c r="V22" i="29"/>
  <c r="V98" i="29"/>
  <c r="AV3" i="26"/>
  <c r="BE12" i="25" s="1"/>
  <c r="AV17" i="26"/>
  <c r="BE28" i="25" s="1"/>
  <c r="AA94" i="30"/>
  <c r="AA83" i="30" s="1"/>
  <c r="AA56" i="26"/>
  <c r="AA45" i="26" s="1"/>
  <c r="AA7" i="26"/>
  <c r="AA56" i="30"/>
  <c r="AA45" i="30" s="1"/>
  <c r="AA94" i="26"/>
  <c r="AA18" i="30"/>
  <c r="AA7" i="30" s="1"/>
  <c r="Y15" i="29"/>
  <c r="Y53" i="29"/>
  <c r="Y91" i="29"/>
  <c r="S16" i="29"/>
  <c r="S92" i="29"/>
  <c r="S54" i="29"/>
  <c r="AA57" i="29"/>
  <c r="AA46" i="29" s="1"/>
  <c r="AA19" i="29"/>
  <c r="AA8" i="29" s="1"/>
  <c r="AJ8" i="25"/>
  <c r="AA95" i="29"/>
  <c r="AA84" i="29" s="1"/>
  <c r="W23" i="29"/>
  <c r="W99" i="29"/>
  <c r="W61" i="29"/>
  <c r="V18" i="29"/>
  <c r="V56" i="29"/>
  <c r="V94" i="29"/>
  <c r="AH12" i="22"/>
  <c r="AH23" i="26" a="1"/>
  <c r="AH23" i="26" s="1"/>
  <c r="K8" i="30"/>
  <c r="AA21" i="30"/>
  <c r="AA10" i="30" s="1"/>
  <c r="AA97" i="30"/>
  <c r="AA86" i="30" s="1"/>
  <c r="AA59" i="26"/>
  <c r="AA48" i="26" s="1"/>
  <c r="AA10" i="26"/>
  <c r="AA59" i="30"/>
  <c r="AA48" i="30" s="1"/>
  <c r="AA97" i="26"/>
  <c r="U55" i="29"/>
  <c r="U93" i="29"/>
  <c r="U17" i="29"/>
  <c r="K44" i="26"/>
  <c r="X112" i="29"/>
  <c r="AA96" i="30"/>
  <c r="AA96" i="26"/>
  <c r="AA58" i="26"/>
  <c r="AA58" i="30"/>
  <c r="AA20" i="30"/>
  <c r="Y54" i="29"/>
  <c r="Y92" i="29"/>
  <c r="Y16" i="29"/>
  <c r="AA91" i="29"/>
  <c r="AA80" i="29" s="1"/>
  <c r="AA53" i="29"/>
  <c r="AA42" i="29" s="1"/>
  <c r="AJ4" i="25"/>
  <c r="AA15" i="29"/>
  <c r="AA4" i="29" s="1"/>
  <c r="K50" i="30"/>
  <c r="T74" i="30"/>
  <c r="K27" i="29"/>
  <c r="K5" i="29" s="1"/>
  <c r="K65" i="29"/>
  <c r="K43" i="29" s="1"/>
  <c r="K103" i="29"/>
  <c r="K81" i="29" s="1"/>
  <c r="W21" i="29"/>
  <c r="W59" i="29"/>
  <c r="W97" i="29"/>
  <c r="Y95" i="26"/>
  <c r="Y19" i="30"/>
  <c r="Y57" i="30"/>
  <c r="Y57" i="26"/>
  <c r="Y95" i="30"/>
  <c r="Y54" i="30"/>
  <c r="Y92" i="30"/>
  <c r="Y16" i="30"/>
  <c r="Y54" i="26"/>
  <c r="Y92" i="26"/>
  <c r="U93" i="26"/>
  <c r="U55" i="26"/>
  <c r="U93" i="30"/>
  <c r="U55" i="30"/>
  <c r="U17" i="30"/>
  <c r="T36" i="29"/>
  <c r="AQ4" i="6"/>
  <c r="S74" i="26"/>
  <c r="W54" i="29"/>
  <c r="W16" i="29"/>
  <c r="W92" i="29"/>
  <c r="Y97" i="30"/>
  <c r="Y59" i="30"/>
  <c r="Y59" i="26"/>
  <c r="Y97" i="26"/>
  <c r="Y21" i="30"/>
  <c r="AQ10" i="6"/>
  <c r="AJ12" i="25"/>
  <c r="AA23" i="29"/>
  <c r="AA12" i="29" s="1"/>
  <c r="AA99" i="29"/>
  <c r="AA88" i="29" s="1"/>
  <c r="AA61" i="29"/>
  <c r="AA50" i="29" s="1"/>
  <c r="S36" i="30"/>
  <c r="W112" i="26"/>
  <c r="AH14" i="26" a="1"/>
  <c r="AH14" i="26" s="1"/>
  <c r="AH6" i="22"/>
  <c r="AH17" i="26" a="1"/>
  <c r="AH17" i="26" s="1"/>
  <c r="K46" i="26"/>
  <c r="W17" i="29"/>
  <c r="W93" i="29"/>
  <c r="W55" i="29"/>
  <c r="F73" i="22" a="1"/>
  <c r="F73" i="22" s="1"/>
  <c r="AA54" i="30"/>
  <c r="AA43" i="30" s="1"/>
  <c r="AA5" i="26"/>
  <c r="AA16" i="30"/>
  <c r="AA5" i="30" s="1"/>
  <c r="AA54" i="26"/>
  <c r="AA43" i="26" s="1"/>
  <c r="AA92" i="30"/>
  <c r="AA81" i="30" s="1"/>
  <c r="AA92" i="26"/>
  <c r="U97" i="29"/>
  <c r="U21" i="29"/>
  <c r="U59" i="29"/>
  <c r="K44" i="30"/>
  <c r="X36" i="29"/>
  <c r="AB36" i="25"/>
  <c r="S89" i="29"/>
  <c r="S51" i="29"/>
  <c r="S13" i="29"/>
  <c r="Y36" i="26"/>
  <c r="Y89" i="26"/>
  <c r="Y13" i="30"/>
  <c r="Y51" i="26"/>
  <c r="Y89" i="30"/>
  <c r="Y51" i="30"/>
  <c r="K79" i="26"/>
  <c r="U95" i="26"/>
  <c r="U57" i="26"/>
  <c r="U57" i="30"/>
  <c r="U19" i="30"/>
  <c r="U95" i="30"/>
  <c r="Y58" i="26"/>
  <c r="Y20" i="30"/>
  <c r="Y96" i="30"/>
  <c r="Y58" i="30"/>
  <c r="Y96" i="26"/>
  <c r="W94" i="29"/>
  <c r="W18" i="29"/>
  <c r="W56" i="29"/>
  <c r="AA53" i="30"/>
  <c r="AA42" i="30" s="1"/>
  <c r="AA53" i="26"/>
  <c r="AA42" i="26" s="1"/>
  <c r="AA91" i="30"/>
  <c r="AA80" i="30" s="1"/>
  <c r="AA91" i="26"/>
  <c r="AA4" i="26"/>
  <c r="AA15" i="30"/>
  <c r="AA4" i="30" s="1"/>
  <c r="X74" i="30"/>
  <c r="U36" i="26"/>
  <c r="U51" i="26"/>
  <c r="U89" i="30"/>
  <c r="U13" i="30"/>
  <c r="U51" i="30"/>
  <c r="U89" i="26"/>
  <c r="AF36" i="25"/>
  <c r="W13" i="29"/>
  <c r="W51" i="29"/>
  <c r="W89" i="29"/>
  <c r="AG74" i="25"/>
  <c r="AA22" i="30"/>
  <c r="AA11" i="30" s="1"/>
  <c r="AA11" i="26"/>
  <c r="AA98" i="30"/>
  <c r="AA87" i="30" s="1"/>
  <c r="AA60" i="26"/>
  <c r="AA49" i="26" s="1"/>
  <c r="AA60" i="30"/>
  <c r="AA49" i="30" s="1"/>
  <c r="AA98" i="26"/>
  <c r="AA23" i="30"/>
  <c r="AA12" i="30" s="1"/>
  <c r="AA61" i="30"/>
  <c r="AA50" i="30" s="1"/>
  <c r="AA12" i="26"/>
  <c r="AA99" i="30"/>
  <c r="AA88" i="30" s="1"/>
  <c r="AA61" i="26"/>
  <c r="AA50" i="26" s="1"/>
  <c r="AA99" i="26"/>
  <c r="U19" i="29"/>
  <c r="U57" i="29"/>
  <c r="U95" i="29"/>
  <c r="V74" i="26"/>
  <c r="AJ10" i="25"/>
  <c r="AA59" i="29"/>
  <c r="AA48" i="29" s="1"/>
  <c r="AA21" i="29"/>
  <c r="AA10" i="29" s="1"/>
  <c r="AA97" i="29"/>
  <c r="AA86" i="29" s="1"/>
  <c r="S15" i="29"/>
  <c r="S91" i="29"/>
  <c r="S53" i="29"/>
  <c r="Y56" i="26"/>
  <c r="Y18" i="30"/>
  <c r="Y94" i="26"/>
  <c r="Y94" i="30"/>
  <c r="Y56" i="30"/>
  <c r="Y99" i="26"/>
  <c r="Y61" i="26"/>
  <c r="Y99" i="30"/>
  <c r="Y23" i="30"/>
  <c r="Y61" i="30"/>
  <c r="T8" i="25"/>
  <c r="K106" i="29"/>
  <c r="K84" i="29" s="1"/>
  <c r="AV82" i="29" s="1"/>
  <c r="K68" i="29"/>
  <c r="K46" i="29" s="1"/>
  <c r="AV44" i="29" s="1"/>
  <c r="K30" i="29"/>
  <c r="K8" i="29" s="1"/>
  <c r="AV6" i="29" s="1"/>
  <c r="U53" i="26"/>
  <c r="U91" i="26"/>
  <c r="U91" i="30"/>
  <c r="U53" i="30"/>
  <c r="U15" i="30"/>
  <c r="Y53" i="30"/>
  <c r="Y91" i="30"/>
  <c r="Y53" i="26"/>
  <c r="Y91" i="26"/>
  <c r="Y15" i="30"/>
  <c r="U60" i="29"/>
  <c r="U98" i="29"/>
  <c r="U22" i="29"/>
  <c r="AQ7" i="6"/>
  <c r="K66" i="29"/>
  <c r="K44" i="29" s="1"/>
  <c r="AV42" i="29" s="1"/>
  <c r="K104" i="29"/>
  <c r="K82" i="29" s="1"/>
  <c r="AV80" i="29" s="1"/>
  <c r="K28" i="29"/>
  <c r="K6" i="29" s="1"/>
  <c r="AV4" i="29" s="1"/>
  <c r="T6" i="25"/>
  <c r="AV78" i="30"/>
  <c r="AV89" i="29" s="1"/>
  <c r="AJ11" i="25"/>
  <c r="AA22" i="29"/>
  <c r="AA11" i="29" s="1"/>
  <c r="AA98" i="29"/>
  <c r="AA87" i="29" s="1"/>
  <c r="AA60" i="29"/>
  <c r="AA49" i="29" s="1"/>
  <c r="S20" i="29"/>
  <c r="S96" i="29"/>
  <c r="S58" i="29"/>
  <c r="Y20" i="29"/>
  <c r="Y58" i="29"/>
  <c r="Y96" i="29"/>
  <c r="U52" i="29"/>
  <c r="U90" i="29"/>
  <c r="U14" i="29"/>
  <c r="AV6" i="26"/>
  <c r="AV22" i="26"/>
  <c r="X74" i="26"/>
  <c r="AV20" i="26"/>
  <c r="AV4" i="26"/>
  <c r="X74" i="29"/>
  <c r="S22" i="29"/>
  <c r="S60" i="29"/>
  <c r="S98" i="29"/>
  <c r="S56" i="29"/>
  <c r="S94" i="29"/>
  <c r="S18" i="29"/>
  <c r="U99" i="26"/>
  <c r="U61" i="30"/>
  <c r="U61" i="26"/>
  <c r="U99" i="30"/>
  <c r="U23" i="30"/>
  <c r="Y90" i="26"/>
  <c r="Y52" i="26"/>
  <c r="Y52" i="30"/>
  <c r="Y90" i="30"/>
  <c r="Y14" i="30"/>
  <c r="U92" i="29"/>
  <c r="U16" i="29"/>
  <c r="U54" i="29"/>
  <c r="AJ36" i="25"/>
  <c r="AA89" i="29"/>
  <c r="AA13" i="29"/>
  <c r="AJ2" i="25"/>
  <c r="M33" i="34" s="1"/>
  <c r="AA51" i="29"/>
  <c r="U22" i="30"/>
  <c r="U98" i="30"/>
  <c r="U60" i="26"/>
  <c r="U60" i="30"/>
  <c r="U98" i="26"/>
  <c r="U94" i="29"/>
  <c r="U18" i="29"/>
  <c r="U56" i="29"/>
  <c r="AH8" i="22"/>
  <c r="AH19" i="26" a="1"/>
  <c r="AH19" i="26" s="1"/>
  <c r="U20" i="30"/>
  <c r="U58" i="30"/>
  <c r="U96" i="30"/>
  <c r="U58" i="26"/>
  <c r="U96" i="26"/>
  <c r="AQ3" i="6"/>
  <c r="AQ11" i="6"/>
  <c r="S90" i="29"/>
  <c r="S52" i="29"/>
  <c r="S14" i="29"/>
  <c r="U90" i="26"/>
  <c r="U52" i="30"/>
  <c r="U14" i="30"/>
  <c r="U52" i="26"/>
  <c r="U90" i="30"/>
  <c r="S112" i="26"/>
  <c r="W36" i="30"/>
  <c r="AH4" i="22"/>
  <c r="AH15" i="26" a="1"/>
  <c r="AH15" i="26" s="1"/>
  <c r="V52" i="29"/>
  <c r="V14" i="29"/>
  <c r="V90" i="29"/>
  <c r="S61" i="29"/>
  <c r="S99" i="29"/>
  <c r="S23" i="29"/>
  <c r="T74" i="26"/>
  <c r="X112" i="30"/>
  <c r="AD36" i="25"/>
  <c r="U13" i="29"/>
  <c r="U89" i="29"/>
  <c r="U51" i="29"/>
  <c r="U23" i="29"/>
  <c r="U61" i="29"/>
  <c r="U99" i="29"/>
  <c r="V112" i="30"/>
  <c r="K41" i="26"/>
  <c r="V21" i="29"/>
  <c r="V97" i="29"/>
  <c r="V59" i="29"/>
  <c r="S21" i="29"/>
  <c r="S97" i="29"/>
  <c r="S59" i="29"/>
  <c r="W96" i="29"/>
  <c r="W20" i="29"/>
  <c r="W58" i="29"/>
  <c r="T74" i="29"/>
  <c r="U20" i="29"/>
  <c r="U58" i="29"/>
  <c r="U96" i="29"/>
  <c r="AQ5" i="6"/>
  <c r="AA17" i="29"/>
  <c r="AA6" i="29" s="1"/>
  <c r="AA93" i="29"/>
  <c r="AA82" i="29" s="1"/>
  <c r="AJ6" i="25"/>
  <c r="AA55" i="29"/>
  <c r="AA44" i="29" s="1"/>
  <c r="AA18" i="29"/>
  <c r="AA7" i="29" s="1"/>
  <c r="AJ7" i="25"/>
  <c r="AA94" i="29"/>
  <c r="AA83" i="29" s="1"/>
  <c r="AA56" i="29"/>
  <c r="AA45" i="29" s="1"/>
  <c r="U53" i="29"/>
  <c r="U15" i="29"/>
  <c r="U91" i="29"/>
  <c r="Y17" i="29"/>
  <c r="Y93" i="29"/>
  <c r="Y55" i="29"/>
  <c r="AQ12" i="6"/>
  <c r="AQ8" i="6"/>
  <c r="V23" i="29"/>
  <c r="V61" i="29"/>
  <c r="V99" i="29"/>
  <c r="AJ3" i="25"/>
  <c r="M74" i="34" s="1"/>
  <c r="AA90" i="29"/>
  <c r="AA79" i="29" s="1"/>
  <c r="AA52" i="29"/>
  <c r="AA41" i="29" s="1"/>
  <c r="AA14" i="29"/>
  <c r="AA3" i="29" s="1"/>
  <c r="S112" i="30"/>
  <c r="S95" i="29"/>
  <c r="S57" i="29"/>
  <c r="S19" i="29"/>
  <c r="W112" i="30"/>
  <c r="E27" i="22"/>
  <c r="E5" i="22" s="1"/>
  <c r="E24" i="22"/>
  <c r="E2" i="22" s="1"/>
  <c r="E26" i="22"/>
  <c r="E4" i="22" s="1"/>
  <c r="E25" i="22"/>
  <c r="E31" i="22"/>
  <c r="E9" i="22" s="1"/>
  <c r="E33" i="22"/>
  <c r="E11" i="22" s="1"/>
  <c r="E32" i="22"/>
  <c r="E10" i="22" s="1"/>
  <c r="E34" i="22"/>
  <c r="E29" i="22"/>
  <c r="E7" i="22" s="1"/>
  <c r="E28" i="22"/>
  <c r="E30" i="22"/>
  <c r="AH2" i="22"/>
  <c r="AH13" i="26" a="1"/>
  <c r="AH13" i="26" s="1"/>
  <c r="AH20" i="26" a="1"/>
  <c r="AH20" i="26" s="1"/>
  <c r="AH5" i="22"/>
  <c r="AH16" i="26" a="1"/>
  <c r="AH16" i="26" s="1"/>
  <c r="Y18" i="29"/>
  <c r="Y56" i="29"/>
  <c r="Y94" i="29"/>
  <c r="Y21" i="29"/>
  <c r="Y97" i="29"/>
  <c r="Y59" i="29"/>
  <c r="X36" i="30"/>
  <c r="AV40" i="26"/>
  <c r="W22" i="29"/>
  <c r="W60" i="29"/>
  <c r="W98" i="29"/>
  <c r="V20" i="29"/>
  <c r="V96" i="29"/>
  <c r="V58" i="29"/>
  <c r="K88" i="26"/>
  <c r="V36" i="30"/>
  <c r="Y98" i="30"/>
  <c r="Y98" i="26"/>
  <c r="Y22" i="30"/>
  <c r="Y60" i="26"/>
  <c r="Y60" i="30"/>
  <c r="K3" i="30"/>
  <c r="T37" i="25"/>
  <c r="K62" i="29"/>
  <c r="T2" i="25"/>
  <c r="M17" i="34" s="1"/>
  <c r="K24" i="29"/>
  <c r="K100" i="29"/>
  <c r="T112" i="29"/>
  <c r="Y57" i="29"/>
  <c r="Y95" i="29"/>
  <c r="Y19" i="29"/>
  <c r="T32" i="33" l="1"/>
  <c r="T49" i="33" s="1"/>
  <c r="T33" i="33"/>
  <c r="T50" i="33" s="1"/>
  <c r="T35" i="33"/>
  <c r="T52" i="33" s="1"/>
  <c r="H532" i="33"/>
  <c r="M99" i="34"/>
  <c r="M140" i="34"/>
  <c r="H491" i="33"/>
  <c r="M115" i="34"/>
  <c r="M156" i="34"/>
  <c r="G11" i="33"/>
  <c r="D93" i="34"/>
  <c r="J93" i="34"/>
  <c r="G52" i="33"/>
  <c r="D134" i="34"/>
  <c r="J134" i="34"/>
  <c r="G59" i="33"/>
  <c r="J141" i="34"/>
  <c r="D141" i="34"/>
  <c r="G18" i="33"/>
  <c r="J100" i="34"/>
  <c r="D100" i="34"/>
  <c r="K35" i="30"/>
  <c r="AV41" i="29"/>
  <c r="K73" i="26"/>
  <c r="BE30" i="25"/>
  <c r="N10" i="25"/>
  <c r="N10" i="6"/>
  <c r="AV79" i="29"/>
  <c r="AV3" i="29"/>
  <c r="U10" i="25"/>
  <c r="U10" i="6"/>
  <c r="U5" i="25"/>
  <c r="U5" i="6"/>
  <c r="N11" i="25"/>
  <c r="N11" i="6"/>
  <c r="U11" i="25"/>
  <c r="U11" i="6"/>
  <c r="AV47" i="26"/>
  <c r="N5" i="25"/>
  <c r="N5" i="6"/>
  <c r="AV47" i="30"/>
  <c r="AV9" i="30"/>
  <c r="K73" i="30"/>
  <c r="U7" i="25"/>
  <c r="U7" i="6"/>
  <c r="AV43" i="30"/>
  <c r="N4" i="25"/>
  <c r="N4" i="6"/>
  <c r="N2" i="25"/>
  <c r="M11" i="34" s="1"/>
  <c r="N2" i="6"/>
  <c r="U4" i="25"/>
  <c r="U4" i="6"/>
  <c r="AV7" i="30"/>
  <c r="AV43" i="26"/>
  <c r="AV45" i="30"/>
  <c r="AV5" i="30"/>
  <c r="N9" i="25"/>
  <c r="N9" i="6"/>
  <c r="N7" i="25"/>
  <c r="N7" i="6"/>
  <c r="U9" i="25"/>
  <c r="U9" i="6"/>
  <c r="AV45" i="26"/>
  <c r="K111" i="26"/>
  <c r="V26" i="6"/>
  <c r="V26" i="25" s="1"/>
  <c r="G101" i="33" s="1"/>
  <c r="H101" i="33" s="1"/>
  <c r="V31" i="6"/>
  <c r="V31" i="25" s="1"/>
  <c r="G306" i="33" s="1"/>
  <c r="H306" i="33" s="1"/>
  <c r="V33" i="6"/>
  <c r="V33" i="25" s="1"/>
  <c r="G388" i="33" s="1"/>
  <c r="H388" i="33" s="1"/>
  <c r="V32" i="6"/>
  <c r="V32" i="25" s="1"/>
  <c r="G347" i="33" s="1"/>
  <c r="H347" i="33" s="1"/>
  <c r="V24" i="6"/>
  <c r="V24" i="25" s="1"/>
  <c r="V30" i="6"/>
  <c r="V30" i="25" s="1"/>
  <c r="G265" i="33" s="1"/>
  <c r="H265" i="33" s="1"/>
  <c r="V29" i="6"/>
  <c r="V29" i="25" s="1"/>
  <c r="G224" i="33" s="1"/>
  <c r="H224" i="33" s="1"/>
  <c r="V27" i="6"/>
  <c r="V27" i="25" s="1"/>
  <c r="G142" i="33" s="1"/>
  <c r="H142" i="33" s="1"/>
  <c r="V28" i="6"/>
  <c r="V28" i="25" s="1"/>
  <c r="G183" i="33" s="1"/>
  <c r="H183" i="33" s="1"/>
  <c r="V34" i="6"/>
  <c r="V34" i="25" s="1"/>
  <c r="G429" i="33" s="1"/>
  <c r="H429" i="33" s="1"/>
  <c r="V25" i="6"/>
  <c r="V25" i="25" s="1"/>
  <c r="AJ72" i="22" a="1"/>
  <c r="AJ72" i="22" s="1"/>
  <c r="L30" i="26" a="1"/>
  <c r="L30" i="26" s="1"/>
  <c r="L8" i="22"/>
  <c r="M44" i="22"/>
  <c r="M30" i="22"/>
  <c r="M42" i="22"/>
  <c r="M34" i="22"/>
  <c r="M28" i="22"/>
  <c r="M27" i="22"/>
  <c r="M5" i="22" s="1"/>
  <c r="M48" i="22"/>
  <c r="M41" i="22"/>
  <c r="M33" i="22"/>
  <c r="M11" i="22" s="1"/>
  <c r="M40" i="22"/>
  <c r="M24" i="22"/>
  <c r="M32" i="22"/>
  <c r="M10" i="22" s="1"/>
  <c r="M46" i="22"/>
  <c r="M26" i="22"/>
  <c r="M4" i="22" s="1"/>
  <c r="M43" i="22"/>
  <c r="M29" i="22"/>
  <c r="M7" i="22" s="1"/>
  <c r="M47" i="22"/>
  <c r="M38" i="22"/>
  <c r="L6" i="22"/>
  <c r="L28" i="26" a="1"/>
  <c r="L28" i="26" s="1"/>
  <c r="L33" i="26" a="1"/>
  <c r="L33" i="26" s="1"/>
  <c r="U6" i="6"/>
  <c r="L12" i="22"/>
  <c r="L34" i="26" a="1"/>
  <c r="L34" i="26" s="1"/>
  <c r="N73" i="22" a="1"/>
  <c r="N73" i="22" s="1"/>
  <c r="L29" i="26" a="1"/>
  <c r="L29" i="26" s="1"/>
  <c r="AI21" i="22"/>
  <c r="AI43" i="22"/>
  <c r="AI18" i="22"/>
  <c r="AI20" i="22"/>
  <c r="AI15" i="22"/>
  <c r="AI42" i="22"/>
  <c r="AI16" i="22"/>
  <c r="AI48" i="22"/>
  <c r="AI17" i="22"/>
  <c r="AI23" i="22"/>
  <c r="AI44" i="22"/>
  <c r="AI19" i="22"/>
  <c r="AI41" i="22"/>
  <c r="AI46" i="22"/>
  <c r="AI22" i="22"/>
  <c r="AI38" i="22"/>
  <c r="AI40" i="22"/>
  <c r="AI14" i="22"/>
  <c r="AI47" i="22"/>
  <c r="AI13" i="22"/>
  <c r="U8" i="6"/>
  <c r="U2" i="6"/>
  <c r="L2" i="22"/>
  <c r="L24" i="26" a="1"/>
  <c r="L24" i="26" s="1"/>
  <c r="L27" i="26" a="1"/>
  <c r="L27" i="26" s="1"/>
  <c r="L5" i="26" s="1"/>
  <c r="AR15" i="6"/>
  <c r="AR15" i="25" s="1"/>
  <c r="G574" i="33" s="1"/>
  <c r="H574" i="33" s="1"/>
  <c r="AR22" i="6"/>
  <c r="AR22" i="25" s="1"/>
  <c r="G861" i="33" s="1"/>
  <c r="H861" i="33" s="1"/>
  <c r="AR17" i="6"/>
  <c r="AR17" i="25" s="1"/>
  <c r="G656" i="33" s="1"/>
  <c r="H656" i="33" s="1"/>
  <c r="AR23" i="6"/>
  <c r="AR23" i="25" s="1"/>
  <c r="G902" i="33" s="1"/>
  <c r="H902" i="33" s="1"/>
  <c r="AR19" i="6"/>
  <c r="AR19" i="25" s="1"/>
  <c r="G738" i="33" s="1"/>
  <c r="H738" i="33" s="1"/>
  <c r="AR14" i="6"/>
  <c r="AR14" i="25" s="1"/>
  <c r="AR16" i="6"/>
  <c r="AR16" i="25" s="1"/>
  <c r="G615" i="33" s="1"/>
  <c r="H615" i="33" s="1"/>
  <c r="AR21" i="6"/>
  <c r="AR21" i="25" s="1"/>
  <c r="G820" i="33" s="1"/>
  <c r="H820" i="33" s="1"/>
  <c r="AR18" i="6"/>
  <c r="AR18" i="25" s="1"/>
  <c r="G697" i="33" s="1"/>
  <c r="H697" i="33" s="1"/>
  <c r="AR13" i="6"/>
  <c r="AR13" i="25" s="1"/>
  <c r="AR20" i="6"/>
  <c r="AR20" i="25" s="1"/>
  <c r="G779" i="33" s="1"/>
  <c r="H779" i="33" s="1"/>
  <c r="U3" i="6"/>
  <c r="U12" i="6"/>
  <c r="L26" i="26" a="1"/>
  <c r="L26" i="26" s="1"/>
  <c r="L32" i="26" a="1"/>
  <c r="L32" i="26" s="1"/>
  <c r="L10" i="26" s="1"/>
  <c r="AH16" i="29"/>
  <c r="AH5" i="29" s="1"/>
  <c r="AQ5" i="25"/>
  <c r="AH54" i="29"/>
  <c r="AH43" i="29" s="1"/>
  <c r="AH92" i="29"/>
  <c r="AH81" i="29" s="1"/>
  <c r="AD74" i="25"/>
  <c r="AA74" i="29"/>
  <c r="AA40" i="29"/>
  <c r="AA73" i="29" s="1"/>
  <c r="BE6" i="25"/>
  <c r="BE22" i="25"/>
  <c r="Y74" i="30"/>
  <c r="S112" i="29"/>
  <c r="AH17" i="30"/>
  <c r="AH6" i="30" s="1"/>
  <c r="AH93" i="30"/>
  <c r="AH82" i="30" s="1"/>
  <c r="AH55" i="26"/>
  <c r="AH44" i="26" s="1"/>
  <c r="AH55" i="30"/>
  <c r="AH44" i="30" s="1"/>
  <c r="AH93" i="26"/>
  <c r="AH6" i="26"/>
  <c r="AV42" i="26"/>
  <c r="AH22" i="30"/>
  <c r="AH11" i="30" s="1"/>
  <c r="AH11" i="26"/>
  <c r="AH60" i="26"/>
  <c r="AH49" i="26" s="1"/>
  <c r="AH60" i="30"/>
  <c r="AH49" i="30" s="1"/>
  <c r="AH98" i="26"/>
  <c r="AH98" i="30"/>
  <c r="AH87" i="30" s="1"/>
  <c r="AA36" i="30"/>
  <c r="AA2" i="30"/>
  <c r="AH18" i="30"/>
  <c r="AH7" i="30" s="1"/>
  <c r="AH56" i="30"/>
  <c r="AH45" i="30" s="1"/>
  <c r="AH94" i="26"/>
  <c r="AH56" i="26"/>
  <c r="AH45" i="26" s="1"/>
  <c r="AH94" i="30"/>
  <c r="AH83" i="30" s="1"/>
  <c r="AH7" i="26"/>
  <c r="K113" i="29"/>
  <c r="K78" i="29"/>
  <c r="E30" i="26" a="1"/>
  <c r="E30" i="26" s="1"/>
  <c r="E8" i="22"/>
  <c r="E26" i="26" a="1"/>
  <c r="E26" i="26" s="1"/>
  <c r="E4" i="26" s="1"/>
  <c r="AH57" i="29"/>
  <c r="AH46" i="29" s="1"/>
  <c r="AQ8" i="25"/>
  <c r="AH95" i="29"/>
  <c r="AH84" i="29" s="1"/>
  <c r="AH19" i="29"/>
  <c r="AH8" i="29" s="1"/>
  <c r="AJ35" i="25"/>
  <c r="AQ12" i="25"/>
  <c r="AH23" i="29"/>
  <c r="AH12" i="29" s="1"/>
  <c r="AH61" i="29"/>
  <c r="AH50" i="29" s="1"/>
  <c r="AH99" i="29"/>
  <c r="AH88" i="29" s="1"/>
  <c r="AH98" i="29"/>
  <c r="AH87" i="29" s="1"/>
  <c r="AQ11" i="25"/>
  <c r="AH22" i="29"/>
  <c r="AH11" i="29" s="1"/>
  <c r="AH60" i="29"/>
  <c r="AH49" i="29" s="1"/>
  <c r="AA83" i="26"/>
  <c r="Y74" i="29"/>
  <c r="AA78" i="30"/>
  <c r="AA112" i="30"/>
  <c r="AA84" i="26"/>
  <c r="AV44" i="30"/>
  <c r="K37" i="29"/>
  <c r="K2" i="29"/>
  <c r="AV41" i="26"/>
  <c r="U36" i="29"/>
  <c r="AH54" i="26"/>
  <c r="AH43" i="26" s="1"/>
  <c r="AH5" i="26"/>
  <c r="AH16" i="30"/>
  <c r="AH5" i="30" s="1"/>
  <c r="AH92" i="30"/>
  <c r="AH81" i="30" s="1"/>
  <c r="AH92" i="26"/>
  <c r="AH54" i="30"/>
  <c r="AH43" i="30" s="1"/>
  <c r="E12" i="22"/>
  <c r="E34" i="26" a="1"/>
  <c r="E34" i="26" s="1"/>
  <c r="AQ7" i="25"/>
  <c r="AH56" i="29"/>
  <c r="AH45" i="29" s="1"/>
  <c r="AH18" i="29"/>
  <c r="AH7" i="29" s="1"/>
  <c r="AH94" i="29"/>
  <c r="AH83" i="29" s="1"/>
  <c r="BE2" i="25"/>
  <c r="BE16" i="25"/>
  <c r="T35" i="25"/>
  <c r="AV3" i="30"/>
  <c r="E32" i="26" a="1"/>
  <c r="E32" i="26" s="1"/>
  <c r="E10" i="26" s="1"/>
  <c r="AH91" i="30"/>
  <c r="AH80" i="30" s="1"/>
  <c r="AH53" i="30"/>
  <c r="AH42" i="30" s="1"/>
  <c r="AH53" i="26"/>
  <c r="AH42" i="26" s="1"/>
  <c r="AH91" i="26"/>
  <c r="AH4" i="26"/>
  <c r="AH15" i="30"/>
  <c r="AH4" i="30" s="1"/>
  <c r="AA2" i="29"/>
  <c r="AA35" i="29" s="1"/>
  <c r="AA36" i="29"/>
  <c r="AA87" i="26"/>
  <c r="W112" i="29"/>
  <c r="Y112" i="30"/>
  <c r="K40" i="29"/>
  <c r="K75" i="29"/>
  <c r="E33" i="26" a="1"/>
  <c r="E33" i="26" s="1"/>
  <c r="E11" i="26" s="1"/>
  <c r="U74" i="29"/>
  <c r="AA112" i="29"/>
  <c r="AA78" i="29"/>
  <c r="AA111" i="29" s="1"/>
  <c r="BE4" i="25"/>
  <c r="BE20" i="25"/>
  <c r="W74" i="29"/>
  <c r="U74" i="30"/>
  <c r="Y74" i="26"/>
  <c r="AH53" i="29"/>
  <c r="AH42" i="29" s="1"/>
  <c r="AH15" i="29"/>
  <c r="AH4" i="29" s="1"/>
  <c r="AQ4" i="25"/>
  <c r="AH91" i="29"/>
  <c r="AH80" i="29" s="1"/>
  <c r="AH61" i="30"/>
  <c r="AH50" i="30" s="1"/>
  <c r="AH61" i="26"/>
  <c r="AH50" i="26" s="1"/>
  <c r="AH12" i="26"/>
  <c r="AH23" i="30"/>
  <c r="AH12" i="30" s="1"/>
  <c r="AH99" i="26"/>
  <c r="AH99" i="30"/>
  <c r="AH88" i="30" s="1"/>
  <c r="N3" i="6"/>
  <c r="Y112" i="29"/>
  <c r="AA74" i="30"/>
  <c r="AA40" i="30"/>
  <c r="T73" i="25"/>
  <c r="T75" i="25"/>
  <c r="E29" i="26" a="1"/>
  <c r="E29" i="26" s="1"/>
  <c r="E7" i="26" s="1"/>
  <c r="E27" i="26" a="1"/>
  <c r="E27" i="26" s="1"/>
  <c r="E5" i="26" s="1"/>
  <c r="E31" i="26" a="1"/>
  <c r="E31" i="26" s="1"/>
  <c r="E9" i="26" s="1"/>
  <c r="U112" i="29"/>
  <c r="U36" i="30"/>
  <c r="Y36" i="30"/>
  <c r="AA81" i="26"/>
  <c r="AH14" i="30"/>
  <c r="AH90" i="30"/>
  <c r="AH52" i="30"/>
  <c r="AH52" i="26"/>
  <c r="AH90" i="26"/>
  <c r="AH21" i="29"/>
  <c r="AH10" i="29" s="1"/>
  <c r="AQ10" i="25"/>
  <c r="AH97" i="29"/>
  <c r="AH86" i="29" s="1"/>
  <c r="AH59" i="29"/>
  <c r="AH48" i="29" s="1"/>
  <c r="AA86" i="26"/>
  <c r="AV6" i="30"/>
  <c r="V112" i="29"/>
  <c r="E32" i="29"/>
  <c r="E10" i="29" s="1"/>
  <c r="AA112" i="26"/>
  <c r="AA78" i="26"/>
  <c r="AB19" i="22"/>
  <c r="AB17" i="22"/>
  <c r="AB21" i="22"/>
  <c r="AB16" i="22"/>
  <c r="AB22" i="22"/>
  <c r="AB15" i="22"/>
  <c r="AB47" i="22"/>
  <c r="AB48" i="22"/>
  <c r="AB46" i="22"/>
  <c r="AB23" i="22"/>
  <c r="AB18" i="22"/>
  <c r="AB43" i="22"/>
  <c r="AB40" i="22"/>
  <c r="AB44" i="22"/>
  <c r="AB20" i="22"/>
  <c r="AB42" i="22"/>
  <c r="AB38" i="22"/>
  <c r="AB41" i="22"/>
  <c r="AB14" i="22"/>
  <c r="AB13" i="22"/>
  <c r="AH2" i="26"/>
  <c r="AH36" i="26"/>
  <c r="AH89" i="26"/>
  <c r="AH51" i="26"/>
  <c r="AH13" i="30"/>
  <c r="AH89" i="30"/>
  <c r="AH51" i="30"/>
  <c r="E3" i="22"/>
  <c r="E25" i="26" a="1"/>
  <c r="E25" i="26" s="1"/>
  <c r="AQ3" i="25"/>
  <c r="M81" i="34" s="1"/>
  <c r="AH90" i="29"/>
  <c r="AH79" i="29" s="1"/>
  <c r="AH14" i="29"/>
  <c r="AH3" i="29" s="1"/>
  <c r="AH52" i="29"/>
  <c r="AH41" i="29" s="1"/>
  <c r="AH8" i="26"/>
  <c r="AH95" i="30"/>
  <c r="AH84" i="30" s="1"/>
  <c r="AH57" i="26"/>
  <c r="AH46" i="26" s="1"/>
  <c r="AH57" i="30"/>
  <c r="AH46" i="30" s="1"/>
  <c r="AH19" i="30"/>
  <c r="AH8" i="30" s="1"/>
  <c r="AH95" i="26"/>
  <c r="W36" i="29"/>
  <c r="U112" i="30"/>
  <c r="AA80" i="26"/>
  <c r="Y112" i="26"/>
  <c r="AC72" i="22" a="1"/>
  <c r="AC72" i="22" s="1"/>
  <c r="AV44" i="26"/>
  <c r="G73" i="22" a="1"/>
  <c r="G73" i="22" s="1"/>
  <c r="AL67" i="22"/>
  <c r="V36" i="29"/>
  <c r="N12" i="6"/>
  <c r="AV41" i="30"/>
  <c r="AA82" i="26"/>
  <c r="AJ74" i="25"/>
  <c r="AJ73" i="25"/>
  <c r="AA88" i="26"/>
  <c r="U74" i="26"/>
  <c r="S36" i="29"/>
  <c r="F33" i="22"/>
  <c r="F11" i="22" s="1"/>
  <c r="F27" i="22"/>
  <c r="F5" i="22" s="1"/>
  <c r="F34" i="22"/>
  <c r="F32" i="22"/>
  <c r="F10" i="22" s="1"/>
  <c r="F31" i="22"/>
  <c r="F9" i="22" s="1"/>
  <c r="F28" i="22"/>
  <c r="F26" i="22"/>
  <c r="F4" i="22" s="1"/>
  <c r="F25" i="22"/>
  <c r="F30" i="22"/>
  <c r="F29" i="22"/>
  <c r="F24" i="22"/>
  <c r="BE3" i="25"/>
  <c r="BE17" i="25"/>
  <c r="N6" i="6"/>
  <c r="AH74" i="25"/>
  <c r="AV4" i="30"/>
  <c r="AK17" i="6"/>
  <c r="AK17" i="25" s="1"/>
  <c r="G649" i="33" s="1"/>
  <c r="H649" i="33" s="1"/>
  <c r="AK19" i="6"/>
  <c r="AK19" i="25" s="1"/>
  <c r="G731" i="33" s="1"/>
  <c r="H731" i="33" s="1"/>
  <c r="AK16" i="6"/>
  <c r="AK16" i="25" s="1"/>
  <c r="G608" i="33" s="1"/>
  <c r="H608" i="33" s="1"/>
  <c r="AK22" i="6"/>
  <c r="AK22" i="25" s="1"/>
  <c r="G854" i="33" s="1"/>
  <c r="H854" i="33" s="1"/>
  <c r="AK15" i="6"/>
  <c r="AK15" i="25" s="1"/>
  <c r="G567" i="33" s="1"/>
  <c r="H567" i="33" s="1"/>
  <c r="AK14" i="6"/>
  <c r="AK14" i="25" s="1"/>
  <c r="AK21" i="6"/>
  <c r="AK21" i="25" s="1"/>
  <c r="G813" i="33" s="1"/>
  <c r="H813" i="33" s="1"/>
  <c r="AK18" i="6"/>
  <c r="AK18" i="25" s="1"/>
  <c r="G690" i="33" s="1"/>
  <c r="H690" i="33" s="1"/>
  <c r="AK20" i="6"/>
  <c r="AK20" i="25" s="1"/>
  <c r="G772" i="33" s="1"/>
  <c r="H772" i="33" s="1"/>
  <c r="AK13" i="6"/>
  <c r="AK13" i="25" s="1"/>
  <c r="AK23" i="6"/>
  <c r="AK23" i="25" s="1"/>
  <c r="G895" i="33" s="1"/>
  <c r="H895" i="33" s="1"/>
  <c r="AH17" i="29"/>
  <c r="AH6" i="29" s="1"/>
  <c r="AH55" i="29"/>
  <c r="AH44" i="29" s="1"/>
  <c r="AH93" i="29"/>
  <c r="AH82" i="29" s="1"/>
  <c r="AH96" i="26"/>
  <c r="AH58" i="26"/>
  <c r="AH20" i="30"/>
  <c r="AH58" i="30"/>
  <c r="AH96" i="30"/>
  <c r="E28" i="26" a="1"/>
  <c r="E28" i="26" s="1"/>
  <c r="E6" i="22"/>
  <c r="E24" i="26" a="1"/>
  <c r="E24" i="26" s="1"/>
  <c r="E2" i="26" s="1"/>
  <c r="AB74" i="25"/>
  <c r="AV42" i="30"/>
  <c r="O26" i="6"/>
  <c r="O26" i="25" s="1"/>
  <c r="G94" i="33" s="1"/>
  <c r="O31" i="6"/>
  <c r="O31" i="25" s="1"/>
  <c r="G299" i="33" s="1"/>
  <c r="O32" i="6"/>
  <c r="O32" i="25" s="1"/>
  <c r="G340" i="33" s="1"/>
  <c r="O30" i="6"/>
  <c r="O30" i="25" s="1"/>
  <c r="G258" i="33" s="1"/>
  <c r="O27" i="6"/>
  <c r="O27" i="25" s="1"/>
  <c r="G135" i="33" s="1"/>
  <c r="O33" i="6"/>
  <c r="O33" i="25" s="1"/>
  <c r="G381" i="33" s="1"/>
  <c r="O34" i="6"/>
  <c r="O34" i="25" s="1"/>
  <c r="G422" i="33" s="1"/>
  <c r="H422" i="33" s="1"/>
  <c r="O28" i="6"/>
  <c r="O28" i="25" s="1"/>
  <c r="G176" i="33" s="1"/>
  <c r="O29" i="6"/>
  <c r="O29" i="25" s="1"/>
  <c r="G217" i="33" s="1"/>
  <c r="O25" i="6"/>
  <c r="O25" i="25" s="1"/>
  <c r="O24" i="6"/>
  <c r="O24" i="25" s="1"/>
  <c r="AE74" i="25"/>
  <c r="Y36" i="29"/>
  <c r="AF74" i="25"/>
  <c r="U112" i="26"/>
  <c r="S74" i="29"/>
  <c r="V74" i="29"/>
  <c r="AH97" i="30"/>
  <c r="AH86" i="30" s="1"/>
  <c r="AH59" i="30"/>
  <c r="AH48" i="30" s="1"/>
  <c r="AH10" i="26"/>
  <c r="AH97" i="26"/>
  <c r="AH59" i="26"/>
  <c r="AH48" i="26" s="1"/>
  <c r="AH21" i="30"/>
  <c r="AH10" i="30" s="1"/>
  <c r="N8" i="6"/>
  <c r="AQ36" i="25"/>
  <c r="AH13" i="29"/>
  <c r="AH51" i="29"/>
  <c r="AH89" i="29"/>
  <c r="AQ2" i="25"/>
  <c r="M40" i="34" s="1"/>
  <c r="AA40" i="26"/>
  <c r="AA74" i="26"/>
  <c r="AQ9" i="25"/>
  <c r="AH20" i="29"/>
  <c r="AH9" i="29" s="1"/>
  <c r="AH58" i="29"/>
  <c r="AH47" i="29" s="1"/>
  <c r="AH96" i="29"/>
  <c r="AH85" i="29" s="1"/>
  <c r="T53" i="33" l="1"/>
  <c r="H340" i="33"/>
  <c r="S41" i="33" s="1"/>
  <c r="S12" i="33"/>
  <c r="T42" i="33"/>
  <c r="T44" i="33" s="1"/>
  <c r="H381" i="33"/>
  <c r="S38" i="33" s="1"/>
  <c r="S9" i="33"/>
  <c r="H299" i="33"/>
  <c r="S40" i="33" s="1"/>
  <c r="S11" i="33"/>
  <c r="H94" i="33"/>
  <c r="S5" i="33"/>
  <c r="H217" i="33"/>
  <c r="S36" i="33" s="1"/>
  <c r="S7" i="33"/>
  <c r="H176" i="33"/>
  <c r="S37" i="33" s="1"/>
  <c r="S8" i="33"/>
  <c r="H135" i="33"/>
  <c r="S6" i="33"/>
  <c r="H258" i="33"/>
  <c r="S39" i="33" s="1"/>
  <c r="S10" i="33"/>
  <c r="L141" i="34"/>
  <c r="H59" i="33"/>
  <c r="L100" i="34"/>
  <c r="L134" i="34"/>
  <c r="H52" i="33"/>
  <c r="H18" i="33"/>
  <c r="L93" i="34"/>
  <c r="G12" i="33"/>
  <c r="S3" i="33" s="1"/>
  <c r="D94" i="34"/>
  <c r="J94" i="34"/>
  <c r="G53" i="33"/>
  <c r="S4" i="33" s="1"/>
  <c r="D135" i="34"/>
  <c r="J135" i="34"/>
  <c r="G485" i="33"/>
  <c r="D34" i="34"/>
  <c r="L34" i="34" s="1"/>
  <c r="G526" i="33"/>
  <c r="D75" i="34"/>
  <c r="L75" i="34" s="1"/>
  <c r="M122" i="34"/>
  <c r="M163" i="34"/>
  <c r="G492" i="33"/>
  <c r="D41" i="34"/>
  <c r="L41" i="34" s="1"/>
  <c r="G533" i="33"/>
  <c r="H533" i="33" s="1"/>
  <c r="D82" i="34"/>
  <c r="L82" i="34" s="1"/>
  <c r="G60" i="33"/>
  <c r="D142" i="34"/>
  <c r="J142" i="34"/>
  <c r="G19" i="33"/>
  <c r="D101" i="34"/>
  <c r="J101" i="34"/>
  <c r="E108" i="29"/>
  <c r="E86" i="29" s="1"/>
  <c r="E33" i="29"/>
  <c r="E11" i="29" s="1"/>
  <c r="E26" i="29"/>
  <c r="E4" i="29" s="1"/>
  <c r="E27" i="29"/>
  <c r="E5" i="29" s="1"/>
  <c r="E64" i="29"/>
  <c r="E42" i="29" s="1"/>
  <c r="E65" i="29"/>
  <c r="E43" i="29" s="1"/>
  <c r="E105" i="29"/>
  <c r="E83" i="29" s="1"/>
  <c r="E67" i="29"/>
  <c r="E45" i="29" s="1"/>
  <c r="E24" i="29"/>
  <c r="E2" i="29" s="1"/>
  <c r="L108" i="29"/>
  <c r="L86" i="29" s="1"/>
  <c r="E62" i="29"/>
  <c r="E40" i="29" s="1"/>
  <c r="E31" i="29"/>
  <c r="E9" i="29" s="1"/>
  <c r="E107" i="29"/>
  <c r="E85" i="29" s="1"/>
  <c r="E69" i="29"/>
  <c r="E47" i="29" s="1"/>
  <c r="E71" i="29"/>
  <c r="E49" i="29" s="1"/>
  <c r="L32" i="29"/>
  <c r="L10" i="29" s="1"/>
  <c r="N37" i="25"/>
  <c r="E29" i="29"/>
  <c r="E7" i="29" s="1"/>
  <c r="AV11" i="30"/>
  <c r="AV13" i="29"/>
  <c r="L26" i="29"/>
  <c r="L4" i="29" s="1"/>
  <c r="E103" i="29"/>
  <c r="E81" i="29" s="1"/>
  <c r="L102" i="29"/>
  <c r="L80" i="29" s="1"/>
  <c r="L103" i="29"/>
  <c r="L81" i="29" s="1"/>
  <c r="L105" i="29"/>
  <c r="L83" i="29" s="1"/>
  <c r="E70" i="29"/>
  <c r="E48" i="29" s="1"/>
  <c r="L71" i="29"/>
  <c r="L49" i="29" s="1"/>
  <c r="L27" i="29"/>
  <c r="L5" i="29" s="1"/>
  <c r="L70" i="29"/>
  <c r="L48" i="29" s="1"/>
  <c r="V10" i="25"/>
  <c r="V10" i="6"/>
  <c r="E109" i="29"/>
  <c r="E87" i="29" s="1"/>
  <c r="E100" i="29"/>
  <c r="E78" i="29" s="1"/>
  <c r="L31" i="29"/>
  <c r="L9" i="29" s="1"/>
  <c r="L64" i="29"/>
  <c r="L42" i="29" s="1"/>
  <c r="L33" i="29"/>
  <c r="L11" i="29" s="1"/>
  <c r="V11" i="25"/>
  <c r="V11" i="6"/>
  <c r="AV51" i="29"/>
  <c r="L65" i="29"/>
  <c r="L43" i="29" s="1"/>
  <c r="L7" i="26"/>
  <c r="L109" i="29"/>
  <c r="L87" i="29" s="1"/>
  <c r="V5" i="25"/>
  <c r="V5" i="6"/>
  <c r="O11" i="25"/>
  <c r="O11" i="6"/>
  <c r="O5" i="25"/>
  <c r="O5" i="6"/>
  <c r="E102" i="29"/>
  <c r="E80" i="29" s="1"/>
  <c r="L11" i="26"/>
  <c r="O10" i="25"/>
  <c r="O10" i="6"/>
  <c r="BE11" i="25"/>
  <c r="BE14" i="25" s="1"/>
  <c r="L4" i="26"/>
  <c r="L69" i="29"/>
  <c r="L47" i="29" s="1"/>
  <c r="V9" i="25"/>
  <c r="V9" i="6"/>
  <c r="O9" i="25"/>
  <c r="O9" i="6"/>
  <c r="L107" i="29"/>
  <c r="L85" i="29" s="1"/>
  <c r="L67" i="29"/>
  <c r="L45" i="29" s="1"/>
  <c r="V4" i="25"/>
  <c r="V4" i="6"/>
  <c r="O4" i="25"/>
  <c r="O4" i="6"/>
  <c r="V7" i="25"/>
  <c r="V7" i="6"/>
  <c r="L29" i="29"/>
  <c r="L7" i="29" s="1"/>
  <c r="AQ35" i="25"/>
  <c r="BE27" i="25"/>
  <c r="BE29" i="25" s="1"/>
  <c r="L101" i="29"/>
  <c r="L79" i="29" s="1"/>
  <c r="L63" i="29"/>
  <c r="L41" i="29" s="1"/>
  <c r="U3" i="25"/>
  <c r="M59" i="34" s="1"/>
  <c r="L25" i="29"/>
  <c r="L3" i="29" s="1"/>
  <c r="AR8" i="6"/>
  <c r="U12" i="25"/>
  <c r="L72" i="29"/>
  <c r="L50" i="29" s="1"/>
  <c r="L34" i="29"/>
  <c r="L12" i="29" s="1"/>
  <c r="L110" i="29"/>
  <c r="L88" i="29" s="1"/>
  <c r="AR3" i="6"/>
  <c r="U8" i="25"/>
  <c r="L30" i="29"/>
  <c r="L8" i="29" s="1"/>
  <c r="L68" i="29"/>
  <c r="L46" i="29" s="1"/>
  <c r="L106" i="29"/>
  <c r="L84" i="29" s="1"/>
  <c r="U2" i="25"/>
  <c r="M18" i="34" s="1"/>
  <c r="L24" i="29"/>
  <c r="L62" i="29"/>
  <c r="L100" i="29"/>
  <c r="U37" i="25"/>
  <c r="AI15" i="26" a="1"/>
  <c r="AI15" i="26" s="1"/>
  <c r="AI4" i="22"/>
  <c r="L67" i="30"/>
  <c r="L105" i="30"/>
  <c r="L83" i="30" s="1"/>
  <c r="L67" i="26"/>
  <c r="L105" i="26"/>
  <c r="L29" i="30"/>
  <c r="AR12" i="6"/>
  <c r="AI2" i="22"/>
  <c r="AI13" i="26" a="1"/>
  <c r="AI13" i="26" s="1"/>
  <c r="AI8" i="22"/>
  <c r="AI19" i="26" a="1"/>
  <c r="AI19" i="26" s="1"/>
  <c r="AI20" i="26" a="1"/>
  <c r="AI20" i="26" s="1"/>
  <c r="M6" i="22"/>
  <c r="M28" i="26" a="1"/>
  <c r="M28" i="26" s="1"/>
  <c r="AS14" i="6"/>
  <c r="AS14" i="25" s="1"/>
  <c r="AS16" i="6"/>
  <c r="AS16" i="25" s="1"/>
  <c r="G616" i="33" s="1"/>
  <c r="AS22" i="6"/>
  <c r="AS22" i="25" s="1"/>
  <c r="G862" i="33" s="1"/>
  <c r="AS13" i="6"/>
  <c r="AS13" i="25" s="1"/>
  <c r="AS21" i="6"/>
  <c r="AS21" i="25" s="1"/>
  <c r="G821" i="33" s="1"/>
  <c r="AS19" i="6"/>
  <c r="AS19" i="25" s="1"/>
  <c r="G739" i="33" s="1"/>
  <c r="AS20" i="6"/>
  <c r="AS20" i="25" s="1"/>
  <c r="G780" i="33" s="1"/>
  <c r="AS17" i="6"/>
  <c r="AS17" i="25" s="1"/>
  <c r="G657" i="33" s="1"/>
  <c r="AS15" i="6"/>
  <c r="AS15" i="25" s="1"/>
  <c r="G575" i="33" s="1"/>
  <c r="AS18" i="6"/>
  <c r="AS18" i="25" s="1"/>
  <c r="G698" i="33" s="1"/>
  <c r="AS23" i="6"/>
  <c r="AS23" i="25" s="1"/>
  <c r="G903" i="33" s="1"/>
  <c r="H903" i="33" s="1"/>
  <c r="L102" i="30"/>
  <c r="L80" i="30" s="1"/>
  <c r="L64" i="26"/>
  <c r="L26" i="30"/>
  <c r="L102" i="26"/>
  <c r="L64" i="30"/>
  <c r="AR9" i="6"/>
  <c r="AR6" i="6"/>
  <c r="AI18" i="26" a="1"/>
  <c r="AI18" i="26" s="1"/>
  <c r="AI7" i="22"/>
  <c r="M32" i="26" a="1"/>
  <c r="M32" i="26" s="1"/>
  <c r="M10" i="26" s="1"/>
  <c r="M12" i="22"/>
  <c r="M34" i="26" a="1"/>
  <c r="M34" i="26" s="1"/>
  <c r="AJ44" i="22"/>
  <c r="AJ16" i="22"/>
  <c r="AJ43" i="22"/>
  <c r="AJ42" i="22"/>
  <c r="AJ22" i="22"/>
  <c r="AJ21" i="22"/>
  <c r="AJ14" i="22"/>
  <c r="AJ38" i="22"/>
  <c r="AJ18" i="22"/>
  <c r="AJ23" i="22"/>
  <c r="AJ15" i="22"/>
  <c r="AJ13" i="22"/>
  <c r="AJ41" i="22"/>
  <c r="AJ20" i="22"/>
  <c r="AJ17" i="22"/>
  <c r="AJ47" i="22"/>
  <c r="AJ40" i="22"/>
  <c r="AJ19" i="22"/>
  <c r="AJ48" i="22"/>
  <c r="AJ46" i="22"/>
  <c r="AR2" i="6"/>
  <c r="AR11" i="6"/>
  <c r="AI14" i="26" a="1"/>
  <c r="AI14" i="26" s="1"/>
  <c r="AI23" i="26" a="1"/>
  <c r="AI23" i="26" s="1"/>
  <c r="AI12" i="22"/>
  <c r="O73" i="22" a="1"/>
  <c r="O73" i="22" s="1"/>
  <c r="L28" i="30"/>
  <c r="L66" i="26"/>
  <c r="L66" i="30"/>
  <c r="L104" i="26"/>
  <c r="L104" i="30"/>
  <c r="L82" i="30" s="1"/>
  <c r="L6" i="26"/>
  <c r="M2" i="22"/>
  <c r="M24" i="26" a="1"/>
  <c r="M24" i="26" s="1"/>
  <c r="V8" i="6"/>
  <c r="L108" i="26"/>
  <c r="L86" i="26" s="1"/>
  <c r="L32" i="30"/>
  <c r="L10" i="30" s="1"/>
  <c r="L108" i="30"/>
  <c r="L86" i="30" s="1"/>
  <c r="L70" i="30"/>
  <c r="L48" i="30" s="1"/>
  <c r="L70" i="26"/>
  <c r="L48" i="26" s="1"/>
  <c r="AR7" i="6"/>
  <c r="AR4" i="6"/>
  <c r="L62" i="26"/>
  <c r="L62" i="30"/>
  <c r="L2" i="26"/>
  <c r="L100" i="26"/>
  <c r="L100" i="30"/>
  <c r="L24" i="30"/>
  <c r="AI6" i="22"/>
  <c r="AI17" i="26" a="1"/>
  <c r="AI17" i="26" s="1"/>
  <c r="AI10" i="22"/>
  <c r="AI21" i="26" a="1"/>
  <c r="AI21" i="26" s="1"/>
  <c r="L34" i="30"/>
  <c r="L12" i="26"/>
  <c r="L110" i="30"/>
  <c r="L88" i="30" s="1"/>
  <c r="L72" i="30"/>
  <c r="L72" i="26"/>
  <c r="L110" i="26"/>
  <c r="M8" i="22"/>
  <c r="M30" i="26" a="1"/>
  <c r="M30" i="26" s="1"/>
  <c r="V2" i="6"/>
  <c r="AR10" i="6"/>
  <c r="L103" i="26"/>
  <c r="L81" i="26" s="1"/>
  <c r="L103" i="30"/>
  <c r="L81" i="30" s="1"/>
  <c r="L65" i="30"/>
  <c r="L43" i="30" s="1"/>
  <c r="L65" i="26"/>
  <c r="L43" i="26" s="1"/>
  <c r="L27" i="30"/>
  <c r="L5" i="30" s="1"/>
  <c r="L109" i="26"/>
  <c r="L33" i="30"/>
  <c r="L71" i="30"/>
  <c r="L109" i="30"/>
  <c r="L87" i="30" s="1"/>
  <c r="L71" i="26"/>
  <c r="M33" i="26" a="1"/>
  <c r="M33" i="26" s="1"/>
  <c r="M11" i="26" s="1"/>
  <c r="AR5" i="6"/>
  <c r="AI11" i="22"/>
  <c r="AI22" i="26" a="1"/>
  <c r="AI22" i="26" s="1"/>
  <c r="AI5" i="22"/>
  <c r="AI16" i="26" a="1"/>
  <c r="AI16" i="26" s="1"/>
  <c r="M29" i="26" a="1"/>
  <c r="M29" i="26" s="1"/>
  <c r="M7" i="26" s="1"/>
  <c r="V3" i="6"/>
  <c r="M71" i="29"/>
  <c r="M49" i="29" s="1"/>
  <c r="W26" i="6"/>
  <c r="W26" i="25" s="1"/>
  <c r="G102" i="33" s="1"/>
  <c r="H102" i="33" s="1"/>
  <c r="W24" i="6"/>
  <c r="W24" i="25" s="1"/>
  <c r="W33" i="6"/>
  <c r="W33" i="25" s="1"/>
  <c r="G389" i="33" s="1"/>
  <c r="H389" i="33" s="1"/>
  <c r="W30" i="6"/>
  <c r="W30" i="25" s="1"/>
  <c r="G266" i="33" s="1"/>
  <c r="H266" i="33" s="1"/>
  <c r="W28" i="6"/>
  <c r="W28" i="25" s="1"/>
  <c r="G184" i="33" s="1"/>
  <c r="H184" i="33" s="1"/>
  <c r="W25" i="6"/>
  <c r="W25" i="25" s="1"/>
  <c r="W32" i="6"/>
  <c r="W32" i="25" s="1"/>
  <c r="G348" i="33" s="1"/>
  <c r="H348" i="33" s="1"/>
  <c r="W34" i="6"/>
  <c r="W34" i="25" s="1"/>
  <c r="G430" i="33" s="1"/>
  <c r="H430" i="33" s="1"/>
  <c r="W31" i="6"/>
  <c r="W31" i="25" s="1"/>
  <c r="G307" i="33" s="1"/>
  <c r="H307" i="33" s="1"/>
  <c r="W27" i="6"/>
  <c r="W27" i="25" s="1"/>
  <c r="G143" i="33" s="1"/>
  <c r="H143" i="33" s="1"/>
  <c r="W29" i="6"/>
  <c r="W29" i="25" s="1"/>
  <c r="G225" i="33" s="1"/>
  <c r="H225" i="33" s="1"/>
  <c r="L8" i="26"/>
  <c r="L68" i="30"/>
  <c r="L30" i="30"/>
  <c r="L106" i="26"/>
  <c r="L106" i="30"/>
  <c r="L84" i="30" s="1"/>
  <c r="L68" i="26"/>
  <c r="V12" i="6"/>
  <c r="N44" i="22"/>
  <c r="N38" i="22"/>
  <c r="N26" i="22"/>
  <c r="N4" i="22" s="1"/>
  <c r="N43" i="22"/>
  <c r="N24" i="22"/>
  <c r="N27" i="22"/>
  <c r="N5" i="22" s="1"/>
  <c r="N48" i="22"/>
  <c r="N46" i="22"/>
  <c r="N47" i="22"/>
  <c r="N29" i="22"/>
  <c r="N7" i="22" s="1"/>
  <c r="N30" i="22"/>
  <c r="N33" i="22"/>
  <c r="N11" i="22" s="1"/>
  <c r="N41" i="22"/>
  <c r="N34" i="22"/>
  <c r="N32" i="22"/>
  <c r="N10" i="22" s="1"/>
  <c r="N28" i="22"/>
  <c r="N42" i="22"/>
  <c r="N40" i="22"/>
  <c r="U6" i="25"/>
  <c r="L104" i="29"/>
  <c r="L82" i="29" s="1"/>
  <c r="L28" i="29"/>
  <c r="L6" i="29" s="1"/>
  <c r="L66" i="29"/>
  <c r="L44" i="29" s="1"/>
  <c r="M26" i="26" a="1"/>
  <c r="M26" i="26" s="1"/>
  <c r="M4" i="26" s="1"/>
  <c r="M27" i="26" a="1"/>
  <c r="M27" i="26" s="1"/>
  <c r="M5" i="26" s="1"/>
  <c r="V6" i="6"/>
  <c r="AH74" i="29"/>
  <c r="AH40" i="29"/>
  <c r="AH73" i="29" s="1"/>
  <c r="AH86" i="26"/>
  <c r="O8" i="6"/>
  <c r="AK10" i="6"/>
  <c r="O2" i="6"/>
  <c r="O3" i="6"/>
  <c r="F31" i="29"/>
  <c r="F9" i="29" s="1"/>
  <c r="AU7" i="29" s="1"/>
  <c r="AK4" i="6"/>
  <c r="H73" i="22" a="1"/>
  <c r="H73" i="22" s="1"/>
  <c r="F7" i="22"/>
  <c r="F29" i="26" a="1"/>
  <c r="F29" i="26" s="1"/>
  <c r="F27" i="26" a="1"/>
  <c r="F27" i="26" s="1"/>
  <c r="F5" i="26" s="1"/>
  <c r="AU19" i="26" s="1"/>
  <c r="P30" i="6"/>
  <c r="P30" i="25" s="1"/>
  <c r="G259" i="33" s="1"/>
  <c r="H259" i="33" s="1"/>
  <c r="P25" i="6"/>
  <c r="P25" i="25" s="1"/>
  <c r="P34" i="6"/>
  <c r="P34" i="25" s="1"/>
  <c r="G423" i="33" s="1"/>
  <c r="H423" i="33" s="1"/>
  <c r="P28" i="6"/>
  <c r="P28" i="25" s="1"/>
  <c r="G177" i="33" s="1"/>
  <c r="H177" i="33" s="1"/>
  <c r="P24" i="6"/>
  <c r="P24" i="25" s="1"/>
  <c r="P29" i="6"/>
  <c r="P29" i="25" s="1"/>
  <c r="G218" i="33" s="1"/>
  <c r="H218" i="33" s="1"/>
  <c r="P26" i="6"/>
  <c r="P26" i="25" s="1"/>
  <c r="G95" i="33" s="1"/>
  <c r="H95" i="33" s="1"/>
  <c r="P32" i="6"/>
  <c r="P32" i="25" s="1"/>
  <c r="G341" i="33" s="1"/>
  <c r="H341" i="33" s="1"/>
  <c r="P33" i="6"/>
  <c r="P33" i="25" s="1"/>
  <c r="G382" i="33" s="1"/>
  <c r="H382" i="33" s="1"/>
  <c r="P27" i="6"/>
  <c r="P27" i="25" s="1"/>
  <c r="G136" i="33" s="1"/>
  <c r="H136" i="33" s="1"/>
  <c r="P31" i="6"/>
  <c r="P31" i="25" s="1"/>
  <c r="G300" i="33" s="1"/>
  <c r="H300" i="33" s="1"/>
  <c r="AB12" i="22"/>
  <c r="AB23" i="26" a="1"/>
  <c r="AB23" i="26" s="1"/>
  <c r="AB6" i="22"/>
  <c r="AB17" i="26" a="1"/>
  <c r="AB17" i="26" s="1"/>
  <c r="AH81" i="26"/>
  <c r="AH83" i="26"/>
  <c r="N8" i="25"/>
  <c r="E68" i="29"/>
  <c r="E46" i="29" s="1"/>
  <c r="E30" i="29"/>
  <c r="E8" i="29" s="1"/>
  <c r="E106" i="29"/>
  <c r="E84" i="29" s="1"/>
  <c r="O7" i="6"/>
  <c r="AK11" i="6"/>
  <c r="F30" i="26" a="1"/>
  <c r="F30" i="26" s="1"/>
  <c r="F8" i="22"/>
  <c r="F33" i="26" a="1"/>
  <c r="F33" i="26" s="1"/>
  <c r="F11" i="26" s="1"/>
  <c r="AH40" i="30"/>
  <c r="AH74" i="30"/>
  <c r="AB8" i="22"/>
  <c r="AB19" i="26" a="1"/>
  <c r="AB19" i="26" s="1"/>
  <c r="AV40" i="29"/>
  <c r="AV50" i="29" s="1"/>
  <c r="AV53" i="29" s="1"/>
  <c r="K73" i="29"/>
  <c r="E64" i="30"/>
  <c r="E42" i="30" s="1"/>
  <c r="E64" i="26"/>
  <c r="E42" i="26" s="1"/>
  <c r="E26" i="30"/>
  <c r="E4" i="30" s="1"/>
  <c r="E102" i="30"/>
  <c r="E80" i="30" s="1"/>
  <c r="E102" i="26"/>
  <c r="E8" i="26"/>
  <c r="E106" i="30"/>
  <c r="E84" i="30" s="1"/>
  <c r="E68" i="26"/>
  <c r="E46" i="26" s="1"/>
  <c r="E106" i="26"/>
  <c r="E30" i="30"/>
  <c r="E8" i="30" s="1"/>
  <c r="E68" i="30"/>
  <c r="E46" i="30" s="1"/>
  <c r="AQ74" i="25"/>
  <c r="AQ73" i="25"/>
  <c r="AH112" i="29"/>
  <c r="AH78" i="29"/>
  <c r="AH111" i="29" s="1"/>
  <c r="AH78" i="30"/>
  <c r="AH112" i="30"/>
  <c r="AB20" i="26" a="1"/>
  <c r="AB20" i="26" s="1"/>
  <c r="E69" i="30"/>
  <c r="E47" i="30" s="1"/>
  <c r="E107" i="26"/>
  <c r="E107" i="30"/>
  <c r="E85" i="30" s="1"/>
  <c r="E69" i="26"/>
  <c r="E47" i="26" s="1"/>
  <c r="E31" i="30"/>
  <c r="E9" i="30" s="1"/>
  <c r="E67" i="30"/>
  <c r="E45" i="30" s="1"/>
  <c r="E29" i="30"/>
  <c r="E7" i="30" s="1"/>
  <c r="E105" i="30"/>
  <c r="E83" i="30" s="1"/>
  <c r="E105" i="26"/>
  <c r="E67" i="26"/>
  <c r="E45" i="26" s="1"/>
  <c r="AH80" i="26"/>
  <c r="E108" i="30"/>
  <c r="E86" i="30" s="1"/>
  <c r="E32" i="30"/>
  <c r="E10" i="30" s="1"/>
  <c r="E70" i="30"/>
  <c r="E48" i="30" s="1"/>
  <c r="E108" i="26"/>
  <c r="E70" i="26"/>
  <c r="E48" i="26" s="1"/>
  <c r="O6" i="6"/>
  <c r="AK12" i="6"/>
  <c r="AK5" i="6"/>
  <c r="F3" i="22"/>
  <c r="F25" i="26" a="1"/>
  <c r="F25" i="26" s="1"/>
  <c r="O12" i="6"/>
  <c r="AK2" i="6"/>
  <c r="AK8" i="6"/>
  <c r="N6" i="25"/>
  <c r="E104" i="29"/>
  <c r="E82" i="29" s="1"/>
  <c r="E28" i="29"/>
  <c r="E6" i="29" s="1"/>
  <c r="E66" i="29"/>
  <c r="E44" i="29" s="1"/>
  <c r="F26" i="26" a="1"/>
  <c r="F26" i="26" s="1"/>
  <c r="F4" i="26" s="1"/>
  <c r="AU18" i="26" s="1"/>
  <c r="AH84" i="26"/>
  <c r="AH2" i="30"/>
  <c r="AH36" i="30"/>
  <c r="E101" i="29"/>
  <c r="E79" i="29" s="1"/>
  <c r="N3" i="25"/>
  <c r="M52" i="34" s="1"/>
  <c r="E25" i="29"/>
  <c r="E3" i="29" s="1"/>
  <c r="E63" i="29"/>
  <c r="E41" i="29" s="1"/>
  <c r="AH88" i="26"/>
  <c r="K35" i="29"/>
  <c r="AV2" i="29"/>
  <c r="AV12" i="29" s="1"/>
  <c r="F33" i="29"/>
  <c r="F11" i="29" s="1"/>
  <c r="AU9" i="29" s="1"/>
  <c r="F71" i="29"/>
  <c r="F49" i="29" s="1"/>
  <c r="AU47" i="29" s="1"/>
  <c r="F109" i="29"/>
  <c r="F87" i="29" s="1"/>
  <c r="AU85" i="29" s="1"/>
  <c r="E37" i="26"/>
  <c r="E100" i="26"/>
  <c r="E78" i="26" s="1"/>
  <c r="E62" i="26"/>
  <c r="E62" i="30"/>
  <c r="E24" i="30"/>
  <c r="E100" i="30"/>
  <c r="AK9" i="6"/>
  <c r="AK6" i="6"/>
  <c r="F28" i="26" a="1"/>
  <c r="F28" i="26" s="1"/>
  <c r="F6" i="22"/>
  <c r="E101" i="26"/>
  <c r="E63" i="26"/>
  <c r="E41" i="26" s="1"/>
  <c r="E63" i="30"/>
  <c r="E41" i="30" s="1"/>
  <c r="E3" i="26"/>
  <c r="E101" i="30"/>
  <c r="E79" i="30" s="1"/>
  <c r="E25" i="30"/>
  <c r="E3" i="30" s="1"/>
  <c r="AH74" i="26"/>
  <c r="AH40" i="26"/>
  <c r="AB2" i="22"/>
  <c r="AB13" i="26" a="1"/>
  <c r="AB13" i="26" s="1"/>
  <c r="AB4" i="22"/>
  <c r="AB15" i="26" a="1"/>
  <c r="AB15" i="26" s="1"/>
  <c r="AH82" i="26"/>
  <c r="E104" i="30"/>
  <c r="E82" i="30" s="1"/>
  <c r="E104" i="26"/>
  <c r="E28" i="30"/>
  <c r="E6" i="30" s="1"/>
  <c r="E66" i="30"/>
  <c r="E44" i="30" s="1"/>
  <c r="E6" i="26"/>
  <c r="E66" i="26"/>
  <c r="E44" i="26" s="1"/>
  <c r="AK7" i="6"/>
  <c r="F31" i="26" a="1"/>
  <c r="F31" i="26" s="1"/>
  <c r="F9" i="26" s="1"/>
  <c r="E110" i="29"/>
  <c r="E88" i="29" s="1"/>
  <c r="E72" i="29"/>
  <c r="E50" i="29" s="1"/>
  <c r="E34" i="29"/>
  <c r="E12" i="29" s="1"/>
  <c r="N12" i="25"/>
  <c r="AM67" i="22"/>
  <c r="AJ67" i="22" s="1"/>
  <c r="Z67" i="22"/>
  <c r="AC19" i="22"/>
  <c r="AC17" i="22"/>
  <c r="AC22" i="22"/>
  <c r="AC16" i="22"/>
  <c r="AC23" i="22"/>
  <c r="AC15" i="22"/>
  <c r="AC21" i="22"/>
  <c r="AC41" i="22"/>
  <c r="AC18" i="22"/>
  <c r="AC40" i="22"/>
  <c r="AC43" i="22"/>
  <c r="AC38" i="22"/>
  <c r="AC44" i="22"/>
  <c r="AC48" i="22"/>
  <c r="AC46" i="22"/>
  <c r="AC42" i="22"/>
  <c r="AC47" i="22"/>
  <c r="AC14" i="22"/>
  <c r="AC20" i="22"/>
  <c r="AC13" i="22"/>
  <c r="AB14" i="26" a="1"/>
  <c r="AB14" i="26" s="1"/>
  <c r="AB11" i="22"/>
  <c r="AB22" i="26" a="1"/>
  <c r="AB22" i="26" s="1"/>
  <c r="E103" i="30"/>
  <c r="E81" i="30" s="1"/>
  <c r="E65" i="30"/>
  <c r="E43" i="30" s="1"/>
  <c r="E103" i="26"/>
  <c r="E65" i="26"/>
  <c r="E43" i="26" s="1"/>
  <c r="E27" i="30"/>
  <c r="E5" i="30" s="1"/>
  <c r="F32" i="26" a="1"/>
  <c r="F32" i="26" s="1"/>
  <c r="F10" i="26" s="1"/>
  <c r="AD72" i="22" a="1"/>
  <c r="AD72" i="22" s="1"/>
  <c r="AH112" i="26"/>
  <c r="AH78" i="26"/>
  <c r="AB5" i="22"/>
  <c r="AB16" i="26" a="1"/>
  <c r="AB16" i="26" s="1"/>
  <c r="E71" i="30"/>
  <c r="E49" i="30" s="1"/>
  <c r="E33" i="30"/>
  <c r="E11" i="30" s="1"/>
  <c r="E71" i="26"/>
  <c r="E49" i="26" s="1"/>
  <c r="E109" i="30"/>
  <c r="E87" i="30" s="1"/>
  <c r="E109" i="26"/>
  <c r="AH36" i="29"/>
  <c r="AH2" i="29"/>
  <c r="AH35" i="29" s="1"/>
  <c r="F32" i="29"/>
  <c r="F10" i="29" s="1"/>
  <c r="AU8" i="29" s="1"/>
  <c r="F70" i="29"/>
  <c r="F48" i="29" s="1"/>
  <c r="AU46" i="29" s="1"/>
  <c r="AK3" i="6"/>
  <c r="I73" i="22" a="1"/>
  <c r="I73" i="22" s="1"/>
  <c r="F24" i="26" a="1"/>
  <c r="F24" i="26" s="1"/>
  <c r="F2" i="22"/>
  <c r="F12" i="22"/>
  <c r="F34" i="26" a="1"/>
  <c r="F34" i="26" s="1"/>
  <c r="G30" i="22"/>
  <c r="G25" i="22"/>
  <c r="G34" i="22"/>
  <c r="G24" i="22"/>
  <c r="G28" i="22"/>
  <c r="G32" i="22"/>
  <c r="G10" i="22" s="1"/>
  <c r="G27" i="22"/>
  <c r="G5" i="22" s="1"/>
  <c r="G29" i="22"/>
  <c r="G7" i="22" s="1"/>
  <c r="G33" i="22"/>
  <c r="G11" i="22" s="1"/>
  <c r="G26" i="22"/>
  <c r="G4" i="22" s="1"/>
  <c r="G31" i="22"/>
  <c r="G9" i="22" s="1"/>
  <c r="AL17" i="6"/>
  <c r="AL17" i="25" s="1"/>
  <c r="G650" i="33" s="1"/>
  <c r="H650" i="33" s="1"/>
  <c r="AL19" i="6"/>
  <c r="AL19" i="25" s="1"/>
  <c r="G732" i="33" s="1"/>
  <c r="H732" i="33" s="1"/>
  <c r="AL22" i="6"/>
  <c r="AL22" i="25" s="1"/>
  <c r="G855" i="33" s="1"/>
  <c r="H855" i="33" s="1"/>
  <c r="AL20" i="6"/>
  <c r="AL20" i="25" s="1"/>
  <c r="G773" i="33" s="1"/>
  <c r="H773" i="33" s="1"/>
  <c r="AL21" i="6"/>
  <c r="AL21" i="25" s="1"/>
  <c r="G814" i="33" s="1"/>
  <c r="H814" i="33" s="1"/>
  <c r="AL16" i="6"/>
  <c r="AL16" i="25" s="1"/>
  <c r="G609" i="33" s="1"/>
  <c r="H609" i="33" s="1"/>
  <c r="AL13" i="6"/>
  <c r="AL13" i="25" s="1"/>
  <c r="AL15" i="6"/>
  <c r="AL15" i="25" s="1"/>
  <c r="G568" i="33" s="1"/>
  <c r="H568" i="33" s="1"/>
  <c r="AL18" i="6"/>
  <c r="AL18" i="25" s="1"/>
  <c r="G691" i="33" s="1"/>
  <c r="H691" i="33" s="1"/>
  <c r="AL23" i="6"/>
  <c r="AL23" i="25" s="1"/>
  <c r="G896" i="33" s="1"/>
  <c r="H896" i="33" s="1"/>
  <c r="AL14" i="6"/>
  <c r="AL14" i="25" s="1"/>
  <c r="AB7" i="22"/>
  <c r="AB18" i="26" a="1"/>
  <c r="AB18" i="26" s="1"/>
  <c r="AB10" i="22"/>
  <c r="AB21" i="26" a="1"/>
  <c r="AB21" i="26" s="1"/>
  <c r="E110" i="26"/>
  <c r="E12" i="26"/>
  <c r="E34" i="30"/>
  <c r="E12" i="30" s="1"/>
  <c r="E72" i="30"/>
  <c r="E50" i="30" s="1"/>
  <c r="E110" i="30"/>
  <c r="E88" i="30" s="1"/>
  <c r="E72" i="26"/>
  <c r="E50" i="26" s="1"/>
  <c r="K111" i="29"/>
  <c r="AV78" i="29"/>
  <c r="AV88" i="29" s="1"/>
  <c r="AV91" i="29" s="1"/>
  <c r="AH87" i="26"/>
  <c r="H657" i="33" l="1"/>
  <c r="Y37" i="33" s="1"/>
  <c r="Y8" i="33"/>
  <c r="S35" i="33"/>
  <c r="S52" i="33" s="1"/>
  <c r="H575" i="33"/>
  <c r="Y5" i="33"/>
  <c r="H780" i="33"/>
  <c r="Y40" i="33" s="1"/>
  <c r="Y11" i="33"/>
  <c r="H821" i="33"/>
  <c r="Y41" i="33" s="1"/>
  <c r="Y12" i="33"/>
  <c r="H739" i="33"/>
  <c r="Y39" i="33" s="1"/>
  <c r="Y10" i="33"/>
  <c r="H862" i="33"/>
  <c r="Y38" i="33" s="1"/>
  <c r="Y9" i="33"/>
  <c r="H698" i="33"/>
  <c r="Y36" i="33" s="1"/>
  <c r="Y7" i="33"/>
  <c r="H616" i="33"/>
  <c r="Y6" i="33"/>
  <c r="S34" i="33"/>
  <c r="S51" i="33" s="1"/>
  <c r="H526" i="33"/>
  <c r="S13" i="33"/>
  <c r="M93" i="34"/>
  <c r="H485" i="33"/>
  <c r="L101" i="34"/>
  <c r="H19" i="33" s="1"/>
  <c r="H492" i="33"/>
  <c r="L135" i="34"/>
  <c r="H53" i="33" s="1"/>
  <c r="M100" i="34"/>
  <c r="M134" i="34"/>
  <c r="H11" i="33"/>
  <c r="L142" i="34"/>
  <c r="L94" i="34"/>
  <c r="H12" i="33" s="1"/>
  <c r="M141" i="34"/>
  <c r="G527" i="33"/>
  <c r="H527" i="33" s="1"/>
  <c r="D76" i="34"/>
  <c r="L76" i="34" s="1"/>
  <c r="G486" i="33"/>
  <c r="D35" i="34"/>
  <c r="L35" i="34" s="1"/>
  <c r="G13" i="33"/>
  <c r="J95" i="34"/>
  <c r="D95" i="34"/>
  <c r="G54" i="33"/>
  <c r="J136" i="34"/>
  <c r="D136" i="34"/>
  <c r="G61" i="33"/>
  <c r="D143" i="34"/>
  <c r="J143" i="34"/>
  <c r="G20" i="33"/>
  <c r="D102" i="34"/>
  <c r="J102" i="34"/>
  <c r="G493" i="33"/>
  <c r="D42" i="34"/>
  <c r="L42" i="34" s="1"/>
  <c r="G534" i="33"/>
  <c r="Y4" i="33" s="1"/>
  <c r="D83" i="34"/>
  <c r="L83" i="34" s="1"/>
  <c r="BD18" i="25"/>
  <c r="BD19" i="25"/>
  <c r="F107" i="29"/>
  <c r="F85" i="29" s="1"/>
  <c r="AU83" i="29" s="1"/>
  <c r="F108" i="29"/>
  <c r="F86" i="29" s="1"/>
  <c r="AU84" i="29" s="1"/>
  <c r="M32" i="29"/>
  <c r="M10" i="29" s="1"/>
  <c r="M33" i="29"/>
  <c r="M11" i="29" s="1"/>
  <c r="M108" i="29"/>
  <c r="M86" i="29" s="1"/>
  <c r="E35" i="26"/>
  <c r="F26" i="29"/>
  <c r="F4" i="29" s="1"/>
  <c r="F64" i="29"/>
  <c r="F42" i="29" s="1"/>
  <c r="BE13" i="25"/>
  <c r="F103" i="29"/>
  <c r="F81" i="29" s="1"/>
  <c r="F102" i="29"/>
  <c r="F80" i="29" s="1"/>
  <c r="M27" i="29"/>
  <c r="M5" i="29" s="1"/>
  <c r="AV15" i="29"/>
  <c r="F69" i="29"/>
  <c r="F47" i="29" s="1"/>
  <c r="AU45" i="29" s="1"/>
  <c r="M109" i="29"/>
  <c r="M87" i="29" s="1"/>
  <c r="M65" i="29"/>
  <c r="M43" i="29" s="1"/>
  <c r="N35" i="25"/>
  <c r="F65" i="29"/>
  <c r="F43" i="29" s="1"/>
  <c r="M70" i="29"/>
  <c r="M48" i="29" s="1"/>
  <c r="M64" i="29"/>
  <c r="M42" i="29" s="1"/>
  <c r="M26" i="29"/>
  <c r="M4" i="29" s="1"/>
  <c r="M31" i="29"/>
  <c r="M9" i="29" s="1"/>
  <c r="F27" i="29"/>
  <c r="F5" i="29" s="1"/>
  <c r="M102" i="29"/>
  <c r="M80" i="29" s="1"/>
  <c r="M107" i="29"/>
  <c r="M85" i="29" s="1"/>
  <c r="M103" i="29"/>
  <c r="M81" i="29" s="1"/>
  <c r="M69" i="29"/>
  <c r="M47" i="29" s="1"/>
  <c r="E87" i="26"/>
  <c r="AU24" i="26"/>
  <c r="AU8" i="26"/>
  <c r="E81" i="26"/>
  <c r="E86" i="26"/>
  <c r="AU9" i="26"/>
  <c r="AU25" i="26"/>
  <c r="P5" i="25"/>
  <c r="P5" i="6"/>
  <c r="P11" i="25"/>
  <c r="P11" i="6"/>
  <c r="P10" i="25"/>
  <c r="P10" i="6"/>
  <c r="W5" i="25"/>
  <c r="W5" i="6"/>
  <c r="W10" i="25"/>
  <c r="W10" i="6"/>
  <c r="W11" i="25"/>
  <c r="W11" i="6"/>
  <c r="L49" i="26"/>
  <c r="L49" i="30"/>
  <c r="L11" i="30"/>
  <c r="L87" i="26"/>
  <c r="L7" i="30"/>
  <c r="L45" i="26"/>
  <c r="L45" i="30"/>
  <c r="BD8" i="25"/>
  <c r="BD24" i="25"/>
  <c r="BD25" i="25"/>
  <c r="BD9" i="25"/>
  <c r="E83" i="26"/>
  <c r="P7" i="25"/>
  <c r="P7" i="6"/>
  <c r="E85" i="26"/>
  <c r="M105" i="29"/>
  <c r="M83" i="29" s="1"/>
  <c r="E111" i="29"/>
  <c r="N75" i="25"/>
  <c r="E113" i="30"/>
  <c r="E78" i="30"/>
  <c r="E111" i="30" s="1"/>
  <c r="W9" i="25"/>
  <c r="W9" i="6"/>
  <c r="W4" i="25"/>
  <c r="W4" i="6"/>
  <c r="L42" i="26"/>
  <c r="E113" i="29"/>
  <c r="E37" i="30"/>
  <c r="E2" i="30"/>
  <c r="E35" i="30" s="1"/>
  <c r="P9" i="25"/>
  <c r="P9" i="6"/>
  <c r="M29" i="29"/>
  <c r="M7" i="29" s="1"/>
  <c r="E35" i="29"/>
  <c r="E37" i="29"/>
  <c r="L42" i="30"/>
  <c r="AU23" i="26"/>
  <c r="AU7" i="26"/>
  <c r="E75" i="30"/>
  <c r="E40" i="30"/>
  <c r="E73" i="30" s="1"/>
  <c r="L80" i="26"/>
  <c r="L83" i="26"/>
  <c r="BD7" i="25"/>
  <c r="BD23" i="25"/>
  <c r="E75" i="26"/>
  <c r="E40" i="26"/>
  <c r="E73" i="26" s="1"/>
  <c r="E80" i="26"/>
  <c r="P4" i="25"/>
  <c r="P4" i="6"/>
  <c r="M67" i="29"/>
  <c r="M45" i="29" s="1"/>
  <c r="L4" i="30"/>
  <c r="E73" i="29"/>
  <c r="W7" i="25"/>
  <c r="W7" i="6"/>
  <c r="E75" i="29"/>
  <c r="N73" i="25"/>
  <c r="L46" i="30"/>
  <c r="L12" i="30"/>
  <c r="L6" i="30"/>
  <c r="L46" i="26"/>
  <c r="L50" i="26"/>
  <c r="L50" i="30"/>
  <c r="L44" i="30"/>
  <c r="U35" i="25"/>
  <c r="L8" i="30"/>
  <c r="L44" i="26"/>
  <c r="M28" i="29"/>
  <c r="M6" i="29" s="1"/>
  <c r="M104" i="29"/>
  <c r="M82" i="29" s="1"/>
  <c r="M66" i="29"/>
  <c r="M44" i="29" s="1"/>
  <c r="V6" i="25"/>
  <c r="N33" i="26" a="1"/>
  <c r="N33" i="26" s="1"/>
  <c r="W3" i="6"/>
  <c r="M33" i="30"/>
  <c r="M11" i="30" s="1"/>
  <c r="M109" i="30"/>
  <c r="M87" i="30" s="1"/>
  <c r="M71" i="30"/>
  <c r="M49" i="30" s="1"/>
  <c r="M71" i="26"/>
  <c r="M49" i="26" s="1"/>
  <c r="M109" i="26"/>
  <c r="L78" i="26"/>
  <c r="AJ20" i="26" a="1"/>
  <c r="AJ20" i="26" s="1"/>
  <c r="AJ21" i="26" a="1"/>
  <c r="AJ21" i="26" s="1"/>
  <c r="AJ10" i="22"/>
  <c r="M110" i="26"/>
  <c r="M72" i="26"/>
  <c r="M50" i="26" s="1"/>
  <c r="M34" i="30"/>
  <c r="M12" i="30" s="1"/>
  <c r="M12" i="26"/>
  <c r="M72" i="30"/>
  <c r="M50" i="30" s="1"/>
  <c r="M110" i="30"/>
  <c r="M88" i="30" s="1"/>
  <c r="AS2" i="6"/>
  <c r="AI91" i="30"/>
  <c r="AI80" i="30" s="1"/>
  <c r="AI91" i="26"/>
  <c r="AI53" i="26"/>
  <c r="AI42" i="26" s="1"/>
  <c r="AI15" i="30"/>
  <c r="AI4" i="30" s="1"/>
  <c r="AI4" i="26"/>
  <c r="AI53" i="30"/>
  <c r="AI42" i="30" s="1"/>
  <c r="AI52" i="29"/>
  <c r="AI41" i="29" s="1"/>
  <c r="AI90" i="29"/>
  <c r="AI79" i="29" s="1"/>
  <c r="AR3" i="25"/>
  <c r="M82" i="34" s="1"/>
  <c r="AI14" i="29"/>
  <c r="AI3" i="29" s="1"/>
  <c r="AI19" i="29"/>
  <c r="AI8" i="29" s="1"/>
  <c r="AI57" i="29"/>
  <c r="AI46" i="29" s="1"/>
  <c r="AI95" i="29"/>
  <c r="AI84" i="29" s="1"/>
  <c r="AR8" i="25"/>
  <c r="N30" i="26" a="1"/>
  <c r="N30" i="26" s="1"/>
  <c r="N8" i="22"/>
  <c r="N26" i="26" a="1"/>
  <c r="N26" i="26" s="1"/>
  <c r="N4" i="26" s="1"/>
  <c r="V12" i="25"/>
  <c r="M110" i="29"/>
  <c r="M88" i="29" s="1"/>
  <c r="M72" i="29"/>
  <c r="M50" i="29" s="1"/>
  <c r="M34" i="29"/>
  <c r="M12" i="29" s="1"/>
  <c r="W6" i="6"/>
  <c r="AI21" i="29"/>
  <c r="AI10" i="29" s="1"/>
  <c r="AI97" i="29"/>
  <c r="AI86" i="29" s="1"/>
  <c r="AR10" i="25"/>
  <c r="AI59" i="29"/>
  <c r="AI48" i="29" s="1"/>
  <c r="AI94" i="29"/>
  <c r="AI83" i="29" s="1"/>
  <c r="AI56" i="29"/>
  <c r="AI45" i="29" s="1"/>
  <c r="AI18" i="29"/>
  <c r="AI7" i="29" s="1"/>
  <c r="AR7" i="25"/>
  <c r="AJ11" i="22"/>
  <c r="AJ22" i="26" a="1"/>
  <c r="AJ22" i="26" s="1"/>
  <c r="AS12" i="6"/>
  <c r="AS11" i="6"/>
  <c r="AI57" i="30"/>
  <c r="AI46" i="30" s="1"/>
  <c r="AI19" i="30"/>
  <c r="AI8" i="30" s="1"/>
  <c r="AI95" i="30"/>
  <c r="AI84" i="30" s="1"/>
  <c r="AI95" i="26"/>
  <c r="AI57" i="26"/>
  <c r="AI46" i="26" s="1"/>
  <c r="AI8" i="26"/>
  <c r="M64" i="26"/>
  <c r="M42" i="26" s="1"/>
  <c r="M64" i="30"/>
  <c r="M42" i="30" s="1"/>
  <c r="M26" i="30"/>
  <c r="M4" i="30" s="1"/>
  <c r="M102" i="26"/>
  <c r="M102" i="30"/>
  <c r="M80" i="30" s="1"/>
  <c r="N29" i="26" a="1"/>
  <c r="N29" i="26" s="1"/>
  <c r="W8" i="6"/>
  <c r="AI98" i="30"/>
  <c r="AI87" i="30" s="1"/>
  <c r="AI11" i="26"/>
  <c r="AI60" i="30"/>
  <c r="AI49" i="30" s="1"/>
  <c r="AI22" i="30"/>
  <c r="AI11" i="30" s="1"/>
  <c r="AI60" i="26"/>
  <c r="AI49" i="26" s="1"/>
  <c r="AI98" i="26"/>
  <c r="V37" i="25"/>
  <c r="M24" i="29"/>
  <c r="V2" i="25"/>
  <c r="M19" i="34" s="1"/>
  <c r="M62" i="29"/>
  <c r="M100" i="29"/>
  <c r="AI55" i="30"/>
  <c r="AI44" i="30" s="1"/>
  <c r="AI6" i="26"/>
  <c r="AI93" i="30"/>
  <c r="AI82" i="30" s="1"/>
  <c r="AI55" i="26"/>
  <c r="AI44" i="26" s="1"/>
  <c r="AI93" i="26"/>
  <c r="AI17" i="30"/>
  <c r="AI6" i="30" s="1"/>
  <c r="X34" i="6"/>
  <c r="X34" i="25" s="1"/>
  <c r="G431" i="33" s="1"/>
  <c r="H431" i="33" s="1"/>
  <c r="X28" i="6"/>
  <c r="X28" i="25" s="1"/>
  <c r="G185" i="33" s="1"/>
  <c r="H185" i="33" s="1"/>
  <c r="X32" i="6"/>
  <c r="X32" i="25" s="1"/>
  <c r="G349" i="33" s="1"/>
  <c r="H349" i="33" s="1"/>
  <c r="X24" i="6"/>
  <c r="X24" i="25" s="1"/>
  <c r="X31" i="6"/>
  <c r="X31" i="25" s="1"/>
  <c r="G308" i="33" s="1"/>
  <c r="H308" i="33" s="1"/>
  <c r="X30" i="6"/>
  <c r="X30" i="25" s="1"/>
  <c r="G267" i="33" s="1"/>
  <c r="H267" i="33" s="1"/>
  <c r="X26" i="6"/>
  <c r="X26" i="25" s="1"/>
  <c r="G103" i="33" s="1"/>
  <c r="H103" i="33" s="1"/>
  <c r="X27" i="6"/>
  <c r="X27" i="25" s="1"/>
  <c r="G144" i="33" s="1"/>
  <c r="H144" i="33" s="1"/>
  <c r="X29" i="6"/>
  <c r="X29" i="25" s="1"/>
  <c r="G226" i="33" s="1"/>
  <c r="H226" i="33" s="1"/>
  <c r="X25" i="6"/>
  <c r="X25" i="25" s="1"/>
  <c r="X33" i="6"/>
  <c r="X33" i="25" s="1"/>
  <c r="G390" i="33" s="1"/>
  <c r="H390" i="33" s="1"/>
  <c r="AI99" i="26"/>
  <c r="AI61" i="30"/>
  <c r="AI50" i="30" s="1"/>
  <c r="AI61" i="26"/>
  <c r="AI50" i="26" s="1"/>
  <c r="AI99" i="30"/>
  <c r="AI88" i="30" s="1"/>
  <c r="AI12" i="26"/>
  <c r="AI23" i="30"/>
  <c r="AI12" i="30" s="1"/>
  <c r="AI22" i="29"/>
  <c r="AI11" i="29" s="1"/>
  <c r="AI98" i="29"/>
  <c r="AI87" i="29" s="1"/>
  <c r="AI60" i="29"/>
  <c r="AI49" i="29" s="1"/>
  <c r="AR11" i="25"/>
  <c r="AJ2" i="22"/>
  <c r="AJ13" i="26" a="1"/>
  <c r="AJ13" i="26" s="1"/>
  <c r="P73" i="22" a="1"/>
  <c r="P73" i="22" s="1"/>
  <c r="AI55" i="29"/>
  <c r="AI44" i="29" s="1"/>
  <c r="AR6" i="25"/>
  <c r="AI17" i="29"/>
  <c r="AI6" i="29" s="1"/>
  <c r="AI93" i="29"/>
  <c r="AI82" i="29" s="1"/>
  <c r="AS7" i="6"/>
  <c r="AS5" i="6"/>
  <c r="AI58" i="26"/>
  <c r="AI20" i="30"/>
  <c r="AI58" i="30"/>
  <c r="AI96" i="30"/>
  <c r="AI96" i="26"/>
  <c r="V3" i="25"/>
  <c r="M60" i="34" s="1"/>
  <c r="M63" i="29"/>
  <c r="M41" i="29" s="1"/>
  <c r="M101" i="29"/>
  <c r="M79" i="29" s="1"/>
  <c r="M25" i="29"/>
  <c r="M3" i="29" s="1"/>
  <c r="L88" i="26"/>
  <c r="M106" i="29"/>
  <c r="M84" i="29" s="1"/>
  <c r="V8" i="25"/>
  <c r="M68" i="29"/>
  <c r="M46" i="29" s="1"/>
  <c r="M30" i="29"/>
  <c r="M8" i="29" s="1"/>
  <c r="O32" i="22"/>
  <c r="O10" i="22" s="1"/>
  <c r="O34" i="22"/>
  <c r="O44" i="22"/>
  <c r="O29" i="22"/>
  <c r="O7" i="22" s="1"/>
  <c r="O27" i="22"/>
  <c r="O5" i="22" s="1"/>
  <c r="O28" i="22"/>
  <c r="O40" i="22"/>
  <c r="O46" i="22"/>
  <c r="O24" i="22"/>
  <c r="O38" i="22"/>
  <c r="O47" i="22"/>
  <c r="O42" i="22"/>
  <c r="O43" i="22"/>
  <c r="O33" i="22"/>
  <c r="O11" i="22" s="1"/>
  <c r="O26" i="22"/>
  <c r="O4" i="22" s="1"/>
  <c r="O41" i="22"/>
  <c r="O30" i="22"/>
  <c r="O48" i="22"/>
  <c r="AJ15" i="26" a="1"/>
  <c r="AJ15" i="26" s="1"/>
  <c r="AJ4" i="22"/>
  <c r="AI96" i="29"/>
  <c r="AI85" i="29" s="1"/>
  <c r="AI58" i="29"/>
  <c r="AI47" i="29" s="1"/>
  <c r="AR9" i="25"/>
  <c r="AI20" i="29"/>
  <c r="AI9" i="29" s="1"/>
  <c r="AS4" i="6"/>
  <c r="AS3" i="6"/>
  <c r="M103" i="26"/>
  <c r="M27" i="30"/>
  <c r="M5" i="30" s="1"/>
  <c r="M103" i="30"/>
  <c r="M81" i="30" s="1"/>
  <c r="M65" i="26"/>
  <c r="M43" i="26" s="1"/>
  <c r="M65" i="30"/>
  <c r="M43" i="30" s="1"/>
  <c r="N28" i="26" a="1"/>
  <c r="N28" i="26" s="1"/>
  <c r="N6" i="22"/>
  <c r="W2" i="6"/>
  <c r="L40" i="30"/>
  <c r="M100" i="30"/>
  <c r="M62" i="30"/>
  <c r="M24" i="30"/>
  <c r="M2" i="26"/>
  <c r="M100" i="26"/>
  <c r="M62" i="26"/>
  <c r="AI89" i="29"/>
  <c r="AR2" i="25"/>
  <c r="M41" i="34" s="1"/>
  <c r="AR36" i="25"/>
  <c r="AI51" i="29"/>
  <c r="AI13" i="29"/>
  <c r="AJ8" i="22"/>
  <c r="AJ19" i="26" a="1"/>
  <c r="AJ19" i="26" s="1"/>
  <c r="AJ23" i="26" a="1"/>
  <c r="AJ23" i="26" s="1"/>
  <c r="AJ12" i="22"/>
  <c r="AJ5" i="22"/>
  <c r="AJ16" i="26" a="1"/>
  <c r="AJ16" i="26" s="1"/>
  <c r="M108" i="30"/>
  <c r="M86" i="30" s="1"/>
  <c r="M70" i="26"/>
  <c r="M48" i="26" s="1"/>
  <c r="M70" i="30"/>
  <c r="M48" i="30" s="1"/>
  <c r="M32" i="30"/>
  <c r="M10" i="30" s="1"/>
  <c r="M108" i="26"/>
  <c r="AS6" i="6"/>
  <c r="L78" i="29"/>
  <c r="L111" i="29" s="1"/>
  <c r="L113" i="29"/>
  <c r="N32" i="26" a="1"/>
  <c r="N32" i="26" s="1"/>
  <c r="N10" i="26" s="1"/>
  <c r="M105" i="26"/>
  <c r="M67" i="30"/>
  <c r="M45" i="30" s="1"/>
  <c r="M105" i="30"/>
  <c r="M83" i="30" s="1"/>
  <c r="M67" i="26"/>
  <c r="M45" i="26" s="1"/>
  <c r="M29" i="30"/>
  <c r="M7" i="30" s="1"/>
  <c r="M68" i="26"/>
  <c r="M46" i="26" s="1"/>
  <c r="M8" i="26"/>
  <c r="M68" i="30"/>
  <c r="M46" i="30" s="1"/>
  <c r="M106" i="30"/>
  <c r="M84" i="30" s="1"/>
  <c r="M106" i="26"/>
  <c r="M30" i="30"/>
  <c r="M8" i="30" s="1"/>
  <c r="L82" i="26"/>
  <c r="AJ7" i="22"/>
  <c r="AJ18" i="26" a="1"/>
  <c r="AJ18" i="26" s="1"/>
  <c r="AS9" i="6"/>
  <c r="AI23" i="29"/>
  <c r="AI12" i="29" s="1"/>
  <c r="AI61" i="29"/>
  <c r="AI50" i="29" s="1"/>
  <c r="AI99" i="29"/>
  <c r="AI88" i="29" s="1"/>
  <c r="AR12" i="25"/>
  <c r="L75" i="29"/>
  <c r="L40" i="29"/>
  <c r="L73" i="29" s="1"/>
  <c r="N34" i="26" a="1"/>
  <c r="N34" i="26" s="1"/>
  <c r="N12" i="22"/>
  <c r="N27" i="26" a="1"/>
  <c r="N27" i="26" s="1"/>
  <c r="N5" i="26" s="1"/>
  <c r="L84" i="26"/>
  <c r="W12" i="6"/>
  <c r="AI54" i="26"/>
  <c r="AI43" i="26" s="1"/>
  <c r="AI54" i="30"/>
  <c r="AI43" i="30" s="1"/>
  <c r="AI5" i="26"/>
  <c r="AI16" i="30"/>
  <c r="AI5" i="30" s="1"/>
  <c r="AI92" i="26"/>
  <c r="AI92" i="30"/>
  <c r="AI81" i="30" s="1"/>
  <c r="AI16" i="29"/>
  <c r="AI5" i="29" s="1"/>
  <c r="AI92" i="29"/>
  <c r="AI81" i="29" s="1"/>
  <c r="AI54" i="29"/>
  <c r="AI43" i="29" s="1"/>
  <c r="AR5" i="25"/>
  <c r="AI97" i="26"/>
  <c r="AI97" i="30"/>
  <c r="AI86" i="30" s="1"/>
  <c r="AI21" i="30"/>
  <c r="AI10" i="30" s="1"/>
  <c r="AI10" i="26"/>
  <c r="AI59" i="26"/>
  <c r="AI48" i="26" s="1"/>
  <c r="AI59" i="30"/>
  <c r="AI48" i="30" s="1"/>
  <c r="L2" i="30"/>
  <c r="L40" i="26"/>
  <c r="AI90" i="26"/>
  <c r="AI52" i="30"/>
  <c r="AI90" i="30"/>
  <c r="AI52" i="26"/>
  <c r="AI14" i="30"/>
  <c r="AS8" i="6"/>
  <c r="M6" i="26"/>
  <c r="M66" i="30"/>
  <c r="M44" i="30" s="1"/>
  <c r="M66" i="26"/>
  <c r="M44" i="26" s="1"/>
  <c r="M28" i="30"/>
  <c r="M6" i="30" s="1"/>
  <c r="M104" i="30"/>
  <c r="M82" i="30" s="1"/>
  <c r="M104" i="26"/>
  <c r="AI89" i="30"/>
  <c r="AI13" i="30"/>
  <c r="AI2" i="26"/>
  <c r="AI51" i="30"/>
  <c r="AI36" i="26"/>
  <c r="AI51" i="26"/>
  <c r="AI89" i="26"/>
  <c r="U73" i="25"/>
  <c r="U75" i="25"/>
  <c r="N2" i="22"/>
  <c r="N24" i="26" a="1"/>
  <c r="N24" i="26" s="1"/>
  <c r="L78" i="30"/>
  <c r="AI91" i="29"/>
  <c r="AI80" i="29" s="1"/>
  <c r="AI53" i="29"/>
  <c r="AI42" i="29" s="1"/>
  <c r="AR4" i="25"/>
  <c r="AI15" i="29"/>
  <c r="AI4" i="29" s="1"/>
  <c r="AJ6" i="22"/>
  <c r="AJ17" i="26" a="1"/>
  <c r="AJ17" i="26" s="1"/>
  <c r="AJ14" i="26" a="1"/>
  <c r="AJ14" i="26" s="1"/>
  <c r="AI18" i="30"/>
  <c r="AI7" i="30" s="1"/>
  <c r="AI7" i="26"/>
  <c r="AI94" i="30"/>
  <c r="AI83" i="30" s="1"/>
  <c r="AI94" i="26"/>
  <c r="AI56" i="30"/>
  <c r="AI45" i="30" s="1"/>
  <c r="AI56" i="26"/>
  <c r="AI45" i="26" s="1"/>
  <c r="AS10" i="6"/>
  <c r="L2" i="29"/>
  <c r="L35" i="29" s="1"/>
  <c r="L37" i="29"/>
  <c r="AK12" i="25"/>
  <c r="AB23" i="29"/>
  <c r="AB12" i="29" s="1"/>
  <c r="AB61" i="29"/>
  <c r="AB50" i="29" s="1"/>
  <c r="AB99" i="29"/>
  <c r="AB88" i="29" s="1"/>
  <c r="AB96" i="26"/>
  <c r="AB58" i="30"/>
  <c r="AB96" i="30"/>
  <c r="AB20" i="30"/>
  <c r="AB58" i="26"/>
  <c r="AB22" i="29"/>
  <c r="AB11" i="29" s="1"/>
  <c r="AK11" i="25"/>
  <c r="AB98" i="29"/>
  <c r="AB87" i="29" s="1"/>
  <c r="AB60" i="29"/>
  <c r="AB49" i="29" s="1"/>
  <c r="AB17" i="30"/>
  <c r="AB93" i="30"/>
  <c r="AB82" i="30" s="1"/>
  <c r="AB55" i="26"/>
  <c r="AB55" i="30"/>
  <c r="AB93" i="26"/>
  <c r="AB6" i="26"/>
  <c r="P3" i="6"/>
  <c r="AB15" i="29"/>
  <c r="AB4" i="29" s="1"/>
  <c r="AB91" i="29"/>
  <c r="AB80" i="29" s="1"/>
  <c r="AK4" i="25"/>
  <c r="AB53" i="29"/>
  <c r="AB42" i="29" s="1"/>
  <c r="F63" i="29"/>
  <c r="F41" i="29" s="1"/>
  <c r="AU41" i="29" s="1"/>
  <c r="O3" i="25"/>
  <c r="M53" i="34" s="1"/>
  <c r="F25" i="29"/>
  <c r="F3" i="29" s="1"/>
  <c r="AU3" i="29" s="1"/>
  <c r="F101" i="29"/>
  <c r="F79" i="29" s="1"/>
  <c r="AU79" i="29" s="1"/>
  <c r="F72" i="26"/>
  <c r="F50" i="26" s="1"/>
  <c r="F72" i="30"/>
  <c r="F50" i="30" s="1"/>
  <c r="F110" i="26"/>
  <c r="F110" i="30"/>
  <c r="F88" i="30" s="1"/>
  <c r="F34" i="30"/>
  <c r="F12" i="30" s="1"/>
  <c r="F12" i="26"/>
  <c r="AC7" i="22"/>
  <c r="AC18" i="26" a="1"/>
  <c r="AC18" i="26" s="1"/>
  <c r="AC8" i="22"/>
  <c r="AC19" i="26" a="1"/>
  <c r="AC19" i="26" s="1"/>
  <c r="E82" i="26"/>
  <c r="AB93" i="29"/>
  <c r="AB82" i="29" s="1"/>
  <c r="AB17" i="29"/>
  <c r="AB6" i="29" s="1"/>
  <c r="AB55" i="29"/>
  <c r="AB44" i="29" s="1"/>
  <c r="AK6" i="25"/>
  <c r="AK36" i="25"/>
  <c r="AB13" i="29"/>
  <c r="AK2" i="25"/>
  <c r="M34" i="34" s="1"/>
  <c r="AB89" i="29"/>
  <c r="AB51" i="29"/>
  <c r="AB8" i="26"/>
  <c r="AB19" i="30"/>
  <c r="AB95" i="30"/>
  <c r="AB84" i="30" s="1"/>
  <c r="AB57" i="30"/>
  <c r="AB57" i="26"/>
  <c r="AB95" i="26"/>
  <c r="G71" i="29"/>
  <c r="G49" i="29" s="1"/>
  <c r="G33" i="29"/>
  <c r="G11" i="29" s="1"/>
  <c r="P8" i="6"/>
  <c r="F29" i="30"/>
  <c r="F7" i="30" s="1"/>
  <c r="AU5" i="30" s="1"/>
  <c r="F67" i="30"/>
  <c r="F45" i="30" s="1"/>
  <c r="AU43" i="30" s="1"/>
  <c r="F105" i="30"/>
  <c r="F83" i="30" s="1"/>
  <c r="AU81" i="30" s="1"/>
  <c r="F7" i="26"/>
  <c r="F67" i="26"/>
  <c r="F45" i="26" s="1"/>
  <c r="AU43" i="26" s="1"/>
  <c r="F105" i="26"/>
  <c r="O8" i="25"/>
  <c r="F106" i="29"/>
  <c r="F84" i="29" s="1"/>
  <c r="AU82" i="29" s="1"/>
  <c r="F68" i="29"/>
  <c r="F46" i="29" s="1"/>
  <c r="AU44" i="29" s="1"/>
  <c r="F30" i="29"/>
  <c r="F8" i="29" s="1"/>
  <c r="AU6" i="29" s="1"/>
  <c r="AL7" i="6"/>
  <c r="AL6" i="6"/>
  <c r="G32" i="26" a="1"/>
  <c r="G32" i="26" s="1"/>
  <c r="G10" i="26" s="1"/>
  <c r="E88" i="26"/>
  <c r="AL4" i="6"/>
  <c r="G6" i="22"/>
  <c r="G28" i="26" a="1"/>
  <c r="G28" i="26" s="1"/>
  <c r="AF72" i="22" a="1"/>
  <c r="AF72" i="22" s="1"/>
  <c r="AC6" i="22"/>
  <c r="AC17" i="26" a="1"/>
  <c r="AC17" i="26" s="1"/>
  <c r="AD43" i="22"/>
  <c r="AD44" i="22"/>
  <c r="AD47" i="22"/>
  <c r="AD46" i="22"/>
  <c r="AD42" i="22"/>
  <c r="AD41" i="22"/>
  <c r="AD48" i="22"/>
  <c r="AD38" i="22"/>
  <c r="AD40" i="22"/>
  <c r="AD23" i="22"/>
  <c r="AD15" i="22"/>
  <c r="AD22" i="22"/>
  <c r="AD18" i="22"/>
  <c r="AD21" i="22"/>
  <c r="AD16" i="22"/>
  <c r="AD19" i="22"/>
  <c r="AD17" i="22"/>
  <c r="AD20" i="22"/>
  <c r="AD14" i="22"/>
  <c r="AD13" i="22"/>
  <c r="AL5" i="6"/>
  <c r="G31" i="26" a="1"/>
  <c r="G31" i="26" s="1"/>
  <c r="G9" i="26" s="1"/>
  <c r="G12" i="22"/>
  <c r="G34" i="26" a="1"/>
  <c r="G34" i="26" s="1"/>
  <c r="AB94" i="29"/>
  <c r="AB83" i="29" s="1"/>
  <c r="AB56" i="29"/>
  <c r="AB45" i="29" s="1"/>
  <c r="AK7" i="25"/>
  <c r="AB18" i="29"/>
  <c r="AB7" i="29" s="1"/>
  <c r="AB96" i="29"/>
  <c r="AB85" i="29" s="1"/>
  <c r="AB20" i="29"/>
  <c r="AB9" i="29" s="1"/>
  <c r="AB58" i="29"/>
  <c r="AB47" i="29" s="1"/>
  <c r="AK9" i="25"/>
  <c r="F102" i="30"/>
  <c r="F80" i="30" s="1"/>
  <c r="F64" i="26"/>
  <c r="F42" i="26" s="1"/>
  <c r="F64" i="30"/>
  <c r="F42" i="30" s="1"/>
  <c r="F102" i="26"/>
  <c r="F26" i="30"/>
  <c r="F4" i="30" s="1"/>
  <c r="G32" i="29"/>
  <c r="G10" i="29" s="1"/>
  <c r="G108" i="29"/>
  <c r="G86" i="29" s="1"/>
  <c r="G70" i="29"/>
  <c r="G48" i="29" s="1"/>
  <c r="F63" i="30"/>
  <c r="F41" i="30" s="1"/>
  <c r="F63" i="26"/>
  <c r="F41" i="26" s="1"/>
  <c r="F25" i="30"/>
  <c r="F3" i="30" s="1"/>
  <c r="F101" i="30"/>
  <c r="F79" i="30" s="1"/>
  <c r="F3" i="26"/>
  <c r="F101" i="26"/>
  <c r="AL2" i="6"/>
  <c r="G2" i="22"/>
  <c r="G24" i="26" a="1"/>
  <c r="G24" i="26" s="1"/>
  <c r="AM19" i="6"/>
  <c r="AM19" i="25" s="1"/>
  <c r="G733" i="33" s="1"/>
  <c r="H733" i="33" s="1"/>
  <c r="AM17" i="6"/>
  <c r="AM17" i="25" s="1"/>
  <c r="G651" i="33" s="1"/>
  <c r="H651" i="33" s="1"/>
  <c r="AM22" i="6"/>
  <c r="AM22" i="25" s="1"/>
  <c r="G856" i="33" s="1"/>
  <c r="H856" i="33" s="1"/>
  <c r="AM15" i="6"/>
  <c r="AM15" i="25" s="1"/>
  <c r="G569" i="33" s="1"/>
  <c r="H569" i="33" s="1"/>
  <c r="AM23" i="6"/>
  <c r="AM23" i="25" s="1"/>
  <c r="G897" i="33" s="1"/>
  <c r="H897" i="33" s="1"/>
  <c r="AM20" i="6"/>
  <c r="AM20" i="25" s="1"/>
  <c r="G774" i="33" s="1"/>
  <c r="H774" i="33" s="1"/>
  <c r="AM21" i="6"/>
  <c r="AM21" i="25" s="1"/>
  <c r="G815" i="33" s="1"/>
  <c r="H815" i="33" s="1"/>
  <c r="AM18" i="6"/>
  <c r="AM18" i="25" s="1"/>
  <c r="G692" i="33" s="1"/>
  <c r="H692" i="33" s="1"/>
  <c r="AM13" i="6"/>
  <c r="AM13" i="25" s="1"/>
  <c r="AM14" i="6"/>
  <c r="AM14" i="25" s="1"/>
  <c r="AM16" i="6"/>
  <c r="AM16" i="25" s="1"/>
  <c r="G610" i="33" s="1"/>
  <c r="H610" i="33" s="1"/>
  <c r="F108" i="30"/>
  <c r="F86" i="30" s="1"/>
  <c r="AU84" i="30" s="1"/>
  <c r="F108" i="26"/>
  <c r="F32" i="30"/>
  <c r="F10" i="30" s="1"/>
  <c r="AU8" i="30" s="1"/>
  <c r="F70" i="26"/>
  <c r="F48" i="26" s="1"/>
  <c r="AU46" i="26" s="1"/>
  <c r="F70" i="30"/>
  <c r="F48" i="30" s="1"/>
  <c r="AU46" i="30" s="1"/>
  <c r="AC10" i="22"/>
  <c r="AC21" i="26" a="1"/>
  <c r="AC21" i="26" s="1"/>
  <c r="E79" i="26"/>
  <c r="F104" i="29"/>
  <c r="F82" i="29" s="1"/>
  <c r="AU80" i="29" s="1"/>
  <c r="F66" i="29"/>
  <c r="F44" i="29" s="1"/>
  <c r="AU42" i="29" s="1"/>
  <c r="F28" i="29"/>
  <c r="F6" i="29" s="1"/>
  <c r="AU4" i="29" s="1"/>
  <c r="O6" i="25"/>
  <c r="Q28" i="6"/>
  <c r="Q28" i="25" s="1"/>
  <c r="G178" i="33" s="1"/>
  <c r="H178" i="33" s="1"/>
  <c r="Q25" i="6"/>
  <c r="Q25" i="25" s="1"/>
  <c r="Q30" i="6"/>
  <c r="Q30" i="25" s="1"/>
  <c r="G260" i="33" s="1"/>
  <c r="H260" i="33" s="1"/>
  <c r="Q34" i="6"/>
  <c r="Q34" i="25" s="1"/>
  <c r="G424" i="33" s="1"/>
  <c r="H424" i="33" s="1"/>
  <c r="Q24" i="6"/>
  <c r="Q24" i="25" s="1"/>
  <c r="Q33" i="6"/>
  <c r="Q33" i="25" s="1"/>
  <c r="G383" i="33" s="1"/>
  <c r="H383" i="33" s="1"/>
  <c r="Q26" i="6"/>
  <c r="Q26" i="25" s="1"/>
  <c r="G96" i="33" s="1"/>
  <c r="H96" i="33" s="1"/>
  <c r="Q27" i="6"/>
  <c r="Q27" i="25" s="1"/>
  <c r="G137" i="33" s="1"/>
  <c r="H137" i="33" s="1"/>
  <c r="Q32" i="6"/>
  <c r="Q32" i="25" s="1"/>
  <c r="G342" i="33" s="1"/>
  <c r="H342" i="33" s="1"/>
  <c r="Q29" i="6"/>
  <c r="Q29" i="25" s="1"/>
  <c r="G219" i="33" s="1"/>
  <c r="H219" i="33" s="1"/>
  <c r="Q31" i="6"/>
  <c r="Q31" i="25" s="1"/>
  <c r="G301" i="33" s="1"/>
  <c r="H301" i="33" s="1"/>
  <c r="AB53" i="30"/>
  <c r="AB15" i="30"/>
  <c r="AB91" i="30"/>
  <c r="AB80" i="30" s="1"/>
  <c r="AB91" i="26"/>
  <c r="AB53" i="26"/>
  <c r="AB4" i="26"/>
  <c r="AB7" i="26"/>
  <c r="AB94" i="30"/>
  <c r="AB83" i="30" s="1"/>
  <c r="AB56" i="26"/>
  <c r="AB56" i="30"/>
  <c r="AB18" i="30"/>
  <c r="AB94" i="26"/>
  <c r="AL9" i="6"/>
  <c r="G33" i="26" a="1"/>
  <c r="G33" i="26" s="1"/>
  <c r="G11" i="26" s="1"/>
  <c r="G8" i="22"/>
  <c r="G30" i="26" a="1"/>
  <c r="G30" i="26" s="1"/>
  <c r="AB36" i="26"/>
  <c r="AB2" i="26"/>
  <c r="AB89" i="30"/>
  <c r="AB89" i="26"/>
  <c r="AB13" i="30"/>
  <c r="AB51" i="30"/>
  <c r="AB51" i="26"/>
  <c r="E113" i="26"/>
  <c r="E84" i="26"/>
  <c r="F103" i="26"/>
  <c r="F65" i="26"/>
  <c r="F43" i="26" s="1"/>
  <c r="F103" i="30"/>
  <c r="F81" i="30" s="1"/>
  <c r="F27" i="30"/>
  <c r="F5" i="30" s="1"/>
  <c r="F65" i="30"/>
  <c r="F43" i="30" s="1"/>
  <c r="AE72" i="22" a="1"/>
  <c r="AE72" i="22" s="1"/>
  <c r="AB97" i="29"/>
  <c r="AB86" i="29" s="1"/>
  <c r="AB21" i="29"/>
  <c r="AB10" i="29" s="1"/>
  <c r="AK10" i="25"/>
  <c r="AB59" i="29"/>
  <c r="AB48" i="29" s="1"/>
  <c r="AL10" i="6"/>
  <c r="G26" i="26" a="1"/>
  <c r="G26" i="26" s="1"/>
  <c r="G4" i="26" s="1"/>
  <c r="G3" i="22"/>
  <c r="G25" i="26" a="1"/>
  <c r="G25" i="26" s="1"/>
  <c r="AB90" i="26"/>
  <c r="AB90" i="30"/>
  <c r="AB52" i="30"/>
  <c r="AB52" i="26"/>
  <c r="AB14" i="30"/>
  <c r="AC2" i="22"/>
  <c r="AC13" i="26" a="1"/>
  <c r="AC13" i="26" s="1"/>
  <c r="AC15" i="26" a="1"/>
  <c r="AC15" i="26" s="1"/>
  <c r="AC4" i="22"/>
  <c r="AA67" i="22"/>
  <c r="L67" i="22"/>
  <c r="Z61" i="22"/>
  <c r="AL3" i="6"/>
  <c r="AL11" i="6"/>
  <c r="G29" i="26" a="1"/>
  <c r="G29" i="26" s="1"/>
  <c r="G7" i="26" s="1"/>
  <c r="AC20" i="26" a="1"/>
  <c r="AC20" i="26" s="1"/>
  <c r="AC12" i="22"/>
  <c r="AC23" i="26" a="1"/>
  <c r="AC23" i="26" s="1"/>
  <c r="AJ31" i="22"/>
  <c r="AJ9" i="22" s="1"/>
  <c r="AJ61" i="22"/>
  <c r="AJ45" i="22"/>
  <c r="F28" i="30"/>
  <c r="F6" i="30" s="1"/>
  <c r="AU4" i="30" s="1"/>
  <c r="F66" i="26"/>
  <c r="F44" i="26" s="1"/>
  <c r="AU42" i="26" s="1"/>
  <c r="F104" i="30"/>
  <c r="F82" i="30" s="1"/>
  <c r="AU80" i="30" s="1"/>
  <c r="F6" i="26"/>
  <c r="F66" i="30"/>
  <c r="F44" i="30" s="1"/>
  <c r="AU42" i="30" s="1"/>
  <c r="F104" i="26"/>
  <c r="F72" i="29"/>
  <c r="F50" i="29" s="1"/>
  <c r="O12" i="25"/>
  <c r="F34" i="29"/>
  <c r="F12" i="29" s="1"/>
  <c r="F110" i="29"/>
  <c r="F88" i="29" s="1"/>
  <c r="P2" i="6"/>
  <c r="H34" i="22"/>
  <c r="H30" i="22"/>
  <c r="H24" i="22"/>
  <c r="H25" i="22"/>
  <c r="H28" i="22"/>
  <c r="H29" i="22"/>
  <c r="H7" i="22" s="1"/>
  <c r="H32" i="22"/>
  <c r="H10" i="22" s="1"/>
  <c r="H27" i="22"/>
  <c r="H5" i="22" s="1"/>
  <c r="H26" i="22"/>
  <c r="H4" i="22" s="1"/>
  <c r="H33" i="22"/>
  <c r="H11" i="22" s="1"/>
  <c r="H31" i="22"/>
  <c r="H9" i="22" s="1"/>
  <c r="AB59" i="30"/>
  <c r="AB97" i="30"/>
  <c r="AB86" i="30" s="1"/>
  <c r="AB10" i="26"/>
  <c r="AB21" i="30"/>
  <c r="AB97" i="26"/>
  <c r="AB59" i="26"/>
  <c r="AL12" i="6"/>
  <c r="AL8" i="6"/>
  <c r="G27" i="26" a="1"/>
  <c r="G27" i="26" s="1"/>
  <c r="G5" i="26" s="1"/>
  <c r="I30" i="22"/>
  <c r="I28" i="22"/>
  <c r="I34" i="22"/>
  <c r="I24" i="22"/>
  <c r="I25" i="22"/>
  <c r="I29" i="22"/>
  <c r="I7" i="22" s="1"/>
  <c r="I31" i="22"/>
  <c r="I9" i="22" s="1"/>
  <c r="I32" i="22"/>
  <c r="I10" i="22" s="1"/>
  <c r="I33" i="22"/>
  <c r="I11" i="22" s="1"/>
  <c r="I27" i="22"/>
  <c r="I5" i="22" s="1"/>
  <c r="I26" i="22"/>
  <c r="I4" i="22" s="1"/>
  <c r="AB92" i="30"/>
  <c r="AB81" i="30" s="1"/>
  <c r="AB5" i="26"/>
  <c r="AB54" i="26"/>
  <c r="AB16" i="30"/>
  <c r="AB54" i="30"/>
  <c r="AB92" i="26"/>
  <c r="AB11" i="26"/>
  <c r="AB98" i="30"/>
  <c r="AB87" i="30" s="1"/>
  <c r="AB60" i="30"/>
  <c r="AB22" i="30"/>
  <c r="AB60" i="26"/>
  <c r="AB98" i="26"/>
  <c r="AC14" i="26" a="1"/>
  <c r="AC14" i="26" s="1"/>
  <c r="AC5" i="22"/>
  <c r="AC16" i="26" a="1"/>
  <c r="AC16" i="26" s="1"/>
  <c r="AK5" i="25"/>
  <c r="AB16" i="29"/>
  <c r="AB5" i="29" s="1"/>
  <c r="AB54" i="29"/>
  <c r="AB43" i="29" s="1"/>
  <c r="AB92" i="29"/>
  <c r="AB81" i="29" s="1"/>
  <c r="F8" i="26"/>
  <c r="F30" i="30"/>
  <c r="F8" i="30" s="1"/>
  <c r="AU6" i="30" s="1"/>
  <c r="F68" i="26"/>
  <c r="F46" i="26" s="1"/>
  <c r="AU44" i="26" s="1"/>
  <c r="F106" i="30"/>
  <c r="F84" i="30" s="1"/>
  <c r="AU82" i="30" s="1"/>
  <c r="F68" i="30"/>
  <c r="F46" i="30" s="1"/>
  <c r="AU44" i="30" s="1"/>
  <c r="F106" i="26"/>
  <c r="AB99" i="30"/>
  <c r="AB88" i="30" s="1"/>
  <c r="AB23" i="30"/>
  <c r="AB61" i="30"/>
  <c r="AB61" i="26"/>
  <c r="AB99" i="26"/>
  <c r="AB12" i="26"/>
  <c r="P6" i="6"/>
  <c r="F37" i="26"/>
  <c r="F2" i="26"/>
  <c r="F100" i="26"/>
  <c r="F100" i="30"/>
  <c r="F24" i="30"/>
  <c r="F62" i="30"/>
  <c r="F62" i="26"/>
  <c r="R34" i="6"/>
  <c r="R34" i="25" s="1"/>
  <c r="G425" i="33" s="1"/>
  <c r="H425" i="33" s="1"/>
  <c r="R30" i="6"/>
  <c r="R30" i="25" s="1"/>
  <c r="G261" i="33" s="1"/>
  <c r="H261" i="33" s="1"/>
  <c r="R28" i="6"/>
  <c r="R28" i="25" s="1"/>
  <c r="G179" i="33" s="1"/>
  <c r="H179" i="33" s="1"/>
  <c r="R25" i="6"/>
  <c r="R25" i="25" s="1"/>
  <c r="R24" i="6"/>
  <c r="R24" i="25" s="1"/>
  <c r="R29" i="6"/>
  <c r="R29" i="25" s="1"/>
  <c r="G220" i="33" s="1"/>
  <c r="H220" i="33" s="1"/>
  <c r="R32" i="6"/>
  <c r="R32" i="25" s="1"/>
  <c r="G343" i="33" s="1"/>
  <c r="H343" i="33" s="1"/>
  <c r="R31" i="6"/>
  <c r="R31" i="25" s="1"/>
  <c r="G302" i="33" s="1"/>
  <c r="H302" i="33" s="1"/>
  <c r="R27" i="6"/>
  <c r="R27" i="25" s="1"/>
  <c r="G138" i="33" s="1"/>
  <c r="H138" i="33" s="1"/>
  <c r="R33" i="6"/>
  <c r="R33" i="25" s="1"/>
  <c r="G384" i="33" s="1"/>
  <c r="H384" i="33" s="1"/>
  <c r="R26" i="6"/>
  <c r="R26" i="25" s="1"/>
  <c r="G97" i="33" s="1"/>
  <c r="H97" i="33" s="1"/>
  <c r="AK3" i="25"/>
  <c r="M75" i="34" s="1"/>
  <c r="AB14" i="29"/>
  <c r="AB3" i="29" s="1"/>
  <c r="AB90" i="29"/>
  <c r="AB79" i="29" s="1"/>
  <c r="AB52" i="29"/>
  <c r="AB41" i="29" s="1"/>
  <c r="AC22" i="26" a="1"/>
  <c r="AC22" i="26" s="1"/>
  <c r="AC11" i="22"/>
  <c r="F107" i="26"/>
  <c r="F107" i="30"/>
  <c r="F85" i="30" s="1"/>
  <c r="AU83" i="30" s="1"/>
  <c r="F69" i="26"/>
  <c r="F47" i="26" s="1"/>
  <c r="AU45" i="26" s="1"/>
  <c r="F69" i="30"/>
  <c r="F47" i="30" s="1"/>
  <c r="AU45" i="30" s="1"/>
  <c r="F31" i="30"/>
  <c r="F9" i="30" s="1"/>
  <c r="AU7" i="30" s="1"/>
  <c r="AB19" i="29"/>
  <c r="AB8" i="29" s="1"/>
  <c r="AB95" i="29"/>
  <c r="AB84" i="29" s="1"/>
  <c r="AB57" i="29"/>
  <c r="AB46" i="29" s="1"/>
  <c r="AK8" i="25"/>
  <c r="F109" i="26"/>
  <c r="F71" i="26"/>
  <c r="F49" i="26" s="1"/>
  <c r="AU47" i="26" s="1"/>
  <c r="F71" i="30"/>
  <c r="F49" i="30" s="1"/>
  <c r="AU47" i="30" s="1"/>
  <c r="F109" i="30"/>
  <c r="F87" i="30" s="1"/>
  <c r="AU85" i="30" s="1"/>
  <c r="F33" i="30"/>
  <c r="F11" i="30" s="1"/>
  <c r="AU9" i="30" s="1"/>
  <c r="F67" i="29"/>
  <c r="F45" i="29" s="1"/>
  <c r="AU43" i="29" s="1"/>
  <c r="O7" i="25"/>
  <c r="F29" i="29"/>
  <c r="F7" i="29" s="1"/>
  <c r="AU5" i="29" s="1"/>
  <c r="F105" i="29"/>
  <c r="F83" i="29" s="1"/>
  <c r="AU81" i="29" s="1"/>
  <c r="G31" i="29"/>
  <c r="G9" i="29" s="1"/>
  <c r="P12" i="6"/>
  <c r="O37" i="25"/>
  <c r="O2" i="25"/>
  <c r="M12" i="34" s="1"/>
  <c r="F100" i="29"/>
  <c r="F24" i="29"/>
  <c r="F62" i="29"/>
  <c r="S32" i="33" l="1"/>
  <c r="S49" i="33" s="1"/>
  <c r="Y34" i="33"/>
  <c r="Y51" i="33" s="1"/>
  <c r="S33" i="33"/>
  <c r="S50" i="33" s="1"/>
  <c r="H493" i="33"/>
  <c r="Y3" i="33"/>
  <c r="Y13" i="33" s="1"/>
  <c r="Y35" i="33"/>
  <c r="Y52" i="33" s="1"/>
  <c r="L143" i="34"/>
  <c r="H534" i="33"/>
  <c r="Y33" i="33" s="1"/>
  <c r="H61" i="33"/>
  <c r="H486" i="33"/>
  <c r="L136" i="34"/>
  <c r="H54" i="33" s="1"/>
  <c r="BD3" i="25"/>
  <c r="L102" i="34"/>
  <c r="L95" i="34"/>
  <c r="H13" i="33" s="1"/>
  <c r="M94" i="34"/>
  <c r="M135" i="34"/>
  <c r="BD2" i="25"/>
  <c r="M142" i="34"/>
  <c r="M101" i="34"/>
  <c r="H60" i="33"/>
  <c r="M116" i="34"/>
  <c r="M157" i="34"/>
  <c r="G15" i="33"/>
  <c r="D97" i="34"/>
  <c r="J97" i="34"/>
  <c r="G56" i="33"/>
  <c r="J138" i="34"/>
  <c r="D138" i="34"/>
  <c r="G14" i="33"/>
  <c r="J96" i="34"/>
  <c r="D96" i="34"/>
  <c r="G55" i="33"/>
  <c r="J137" i="34"/>
  <c r="D137" i="34"/>
  <c r="G528" i="33"/>
  <c r="D77" i="34"/>
  <c r="L77" i="34" s="1"/>
  <c r="G487" i="33"/>
  <c r="D36" i="34"/>
  <c r="L36" i="34" s="1"/>
  <c r="G62" i="33"/>
  <c r="J144" i="34"/>
  <c r="D144" i="34"/>
  <c r="G21" i="33"/>
  <c r="J103" i="34"/>
  <c r="D103" i="34"/>
  <c r="M123" i="34"/>
  <c r="M164" i="34"/>
  <c r="N108" i="29"/>
  <c r="N86" i="29" s="1"/>
  <c r="N27" i="29"/>
  <c r="N5" i="29" s="1"/>
  <c r="G65" i="29"/>
  <c r="G43" i="29" s="1"/>
  <c r="G64" i="29"/>
  <c r="G42" i="29" s="1"/>
  <c r="N103" i="29"/>
  <c r="N81" i="29" s="1"/>
  <c r="G102" i="29"/>
  <c r="G80" i="29" s="1"/>
  <c r="G27" i="29"/>
  <c r="G5" i="29" s="1"/>
  <c r="G103" i="29"/>
  <c r="G81" i="29" s="1"/>
  <c r="G105" i="29"/>
  <c r="G83" i="29" s="1"/>
  <c r="G29" i="29"/>
  <c r="G7" i="29" s="1"/>
  <c r="AB49" i="26"/>
  <c r="AB11" i="30"/>
  <c r="AB49" i="30"/>
  <c r="AB43" i="30"/>
  <c r="AB5" i="30"/>
  <c r="AB43" i="26"/>
  <c r="AB48" i="26"/>
  <c r="AB10" i="30"/>
  <c r="AB48" i="30"/>
  <c r="AB7" i="30"/>
  <c r="AB45" i="30"/>
  <c r="AB45" i="26"/>
  <c r="AB42" i="26"/>
  <c r="AB4" i="30"/>
  <c r="AB42" i="30"/>
  <c r="N109" i="29"/>
  <c r="N87" i="29" s="1"/>
  <c r="N105" i="29"/>
  <c r="N83" i="29" s="1"/>
  <c r="N32" i="29"/>
  <c r="N10" i="29" s="1"/>
  <c r="N102" i="29"/>
  <c r="N80" i="29" s="1"/>
  <c r="AU79" i="30"/>
  <c r="AU41" i="26"/>
  <c r="AU41" i="30"/>
  <c r="N67" i="29"/>
  <c r="N45" i="29" s="1"/>
  <c r="E111" i="26"/>
  <c r="G107" i="29"/>
  <c r="G85" i="29" s="1"/>
  <c r="G67" i="29"/>
  <c r="G45" i="29" s="1"/>
  <c r="AU3" i="30"/>
  <c r="N31" i="29"/>
  <c r="N9" i="29" s="1"/>
  <c r="N65" i="29"/>
  <c r="N43" i="29" s="1"/>
  <c r="N7" i="26"/>
  <c r="N11" i="26"/>
  <c r="G69" i="29"/>
  <c r="G47" i="29" s="1"/>
  <c r="G109" i="29"/>
  <c r="G87" i="29" s="1"/>
  <c r="N70" i="29"/>
  <c r="N48" i="29" s="1"/>
  <c r="N26" i="29"/>
  <c r="N4" i="29" s="1"/>
  <c r="N71" i="29"/>
  <c r="N49" i="29" s="1"/>
  <c r="N29" i="29"/>
  <c r="N7" i="29" s="1"/>
  <c r="N33" i="29"/>
  <c r="N11" i="29" s="1"/>
  <c r="N107" i="29"/>
  <c r="N85" i="29" s="1"/>
  <c r="N69" i="29"/>
  <c r="N47" i="29" s="1"/>
  <c r="F87" i="26"/>
  <c r="R11" i="25"/>
  <c r="R11" i="6"/>
  <c r="R5" i="25"/>
  <c r="R5" i="6"/>
  <c r="R10" i="25"/>
  <c r="R10" i="6"/>
  <c r="F81" i="26"/>
  <c r="Q10" i="25"/>
  <c r="Q10" i="6"/>
  <c r="Q5" i="25"/>
  <c r="Q5" i="6"/>
  <c r="Q11" i="25"/>
  <c r="Q11" i="6"/>
  <c r="F86" i="26"/>
  <c r="M86" i="26"/>
  <c r="M81" i="26"/>
  <c r="X11" i="25"/>
  <c r="X11" i="6"/>
  <c r="X5" i="25"/>
  <c r="X5" i="6"/>
  <c r="X10" i="25"/>
  <c r="X10" i="6"/>
  <c r="M87" i="26"/>
  <c r="R7" i="25"/>
  <c r="R7" i="6"/>
  <c r="M83" i="26"/>
  <c r="X7" i="25"/>
  <c r="X7" i="6"/>
  <c r="Q4" i="25"/>
  <c r="Q4" i="6"/>
  <c r="X4" i="25"/>
  <c r="X4" i="6"/>
  <c r="M80" i="26"/>
  <c r="R9" i="25"/>
  <c r="R9" i="6"/>
  <c r="G26" i="29"/>
  <c r="G4" i="29" s="1"/>
  <c r="F80" i="26"/>
  <c r="X9" i="25"/>
  <c r="X9" i="6"/>
  <c r="F85" i="26"/>
  <c r="R4" i="25"/>
  <c r="R4" i="6"/>
  <c r="Q9" i="25"/>
  <c r="Q9" i="6"/>
  <c r="N64" i="29"/>
  <c r="N42" i="29" s="1"/>
  <c r="Q7" i="25"/>
  <c r="Q7" i="6"/>
  <c r="V35" i="25"/>
  <c r="AR35" i="25"/>
  <c r="AI112" i="26"/>
  <c r="AI78" i="26"/>
  <c r="M78" i="26"/>
  <c r="O30" i="26" a="1"/>
  <c r="O30" i="26" s="1"/>
  <c r="O8" i="22"/>
  <c r="O24" i="26" a="1"/>
  <c r="O24" i="26" s="1"/>
  <c r="O2" i="22"/>
  <c r="O32" i="26" a="1"/>
  <c r="O32" i="26" s="1"/>
  <c r="O10" i="26" s="1"/>
  <c r="AI87" i="26"/>
  <c r="N68" i="30"/>
  <c r="N46" i="30" s="1"/>
  <c r="N106" i="26"/>
  <c r="N30" i="30"/>
  <c r="N8" i="30" s="1"/>
  <c r="N68" i="26"/>
  <c r="N46" i="26" s="1"/>
  <c r="N8" i="26"/>
  <c r="N106" i="30"/>
  <c r="N84" i="30" s="1"/>
  <c r="AI80" i="26"/>
  <c r="AJ10" i="26"/>
  <c r="AJ59" i="26"/>
  <c r="AJ48" i="26" s="1"/>
  <c r="BA46" i="26" s="1"/>
  <c r="AJ97" i="30"/>
  <c r="AJ86" i="30" s="1"/>
  <c r="BA84" i="30" s="1"/>
  <c r="AJ21" i="30"/>
  <c r="AJ10" i="30" s="1"/>
  <c r="BA8" i="30" s="1"/>
  <c r="AJ59" i="30"/>
  <c r="AJ48" i="30" s="1"/>
  <c r="BA46" i="30" s="1"/>
  <c r="AJ97" i="26"/>
  <c r="AI40" i="26"/>
  <c r="AI74" i="26"/>
  <c r="N65" i="30"/>
  <c r="N43" i="30" s="1"/>
  <c r="N65" i="26"/>
  <c r="N43" i="26" s="1"/>
  <c r="N27" i="30"/>
  <c r="N5" i="30" s="1"/>
  <c r="N103" i="30"/>
  <c r="N81" i="30" s="1"/>
  <c r="N103" i="26"/>
  <c r="AI36" i="29"/>
  <c r="AI2" i="29"/>
  <c r="AI35" i="29" s="1"/>
  <c r="AJ15" i="29"/>
  <c r="AJ4" i="29" s="1"/>
  <c r="AJ53" i="29"/>
  <c r="AJ42" i="29" s="1"/>
  <c r="AS4" i="25"/>
  <c r="AJ91" i="29"/>
  <c r="AJ80" i="29" s="1"/>
  <c r="X8" i="6"/>
  <c r="M78" i="29"/>
  <c r="M111" i="29" s="1"/>
  <c r="M113" i="29"/>
  <c r="N30" i="29"/>
  <c r="N8" i="29" s="1"/>
  <c r="N106" i="29"/>
  <c r="N84" i="29" s="1"/>
  <c r="N68" i="29"/>
  <c r="N46" i="29" s="1"/>
  <c r="W8" i="25"/>
  <c r="AJ98" i="29"/>
  <c r="AJ87" i="29" s="1"/>
  <c r="BA85" i="29" s="1"/>
  <c r="AJ22" i="29"/>
  <c r="AJ11" i="29" s="1"/>
  <c r="BA9" i="29" s="1"/>
  <c r="AJ60" i="29"/>
  <c r="AJ49" i="29" s="1"/>
  <c r="BA47" i="29" s="1"/>
  <c r="AS11" i="25"/>
  <c r="AJ58" i="29"/>
  <c r="AJ47" i="29" s="1"/>
  <c r="BA45" i="29" s="1"/>
  <c r="AJ96" i="29"/>
  <c r="AJ85" i="29" s="1"/>
  <c r="BA83" i="29" s="1"/>
  <c r="AJ20" i="29"/>
  <c r="AJ9" i="29" s="1"/>
  <c r="BA7" i="29" s="1"/>
  <c r="AS9" i="25"/>
  <c r="AJ57" i="30"/>
  <c r="AJ46" i="30" s="1"/>
  <c r="BA44" i="30" s="1"/>
  <c r="AJ57" i="26"/>
  <c r="AJ46" i="26" s="1"/>
  <c r="BA44" i="26" s="1"/>
  <c r="AJ8" i="26"/>
  <c r="AJ19" i="30"/>
  <c r="AJ8" i="30" s="1"/>
  <c r="BA6" i="30" s="1"/>
  <c r="AJ95" i="30"/>
  <c r="AJ84" i="30" s="1"/>
  <c r="BA82" i="30" s="1"/>
  <c r="AJ95" i="26"/>
  <c r="AI74" i="29"/>
  <c r="AI40" i="29"/>
  <c r="AI73" i="29" s="1"/>
  <c r="M2" i="30"/>
  <c r="W2" i="25"/>
  <c r="M20" i="34" s="1"/>
  <c r="N62" i="29"/>
  <c r="W37" i="25"/>
  <c r="N24" i="29"/>
  <c r="N100" i="29"/>
  <c r="O26" i="26" a="1"/>
  <c r="O26" i="26" s="1"/>
  <c r="O4" i="26" s="1"/>
  <c r="AJ51" i="30"/>
  <c r="AJ89" i="30"/>
  <c r="AJ51" i="26"/>
  <c r="AJ36" i="26"/>
  <c r="AJ2" i="26"/>
  <c r="AJ89" i="26"/>
  <c r="AJ13" i="30"/>
  <c r="M40" i="29"/>
  <c r="M73" i="29" s="1"/>
  <c r="M75" i="29"/>
  <c r="N105" i="26"/>
  <c r="N105" i="30"/>
  <c r="N83" i="30" s="1"/>
  <c r="N67" i="30"/>
  <c r="N45" i="30" s="1"/>
  <c r="N67" i="26"/>
  <c r="N45" i="26" s="1"/>
  <c r="N29" i="30"/>
  <c r="N104" i="29"/>
  <c r="N82" i="29" s="1"/>
  <c r="N66" i="29"/>
  <c r="N44" i="29" s="1"/>
  <c r="W6" i="25"/>
  <c r="N28" i="29"/>
  <c r="N6" i="29" s="1"/>
  <c r="AJ59" i="29"/>
  <c r="AJ48" i="29" s="1"/>
  <c r="BA46" i="29" s="1"/>
  <c r="AS10" i="25"/>
  <c r="AJ97" i="29"/>
  <c r="AJ86" i="29" s="1"/>
  <c r="BA84" i="29" s="1"/>
  <c r="AJ21" i="29"/>
  <c r="AJ10" i="29" s="1"/>
  <c r="BA8" i="29" s="1"/>
  <c r="AI40" i="30"/>
  <c r="AI74" i="30"/>
  <c r="M40" i="30"/>
  <c r="O33" i="26" a="1"/>
  <c r="O33" i="26" s="1"/>
  <c r="O11" i="26" s="1"/>
  <c r="O6" i="22"/>
  <c r="O28" i="26" a="1"/>
  <c r="O28" i="26" s="1"/>
  <c r="AJ16" i="29"/>
  <c r="AJ5" i="29" s="1"/>
  <c r="AJ92" i="29"/>
  <c r="AJ81" i="29" s="1"/>
  <c r="AS5" i="25"/>
  <c r="AJ54" i="29"/>
  <c r="AJ43" i="29" s="1"/>
  <c r="AI88" i="26"/>
  <c r="X2" i="6"/>
  <c r="AI84" i="26"/>
  <c r="AJ61" i="29"/>
  <c r="AJ50" i="29" s="1"/>
  <c r="AJ99" i="29"/>
  <c r="AJ88" i="29" s="1"/>
  <c r="AS12" i="25"/>
  <c r="AJ23" i="29"/>
  <c r="AJ12" i="29" s="1"/>
  <c r="AJ96" i="30"/>
  <c r="AJ20" i="30"/>
  <c r="AJ58" i="30"/>
  <c r="AJ58" i="26"/>
  <c r="AJ96" i="26"/>
  <c r="W3" i="25"/>
  <c r="M61" i="34" s="1"/>
  <c r="N101" i="29"/>
  <c r="N79" i="29" s="1"/>
  <c r="N63" i="29"/>
  <c r="N41" i="29" s="1"/>
  <c r="N25" i="29"/>
  <c r="N3" i="29" s="1"/>
  <c r="AI86" i="26"/>
  <c r="AI81" i="26"/>
  <c r="W12" i="25"/>
  <c r="N110" i="29"/>
  <c r="N88" i="29" s="1"/>
  <c r="N34" i="29"/>
  <c r="N12" i="29" s="1"/>
  <c r="N72" i="29"/>
  <c r="N50" i="29" s="1"/>
  <c r="O27" i="26" a="1"/>
  <c r="O27" i="26" s="1"/>
  <c r="O5" i="26" s="1"/>
  <c r="AI82" i="26"/>
  <c r="M2" i="29"/>
  <c r="M35" i="29" s="1"/>
  <c r="M37" i="29"/>
  <c r="AJ13" i="29"/>
  <c r="AJ89" i="29"/>
  <c r="AS2" i="25"/>
  <c r="M42" i="34" s="1"/>
  <c r="AJ51" i="29"/>
  <c r="AS36" i="25"/>
  <c r="M88" i="26"/>
  <c r="AJ6" i="26"/>
  <c r="AJ55" i="30"/>
  <c r="AJ44" i="30" s="1"/>
  <c r="BA42" i="30" s="1"/>
  <c r="AJ17" i="30"/>
  <c r="AJ6" i="30" s="1"/>
  <c r="BA4" i="30" s="1"/>
  <c r="AJ93" i="26"/>
  <c r="AJ55" i="26"/>
  <c r="AJ44" i="26" s="1"/>
  <c r="BA42" i="26" s="1"/>
  <c r="AJ93" i="30"/>
  <c r="AJ82" i="30" s="1"/>
  <c r="BA80" i="30" s="1"/>
  <c r="AI2" i="30"/>
  <c r="AI36" i="30"/>
  <c r="AJ17" i="29"/>
  <c r="AJ6" i="29" s="1"/>
  <c r="BA4" i="29" s="1"/>
  <c r="AS6" i="25"/>
  <c r="AJ55" i="29"/>
  <c r="AJ44" i="29" s="1"/>
  <c r="BA42" i="29" s="1"/>
  <c r="AJ93" i="29"/>
  <c r="AJ82" i="29" s="1"/>
  <c r="BA80" i="29" s="1"/>
  <c r="AI112" i="29"/>
  <c r="AI78" i="29"/>
  <c r="AI111" i="29" s="1"/>
  <c r="M78" i="30"/>
  <c r="N28" i="30"/>
  <c r="N6" i="30" s="1"/>
  <c r="N6" i="26"/>
  <c r="N104" i="30"/>
  <c r="N82" i="30" s="1"/>
  <c r="N104" i="26"/>
  <c r="N66" i="26"/>
  <c r="N44" i="26" s="1"/>
  <c r="N66" i="30"/>
  <c r="N44" i="30" s="1"/>
  <c r="O29" i="26" a="1"/>
  <c r="O29" i="26" s="1"/>
  <c r="O7" i="26" s="1"/>
  <c r="P33" i="22"/>
  <c r="P11" i="22" s="1"/>
  <c r="P32" i="22"/>
  <c r="P10" i="22" s="1"/>
  <c r="P38" i="22"/>
  <c r="P28" i="22"/>
  <c r="P47" i="22"/>
  <c r="P29" i="22"/>
  <c r="P7" i="22" s="1"/>
  <c r="P43" i="22"/>
  <c r="P34" i="22"/>
  <c r="P42" i="22"/>
  <c r="P26" i="22"/>
  <c r="P4" i="22" s="1"/>
  <c r="P40" i="22"/>
  <c r="P27" i="22"/>
  <c r="P5" i="22" s="1"/>
  <c r="P30" i="22"/>
  <c r="P24" i="22"/>
  <c r="P44" i="22"/>
  <c r="P48" i="22"/>
  <c r="P46" i="22"/>
  <c r="P41" i="22"/>
  <c r="X3" i="6"/>
  <c r="X6" i="6"/>
  <c r="Q73" i="22" a="1"/>
  <c r="Q73" i="22" s="1"/>
  <c r="N64" i="30"/>
  <c r="N42" i="30" s="1"/>
  <c r="N102" i="30"/>
  <c r="N80" i="30" s="1"/>
  <c r="N102" i="26"/>
  <c r="N64" i="26"/>
  <c r="N42" i="26" s="1"/>
  <c r="N26" i="30"/>
  <c r="N4" i="30" s="1"/>
  <c r="AI112" i="30"/>
  <c r="AI78" i="30"/>
  <c r="AJ7" i="26"/>
  <c r="AJ56" i="30"/>
  <c r="AJ45" i="30" s="1"/>
  <c r="BA43" i="30" s="1"/>
  <c r="AJ18" i="30"/>
  <c r="AJ7" i="30" s="1"/>
  <c r="BA5" i="30" s="1"/>
  <c r="AJ94" i="30"/>
  <c r="AJ83" i="30" s="1"/>
  <c r="BA81" i="30" s="1"/>
  <c r="AJ56" i="26"/>
  <c r="AJ45" i="26" s="1"/>
  <c r="BA43" i="26" s="1"/>
  <c r="AJ94" i="26"/>
  <c r="M84" i="26"/>
  <c r="AJ54" i="26"/>
  <c r="AJ43" i="26" s="1"/>
  <c r="AJ92" i="30"/>
  <c r="AJ81" i="30" s="1"/>
  <c r="AJ54" i="30"/>
  <c r="AJ43" i="30" s="1"/>
  <c r="AJ16" i="30"/>
  <c r="AJ5" i="30" s="1"/>
  <c r="AJ5" i="26"/>
  <c r="AJ92" i="26"/>
  <c r="M40" i="26"/>
  <c r="AJ53" i="30"/>
  <c r="AJ42" i="30" s="1"/>
  <c r="AJ15" i="30"/>
  <c r="AJ4" i="30" s="1"/>
  <c r="AJ53" i="26"/>
  <c r="AJ42" i="26" s="1"/>
  <c r="AJ91" i="26"/>
  <c r="AJ91" i="30"/>
  <c r="AJ80" i="30" s="1"/>
  <c r="AJ4" i="26"/>
  <c r="AJ94" i="29"/>
  <c r="AJ83" i="29" s="1"/>
  <c r="BA81" i="29" s="1"/>
  <c r="AJ56" i="29"/>
  <c r="AJ45" i="29" s="1"/>
  <c r="BA43" i="29" s="1"/>
  <c r="AJ18" i="29"/>
  <c r="AJ7" i="29" s="1"/>
  <c r="BA5" i="29" s="1"/>
  <c r="AS7" i="25"/>
  <c r="Y25" i="6"/>
  <c r="Y25" i="25" s="1"/>
  <c r="Y32" i="6"/>
  <c r="Y32" i="25" s="1"/>
  <c r="G350" i="33" s="1"/>
  <c r="Y26" i="6"/>
  <c r="Y26" i="25" s="1"/>
  <c r="G104" i="33" s="1"/>
  <c r="Y28" i="6"/>
  <c r="Y28" i="25" s="1"/>
  <c r="G186" i="33" s="1"/>
  <c r="Y34" i="6"/>
  <c r="Y34" i="25" s="1"/>
  <c r="G432" i="33" s="1"/>
  <c r="H432" i="33" s="1"/>
  <c r="Y27" i="6"/>
  <c r="Y27" i="25" s="1"/>
  <c r="G145" i="33" s="1"/>
  <c r="Y30" i="6"/>
  <c r="Y30" i="25" s="1"/>
  <c r="G268" i="33" s="1"/>
  <c r="Y33" i="6"/>
  <c r="Y33" i="25" s="1"/>
  <c r="G391" i="33" s="1"/>
  <c r="Y31" i="6"/>
  <c r="Y31" i="25" s="1"/>
  <c r="G309" i="33" s="1"/>
  <c r="Y24" i="6"/>
  <c r="Y24" i="25" s="1"/>
  <c r="Y29" i="6"/>
  <c r="Y29" i="25" s="1"/>
  <c r="G227" i="33" s="1"/>
  <c r="X12" i="6"/>
  <c r="AI83" i="26"/>
  <c r="AJ90" i="30"/>
  <c r="AJ90" i="26"/>
  <c r="AJ52" i="30"/>
  <c r="AJ52" i="26"/>
  <c r="AJ14" i="30"/>
  <c r="N100" i="26"/>
  <c r="N24" i="30"/>
  <c r="N62" i="30"/>
  <c r="N100" i="30"/>
  <c r="N2" i="26"/>
  <c r="N62" i="26"/>
  <c r="M82" i="26"/>
  <c r="AJ57" i="29"/>
  <c r="AJ46" i="29" s="1"/>
  <c r="BA44" i="29" s="1"/>
  <c r="AJ95" i="29"/>
  <c r="AJ84" i="29" s="1"/>
  <c r="BA82" i="29" s="1"/>
  <c r="AS8" i="25"/>
  <c r="AJ19" i="29"/>
  <c r="AJ8" i="29" s="1"/>
  <c r="BA6" i="29" s="1"/>
  <c r="N12" i="26"/>
  <c r="N110" i="26"/>
  <c r="N110" i="30"/>
  <c r="N88" i="30" s="1"/>
  <c r="N72" i="26"/>
  <c r="N34" i="30"/>
  <c r="N12" i="30" s="1"/>
  <c r="N72" i="30"/>
  <c r="N50" i="30" s="1"/>
  <c r="N70" i="26"/>
  <c r="N48" i="26" s="1"/>
  <c r="N32" i="30"/>
  <c r="N10" i="30" s="1"/>
  <c r="N70" i="30"/>
  <c r="N48" i="30" s="1"/>
  <c r="N108" i="30"/>
  <c r="N86" i="30" s="1"/>
  <c r="N108" i="26"/>
  <c r="AJ61" i="26"/>
  <c r="AJ50" i="26" s="1"/>
  <c r="AJ12" i="26"/>
  <c r="AJ99" i="30"/>
  <c r="AJ88" i="30" s="1"/>
  <c r="AJ61" i="30"/>
  <c r="AJ50" i="30" s="1"/>
  <c r="AJ99" i="26"/>
  <c r="AJ23" i="30"/>
  <c r="AJ12" i="30" s="1"/>
  <c r="AR74" i="25"/>
  <c r="AR73" i="25"/>
  <c r="AJ14" i="29"/>
  <c r="AJ3" i="29" s="1"/>
  <c r="AS3" i="25"/>
  <c r="M83" i="34" s="1"/>
  <c r="AJ90" i="29"/>
  <c r="AJ79" i="29" s="1"/>
  <c r="AJ52" i="29"/>
  <c r="AJ41" i="29" s="1"/>
  <c r="O34" i="26" a="1"/>
  <c r="O34" i="26" s="1"/>
  <c r="O12" i="22"/>
  <c r="V73" i="25"/>
  <c r="V75" i="25"/>
  <c r="AJ22" i="30"/>
  <c r="AJ11" i="30" s="1"/>
  <c r="BA9" i="30" s="1"/>
  <c r="AJ60" i="26"/>
  <c r="AJ49" i="26" s="1"/>
  <c r="BA47" i="26" s="1"/>
  <c r="AJ11" i="26"/>
  <c r="AJ60" i="30"/>
  <c r="AJ49" i="30" s="1"/>
  <c r="BA47" i="30" s="1"/>
  <c r="AJ98" i="30"/>
  <c r="AJ87" i="30" s="1"/>
  <c r="BA85" i="30" s="1"/>
  <c r="AJ98" i="26"/>
  <c r="N109" i="30"/>
  <c r="N87" i="30" s="1"/>
  <c r="N71" i="30"/>
  <c r="N33" i="30"/>
  <c r="N11" i="30" s="1"/>
  <c r="N71" i="26"/>
  <c r="N49" i="26" s="1"/>
  <c r="N109" i="26"/>
  <c r="F75" i="29"/>
  <c r="F40" i="29"/>
  <c r="G103" i="26"/>
  <c r="G27" i="30"/>
  <c r="G5" i="30" s="1"/>
  <c r="G103" i="30"/>
  <c r="G81" i="30" s="1"/>
  <c r="G65" i="30"/>
  <c r="G43" i="30" s="1"/>
  <c r="G65" i="26"/>
  <c r="G43" i="26" s="1"/>
  <c r="H31" i="26" a="1"/>
  <c r="H31" i="26" s="1"/>
  <c r="H9" i="26" s="1"/>
  <c r="H2" i="22"/>
  <c r="H24" i="26" a="1"/>
  <c r="H24" i="26" s="1"/>
  <c r="AC36" i="26"/>
  <c r="AC2" i="26"/>
  <c r="AC89" i="26"/>
  <c r="AC51" i="30"/>
  <c r="AC89" i="30"/>
  <c r="AC13" i="30"/>
  <c r="AC51" i="26"/>
  <c r="AC21" i="29"/>
  <c r="AC10" i="29" s="1"/>
  <c r="AL10" i="25"/>
  <c r="AC97" i="29"/>
  <c r="AC86" i="29" s="1"/>
  <c r="AC59" i="29"/>
  <c r="AC48" i="29" s="1"/>
  <c r="AB112" i="26"/>
  <c r="AB78" i="26"/>
  <c r="AM5" i="6"/>
  <c r="AM11" i="6"/>
  <c r="G37" i="26"/>
  <c r="G100" i="30"/>
  <c r="G24" i="30"/>
  <c r="G62" i="30"/>
  <c r="G62" i="26"/>
  <c r="G2" i="26"/>
  <c r="G100" i="26"/>
  <c r="AD14" i="26" a="1"/>
  <c r="AD14" i="26" s="1"/>
  <c r="AD4" i="22"/>
  <c r="AD15" i="26" a="1"/>
  <c r="AD15" i="26" s="1"/>
  <c r="AF42" i="22"/>
  <c r="AF46" i="22"/>
  <c r="AF41" i="22"/>
  <c r="AF43" i="22"/>
  <c r="AF44" i="22"/>
  <c r="AF48" i="22"/>
  <c r="AF38" i="22"/>
  <c r="AF47" i="22"/>
  <c r="AF40" i="22"/>
  <c r="AF23" i="22"/>
  <c r="AF16" i="22"/>
  <c r="AF21" i="22"/>
  <c r="AF22" i="22"/>
  <c r="AF17" i="22"/>
  <c r="AF15" i="22"/>
  <c r="AF18" i="22"/>
  <c r="AF19" i="22"/>
  <c r="AF14" i="22"/>
  <c r="AF20" i="22"/>
  <c r="AF13" i="22"/>
  <c r="G32" i="30"/>
  <c r="G10" i="30" s="1"/>
  <c r="G108" i="30"/>
  <c r="G86" i="30" s="1"/>
  <c r="G70" i="26"/>
  <c r="G48" i="26" s="1"/>
  <c r="G108" i="26"/>
  <c r="G70" i="30"/>
  <c r="G48" i="30" s="1"/>
  <c r="AB84" i="26"/>
  <c r="AB112" i="29"/>
  <c r="AB78" i="29"/>
  <c r="AB111" i="29" s="1"/>
  <c r="AL8" i="25"/>
  <c r="AC19" i="29"/>
  <c r="AC8" i="29" s="1"/>
  <c r="AC57" i="29"/>
  <c r="AC46" i="29" s="1"/>
  <c r="AC95" i="29"/>
  <c r="AC84" i="29" s="1"/>
  <c r="H29" i="26" a="1"/>
  <c r="H29" i="26" s="1"/>
  <c r="H7" i="26" s="1"/>
  <c r="AU20" i="26"/>
  <c r="AU4" i="26"/>
  <c r="F37" i="29"/>
  <c r="F2" i="29"/>
  <c r="AC60" i="30"/>
  <c r="AC49" i="30" s="1"/>
  <c r="AC11" i="26"/>
  <c r="AC98" i="26"/>
  <c r="AC98" i="30"/>
  <c r="AC87" i="30" s="1"/>
  <c r="AC22" i="30"/>
  <c r="AC11" i="30" s="1"/>
  <c r="AC60" i="26"/>
  <c r="AC49" i="26" s="1"/>
  <c r="R6" i="6"/>
  <c r="F113" i="26"/>
  <c r="F78" i="26"/>
  <c r="F84" i="26"/>
  <c r="I3" i="22"/>
  <c r="I25" i="26" a="1"/>
  <c r="I25" i="26" s="1"/>
  <c r="H33" i="26" a="1"/>
  <c r="H33" i="26" s="1"/>
  <c r="H11" i="26" s="1"/>
  <c r="H8" i="22"/>
  <c r="H30" i="26" a="1"/>
  <c r="H30" i="26" s="1"/>
  <c r="AB78" i="30"/>
  <c r="AB112" i="30"/>
  <c r="AM3" i="6"/>
  <c r="AM6" i="6"/>
  <c r="F79" i="26"/>
  <c r="G69" i="30"/>
  <c r="G47" i="30" s="1"/>
  <c r="G31" i="30"/>
  <c r="G9" i="30" s="1"/>
  <c r="G107" i="26"/>
  <c r="G69" i="26"/>
  <c r="G47" i="26" s="1"/>
  <c r="G107" i="30"/>
  <c r="G85" i="30" s="1"/>
  <c r="AD20" i="26" a="1"/>
  <c r="AD20" i="26" s="1"/>
  <c r="AD12" i="22"/>
  <c r="AD23" i="26" a="1"/>
  <c r="AD23" i="26" s="1"/>
  <c r="AC15" i="29"/>
  <c r="AC4" i="29" s="1"/>
  <c r="AL4" i="25"/>
  <c r="AC91" i="29"/>
  <c r="AC80" i="29" s="1"/>
  <c r="AC53" i="29"/>
  <c r="AC42" i="29" s="1"/>
  <c r="AB46" i="26"/>
  <c r="AK74" i="25"/>
  <c r="AK73" i="25"/>
  <c r="AC56" i="30"/>
  <c r="AC45" i="30" s="1"/>
  <c r="AC94" i="26"/>
  <c r="AC18" i="30"/>
  <c r="AC7" i="30" s="1"/>
  <c r="AC7" i="26"/>
  <c r="AC94" i="30"/>
  <c r="AC83" i="30" s="1"/>
  <c r="AC56" i="26"/>
  <c r="AC45" i="26" s="1"/>
  <c r="P6" i="25"/>
  <c r="G28" i="29"/>
  <c r="G6" i="29" s="1"/>
  <c r="G104" i="29"/>
  <c r="G82" i="29" s="1"/>
  <c r="G66" i="29"/>
  <c r="G44" i="29" s="1"/>
  <c r="AB12" i="30"/>
  <c r="BD16" i="25"/>
  <c r="O35" i="25"/>
  <c r="H74" i="31"/>
  <c r="R3" i="6"/>
  <c r="F78" i="30"/>
  <c r="F113" i="30"/>
  <c r="AU22" i="26"/>
  <c r="AU6" i="26"/>
  <c r="I71" i="29"/>
  <c r="I49" i="29" s="1"/>
  <c r="I33" i="29"/>
  <c r="I11" i="29" s="1"/>
  <c r="R8" i="6"/>
  <c r="AU2" i="26"/>
  <c r="F35" i="26"/>
  <c r="AU16" i="26"/>
  <c r="AB88" i="26"/>
  <c r="I2" i="22"/>
  <c r="I24" i="26" a="1"/>
  <c r="I24" i="26" s="1"/>
  <c r="H26" i="26" a="1"/>
  <c r="H26" i="26" s="1"/>
  <c r="H4" i="26" s="1"/>
  <c r="H12" i="22"/>
  <c r="H34" i="26" a="1"/>
  <c r="H34" i="26" s="1"/>
  <c r="F82" i="26"/>
  <c r="AJ25" i="22"/>
  <c r="AJ3" i="22" s="1"/>
  <c r="AJ39" i="22"/>
  <c r="AC96" i="26"/>
  <c r="AC20" i="30"/>
  <c r="AC96" i="30"/>
  <c r="AC58" i="30"/>
  <c r="AC58" i="26"/>
  <c r="AE46" i="22"/>
  <c r="AE48" i="22"/>
  <c r="AE41" i="22"/>
  <c r="AE38" i="22"/>
  <c r="AE42" i="22"/>
  <c r="AE44" i="22"/>
  <c r="AE43" i="22"/>
  <c r="AE40" i="22"/>
  <c r="AE47" i="22"/>
  <c r="AE18" i="22"/>
  <c r="AE23" i="22"/>
  <c r="AE22" i="22"/>
  <c r="AE21" i="22"/>
  <c r="AE16" i="22"/>
  <c r="AE19" i="22"/>
  <c r="AE17" i="22"/>
  <c r="AE20" i="22"/>
  <c r="AE13" i="22"/>
  <c r="AE15" i="22"/>
  <c r="AE14" i="22"/>
  <c r="AL9" i="25"/>
  <c r="AC20" i="29"/>
  <c r="AC9" i="29" s="1"/>
  <c r="AC96" i="29"/>
  <c r="AC85" i="29" s="1"/>
  <c r="AC58" i="29"/>
  <c r="AC47" i="29" s="1"/>
  <c r="H109" i="29"/>
  <c r="H87" i="29" s="1"/>
  <c r="H33" i="29"/>
  <c r="H11" i="29" s="1"/>
  <c r="H71" i="29"/>
  <c r="H49" i="29" s="1"/>
  <c r="AM2" i="6"/>
  <c r="AM8" i="6"/>
  <c r="AD6" i="22"/>
  <c r="AD17" i="26" a="1"/>
  <c r="AD17" i="26" s="1"/>
  <c r="AK35" i="25"/>
  <c r="AB82" i="26"/>
  <c r="I29" i="26" a="1"/>
  <c r="I29" i="26" s="1"/>
  <c r="I7" i="26" s="1"/>
  <c r="O75" i="25"/>
  <c r="O73" i="25"/>
  <c r="R12" i="6"/>
  <c r="AB50" i="26"/>
  <c r="I26" i="26" a="1"/>
  <c r="I26" i="26" s="1"/>
  <c r="I4" i="26" s="1"/>
  <c r="I12" i="22"/>
  <c r="I34" i="26" a="1"/>
  <c r="I34" i="26" s="1"/>
  <c r="H27" i="26" a="1"/>
  <c r="H27" i="26" s="1"/>
  <c r="H5" i="26" s="1"/>
  <c r="AL11" i="25"/>
  <c r="AC22" i="29"/>
  <c r="AC11" i="29" s="1"/>
  <c r="AC98" i="29"/>
  <c r="AC87" i="29" s="1"/>
  <c r="AC60" i="29"/>
  <c r="AC49" i="29" s="1"/>
  <c r="G102" i="30"/>
  <c r="G80" i="30" s="1"/>
  <c r="G102" i="26"/>
  <c r="G64" i="26"/>
  <c r="G42" i="26" s="1"/>
  <c r="G64" i="30"/>
  <c r="G42" i="30" s="1"/>
  <c r="G26" i="30"/>
  <c r="G4" i="30" s="1"/>
  <c r="G12" i="26"/>
  <c r="G72" i="26"/>
  <c r="G50" i="26" s="1"/>
  <c r="G34" i="30"/>
  <c r="G12" i="30" s="1"/>
  <c r="G72" i="30"/>
  <c r="G50" i="30" s="1"/>
  <c r="G110" i="30"/>
  <c r="G88" i="30" s="1"/>
  <c r="G110" i="26"/>
  <c r="AD8" i="22"/>
  <c r="AD19" i="26" a="1"/>
  <c r="AD19" i="26" s="1"/>
  <c r="G6" i="26"/>
  <c r="G66" i="26"/>
  <c r="G44" i="26" s="1"/>
  <c r="G66" i="30"/>
  <c r="G44" i="30" s="1"/>
  <c r="G104" i="30"/>
  <c r="G82" i="30" s="1"/>
  <c r="G28" i="30"/>
  <c r="G6" i="30" s="1"/>
  <c r="G104" i="26"/>
  <c r="F83" i="26"/>
  <c r="P8" i="25"/>
  <c r="G30" i="29"/>
  <c r="G8" i="29" s="1"/>
  <c r="G68" i="29"/>
  <c r="G46" i="29" s="1"/>
  <c r="G106" i="29"/>
  <c r="G84" i="29" s="1"/>
  <c r="AB46" i="30"/>
  <c r="AB36" i="29"/>
  <c r="AB2" i="29"/>
  <c r="AB35" i="29" s="1"/>
  <c r="AC19" i="30"/>
  <c r="AC8" i="30" s="1"/>
  <c r="AC57" i="30"/>
  <c r="AC46" i="30" s="1"/>
  <c r="AC8" i="26"/>
  <c r="AC57" i="26"/>
  <c r="AC46" i="26" s="1"/>
  <c r="AC95" i="30"/>
  <c r="AC84" i="30" s="1"/>
  <c r="AC95" i="26"/>
  <c r="F88" i="26"/>
  <c r="BD17" i="25"/>
  <c r="AB44" i="30"/>
  <c r="I108" i="29"/>
  <c r="I86" i="29" s="1"/>
  <c r="I32" i="29"/>
  <c r="I10" i="29" s="1"/>
  <c r="I70" i="29"/>
  <c r="I48" i="29" s="1"/>
  <c r="AB87" i="26"/>
  <c r="I33" i="26" a="1"/>
  <c r="I33" i="26" s="1"/>
  <c r="I11" i="26" s="1"/>
  <c r="I8" i="22"/>
  <c r="I30" i="26" a="1"/>
  <c r="I30" i="26" s="1"/>
  <c r="P37" i="25"/>
  <c r="G24" i="29"/>
  <c r="P2" i="25"/>
  <c r="M13" i="34" s="1"/>
  <c r="G100" i="29"/>
  <c r="G62" i="29"/>
  <c r="AJ31" i="26" a="1"/>
  <c r="AJ31" i="26" s="1"/>
  <c r="AJ9" i="26" s="1"/>
  <c r="AC15" i="30"/>
  <c r="AC4" i="30" s="1"/>
  <c r="AC4" i="26"/>
  <c r="AC53" i="30"/>
  <c r="AC42" i="30" s="1"/>
  <c r="AC91" i="30"/>
  <c r="AC80" i="30" s="1"/>
  <c r="AC91" i="26"/>
  <c r="AC53" i="26"/>
  <c r="AC42" i="26" s="1"/>
  <c r="Q2" i="6"/>
  <c r="BD4" i="25"/>
  <c r="BD20" i="25"/>
  <c r="AM7" i="6"/>
  <c r="I31" i="29"/>
  <c r="I9" i="29" s="1"/>
  <c r="I107" i="29"/>
  <c r="I85" i="29" s="1"/>
  <c r="F75" i="26"/>
  <c r="F40" i="26"/>
  <c r="AB50" i="30"/>
  <c r="AC90" i="26"/>
  <c r="AC90" i="30"/>
  <c r="AC52" i="30"/>
  <c r="AC52" i="26"/>
  <c r="AC14" i="30"/>
  <c r="I27" i="26" a="1"/>
  <c r="I27" i="26" s="1"/>
  <c r="I5" i="26" s="1"/>
  <c r="I6" i="22"/>
  <c r="I28" i="26" a="1"/>
  <c r="I28" i="26" s="1"/>
  <c r="H32" i="26" a="1"/>
  <c r="H32" i="26" s="1"/>
  <c r="H10" i="26" s="1"/>
  <c r="AC61" i="30"/>
  <c r="AC50" i="30" s="1"/>
  <c r="AC61" i="26"/>
  <c r="AC50" i="26" s="1"/>
  <c r="AC12" i="26"/>
  <c r="AC99" i="30"/>
  <c r="AC88" i="30" s="1"/>
  <c r="AC99" i="26"/>
  <c r="AC23" i="30"/>
  <c r="AC12" i="30" s="1"/>
  <c r="AN17" i="6"/>
  <c r="AN17" i="25" s="1"/>
  <c r="G652" i="33" s="1"/>
  <c r="AN19" i="6"/>
  <c r="AN19" i="25" s="1"/>
  <c r="G734" i="33" s="1"/>
  <c r="AN22" i="6"/>
  <c r="AN22" i="25" s="1"/>
  <c r="G857" i="33" s="1"/>
  <c r="AN21" i="6"/>
  <c r="AN21" i="25" s="1"/>
  <c r="G816" i="33" s="1"/>
  <c r="AN20" i="6"/>
  <c r="AN20" i="25" s="1"/>
  <c r="G775" i="33" s="1"/>
  <c r="AN15" i="6"/>
  <c r="AN15" i="25" s="1"/>
  <c r="G570" i="33" s="1"/>
  <c r="AN18" i="6"/>
  <c r="AN18" i="25" s="1"/>
  <c r="G693" i="33" s="1"/>
  <c r="AN13" i="6"/>
  <c r="AN13" i="25" s="1"/>
  <c r="AN23" i="6"/>
  <c r="AN23" i="25" s="1"/>
  <c r="G898" i="33" s="1"/>
  <c r="H898" i="33" s="1"/>
  <c r="AN14" i="6"/>
  <c r="AN14" i="25" s="1"/>
  <c r="AN16" i="6"/>
  <c r="AN16" i="25" s="1"/>
  <c r="G611" i="33" s="1"/>
  <c r="AB83" i="26"/>
  <c r="Q12" i="6"/>
  <c r="AM10" i="6"/>
  <c r="AU17" i="26"/>
  <c r="AU3" i="26"/>
  <c r="AD5" i="22"/>
  <c r="AD16" i="26" a="1"/>
  <c r="AD16" i="26" s="1"/>
  <c r="P12" i="25"/>
  <c r="G34" i="29"/>
  <c r="G12" i="29" s="1"/>
  <c r="G72" i="29"/>
  <c r="G50" i="29" s="1"/>
  <c r="G110" i="29"/>
  <c r="G88" i="29" s="1"/>
  <c r="AL3" i="25"/>
  <c r="M76" i="34" s="1"/>
  <c r="AC14" i="29"/>
  <c r="AC3" i="29" s="1"/>
  <c r="AC90" i="29"/>
  <c r="AC79" i="29" s="1"/>
  <c r="AC52" i="29"/>
  <c r="AC41" i="29" s="1"/>
  <c r="AA61" i="22"/>
  <c r="L61" i="22"/>
  <c r="G3" i="26"/>
  <c r="G63" i="30"/>
  <c r="G41" i="30" s="1"/>
  <c r="G63" i="26"/>
  <c r="G41" i="26" s="1"/>
  <c r="G101" i="30"/>
  <c r="G79" i="30" s="1"/>
  <c r="G25" i="30"/>
  <c r="G3" i="30" s="1"/>
  <c r="G101" i="26"/>
  <c r="AB74" i="26"/>
  <c r="AB40" i="26"/>
  <c r="G109" i="30"/>
  <c r="G87" i="30" s="1"/>
  <c r="G109" i="26"/>
  <c r="G71" i="26"/>
  <c r="G49" i="26" s="1"/>
  <c r="G71" i="30"/>
  <c r="G49" i="30" s="1"/>
  <c r="G33" i="30"/>
  <c r="G11" i="30" s="1"/>
  <c r="AB80" i="26"/>
  <c r="H69" i="29"/>
  <c r="H47" i="29" s="1"/>
  <c r="Q8" i="6"/>
  <c r="AM9" i="6"/>
  <c r="AD10" i="22"/>
  <c r="AD21" i="26" a="1"/>
  <c r="AD21" i="26" s="1"/>
  <c r="AL6" i="25"/>
  <c r="AC17" i="29"/>
  <c r="AC6" i="29" s="1"/>
  <c r="AC55" i="29"/>
  <c r="AC44" i="29" s="1"/>
  <c r="AC93" i="29"/>
  <c r="AC82" i="29" s="1"/>
  <c r="AU21" i="26"/>
  <c r="AU5" i="26"/>
  <c r="AB8" i="30"/>
  <c r="P3" i="25"/>
  <c r="M54" i="34" s="1"/>
  <c r="G101" i="29"/>
  <c r="G79" i="29" s="1"/>
  <c r="G63" i="29"/>
  <c r="G41" i="29" s="1"/>
  <c r="G25" i="29"/>
  <c r="G3" i="29" s="1"/>
  <c r="AB44" i="26"/>
  <c r="F40" i="30"/>
  <c r="F75" i="30"/>
  <c r="AB81" i="26"/>
  <c r="I32" i="26" a="1"/>
  <c r="I32" i="26" s="1"/>
  <c r="I10" i="26" s="1"/>
  <c r="AB86" i="26"/>
  <c r="H6" i="22"/>
  <c r="H28" i="26" a="1"/>
  <c r="H28" i="26" s="1"/>
  <c r="G105" i="30"/>
  <c r="G83" i="30" s="1"/>
  <c r="G105" i="26"/>
  <c r="G29" i="30"/>
  <c r="G7" i="30" s="1"/>
  <c r="G67" i="30"/>
  <c r="G45" i="30" s="1"/>
  <c r="G67" i="26"/>
  <c r="G45" i="26" s="1"/>
  <c r="L31" i="22"/>
  <c r="L9" i="22" s="1"/>
  <c r="L45" i="22"/>
  <c r="M67" i="22"/>
  <c r="AB40" i="30"/>
  <c r="AB74" i="30"/>
  <c r="Q3" i="6"/>
  <c r="AM12" i="6"/>
  <c r="AL36" i="25"/>
  <c r="AL2" i="25"/>
  <c r="M35" i="34" s="1"/>
  <c r="AC51" i="29"/>
  <c r="AC13" i="29"/>
  <c r="AC89" i="29"/>
  <c r="AC16" i="29"/>
  <c r="AC5" i="29" s="1"/>
  <c r="AL5" i="25"/>
  <c r="AC54" i="29"/>
  <c r="AC43" i="29" s="1"/>
  <c r="AC92" i="29"/>
  <c r="AC81" i="29" s="1"/>
  <c r="AD7" i="22"/>
  <c r="AD18" i="26" a="1"/>
  <c r="AD18" i="26" s="1"/>
  <c r="AO17" i="6"/>
  <c r="AO17" i="25" s="1"/>
  <c r="G653" i="33" s="1"/>
  <c r="H653" i="33" s="1"/>
  <c r="AO19" i="6"/>
  <c r="AO19" i="25" s="1"/>
  <c r="G735" i="33" s="1"/>
  <c r="H735" i="33" s="1"/>
  <c r="AO22" i="6"/>
  <c r="AO22" i="25" s="1"/>
  <c r="G858" i="33" s="1"/>
  <c r="H858" i="33" s="1"/>
  <c r="AO21" i="6"/>
  <c r="AO21" i="25" s="1"/>
  <c r="G817" i="33" s="1"/>
  <c r="H817" i="33" s="1"/>
  <c r="AO23" i="6"/>
  <c r="AO23" i="25" s="1"/>
  <c r="G899" i="33" s="1"/>
  <c r="H899" i="33" s="1"/>
  <c r="AO18" i="6"/>
  <c r="AO18" i="25" s="1"/>
  <c r="G694" i="33" s="1"/>
  <c r="H694" i="33" s="1"/>
  <c r="AO13" i="6"/>
  <c r="AO13" i="25" s="1"/>
  <c r="AO16" i="6"/>
  <c r="AO16" i="25" s="1"/>
  <c r="G612" i="33" s="1"/>
  <c r="H612" i="33" s="1"/>
  <c r="AO20" i="6"/>
  <c r="AO20" i="25" s="1"/>
  <c r="G776" i="33" s="1"/>
  <c r="H776" i="33" s="1"/>
  <c r="AO14" i="6"/>
  <c r="AO14" i="25" s="1"/>
  <c r="AO15" i="6"/>
  <c r="AO15" i="25" s="1"/>
  <c r="G571" i="33" s="1"/>
  <c r="H571" i="33" s="1"/>
  <c r="BD6" i="25"/>
  <c r="BD22" i="25"/>
  <c r="AB74" i="29"/>
  <c r="AB40" i="29"/>
  <c r="AB73" i="29" s="1"/>
  <c r="AC16" i="30"/>
  <c r="AC5" i="30" s="1"/>
  <c r="AC54" i="30"/>
  <c r="AC43" i="30" s="1"/>
  <c r="AC5" i="26"/>
  <c r="AC92" i="30"/>
  <c r="AC81" i="30" s="1"/>
  <c r="AC92" i="26"/>
  <c r="AC54" i="26"/>
  <c r="AC43" i="26" s="1"/>
  <c r="F113" i="29"/>
  <c r="F78" i="29"/>
  <c r="BD21" i="25"/>
  <c r="BD5" i="25"/>
  <c r="R2" i="6"/>
  <c r="F2" i="30"/>
  <c r="F37" i="30"/>
  <c r="I31" i="26" a="1"/>
  <c r="I31" i="26" s="1"/>
  <c r="I9" i="26" s="1"/>
  <c r="AC23" i="29"/>
  <c r="AC12" i="29" s="1"/>
  <c r="AC99" i="29"/>
  <c r="AC88" i="29" s="1"/>
  <c r="AL12" i="25"/>
  <c r="AC61" i="29"/>
  <c r="AC50" i="29" s="1"/>
  <c r="H3" i="22"/>
  <c r="H25" i="26" a="1"/>
  <c r="H25" i="26" s="1"/>
  <c r="AA31" i="22"/>
  <c r="AB67" i="22"/>
  <c r="AA45" i="22"/>
  <c r="AB2" i="30"/>
  <c r="AB36" i="30"/>
  <c r="G68" i="26"/>
  <c r="G46" i="26" s="1"/>
  <c r="G8" i="26"/>
  <c r="G30" i="30"/>
  <c r="G8" i="30" s="1"/>
  <c r="G68" i="30"/>
  <c r="G46" i="30" s="1"/>
  <c r="G106" i="30"/>
  <c r="G84" i="30" s="1"/>
  <c r="G106" i="26"/>
  <c r="H70" i="29"/>
  <c r="H48" i="29" s="1"/>
  <c r="H32" i="29"/>
  <c r="H10" i="29" s="1"/>
  <c r="H108" i="29"/>
  <c r="H86" i="29" s="1"/>
  <c r="Q6" i="6"/>
  <c r="AC21" i="30"/>
  <c r="AC10" i="30" s="1"/>
  <c r="AC59" i="30"/>
  <c r="AC48" i="30" s="1"/>
  <c r="AC10" i="26"/>
  <c r="AC97" i="26"/>
  <c r="AC97" i="30"/>
  <c r="AC86" i="30" s="1"/>
  <c r="AC59" i="26"/>
  <c r="AC48" i="26" s="1"/>
  <c r="AM4" i="6"/>
  <c r="AD2" i="22"/>
  <c r="AD13" i="26" a="1"/>
  <c r="AD13" i="26" s="1"/>
  <c r="AD11" i="22"/>
  <c r="AD22" i="26" a="1"/>
  <c r="AD22" i="26" s="1"/>
  <c r="AC55" i="26"/>
  <c r="AC44" i="26" s="1"/>
  <c r="AC93" i="30"/>
  <c r="AC82" i="30" s="1"/>
  <c r="AC55" i="30"/>
  <c r="AC44" i="30" s="1"/>
  <c r="AC93" i="26"/>
  <c r="AC17" i="30"/>
  <c r="AC6" i="30" s="1"/>
  <c r="AC6" i="26"/>
  <c r="AL7" i="25"/>
  <c r="AC56" i="29"/>
  <c r="AC45" i="29" s="1"/>
  <c r="AC18" i="29"/>
  <c r="AC7" i="29" s="1"/>
  <c r="AC94" i="29"/>
  <c r="AC83" i="29" s="1"/>
  <c r="AB6" i="30"/>
  <c r="S42" i="33" l="1"/>
  <c r="S44" i="33" s="1"/>
  <c r="S53" i="33"/>
  <c r="Y32" i="33"/>
  <c r="Y49" i="33" s="1"/>
  <c r="H227" i="33"/>
  <c r="U36" i="33" s="1"/>
  <c r="U7" i="33"/>
  <c r="H570" i="33"/>
  <c r="X5" i="33"/>
  <c r="H104" i="33"/>
  <c r="U5" i="33"/>
  <c r="H693" i="33"/>
  <c r="X36" i="33" s="1"/>
  <c r="X7" i="33"/>
  <c r="H309" i="33"/>
  <c r="U40" i="33" s="1"/>
  <c r="U11" i="33"/>
  <c r="H391" i="33"/>
  <c r="U38" i="33" s="1"/>
  <c r="U9" i="33"/>
  <c r="H775" i="33"/>
  <c r="X40" i="33" s="1"/>
  <c r="X11" i="33"/>
  <c r="H268" i="33"/>
  <c r="U39" i="33" s="1"/>
  <c r="U10" i="33"/>
  <c r="H652" i="33"/>
  <c r="X37" i="33" s="1"/>
  <c r="X8" i="33"/>
  <c r="H350" i="33"/>
  <c r="U41" i="33" s="1"/>
  <c r="U12" i="33"/>
  <c r="H734" i="33"/>
  <c r="X39" i="33" s="1"/>
  <c r="X10" i="33"/>
  <c r="H186" i="33"/>
  <c r="U37" i="33" s="1"/>
  <c r="U8" i="33"/>
  <c r="H816" i="33"/>
  <c r="X41" i="33" s="1"/>
  <c r="X12" i="33"/>
  <c r="H145" i="33"/>
  <c r="U6" i="33"/>
  <c r="H611" i="33"/>
  <c r="X6" i="33"/>
  <c r="H857" i="33"/>
  <c r="X38" i="33" s="1"/>
  <c r="X9" i="33"/>
  <c r="Y42" i="33"/>
  <c r="Y44" i="33" s="1"/>
  <c r="Y50" i="33"/>
  <c r="L138" i="34"/>
  <c r="L103" i="34"/>
  <c r="L144" i="34"/>
  <c r="L96" i="34"/>
  <c r="H487" i="33"/>
  <c r="H14" i="33"/>
  <c r="M136" i="34"/>
  <c r="H528" i="33"/>
  <c r="M95" i="34"/>
  <c r="H21" i="33"/>
  <c r="L137" i="34"/>
  <c r="H56" i="33"/>
  <c r="M102" i="34"/>
  <c r="H55" i="33"/>
  <c r="L97" i="34"/>
  <c r="H62" i="33"/>
  <c r="H20" i="33"/>
  <c r="M143" i="34"/>
  <c r="G530" i="33"/>
  <c r="D79" i="34"/>
  <c r="L79" i="34" s="1"/>
  <c r="G489" i="33"/>
  <c r="D38" i="34"/>
  <c r="L38" i="34" s="1"/>
  <c r="M117" i="34"/>
  <c r="M158" i="34"/>
  <c r="G529" i="33"/>
  <c r="X4" i="33" s="1"/>
  <c r="D78" i="34"/>
  <c r="L78" i="34" s="1"/>
  <c r="G488" i="33"/>
  <c r="X3" i="33" s="1"/>
  <c r="D37" i="34"/>
  <c r="L37" i="34" s="1"/>
  <c r="BJ17" i="25"/>
  <c r="M124" i="34"/>
  <c r="M165" i="34"/>
  <c r="G22" i="33"/>
  <c r="U3" i="33" s="1"/>
  <c r="J104" i="34"/>
  <c r="D104" i="34"/>
  <c r="G63" i="33"/>
  <c r="U4" i="33" s="1"/>
  <c r="J145" i="34"/>
  <c r="D145" i="34"/>
  <c r="I67" i="29"/>
  <c r="I45" i="29" s="1"/>
  <c r="H27" i="29"/>
  <c r="H5" i="29" s="1"/>
  <c r="H64" i="29"/>
  <c r="H42" i="29" s="1"/>
  <c r="H26" i="29"/>
  <c r="H4" i="29" s="1"/>
  <c r="O103" i="29"/>
  <c r="O81" i="29" s="1"/>
  <c r="I103" i="29"/>
  <c r="I81" i="29" s="1"/>
  <c r="O65" i="29"/>
  <c r="O43" i="29" s="1"/>
  <c r="O26" i="29"/>
  <c r="O4" i="29" s="1"/>
  <c r="I65" i="29"/>
  <c r="I43" i="29" s="1"/>
  <c r="O102" i="29"/>
  <c r="O80" i="29" s="1"/>
  <c r="I27" i="29"/>
  <c r="I5" i="29" s="1"/>
  <c r="O64" i="29"/>
  <c r="O42" i="29" s="1"/>
  <c r="H102" i="29"/>
  <c r="H80" i="29" s="1"/>
  <c r="I105" i="29"/>
  <c r="I83" i="29" s="1"/>
  <c r="H67" i="29"/>
  <c r="H45" i="29" s="1"/>
  <c r="H105" i="29"/>
  <c r="H83" i="29" s="1"/>
  <c r="H29" i="29"/>
  <c r="H7" i="29" s="1"/>
  <c r="H31" i="29"/>
  <c r="H9" i="29" s="1"/>
  <c r="O29" i="29"/>
  <c r="O7" i="29" s="1"/>
  <c r="H65" i="29"/>
  <c r="H43" i="29" s="1"/>
  <c r="O27" i="29"/>
  <c r="O5" i="29" s="1"/>
  <c r="H107" i="29"/>
  <c r="H85" i="29" s="1"/>
  <c r="H103" i="29"/>
  <c r="H81" i="29" s="1"/>
  <c r="O70" i="29"/>
  <c r="O48" i="29" s="1"/>
  <c r="I109" i="29"/>
  <c r="I87" i="29" s="1"/>
  <c r="O109" i="29"/>
  <c r="O87" i="29" s="1"/>
  <c r="O67" i="29"/>
  <c r="O45" i="29" s="1"/>
  <c r="I64" i="29"/>
  <c r="I42" i="29" s="1"/>
  <c r="O105" i="29"/>
  <c r="O83" i="29" s="1"/>
  <c r="I26" i="29"/>
  <c r="I4" i="29" s="1"/>
  <c r="O33" i="29"/>
  <c r="O11" i="29" s="1"/>
  <c r="I102" i="29"/>
  <c r="I80" i="29" s="1"/>
  <c r="N49" i="30"/>
  <c r="BD11" i="25"/>
  <c r="BD14" i="25" s="1"/>
  <c r="O108" i="29"/>
  <c r="O86" i="29" s="1"/>
  <c r="O71" i="29"/>
  <c r="O49" i="29" s="1"/>
  <c r="N7" i="30"/>
  <c r="O69" i="29"/>
  <c r="O47" i="29" s="1"/>
  <c r="O32" i="29"/>
  <c r="O10" i="29" s="1"/>
  <c r="G87" i="26"/>
  <c r="G86" i="26"/>
  <c r="G81" i="26"/>
  <c r="N87" i="26"/>
  <c r="N86" i="26"/>
  <c r="AK5" i="22"/>
  <c r="AK10" i="22"/>
  <c r="AK11" i="22"/>
  <c r="N81" i="26"/>
  <c r="BD12" i="25"/>
  <c r="G83" i="26"/>
  <c r="AK4" i="22"/>
  <c r="O107" i="29"/>
  <c r="O85" i="29" s="1"/>
  <c r="G85" i="26"/>
  <c r="I29" i="29"/>
  <c r="I7" i="29" s="1"/>
  <c r="I69" i="29"/>
  <c r="I47" i="29" s="1"/>
  <c r="O31" i="29"/>
  <c r="O9" i="29" s="1"/>
  <c r="AK7" i="22"/>
  <c r="G80" i="26"/>
  <c r="N80" i="26"/>
  <c r="N83" i="26"/>
  <c r="N50" i="26"/>
  <c r="W35" i="25"/>
  <c r="BA3" i="29"/>
  <c r="O34" i="30"/>
  <c r="O12" i="30" s="1"/>
  <c r="O110" i="26"/>
  <c r="O12" i="26"/>
  <c r="O72" i="30"/>
  <c r="O50" i="30" s="1"/>
  <c r="O72" i="26"/>
  <c r="O50" i="26" s="1"/>
  <c r="O110" i="30"/>
  <c r="O88" i="30" s="1"/>
  <c r="N78" i="30"/>
  <c r="C30" i="27"/>
  <c r="Y7" i="6"/>
  <c r="AT29" i="6"/>
  <c r="AT26" i="6"/>
  <c r="Y4" i="6"/>
  <c r="C27" i="27"/>
  <c r="X6" i="25"/>
  <c r="O104" i="29"/>
  <c r="O82" i="29" s="1"/>
  <c r="O28" i="29"/>
  <c r="O6" i="29" s="1"/>
  <c r="O66" i="29"/>
  <c r="O44" i="29" s="1"/>
  <c r="P8" i="22"/>
  <c r="P30" i="26" a="1"/>
  <c r="P30" i="26" s="1"/>
  <c r="AK30" i="22"/>
  <c r="AJ36" i="29"/>
  <c r="AJ2" i="29"/>
  <c r="AJ35" i="29" s="1"/>
  <c r="BA23" i="26"/>
  <c r="BA7" i="26"/>
  <c r="BJ19" i="25"/>
  <c r="BJ3" i="25"/>
  <c r="O66" i="26"/>
  <c r="O44" i="26" s="1"/>
  <c r="O28" i="30"/>
  <c r="O6" i="30" s="1"/>
  <c r="O6" i="26"/>
  <c r="O104" i="26"/>
  <c r="O104" i="30"/>
  <c r="O82" i="30" s="1"/>
  <c r="O66" i="30"/>
  <c r="O44" i="30" s="1"/>
  <c r="BJ8" i="25"/>
  <c r="BJ24" i="25"/>
  <c r="BJ7" i="25"/>
  <c r="BJ23" i="25"/>
  <c r="O30" i="29"/>
  <c r="O8" i="29" s="1"/>
  <c r="O106" i="29"/>
  <c r="O84" i="29" s="1"/>
  <c r="X8" i="25"/>
  <c r="O68" i="29"/>
  <c r="O46" i="29" s="1"/>
  <c r="AJ86" i="26"/>
  <c r="Y2" i="6"/>
  <c r="AT24" i="6"/>
  <c r="C25" i="27"/>
  <c r="C33" i="27"/>
  <c r="AT32" i="6"/>
  <c r="Y10" i="6"/>
  <c r="BA2" i="26"/>
  <c r="BA18" i="26"/>
  <c r="O25" i="29"/>
  <c r="O3" i="29" s="1"/>
  <c r="O63" i="29"/>
  <c r="O41" i="29" s="1"/>
  <c r="O101" i="29"/>
  <c r="O79" i="29" s="1"/>
  <c r="X3" i="25"/>
  <c r="M62" i="34" s="1"/>
  <c r="AK27" i="22"/>
  <c r="P27" i="26" a="1"/>
  <c r="P27" i="26" s="1"/>
  <c r="P5" i="26" s="1"/>
  <c r="AW19" i="26" s="1"/>
  <c r="AK28" i="22"/>
  <c r="P6" i="22"/>
  <c r="P28" i="26" a="1"/>
  <c r="P28" i="26" s="1"/>
  <c r="O62" i="29"/>
  <c r="O100" i="29"/>
  <c r="O24" i="29"/>
  <c r="X37" i="25"/>
  <c r="X2" i="25"/>
  <c r="M21" i="34" s="1"/>
  <c r="AJ112" i="26"/>
  <c r="AJ78" i="26"/>
  <c r="N75" i="29"/>
  <c r="N40" i="29"/>
  <c r="N73" i="29" s="1"/>
  <c r="O8" i="26"/>
  <c r="O30" i="30"/>
  <c r="O8" i="30" s="1"/>
  <c r="O106" i="30"/>
  <c r="O84" i="30" s="1"/>
  <c r="O68" i="26"/>
  <c r="O46" i="26" s="1"/>
  <c r="O106" i="26"/>
  <c r="O68" i="30"/>
  <c r="O46" i="30" s="1"/>
  <c r="BA9" i="26"/>
  <c r="BA25" i="26"/>
  <c r="N88" i="26"/>
  <c r="N40" i="30"/>
  <c r="O72" i="29"/>
  <c r="O50" i="29" s="1"/>
  <c r="O34" i="29"/>
  <c r="O12" i="29" s="1"/>
  <c r="X12" i="25"/>
  <c r="O110" i="29"/>
  <c r="O88" i="29" s="1"/>
  <c r="C32" i="27"/>
  <c r="AT31" i="6"/>
  <c r="Y9" i="6"/>
  <c r="C26" i="27"/>
  <c r="Y3" i="6"/>
  <c r="AT25" i="6"/>
  <c r="Z27" i="6"/>
  <c r="Z27" i="25" s="1"/>
  <c r="G146" i="33" s="1"/>
  <c r="H146" i="33" s="1"/>
  <c r="Z24" i="6"/>
  <c r="Z24" i="25" s="1"/>
  <c r="Z33" i="6"/>
  <c r="Z33" i="25" s="1"/>
  <c r="G392" i="33" s="1"/>
  <c r="H392" i="33" s="1"/>
  <c r="Z28" i="6"/>
  <c r="Z28" i="25" s="1"/>
  <c r="G187" i="33" s="1"/>
  <c r="H187" i="33" s="1"/>
  <c r="Z34" i="6"/>
  <c r="Z34" i="25" s="1"/>
  <c r="G433" i="33" s="1"/>
  <c r="H433" i="33" s="1"/>
  <c r="Z30" i="6"/>
  <c r="Z30" i="25" s="1"/>
  <c r="G269" i="33" s="1"/>
  <c r="H269" i="33" s="1"/>
  <c r="Z25" i="6"/>
  <c r="Z25" i="25" s="1"/>
  <c r="Z26" i="6"/>
  <c r="Z26" i="25" s="1"/>
  <c r="G105" i="33" s="1"/>
  <c r="H105" i="33" s="1"/>
  <c r="Z32" i="6"/>
  <c r="Z32" i="25" s="1"/>
  <c r="G351" i="33" s="1"/>
  <c r="H351" i="33" s="1"/>
  <c r="Z29" i="6"/>
  <c r="Z29" i="25" s="1"/>
  <c r="G228" i="33" s="1"/>
  <c r="H228" i="33" s="1"/>
  <c r="Z31" i="6"/>
  <c r="Z31" i="25" s="1"/>
  <c r="G310" i="33" s="1"/>
  <c r="H310" i="33" s="1"/>
  <c r="BJ4" i="25"/>
  <c r="BJ20" i="25"/>
  <c r="R73" i="22" a="1"/>
  <c r="R73" i="22" s="1"/>
  <c r="BA79" i="29"/>
  <c r="BA16" i="26"/>
  <c r="W75" i="25"/>
  <c r="W73" i="25"/>
  <c r="AJ84" i="26"/>
  <c r="C34" i="27"/>
  <c r="AT33" i="6"/>
  <c r="Y11" i="6"/>
  <c r="BJ5" i="25"/>
  <c r="BJ21" i="25"/>
  <c r="AJ80" i="26"/>
  <c r="P26" i="26" a="1"/>
  <c r="P26" i="26" s="1"/>
  <c r="P4" i="26" s="1"/>
  <c r="AW18" i="26" s="1"/>
  <c r="AK26" i="22"/>
  <c r="AK32" i="22"/>
  <c r="P32" i="26" a="1"/>
  <c r="P32" i="26" s="1"/>
  <c r="P10" i="26" s="1"/>
  <c r="AS74" i="25"/>
  <c r="AS73" i="25"/>
  <c r="O103" i="30"/>
  <c r="O81" i="30" s="1"/>
  <c r="O65" i="26"/>
  <c r="O43" i="26" s="1"/>
  <c r="O27" i="30"/>
  <c r="O5" i="30" s="1"/>
  <c r="O103" i="26"/>
  <c r="O65" i="30"/>
  <c r="O43" i="30" s="1"/>
  <c r="BJ25" i="25"/>
  <c r="BJ9" i="25"/>
  <c r="N2" i="30"/>
  <c r="Y8" i="6"/>
  <c r="C31" i="27"/>
  <c r="AT30" i="6"/>
  <c r="Q48" i="22"/>
  <c r="Q30" i="22"/>
  <c r="Q40" i="22"/>
  <c r="Q43" i="22"/>
  <c r="Q33" i="22"/>
  <c r="Q11" i="22" s="1"/>
  <c r="Q26" i="22"/>
  <c r="Q4" i="22" s="1"/>
  <c r="Q46" i="22"/>
  <c r="Q27" i="22"/>
  <c r="Q5" i="22" s="1"/>
  <c r="Q29" i="22"/>
  <c r="Q7" i="22" s="1"/>
  <c r="Q41" i="22"/>
  <c r="Q28" i="22"/>
  <c r="Q44" i="22"/>
  <c r="Q32" i="22"/>
  <c r="Q10" i="22" s="1"/>
  <c r="Q47" i="22"/>
  <c r="Q42" i="22"/>
  <c r="Q38" i="22"/>
  <c r="Q34" i="22"/>
  <c r="Q24" i="22"/>
  <c r="AK33" i="22"/>
  <c r="P33" i="26" a="1"/>
  <c r="P33" i="26" s="1"/>
  <c r="P11" i="26" s="1"/>
  <c r="N82" i="26"/>
  <c r="AJ82" i="26"/>
  <c r="AJ74" i="29"/>
  <c r="AJ40" i="29"/>
  <c r="AJ73" i="29" s="1"/>
  <c r="O71" i="30"/>
  <c r="O49" i="30" s="1"/>
  <c r="O33" i="30"/>
  <c r="O11" i="30" s="1"/>
  <c r="O109" i="26"/>
  <c r="O109" i="30"/>
  <c r="O87" i="30" s="1"/>
  <c r="O71" i="26"/>
  <c r="O49" i="26" s="1"/>
  <c r="AJ40" i="26"/>
  <c r="AJ74" i="26"/>
  <c r="O64" i="30"/>
  <c r="O42" i="30" s="1"/>
  <c r="O26" i="30"/>
  <c r="O4" i="30" s="1"/>
  <c r="O102" i="30"/>
  <c r="O80" i="30" s="1"/>
  <c r="O64" i="26"/>
  <c r="O42" i="26" s="1"/>
  <c r="O102" i="26"/>
  <c r="O100" i="26"/>
  <c r="O24" i="30"/>
  <c r="O62" i="26"/>
  <c r="O2" i="26"/>
  <c r="O100" i="30"/>
  <c r="O62" i="30"/>
  <c r="AT27" i="6"/>
  <c r="C28" i="27"/>
  <c r="Y5" i="6"/>
  <c r="AK34" i="22"/>
  <c r="P12" i="22"/>
  <c r="P34" i="26" a="1"/>
  <c r="P34" i="26" s="1"/>
  <c r="BJ16" i="25"/>
  <c r="BJ27" i="25" s="1"/>
  <c r="AS35" i="25"/>
  <c r="AJ112" i="30"/>
  <c r="AJ78" i="30"/>
  <c r="N78" i="29"/>
  <c r="N111" i="29" s="1"/>
  <c r="N113" i="29"/>
  <c r="BA6" i="26"/>
  <c r="BA22" i="26"/>
  <c r="O70" i="30"/>
  <c r="O48" i="30" s="1"/>
  <c r="O32" i="30"/>
  <c r="O10" i="30" s="1"/>
  <c r="O108" i="30"/>
  <c r="O86" i="30" s="1"/>
  <c r="O108" i="26"/>
  <c r="O70" i="26"/>
  <c r="O48" i="26" s="1"/>
  <c r="AJ87" i="26"/>
  <c r="AJ88" i="26"/>
  <c r="BJ6" i="25"/>
  <c r="BJ22" i="25"/>
  <c r="N40" i="26"/>
  <c r="N78" i="26"/>
  <c r="AT34" i="6"/>
  <c r="Y12" i="6"/>
  <c r="C35" i="27"/>
  <c r="AJ81" i="26"/>
  <c r="BA5" i="26"/>
  <c r="BA21" i="26"/>
  <c r="O105" i="26"/>
  <c r="O105" i="30"/>
  <c r="O83" i="30" s="1"/>
  <c r="O67" i="30"/>
  <c r="O45" i="30" s="1"/>
  <c r="O29" i="30"/>
  <c r="O7" i="30" s="1"/>
  <c r="O67" i="26"/>
  <c r="O45" i="26" s="1"/>
  <c r="BA41" i="29"/>
  <c r="N2" i="29"/>
  <c r="N35" i="29" s="1"/>
  <c r="N37" i="29"/>
  <c r="BJ18" i="25"/>
  <c r="BJ2" i="25"/>
  <c r="AT28" i="6"/>
  <c r="C29" i="27"/>
  <c r="Y6" i="6"/>
  <c r="BA19" i="26"/>
  <c r="AJ83" i="26"/>
  <c r="P24" i="26" a="1"/>
  <c r="P24" i="26" s="1"/>
  <c r="P2" i="22"/>
  <c r="AK24" i="22"/>
  <c r="AK29" i="22"/>
  <c r="P29" i="26" a="1"/>
  <c r="P29" i="26" s="1"/>
  <c r="P7" i="26" s="1"/>
  <c r="BA20" i="26"/>
  <c r="BA4" i="26"/>
  <c r="AJ112" i="29"/>
  <c r="AJ78" i="29"/>
  <c r="AJ111" i="29" s="1"/>
  <c r="AJ2" i="30"/>
  <c r="AJ36" i="30"/>
  <c r="AJ40" i="30"/>
  <c r="AJ74" i="30"/>
  <c r="BA8" i="26"/>
  <c r="BA24" i="26"/>
  <c r="N84" i="26"/>
  <c r="F111" i="26"/>
  <c r="Q6" i="25"/>
  <c r="H104" i="29"/>
  <c r="H82" i="29" s="1"/>
  <c r="H66" i="29"/>
  <c r="H44" i="29" s="1"/>
  <c r="H28" i="29"/>
  <c r="H6" i="29" s="1"/>
  <c r="AM9" i="25"/>
  <c r="AD96" i="29"/>
  <c r="AD85" i="29" s="1"/>
  <c r="AD20" i="29"/>
  <c r="AD9" i="29" s="1"/>
  <c r="AD58" i="29"/>
  <c r="AD47" i="29" s="1"/>
  <c r="AA25" i="22"/>
  <c r="AB61" i="22"/>
  <c r="AA39" i="22"/>
  <c r="AN10" i="6"/>
  <c r="I71" i="30"/>
  <c r="I49" i="30" s="1"/>
  <c r="I33" i="30"/>
  <c r="I11" i="30" s="1"/>
  <c r="I109" i="26"/>
  <c r="I71" i="26"/>
  <c r="I49" i="26" s="1"/>
  <c r="I109" i="30"/>
  <c r="I87" i="30" s="1"/>
  <c r="G82" i="26"/>
  <c r="H103" i="30"/>
  <c r="H81" i="30" s="1"/>
  <c r="H65" i="30"/>
  <c r="H43" i="30" s="1"/>
  <c r="H103" i="26"/>
  <c r="H27" i="30"/>
  <c r="H5" i="30" s="1"/>
  <c r="H65" i="26"/>
  <c r="H43" i="26" s="1"/>
  <c r="AM8" i="25"/>
  <c r="AD57" i="29"/>
  <c r="AD46" i="29" s="1"/>
  <c r="AD95" i="29"/>
  <c r="AD84" i="29" s="1"/>
  <c r="AD19" i="29"/>
  <c r="AD8" i="29" s="1"/>
  <c r="AE8" i="22"/>
  <c r="AE19" i="26" a="1"/>
  <c r="AE19" i="26" s="1"/>
  <c r="AJ25" i="26" a="1"/>
  <c r="AJ25" i="26" s="1"/>
  <c r="AJ3" i="26" s="1"/>
  <c r="BA17" i="26" s="1"/>
  <c r="I2" i="26"/>
  <c r="I62" i="26"/>
  <c r="I37" i="26"/>
  <c r="I62" i="30"/>
  <c r="I24" i="30"/>
  <c r="I100" i="30"/>
  <c r="I100" i="26"/>
  <c r="AC87" i="26"/>
  <c r="AF2" i="22"/>
  <c r="AF13" i="26" a="1"/>
  <c r="AF13" i="26" s="1"/>
  <c r="AF10" i="22"/>
  <c r="AF21" i="26" a="1"/>
  <c r="AF21" i="26" s="1"/>
  <c r="AD52" i="30"/>
  <c r="AD52" i="26"/>
  <c r="AD14" i="30"/>
  <c r="AD90" i="30"/>
  <c r="AD90" i="26"/>
  <c r="G37" i="30"/>
  <c r="G2" i="30"/>
  <c r="G35" i="30" s="1"/>
  <c r="H108" i="26"/>
  <c r="H70" i="26"/>
  <c r="H48" i="26" s="1"/>
  <c r="H32" i="30"/>
  <c r="H10" i="30" s="1"/>
  <c r="H70" i="30"/>
  <c r="H48" i="30" s="1"/>
  <c r="H108" i="30"/>
  <c r="H86" i="30" s="1"/>
  <c r="AD8" i="26"/>
  <c r="AD95" i="30"/>
  <c r="AD84" i="30" s="1"/>
  <c r="AD19" i="30"/>
  <c r="AD57" i="26"/>
  <c r="AD46" i="26" s="1"/>
  <c r="AD57" i="30"/>
  <c r="AD46" i="30" s="1"/>
  <c r="AD95" i="26"/>
  <c r="R12" i="25"/>
  <c r="I34" i="29"/>
  <c r="I12" i="29" s="1"/>
  <c r="I110" i="29"/>
  <c r="I88" i="29" s="1"/>
  <c r="I72" i="29"/>
  <c r="I50" i="29" s="1"/>
  <c r="AE5" i="22"/>
  <c r="AE16" i="26" a="1"/>
  <c r="AE16" i="26" s="1"/>
  <c r="BD27" i="25"/>
  <c r="AD12" i="26"/>
  <c r="AD99" i="26"/>
  <c r="AD99" i="30"/>
  <c r="AD88" i="30" s="1"/>
  <c r="AD61" i="26"/>
  <c r="AD50" i="26" s="1"/>
  <c r="AD23" i="30"/>
  <c r="AD12" i="30" s="1"/>
  <c r="AD61" i="30"/>
  <c r="AD50" i="30" s="1"/>
  <c r="AD58" i="26"/>
  <c r="AD96" i="30"/>
  <c r="AD20" i="30"/>
  <c r="AD58" i="30"/>
  <c r="AD96" i="26"/>
  <c r="AM6" i="25"/>
  <c r="AD17" i="29"/>
  <c r="AD6" i="29" s="1"/>
  <c r="AD93" i="29"/>
  <c r="AD82" i="29" s="1"/>
  <c r="AD55" i="29"/>
  <c r="AD44" i="29" s="1"/>
  <c r="AF20" i="26" a="1"/>
  <c r="AF20" i="26" s="1"/>
  <c r="AF5" i="22"/>
  <c r="AF16" i="26" a="1"/>
  <c r="AF16" i="26" s="1"/>
  <c r="G113" i="30"/>
  <c r="G78" i="30"/>
  <c r="G111" i="30" s="1"/>
  <c r="AC74" i="26"/>
  <c r="AC40" i="26"/>
  <c r="I107" i="26"/>
  <c r="I69" i="30"/>
  <c r="I47" i="30" s="1"/>
  <c r="I69" i="26"/>
  <c r="I47" i="26" s="1"/>
  <c r="I107" i="30"/>
  <c r="I85" i="30" s="1"/>
  <c r="I31" i="30"/>
  <c r="I9" i="30" s="1"/>
  <c r="AO4" i="6"/>
  <c r="AO11" i="6"/>
  <c r="AU78" i="29"/>
  <c r="AU88" i="29" s="1"/>
  <c r="F111" i="29"/>
  <c r="AO3" i="6"/>
  <c r="AO8" i="6"/>
  <c r="AL74" i="25"/>
  <c r="AL73" i="25"/>
  <c r="I103" i="30"/>
  <c r="I81" i="30" s="1"/>
  <c r="I27" i="30"/>
  <c r="I5" i="30" s="1"/>
  <c r="I65" i="26"/>
  <c r="I43" i="26" s="1"/>
  <c r="I103" i="26"/>
  <c r="I65" i="30"/>
  <c r="I43" i="30" s="1"/>
  <c r="P75" i="25"/>
  <c r="P73" i="25"/>
  <c r="AO5" i="6"/>
  <c r="AL35" i="25"/>
  <c r="AN3" i="6"/>
  <c r="AN8" i="6"/>
  <c r="AJ69" i="30"/>
  <c r="AJ47" i="30" s="1"/>
  <c r="BA45" i="30" s="1"/>
  <c r="AJ107" i="26"/>
  <c r="AJ69" i="26"/>
  <c r="AJ47" i="26" s="1"/>
  <c r="BA45" i="26" s="1"/>
  <c r="AJ107" i="30"/>
  <c r="AJ85" i="30" s="1"/>
  <c r="BA83" i="30" s="1"/>
  <c r="AJ31" i="30"/>
  <c r="AJ9" i="30" s="1"/>
  <c r="BA7" i="30" s="1"/>
  <c r="G40" i="29"/>
  <c r="G73" i="29" s="1"/>
  <c r="G75" i="29"/>
  <c r="I105" i="30"/>
  <c r="I83" i="30" s="1"/>
  <c r="I67" i="30"/>
  <c r="I45" i="30" s="1"/>
  <c r="I29" i="30"/>
  <c r="I7" i="30" s="1"/>
  <c r="I105" i="26"/>
  <c r="I67" i="26"/>
  <c r="I45" i="26" s="1"/>
  <c r="AM36" i="25"/>
  <c r="AD89" i="29"/>
  <c r="AD13" i="29"/>
  <c r="AD51" i="29"/>
  <c r="AM2" i="25"/>
  <c r="M36" i="34" s="1"/>
  <c r="AE10" i="22"/>
  <c r="AE21" i="26" a="1"/>
  <c r="AE21" i="26" s="1"/>
  <c r="BD28" i="25"/>
  <c r="H109" i="26"/>
  <c r="H71" i="30"/>
  <c r="H49" i="30" s="1"/>
  <c r="H109" i="30"/>
  <c r="H87" i="30" s="1"/>
  <c r="H71" i="26"/>
  <c r="H49" i="26" s="1"/>
  <c r="H33" i="30"/>
  <c r="H11" i="30" s="1"/>
  <c r="AF14" i="26" a="1"/>
  <c r="AF14" i="26" s="1"/>
  <c r="AF12" i="22"/>
  <c r="AF23" i="26" a="1"/>
  <c r="AF23" i="26" s="1"/>
  <c r="G113" i="26"/>
  <c r="G78" i="26"/>
  <c r="AC2" i="30"/>
  <c r="AC36" i="30"/>
  <c r="R37" i="25"/>
  <c r="I24" i="29"/>
  <c r="R2" i="25"/>
  <c r="M15" i="34" s="1"/>
  <c r="I100" i="29"/>
  <c r="I62" i="29"/>
  <c r="AC81" i="26"/>
  <c r="AO12" i="6"/>
  <c r="AC112" i="29"/>
  <c r="AC78" i="29"/>
  <c r="AC111" i="29" s="1"/>
  <c r="AD10" i="26"/>
  <c r="AD59" i="26"/>
  <c r="AD48" i="26" s="1"/>
  <c r="AD21" i="30"/>
  <c r="AD10" i="30" s="1"/>
  <c r="AD97" i="26"/>
  <c r="AD59" i="30"/>
  <c r="AD48" i="30" s="1"/>
  <c r="AD97" i="30"/>
  <c r="AD86" i="30" s="1"/>
  <c r="AC86" i="26"/>
  <c r="AO9" i="6"/>
  <c r="AO6" i="6"/>
  <c r="AC74" i="29"/>
  <c r="AC40" i="29"/>
  <c r="AC73" i="29" s="1"/>
  <c r="M45" i="22"/>
  <c r="M31" i="22"/>
  <c r="M9" i="22" s="1"/>
  <c r="N67" i="22"/>
  <c r="AU40" i="26"/>
  <c r="F73" i="26"/>
  <c r="AC80" i="26"/>
  <c r="AD36" i="26"/>
  <c r="AD2" i="26"/>
  <c r="AD51" i="30"/>
  <c r="AD13" i="30"/>
  <c r="AD51" i="26"/>
  <c r="AD89" i="30"/>
  <c r="AD89" i="26"/>
  <c r="Q3" i="25"/>
  <c r="M55" i="34" s="1"/>
  <c r="H25" i="29"/>
  <c r="H3" i="29" s="1"/>
  <c r="H63" i="29"/>
  <c r="H41" i="29" s="1"/>
  <c r="H101" i="29"/>
  <c r="H79" i="29" s="1"/>
  <c r="L31" i="26" a="1"/>
  <c r="L31" i="26" s="1"/>
  <c r="AE14" i="26" a="1"/>
  <c r="AE14" i="26" s="1"/>
  <c r="AE11" i="22"/>
  <c r="AE22" i="26" a="1"/>
  <c r="AE22" i="26" s="1"/>
  <c r="H102" i="26"/>
  <c r="H64" i="30"/>
  <c r="H42" i="30" s="1"/>
  <c r="H64" i="26"/>
  <c r="H42" i="26" s="1"/>
  <c r="H102" i="30"/>
  <c r="H80" i="30" s="1"/>
  <c r="H26" i="30"/>
  <c r="H4" i="30" s="1"/>
  <c r="AU78" i="30"/>
  <c r="AU89" i="29" s="1"/>
  <c r="F111" i="30"/>
  <c r="AM3" i="25"/>
  <c r="M77" i="34" s="1"/>
  <c r="AD14" i="29"/>
  <c r="AD3" i="29" s="1"/>
  <c r="AD90" i="29"/>
  <c r="AD79" i="29" s="1"/>
  <c r="AD52" i="29"/>
  <c r="AD41" i="29" s="1"/>
  <c r="AU2" i="29"/>
  <c r="AU12" i="29" s="1"/>
  <c r="F35" i="29"/>
  <c r="AF8" i="22"/>
  <c r="AF19" i="26" a="1"/>
  <c r="AF19" i="26" s="1"/>
  <c r="AD98" i="29"/>
  <c r="AD87" i="29" s="1"/>
  <c r="AM11" i="25"/>
  <c r="AD60" i="29"/>
  <c r="AD49" i="29" s="1"/>
  <c r="AD22" i="29"/>
  <c r="AD11" i="29" s="1"/>
  <c r="AC78" i="30"/>
  <c r="AC112" i="30"/>
  <c r="H107" i="30"/>
  <c r="H85" i="30" s="1"/>
  <c r="H69" i="30"/>
  <c r="H47" i="30" s="1"/>
  <c r="H69" i="26"/>
  <c r="H47" i="26" s="1"/>
  <c r="H31" i="30"/>
  <c r="H9" i="30" s="1"/>
  <c r="H107" i="26"/>
  <c r="AC82" i="26"/>
  <c r="AN5" i="6"/>
  <c r="AN11" i="6"/>
  <c r="H3" i="26"/>
  <c r="H101" i="30"/>
  <c r="H79" i="30" s="1"/>
  <c r="H63" i="26"/>
  <c r="H41" i="26" s="1"/>
  <c r="H25" i="30"/>
  <c r="H3" i="30" s="1"/>
  <c r="H63" i="30"/>
  <c r="H41" i="30" s="1"/>
  <c r="H101" i="26"/>
  <c r="AO2" i="6"/>
  <c r="AD56" i="30"/>
  <c r="AD45" i="30" s="1"/>
  <c r="AD7" i="26"/>
  <c r="AD56" i="26"/>
  <c r="AD45" i="26" s="1"/>
  <c r="AD94" i="26"/>
  <c r="AD18" i="30"/>
  <c r="AD7" i="30" s="1"/>
  <c r="AD94" i="30"/>
  <c r="AD83" i="30" s="1"/>
  <c r="Q12" i="25"/>
  <c r="H110" i="29"/>
  <c r="H88" i="29" s="1"/>
  <c r="H34" i="29"/>
  <c r="H12" i="29" s="1"/>
  <c r="H72" i="29"/>
  <c r="H50" i="29" s="1"/>
  <c r="AN12" i="6"/>
  <c r="AN6" i="6"/>
  <c r="G78" i="29"/>
  <c r="G111" i="29" s="1"/>
  <c r="G113" i="29"/>
  <c r="G88" i="26"/>
  <c r="F35" i="30"/>
  <c r="AU2" i="30"/>
  <c r="AO7" i="6"/>
  <c r="F73" i="30"/>
  <c r="AU40" i="30"/>
  <c r="AU51" i="29" s="1"/>
  <c r="G79" i="26"/>
  <c r="AN2" i="6"/>
  <c r="AC88" i="26"/>
  <c r="AE4" i="22"/>
  <c r="AE15" i="26" a="1"/>
  <c r="AE15" i="26" s="1"/>
  <c r="AE12" i="22"/>
  <c r="AE23" i="26" a="1"/>
  <c r="AE23" i="26" s="1"/>
  <c r="R3" i="25"/>
  <c r="M56" i="34" s="1"/>
  <c r="I101" i="29"/>
  <c r="I79" i="29" s="1"/>
  <c r="I25" i="29"/>
  <c r="I3" i="29" s="1"/>
  <c r="I63" i="29"/>
  <c r="I41" i="29" s="1"/>
  <c r="H8" i="26"/>
  <c r="H68" i="26"/>
  <c r="H46" i="26" s="1"/>
  <c r="H30" i="30"/>
  <c r="H8" i="30" s="1"/>
  <c r="H106" i="30"/>
  <c r="H84" i="30" s="1"/>
  <c r="H68" i="30"/>
  <c r="H46" i="30" s="1"/>
  <c r="H106" i="26"/>
  <c r="AF7" i="22"/>
  <c r="AF18" i="26" a="1"/>
  <c r="AF18" i="26" s="1"/>
  <c r="AK18" i="26" s="1"/>
  <c r="G35" i="26"/>
  <c r="AC74" i="30"/>
  <c r="AC40" i="30"/>
  <c r="AM4" i="25"/>
  <c r="AD91" i="29"/>
  <c r="AD80" i="29" s="1"/>
  <c r="AD15" i="29"/>
  <c r="AD4" i="29" s="1"/>
  <c r="AD53" i="29"/>
  <c r="AD42" i="29" s="1"/>
  <c r="AB31" i="22"/>
  <c r="AC67" i="22"/>
  <c r="AB45" i="22"/>
  <c r="AD21" i="29"/>
  <c r="AD10" i="29" s="1"/>
  <c r="AM10" i="25"/>
  <c r="AD97" i="29"/>
  <c r="AD86" i="29" s="1"/>
  <c r="AD59" i="29"/>
  <c r="AD48" i="29" s="1"/>
  <c r="AN7" i="6"/>
  <c r="Q37" i="25"/>
  <c r="H100" i="29"/>
  <c r="Q2" i="25"/>
  <c r="M14" i="34" s="1"/>
  <c r="H24" i="29"/>
  <c r="H62" i="29"/>
  <c r="P35" i="25"/>
  <c r="AD6" i="26"/>
  <c r="AD55" i="26"/>
  <c r="AD93" i="30"/>
  <c r="AD82" i="30" s="1"/>
  <c r="AD17" i="30"/>
  <c r="AD55" i="30"/>
  <c r="AD44" i="30" s="1"/>
  <c r="AD93" i="26"/>
  <c r="AE2" i="22"/>
  <c r="AE13" i="26" a="1"/>
  <c r="AE13" i="26" s="1"/>
  <c r="AE7" i="22"/>
  <c r="AE18" i="26" a="1"/>
  <c r="AE18" i="26" s="1"/>
  <c r="H12" i="26"/>
  <c r="H34" i="30"/>
  <c r="H12" i="30" s="1"/>
  <c r="H72" i="26"/>
  <c r="H50" i="26" s="1"/>
  <c r="H110" i="30"/>
  <c r="H88" i="30" s="1"/>
  <c r="H72" i="30"/>
  <c r="H50" i="30" s="1"/>
  <c r="H110" i="26"/>
  <c r="I30" i="29"/>
  <c r="I8" i="29" s="1"/>
  <c r="R8" i="25"/>
  <c r="I106" i="29"/>
  <c r="I84" i="29" s="1"/>
  <c r="I68" i="29"/>
  <c r="I46" i="29" s="1"/>
  <c r="AF4" i="22"/>
  <c r="AF15" i="26" a="1"/>
  <c r="AF15" i="26" s="1"/>
  <c r="G75" i="26"/>
  <c r="G40" i="26"/>
  <c r="G73" i="26" s="1"/>
  <c r="AD16" i="29"/>
  <c r="AD5" i="29" s="1"/>
  <c r="AM5" i="25"/>
  <c r="AD92" i="29"/>
  <c r="AD81" i="29" s="1"/>
  <c r="AD54" i="29"/>
  <c r="AD43" i="29" s="1"/>
  <c r="H37" i="26"/>
  <c r="H2" i="26"/>
  <c r="H24" i="30"/>
  <c r="H62" i="30"/>
  <c r="H62" i="26"/>
  <c r="H100" i="26"/>
  <c r="H100" i="30"/>
  <c r="AM12" i="25"/>
  <c r="AD99" i="29"/>
  <c r="AD88" i="29" s="1"/>
  <c r="AD23" i="29"/>
  <c r="AD12" i="29" s="1"/>
  <c r="AD61" i="29"/>
  <c r="AD50" i="29" s="1"/>
  <c r="AD54" i="30"/>
  <c r="AD43" i="30" s="1"/>
  <c r="AD54" i="26"/>
  <c r="AD43" i="26" s="1"/>
  <c r="AD5" i="26"/>
  <c r="AD92" i="26"/>
  <c r="AD92" i="30"/>
  <c r="AD81" i="30" s="1"/>
  <c r="AD16" i="30"/>
  <c r="AD5" i="30" s="1"/>
  <c r="I12" i="26"/>
  <c r="I72" i="30"/>
  <c r="I50" i="30" s="1"/>
  <c r="I72" i="26"/>
  <c r="I50" i="26" s="1"/>
  <c r="I34" i="30"/>
  <c r="I12" i="30" s="1"/>
  <c r="I110" i="30"/>
  <c r="I88" i="30" s="1"/>
  <c r="I110" i="26"/>
  <c r="G84" i="26"/>
  <c r="AA31" i="26" a="1"/>
  <c r="AA31" i="26" s="1"/>
  <c r="AA9" i="22"/>
  <c r="AO10" i="6"/>
  <c r="AC36" i="29"/>
  <c r="AC2" i="29"/>
  <c r="AC35" i="29" s="1"/>
  <c r="AN4" i="6"/>
  <c r="AD94" i="29"/>
  <c r="AD83" i="29" s="1"/>
  <c r="AD18" i="29"/>
  <c r="AD7" i="29" s="1"/>
  <c r="AM7" i="25"/>
  <c r="AD56" i="29"/>
  <c r="AD45" i="29" s="1"/>
  <c r="G37" i="29"/>
  <c r="G2" i="29"/>
  <c r="G35" i="29" s="1"/>
  <c r="I106" i="30"/>
  <c r="I84" i="30" s="1"/>
  <c r="I8" i="26"/>
  <c r="I30" i="30"/>
  <c r="I8" i="30" s="1"/>
  <c r="I68" i="26"/>
  <c r="I46" i="26" s="1"/>
  <c r="I68" i="30"/>
  <c r="I46" i="30" s="1"/>
  <c r="I106" i="26"/>
  <c r="AC84" i="26"/>
  <c r="AE20" i="26" a="1"/>
  <c r="AE20" i="26" s="1"/>
  <c r="AC83" i="26"/>
  <c r="R6" i="25"/>
  <c r="I66" i="29"/>
  <c r="I44" i="29" s="1"/>
  <c r="I28" i="29"/>
  <c r="I6" i="29" s="1"/>
  <c r="I104" i="29"/>
  <c r="I82" i="29" s="1"/>
  <c r="AF6" i="22"/>
  <c r="AF17" i="26" a="1"/>
  <c r="AF17" i="26" s="1"/>
  <c r="AC112" i="26"/>
  <c r="AC78" i="26"/>
  <c r="AD98" i="26"/>
  <c r="AD11" i="26"/>
  <c r="AD60" i="26"/>
  <c r="AD49" i="26" s="1"/>
  <c r="AD98" i="30"/>
  <c r="AD87" i="30" s="1"/>
  <c r="AD22" i="30"/>
  <c r="AD11" i="30" s="1"/>
  <c r="AD60" i="30"/>
  <c r="AD49" i="30" s="1"/>
  <c r="H6" i="26"/>
  <c r="H104" i="30"/>
  <c r="H82" i="30" s="1"/>
  <c r="H28" i="30"/>
  <c r="H6" i="30" s="1"/>
  <c r="H66" i="26"/>
  <c r="H44" i="26" s="1"/>
  <c r="H66" i="30"/>
  <c r="H44" i="30" s="1"/>
  <c r="H104" i="26"/>
  <c r="I70" i="26"/>
  <c r="I48" i="26" s="1"/>
  <c r="I108" i="30"/>
  <c r="I86" i="30" s="1"/>
  <c r="I32" i="30"/>
  <c r="I10" i="30" s="1"/>
  <c r="I108" i="26"/>
  <c r="I70" i="30"/>
  <c r="I48" i="30" s="1"/>
  <c r="H30" i="29"/>
  <c r="H8" i="29" s="1"/>
  <c r="Q8" i="25"/>
  <c r="H68" i="29"/>
  <c r="H46" i="29" s="1"/>
  <c r="H106" i="29"/>
  <c r="H84" i="29" s="1"/>
  <c r="L25" i="22"/>
  <c r="L39" i="22"/>
  <c r="M61" i="22"/>
  <c r="AN9" i="6"/>
  <c r="I6" i="26"/>
  <c r="I66" i="26"/>
  <c r="I44" i="26" s="1"/>
  <c r="I66" i="30"/>
  <c r="I44" i="30" s="1"/>
  <c r="I28" i="30"/>
  <c r="I6" i="30" s="1"/>
  <c r="I104" i="30"/>
  <c r="I82" i="30" s="1"/>
  <c r="I104" i="26"/>
  <c r="I64" i="30"/>
  <c r="I42" i="30" s="1"/>
  <c r="I26" i="30"/>
  <c r="I4" i="30" s="1"/>
  <c r="I102" i="30"/>
  <c r="I80" i="30" s="1"/>
  <c r="I102" i="26"/>
  <c r="I64" i="26"/>
  <c r="I42" i="26" s="1"/>
  <c r="AE6" i="22"/>
  <c r="AE17" i="26" a="1"/>
  <c r="AE17" i="26" s="1"/>
  <c r="I3" i="26"/>
  <c r="I101" i="30"/>
  <c r="I79" i="30" s="1"/>
  <c r="I63" i="26"/>
  <c r="I41" i="26" s="1"/>
  <c r="I25" i="30"/>
  <c r="I3" i="30" s="1"/>
  <c r="I63" i="30"/>
  <c r="I41" i="30" s="1"/>
  <c r="I101" i="26"/>
  <c r="H105" i="26"/>
  <c r="H67" i="30"/>
  <c r="H45" i="30" s="1"/>
  <c r="H29" i="30"/>
  <c r="H7" i="30" s="1"/>
  <c r="H67" i="26"/>
  <c r="H45" i="26" s="1"/>
  <c r="H105" i="30"/>
  <c r="H83" i="30" s="1"/>
  <c r="AF11" i="22"/>
  <c r="AF22" i="26" a="1"/>
  <c r="AF22" i="26" s="1"/>
  <c r="AD4" i="26"/>
  <c r="AD91" i="30"/>
  <c r="AD80" i="30" s="1"/>
  <c r="AD53" i="26"/>
  <c r="AD42" i="26" s="1"/>
  <c r="AD53" i="30"/>
  <c r="AD42" i="30" s="1"/>
  <c r="AD15" i="30"/>
  <c r="AD4" i="30" s="1"/>
  <c r="AD91" i="26"/>
  <c r="G75" i="30"/>
  <c r="G40" i="30"/>
  <c r="G73" i="30" s="1"/>
  <c r="AU40" i="29"/>
  <c r="AU50" i="29" s="1"/>
  <c r="F73" i="29"/>
  <c r="U35" i="33" l="1"/>
  <c r="U52" i="33" s="1"/>
  <c r="X34" i="33"/>
  <c r="X51" i="33" s="1"/>
  <c r="Y53" i="33"/>
  <c r="X35" i="33"/>
  <c r="X52" i="33" s="1"/>
  <c r="U34" i="33"/>
  <c r="U51" i="33" s="1"/>
  <c r="H488" i="33"/>
  <c r="H530" i="33"/>
  <c r="L104" i="34"/>
  <c r="M96" i="34"/>
  <c r="M137" i="34"/>
  <c r="L145" i="34"/>
  <c r="H489" i="33"/>
  <c r="H63" i="33"/>
  <c r="M97" i="34"/>
  <c r="M138" i="34"/>
  <c r="U13" i="33"/>
  <c r="H529" i="33"/>
  <c r="X33" i="33" s="1"/>
  <c r="M144" i="34"/>
  <c r="AK22" i="26"/>
  <c r="X13" i="33"/>
  <c r="H22" i="33"/>
  <c r="M103" i="34"/>
  <c r="H15" i="33"/>
  <c r="M118" i="34"/>
  <c r="M159" i="34"/>
  <c r="G64" i="33"/>
  <c r="J146" i="34"/>
  <c r="D146" i="34"/>
  <c r="G23" i="33"/>
  <c r="D105" i="34"/>
  <c r="J105" i="34"/>
  <c r="AK16" i="26"/>
  <c r="AK15" i="26"/>
  <c r="AK20" i="26"/>
  <c r="AK21" i="26"/>
  <c r="BD13" i="25"/>
  <c r="I86" i="26"/>
  <c r="L9" i="26"/>
  <c r="H87" i="26"/>
  <c r="I81" i="26"/>
  <c r="H86" i="26"/>
  <c r="H81" i="26"/>
  <c r="I87" i="26"/>
  <c r="O86" i="26"/>
  <c r="O87" i="26"/>
  <c r="AW9" i="26"/>
  <c r="AW25" i="26"/>
  <c r="O81" i="26"/>
  <c r="AW8" i="26"/>
  <c r="AW24" i="26"/>
  <c r="AW5" i="26"/>
  <c r="AW21" i="26"/>
  <c r="I83" i="26"/>
  <c r="I80" i="26"/>
  <c r="H85" i="26"/>
  <c r="O83" i="26"/>
  <c r="H83" i="26"/>
  <c r="I85" i="26"/>
  <c r="H80" i="26"/>
  <c r="O80" i="26"/>
  <c r="AU91" i="29"/>
  <c r="X35" i="25"/>
  <c r="AJ35" i="26"/>
  <c r="BJ11" i="25"/>
  <c r="BJ14" i="25" s="1"/>
  <c r="BA3" i="26"/>
  <c r="BJ12" i="25" s="1"/>
  <c r="AJ85" i="26"/>
  <c r="BJ28" i="25"/>
  <c r="BJ29" i="25" s="1"/>
  <c r="BA40" i="29"/>
  <c r="BA50" i="29" s="1"/>
  <c r="P104" i="29"/>
  <c r="P66" i="29"/>
  <c r="Y6" i="25"/>
  <c r="P28" i="29"/>
  <c r="AT5" i="6"/>
  <c r="C6" i="27"/>
  <c r="O2" i="30"/>
  <c r="Q26" i="26" a="1"/>
  <c r="Q26" i="26" s="1"/>
  <c r="Q4" i="26" s="1"/>
  <c r="C9" i="27"/>
  <c r="AT8" i="6"/>
  <c r="P64" i="26"/>
  <c r="P102" i="30"/>
  <c r="P64" i="30"/>
  <c r="P102" i="26"/>
  <c r="P80" i="26" s="1"/>
  <c r="P26" i="30"/>
  <c r="P109" i="29"/>
  <c r="P71" i="29"/>
  <c r="P33" i="29"/>
  <c r="Y11" i="25"/>
  <c r="Z10" i="6"/>
  <c r="Z5" i="6"/>
  <c r="P69" i="29"/>
  <c r="P31" i="29"/>
  <c r="P107" i="29"/>
  <c r="Y9" i="25"/>
  <c r="O84" i="26"/>
  <c r="X75" i="25"/>
  <c r="X73" i="25"/>
  <c r="O82" i="26"/>
  <c r="P68" i="26"/>
  <c r="P106" i="26"/>
  <c r="P30" i="30"/>
  <c r="P8" i="26"/>
  <c r="P106" i="30"/>
  <c r="P68" i="30"/>
  <c r="P100" i="26"/>
  <c r="P24" i="30"/>
  <c r="P2" i="26"/>
  <c r="P100" i="30"/>
  <c r="P62" i="26"/>
  <c r="P62" i="30"/>
  <c r="P12" i="26"/>
  <c r="P34" i="30"/>
  <c r="P72" i="30"/>
  <c r="P72" i="26"/>
  <c r="P110" i="26"/>
  <c r="P110" i="30"/>
  <c r="P27" i="29"/>
  <c r="P65" i="29"/>
  <c r="P103" i="29"/>
  <c r="Y5" i="25"/>
  <c r="O78" i="26"/>
  <c r="Q32" i="26" a="1"/>
  <c r="Q32" i="26" s="1"/>
  <c r="Q10" i="26" s="1"/>
  <c r="Q33" i="26" a="1"/>
  <c r="Q33" i="26" s="1"/>
  <c r="Q11" i="26" s="1"/>
  <c r="Y8" i="25"/>
  <c r="P68" i="29"/>
  <c r="P106" i="29"/>
  <c r="P30" i="29"/>
  <c r="AA27" i="6"/>
  <c r="AA27" i="25" s="1"/>
  <c r="G147" i="33" s="1"/>
  <c r="H147" i="33" s="1"/>
  <c r="AA28" i="6"/>
  <c r="AA28" i="25" s="1"/>
  <c r="G188" i="33" s="1"/>
  <c r="H188" i="33" s="1"/>
  <c r="AA34" i="6"/>
  <c r="AA34" i="25" s="1"/>
  <c r="G434" i="33" s="1"/>
  <c r="H434" i="33" s="1"/>
  <c r="AA33" i="6"/>
  <c r="AA33" i="25" s="1"/>
  <c r="G393" i="33" s="1"/>
  <c r="H393" i="33" s="1"/>
  <c r="AA25" i="6"/>
  <c r="AA25" i="25" s="1"/>
  <c r="AA26" i="6"/>
  <c r="AA26" i="25" s="1"/>
  <c r="G106" i="33" s="1"/>
  <c r="H106" i="33" s="1"/>
  <c r="AA30" i="6"/>
  <c r="AA30" i="25" s="1"/>
  <c r="G270" i="33" s="1"/>
  <c r="H270" i="33" s="1"/>
  <c r="AA31" i="6"/>
  <c r="AA31" i="25" s="1"/>
  <c r="G311" i="33" s="1"/>
  <c r="H311" i="33" s="1"/>
  <c r="AA24" i="6"/>
  <c r="AA24" i="25" s="1"/>
  <c r="AA32" i="6"/>
  <c r="AA32" i="25" s="1"/>
  <c r="G352" i="33" s="1"/>
  <c r="H352" i="33" s="1"/>
  <c r="AA29" i="6"/>
  <c r="AA29" i="25" s="1"/>
  <c r="G229" i="33" s="1"/>
  <c r="H229" i="33" s="1"/>
  <c r="Z4" i="6"/>
  <c r="AK8" i="22"/>
  <c r="BA40" i="26"/>
  <c r="AK12" i="22"/>
  <c r="O40" i="30"/>
  <c r="R26" i="22"/>
  <c r="R4" i="22" s="1"/>
  <c r="R48" i="22"/>
  <c r="R34" i="22"/>
  <c r="R40" i="22"/>
  <c r="R41" i="22"/>
  <c r="R47" i="22"/>
  <c r="R28" i="22"/>
  <c r="R38" i="22"/>
  <c r="R42" i="22"/>
  <c r="R24" i="22"/>
  <c r="R27" i="22"/>
  <c r="R5" i="22" s="1"/>
  <c r="R30" i="22"/>
  <c r="R46" i="22"/>
  <c r="R32" i="22"/>
  <c r="R10" i="22" s="1"/>
  <c r="R29" i="22"/>
  <c r="R7" i="22" s="1"/>
  <c r="R43" i="22"/>
  <c r="R44" i="22"/>
  <c r="R33" i="22"/>
  <c r="R11" i="22" s="1"/>
  <c r="Z3" i="6"/>
  <c r="BA78" i="30"/>
  <c r="S73" i="22" a="1"/>
  <c r="S73" i="22" s="1"/>
  <c r="AK6" i="22"/>
  <c r="P65" i="26"/>
  <c r="P65" i="30"/>
  <c r="P103" i="26"/>
  <c r="P81" i="26" s="1"/>
  <c r="P103" i="30"/>
  <c r="P27" i="30"/>
  <c r="AT2" i="6"/>
  <c r="C3" i="27"/>
  <c r="AT7" i="6"/>
  <c r="C8" i="27"/>
  <c r="BA78" i="29"/>
  <c r="BA88" i="29" s="1"/>
  <c r="Q6" i="22"/>
  <c r="Q28" i="26" a="1"/>
  <c r="Q28" i="26" s="1"/>
  <c r="Z8" i="6"/>
  <c r="O37" i="29"/>
  <c r="O2" i="29"/>
  <c r="O35" i="29" s="1"/>
  <c r="P62" i="29"/>
  <c r="Y37" i="25"/>
  <c r="Y2" i="25"/>
  <c r="M22" i="34" s="1"/>
  <c r="P100" i="29"/>
  <c r="P24" i="29"/>
  <c r="P105" i="29"/>
  <c r="P29" i="29"/>
  <c r="Y7" i="25"/>
  <c r="P67" i="29"/>
  <c r="C13" i="27"/>
  <c r="AT12" i="6"/>
  <c r="O78" i="30"/>
  <c r="Q2" i="22"/>
  <c r="Q24" i="26" a="1"/>
  <c r="Q24" i="26" s="1"/>
  <c r="Q30" i="26" a="1"/>
  <c r="Q30" i="26" s="1"/>
  <c r="Q8" i="22"/>
  <c r="Z12" i="6"/>
  <c r="C4" i="27"/>
  <c r="AT3" i="6"/>
  <c r="O78" i="29"/>
  <c r="O111" i="29" s="1"/>
  <c r="O113" i="29"/>
  <c r="P32" i="29"/>
  <c r="Y10" i="25"/>
  <c r="P108" i="29"/>
  <c r="P70" i="29"/>
  <c r="BA2" i="29"/>
  <c r="BA12" i="29" s="1"/>
  <c r="BA40" i="30"/>
  <c r="AU53" i="29"/>
  <c r="P34" i="29"/>
  <c r="P72" i="29"/>
  <c r="P110" i="29"/>
  <c r="Y12" i="25"/>
  <c r="Q12" i="22"/>
  <c r="Q34" i="26" a="1"/>
  <c r="Q34" i="26" s="1"/>
  <c r="Q29" i="26" a="1"/>
  <c r="Q29" i="26" s="1"/>
  <c r="Q7" i="26" s="1"/>
  <c r="P70" i="30"/>
  <c r="P108" i="26"/>
  <c r="P86" i="26" s="1"/>
  <c r="P32" i="30"/>
  <c r="P70" i="26"/>
  <c r="P108" i="30"/>
  <c r="Z6" i="6"/>
  <c r="O40" i="29"/>
  <c r="O73" i="29" s="1"/>
  <c r="O75" i="29"/>
  <c r="P104" i="30"/>
  <c r="P28" i="30"/>
  <c r="P66" i="26"/>
  <c r="P66" i="30"/>
  <c r="P104" i="26"/>
  <c r="P6" i="26"/>
  <c r="C11" i="27"/>
  <c r="AT10" i="6"/>
  <c r="C39" i="27"/>
  <c r="O88" i="26"/>
  <c r="P105" i="30"/>
  <c r="P105" i="26"/>
  <c r="P83" i="26" s="1"/>
  <c r="P67" i="26"/>
  <c r="P29" i="30"/>
  <c r="P67" i="30"/>
  <c r="AK2" i="22"/>
  <c r="BA2" i="30"/>
  <c r="P109" i="26"/>
  <c r="P71" i="26"/>
  <c r="P71" i="30"/>
  <c r="P33" i="30"/>
  <c r="P109" i="30"/>
  <c r="Q27" i="26" a="1"/>
  <c r="Q27" i="26" s="1"/>
  <c r="Q5" i="26" s="1"/>
  <c r="AT11" i="6"/>
  <c r="C12" i="27"/>
  <c r="Z9" i="6"/>
  <c r="Z11" i="6"/>
  <c r="P25" i="29"/>
  <c r="P101" i="29"/>
  <c r="Y3" i="25"/>
  <c r="M104" i="34" s="1"/>
  <c r="P63" i="29"/>
  <c r="P64" i="29"/>
  <c r="Y4" i="25"/>
  <c r="P26" i="29"/>
  <c r="P102" i="29"/>
  <c r="AT6" i="6"/>
  <c r="C7" i="27"/>
  <c r="O40" i="26"/>
  <c r="Z7" i="6"/>
  <c r="Z2" i="6"/>
  <c r="C10" i="27"/>
  <c r="AT9" i="6"/>
  <c r="AT4" i="6"/>
  <c r="C5" i="27"/>
  <c r="H35" i="26"/>
  <c r="AK14" i="26"/>
  <c r="AN9" i="25"/>
  <c r="AE96" i="29"/>
  <c r="AE85" i="29" s="1"/>
  <c r="AZ83" i="29" s="1"/>
  <c r="AE20" i="29"/>
  <c r="AE9" i="29" s="1"/>
  <c r="AZ7" i="29" s="1"/>
  <c r="AE58" i="29"/>
  <c r="AE47" i="29" s="1"/>
  <c r="AZ45" i="29" s="1"/>
  <c r="M39" i="22"/>
  <c r="M25" i="22"/>
  <c r="N61" i="22"/>
  <c r="H113" i="26"/>
  <c r="H78" i="26"/>
  <c r="H88" i="26"/>
  <c r="AF12" i="26"/>
  <c r="AF99" i="30"/>
  <c r="AF88" i="30" s="1"/>
  <c r="AF23" i="30"/>
  <c r="AF61" i="30"/>
  <c r="AF61" i="26"/>
  <c r="AF50" i="26" s="1"/>
  <c r="AF99" i="26"/>
  <c r="AD74" i="29"/>
  <c r="AD40" i="29"/>
  <c r="AD73" i="29" s="1"/>
  <c r="AF98" i="29"/>
  <c r="AF87" i="29" s="1"/>
  <c r="AF22" i="29"/>
  <c r="AF11" i="29" s="1"/>
  <c r="AO11" i="25"/>
  <c r="AF60" i="29"/>
  <c r="AF49" i="29" s="1"/>
  <c r="I113" i="30"/>
  <c r="I78" i="30"/>
  <c r="I111" i="30" s="1"/>
  <c r="AD80" i="26"/>
  <c r="AE36" i="26"/>
  <c r="AE89" i="30"/>
  <c r="AE51" i="30"/>
  <c r="AE13" i="30"/>
  <c r="AE51" i="26"/>
  <c r="AE2" i="26"/>
  <c r="AE89" i="26"/>
  <c r="AD6" i="30"/>
  <c r="AK13" i="26"/>
  <c r="I79" i="26"/>
  <c r="AD87" i="26"/>
  <c r="AN36" i="25"/>
  <c r="AN2" i="25"/>
  <c r="M37" i="34" s="1"/>
  <c r="AE51" i="29"/>
  <c r="AE89" i="29"/>
  <c r="AE13" i="29"/>
  <c r="L107" i="30"/>
  <c r="L85" i="30" s="1"/>
  <c r="L31" i="30"/>
  <c r="L69" i="30"/>
  <c r="L107" i="26"/>
  <c r="L69" i="26"/>
  <c r="AD112" i="26"/>
  <c r="AD78" i="26"/>
  <c r="AF21" i="29"/>
  <c r="AF10" i="29" s="1"/>
  <c r="AF97" i="29"/>
  <c r="AF86" i="29" s="1"/>
  <c r="AF59" i="29"/>
  <c r="AF48" i="29" s="1"/>
  <c r="AO10" i="25"/>
  <c r="H75" i="26"/>
  <c r="H40" i="26"/>
  <c r="H73" i="26" s="1"/>
  <c r="Q35" i="25"/>
  <c r="AE91" i="26"/>
  <c r="AE53" i="26"/>
  <c r="AE42" i="26" s="1"/>
  <c r="AE91" i="30"/>
  <c r="AE80" i="30" s="1"/>
  <c r="AE4" i="26"/>
  <c r="AE15" i="30"/>
  <c r="AE4" i="30" s="1"/>
  <c r="AE53" i="30"/>
  <c r="AE42" i="30" s="1"/>
  <c r="AE22" i="29"/>
  <c r="AE11" i="29" s="1"/>
  <c r="AZ9" i="29" s="1"/>
  <c r="AE98" i="29"/>
  <c r="AE87" i="29" s="1"/>
  <c r="AZ85" i="29" s="1"/>
  <c r="AN11" i="25"/>
  <c r="AE60" i="29"/>
  <c r="AE49" i="29" s="1"/>
  <c r="AZ47" i="29" s="1"/>
  <c r="AD112" i="30"/>
  <c r="AD78" i="30"/>
  <c r="AD36" i="29"/>
  <c r="AD2" i="29"/>
  <c r="AD35" i="29" s="1"/>
  <c r="AD84" i="26"/>
  <c r="AB25" i="22"/>
  <c r="AC61" i="22"/>
  <c r="AB39" i="22"/>
  <c r="AF11" i="26"/>
  <c r="AF98" i="30"/>
  <c r="AF87" i="30" s="1"/>
  <c r="AF60" i="30"/>
  <c r="AF49" i="30" s="1"/>
  <c r="AF98" i="26"/>
  <c r="AK98" i="26" s="1"/>
  <c r="AF60" i="26"/>
  <c r="AF49" i="26" s="1"/>
  <c r="AF22" i="30"/>
  <c r="AF11" i="30" s="1"/>
  <c r="AE7" i="26"/>
  <c r="AE18" i="30"/>
  <c r="AE7" i="30" s="1"/>
  <c r="AZ5" i="30" s="1"/>
  <c r="AE94" i="26"/>
  <c r="AE94" i="30"/>
  <c r="AE83" i="30" s="1"/>
  <c r="AZ81" i="30" s="1"/>
  <c r="AE56" i="30"/>
  <c r="AE45" i="30" s="1"/>
  <c r="AZ43" i="30" s="1"/>
  <c r="AE56" i="26"/>
  <c r="AE45" i="26" s="1"/>
  <c r="AZ43" i="26" s="1"/>
  <c r="AD44" i="26"/>
  <c r="H2" i="29"/>
  <c r="H35" i="29" s="1"/>
  <c r="H37" i="29"/>
  <c r="L25" i="26" a="1"/>
  <c r="L25" i="26" s="1"/>
  <c r="L3" i="22"/>
  <c r="AO7" i="25"/>
  <c r="AF18" i="29"/>
  <c r="AF7" i="29" s="1"/>
  <c r="AF94" i="29"/>
  <c r="AF83" i="29" s="1"/>
  <c r="AF56" i="29"/>
  <c r="AF45" i="29" s="1"/>
  <c r="AE55" i="29"/>
  <c r="AE44" i="29" s="1"/>
  <c r="AZ42" i="29" s="1"/>
  <c r="AN6" i="25"/>
  <c r="AE93" i="29"/>
  <c r="AE82" i="29" s="1"/>
  <c r="AZ80" i="29" s="1"/>
  <c r="AE17" i="29"/>
  <c r="AE6" i="29" s="1"/>
  <c r="AZ4" i="29" s="1"/>
  <c r="AD74" i="26"/>
  <c r="AD40" i="26"/>
  <c r="G111" i="26"/>
  <c r="AD112" i="29"/>
  <c r="AD78" i="29"/>
  <c r="AD111" i="29" s="1"/>
  <c r="AF15" i="29"/>
  <c r="AF4" i="29" s="1"/>
  <c r="AF91" i="29"/>
  <c r="AF80" i="29" s="1"/>
  <c r="AO4" i="25"/>
  <c r="AF53" i="29"/>
  <c r="AF42" i="29" s="1"/>
  <c r="AD88" i="26"/>
  <c r="AF36" i="26"/>
  <c r="AF2" i="26"/>
  <c r="AF89" i="30"/>
  <c r="AF51" i="30"/>
  <c r="AF51" i="26"/>
  <c r="AF13" i="30"/>
  <c r="AF89" i="26"/>
  <c r="AA25" i="26" a="1"/>
  <c r="AA25" i="26" s="1"/>
  <c r="AA3" i="22"/>
  <c r="AE23" i="29"/>
  <c r="AE12" i="29" s="1"/>
  <c r="AN12" i="25"/>
  <c r="AE61" i="29"/>
  <c r="AE50" i="29" s="1"/>
  <c r="AE99" i="29"/>
  <c r="AE88" i="29" s="1"/>
  <c r="I84" i="26"/>
  <c r="AD81" i="26"/>
  <c r="H113" i="29"/>
  <c r="H78" i="29"/>
  <c r="H111" i="29" s="1"/>
  <c r="AD67" i="22"/>
  <c r="AC31" i="22"/>
  <c r="AC45" i="22"/>
  <c r="AF6" i="26"/>
  <c r="AF55" i="30"/>
  <c r="AF44" i="30" s="1"/>
  <c r="AF93" i="30"/>
  <c r="AF82" i="30" s="1"/>
  <c r="AF17" i="30"/>
  <c r="AF6" i="30" s="1"/>
  <c r="AF55" i="26"/>
  <c r="AF44" i="26" s="1"/>
  <c r="AF93" i="26"/>
  <c r="AE91" i="29"/>
  <c r="AE80" i="29" s="1"/>
  <c r="AN4" i="25"/>
  <c r="AE15" i="29"/>
  <c r="AE4" i="29" s="1"/>
  <c r="AE53" i="29"/>
  <c r="AE42" i="29" s="1"/>
  <c r="AB31" i="26" a="1"/>
  <c r="AB31" i="26" s="1"/>
  <c r="AB9" i="22"/>
  <c r="H84" i="26"/>
  <c r="AE12" i="26"/>
  <c r="AE99" i="30"/>
  <c r="AE88" i="30" s="1"/>
  <c r="AE61" i="30"/>
  <c r="AE50" i="30" s="1"/>
  <c r="AE99" i="26"/>
  <c r="AE23" i="30"/>
  <c r="AE12" i="30" s="1"/>
  <c r="AE61" i="26"/>
  <c r="H79" i="26"/>
  <c r="AE92" i="29"/>
  <c r="AE81" i="29" s="1"/>
  <c r="AE16" i="29"/>
  <c r="AE5" i="29" s="1"/>
  <c r="AN5" i="25"/>
  <c r="AE54" i="29"/>
  <c r="AE43" i="29" s="1"/>
  <c r="AD36" i="30"/>
  <c r="AD2" i="30"/>
  <c r="AO6" i="25"/>
  <c r="AF93" i="29"/>
  <c r="AF82" i="29" s="1"/>
  <c r="AF55" i="29"/>
  <c r="AF44" i="29" s="1"/>
  <c r="AF17" i="29"/>
  <c r="AF6" i="29" s="1"/>
  <c r="R75" i="25"/>
  <c r="R73" i="25"/>
  <c r="AO8" i="25"/>
  <c r="AF19" i="29"/>
  <c r="AF8" i="29" s="1"/>
  <c r="AF95" i="29"/>
  <c r="AF84" i="29" s="1"/>
  <c r="AF57" i="29"/>
  <c r="AF46" i="29" s="1"/>
  <c r="I37" i="30"/>
  <c r="I2" i="30"/>
  <c r="I35" i="30" s="1"/>
  <c r="AJ63" i="26"/>
  <c r="AJ25" i="30"/>
  <c r="AJ63" i="30"/>
  <c r="AJ101" i="30"/>
  <c r="AJ37" i="26"/>
  <c r="AJ101" i="26"/>
  <c r="AJ79" i="26" s="1"/>
  <c r="AJ111" i="26" s="1"/>
  <c r="AE55" i="26"/>
  <c r="AE44" i="26" s="1"/>
  <c r="AZ42" i="26" s="1"/>
  <c r="AE6" i="26"/>
  <c r="AE93" i="30"/>
  <c r="AE82" i="30" s="1"/>
  <c r="AZ80" i="30" s="1"/>
  <c r="AE17" i="30"/>
  <c r="AE6" i="30" s="1"/>
  <c r="AZ4" i="30" s="1"/>
  <c r="AE93" i="26"/>
  <c r="AE55" i="30"/>
  <c r="AK17" i="26"/>
  <c r="AE52" i="30"/>
  <c r="AE90" i="30"/>
  <c r="AE52" i="26"/>
  <c r="AE14" i="30"/>
  <c r="AE90" i="26"/>
  <c r="AD40" i="30"/>
  <c r="AD74" i="30"/>
  <c r="N31" i="22"/>
  <c r="N9" i="22" s="1"/>
  <c r="N45" i="22"/>
  <c r="O67" i="22"/>
  <c r="I40" i="29"/>
  <c r="I73" i="29" s="1"/>
  <c r="I75" i="29"/>
  <c r="AN8" i="25"/>
  <c r="AE19" i="29"/>
  <c r="AE8" i="29" s="1"/>
  <c r="AZ6" i="29" s="1"/>
  <c r="AE57" i="29"/>
  <c r="AE46" i="29" s="1"/>
  <c r="AZ44" i="29" s="1"/>
  <c r="AE95" i="29"/>
  <c r="AE84" i="29" s="1"/>
  <c r="AZ82" i="29" s="1"/>
  <c r="AO5" i="25"/>
  <c r="AF92" i="29"/>
  <c r="AF81" i="29" s="1"/>
  <c r="AF16" i="29"/>
  <c r="AF5" i="29" s="1"/>
  <c r="AF54" i="29"/>
  <c r="AF43" i="29" s="1"/>
  <c r="AF5" i="26"/>
  <c r="AF92" i="26"/>
  <c r="AF54" i="26"/>
  <c r="AF43" i="26" s="1"/>
  <c r="AF92" i="30"/>
  <c r="AF81" i="30" s="1"/>
  <c r="AF54" i="30"/>
  <c r="AF43" i="30" s="1"/>
  <c r="AF16" i="30"/>
  <c r="AF5" i="30" s="1"/>
  <c r="AF10" i="26"/>
  <c r="AF21" i="30"/>
  <c r="AF10" i="30" s="1"/>
  <c r="AF59" i="30"/>
  <c r="AF48" i="30" s="1"/>
  <c r="AF97" i="30"/>
  <c r="AF86" i="30" s="1"/>
  <c r="AF97" i="26"/>
  <c r="AF59" i="26"/>
  <c r="AF48" i="26" s="1"/>
  <c r="I40" i="30"/>
  <c r="I73" i="30" s="1"/>
  <c r="I75" i="30"/>
  <c r="H40" i="30"/>
  <c r="H73" i="30" s="1"/>
  <c r="H75" i="30"/>
  <c r="AD82" i="26"/>
  <c r="AA69" i="30"/>
  <c r="AA47" i="30" s="1"/>
  <c r="AA107" i="30"/>
  <c r="AA85" i="30" s="1"/>
  <c r="AA69" i="26"/>
  <c r="AA47" i="26" s="1"/>
  <c r="AA107" i="26"/>
  <c r="AA31" i="30"/>
  <c r="AA9" i="30" s="1"/>
  <c r="AA9" i="26"/>
  <c r="I88" i="26"/>
  <c r="H37" i="30"/>
  <c r="H2" i="30"/>
  <c r="H35" i="30" s="1"/>
  <c r="H40" i="29"/>
  <c r="H73" i="29" s="1"/>
  <c r="H75" i="29"/>
  <c r="AO36" i="25"/>
  <c r="AF13" i="29"/>
  <c r="AF51" i="29"/>
  <c r="AO2" i="25"/>
  <c r="M38" i="34" s="1"/>
  <c r="AF89" i="29"/>
  <c r="M31" i="26" a="1"/>
  <c r="M31" i="26" s="1"/>
  <c r="M9" i="26" s="1"/>
  <c r="AO9" i="25"/>
  <c r="AF58" i="29"/>
  <c r="AF47" i="29" s="1"/>
  <c r="AF20" i="29"/>
  <c r="AF9" i="29" s="1"/>
  <c r="AF96" i="29"/>
  <c r="AF85" i="29" s="1"/>
  <c r="I113" i="29"/>
  <c r="I78" i="29"/>
  <c r="I111" i="29" s="1"/>
  <c r="AF14" i="30"/>
  <c r="AF52" i="26"/>
  <c r="AF90" i="30"/>
  <c r="AF52" i="30"/>
  <c r="AF90" i="26"/>
  <c r="BD30" i="25"/>
  <c r="BD29" i="25"/>
  <c r="AE10" i="26"/>
  <c r="AE97" i="26"/>
  <c r="AE21" i="30"/>
  <c r="AE10" i="30" s="1"/>
  <c r="AZ8" i="30" s="1"/>
  <c r="AE59" i="26"/>
  <c r="AE48" i="26" s="1"/>
  <c r="AZ46" i="26" s="1"/>
  <c r="AE97" i="30"/>
  <c r="AE86" i="30" s="1"/>
  <c r="AZ84" i="30" s="1"/>
  <c r="AE59" i="30"/>
  <c r="AE48" i="30" s="1"/>
  <c r="AZ46" i="30" s="1"/>
  <c r="AM74" i="25"/>
  <c r="AM73" i="25"/>
  <c r="AF52" i="29"/>
  <c r="AF41" i="29" s="1"/>
  <c r="AF14" i="29"/>
  <c r="AF3" i="29" s="1"/>
  <c r="AF90" i="29"/>
  <c r="AF79" i="29" s="1"/>
  <c r="AO3" i="25"/>
  <c r="M79" i="34" s="1"/>
  <c r="AK23" i="26"/>
  <c r="AE5" i="26"/>
  <c r="AE92" i="30"/>
  <c r="AE81" i="30" s="1"/>
  <c r="AE54" i="30"/>
  <c r="AE43" i="30" s="1"/>
  <c r="AE92" i="26"/>
  <c r="AE54" i="26"/>
  <c r="AE43" i="26" s="1"/>
  <c r="AE16" i="30"/>
  <c r="AE5" i="30" s="1"/>
  <c r="AE97" i="29"/>
  <c r="AE86" i="29" s="1"/>
  <c r="AZ84" i="29" s="1"/>
  <c r="AE21" i="29"/>
  <c r="AE10" i="29" s="1"/>
  <c r="AZ8" i="29" s="1"/>
  <c r="AN10" i="25"/>
  <c r="AE59" i="29"/>
  <c r="AE48" i="29" s="1"/>
  <c r="AZ46" i="29" s="1"/>
  <c r="AF8" i="26"/>
  <c r="AF57" i="26"/>
  <c r="AF46" i="26" s="1"/>
  <c r="AF19" i="30"/>
  <c r="AF8" i="30" s="1"/>
  <c r="AF95" i="30"/>
  <c r="AF84" i="30" s="1"/>
  <c r="AF57" i="30"/>
  <c r="AF46" i="30" s="1"/>
  <c r="AF95" i="26"/>
  <c r="I82" i="26"/>
  <c r="H82" i="26"/>
  <c r="AE11" i="26"/>
  <c r="AE98" i="30"/>
  <c r="AE87" i="30" s="1"/>
  <c r="AZ85" i="30" s="1"/>
  <c r="AE60" i="30"/>
  <c r="AE49" i="30" s="1"/>
  <c r="AZ47" i="30" s="1"/>
  <c r="AE98" i="26"/>
  <c r="AE60" i="26"/>
  <c r="AE49" i="26" s="1"/>
  <c r="AZ47" i="26" s="1"/>
  <c r="AE22" i="30"/>
  <c r="AE11" i="30" s="1"/>
  <c r="AZ9" i="30" s="1"/>
  <c r="AD86" i="26"/>
  <c r="AO12" i="25"/>
  <c r="AF99" i="29"/>
  <c r="AF88" i="29" s="1"/>
  <c r="AF23" i="29"/>
  <c r="AF12" i="29" s="1"/>
  <c r="AF61" i="29"/>
  <c r="AF50" i="29" s="1"/>
  <c r="R35" i="25"/>
  <c r="AM35" i="25"/>
  <c r="AE14" i="29"/>
  <c r="AE3" i="29" s="1"/>
  <c r="AN3" i="25"/>
  <c r="M78" i="34" s="1"/>
  <c r="AE52" i="29"/>
  <c r="AE41" i="29" s="1"/>
  <c r="AE90" i="29"/>
  <c r="AE79" i="29" s="1"/>
  <c r="AF96" i="30"/>
  <c r="AF20" i="30"/>
  <c r="AF58" i="30"/>
  <c r="AF58" i="26"/>
  <c r="AF96" i="26"/>
  <c r="AK96" i="26" s="1"/>
  <c r="AD8" i="30"/>
  <c r="I75" i="26"/>
  <c r="I40" i="26"/>
  <c r="I73" i="26" s="1"/>
  <c r="AE19" i="30"/>
  <c r="AE8" i="30" s="1"/>
  <c r="AZ6" i="30" s="1"/>
  <c r="AE57" i="30"/>
  <c r="AE8" i="26"/>
  <c r="AE57" i="26"/>
  <c r="AE95" i="30"/>
  <c r="AE84" i="30" s="1"/>
  <c r="AZ82" i="30" s="1"/>
  <c r="AE95" i="26"/>
  <c r="AK19" i="26"/>
  <c r="AE18" i="29"/>
  <c r="AE7" i="29" s="1"/>
  <c r="AZ5" i="29" s="1"/>
  <c r="AE94" i="29"/>
  <c r="AE83" i="29" s="1"/>
  <c r="AZ81" i="29" s="1"/>
  <c r="AE56" i="29"/>
  <c r="AE45" i="29" s="1"/>
  <c r="AZ43" i="29" s="1"/>
  <c r="AN7" i="25"/>
  <c r="AU11" i="30"/>
  <c r="AU13" i="29"/>
  <c r="AU15" i="29" s="1"/>
  <c r="AE96" i="30"/>
  <c r="AE58" i="30"/>
  <c r="AE96" i="26"/>
  <c r="AE20" i="30"/>
  <c r="AE58" i="26"/>
  <c r="H113" i="30"/>
  <c r="H78" i="30"/>
  <c r="H111" i="30" s="1"/>
  <c r="AF4" i="26"/>
  <c r="AF53" i="26"/>
  <c r="AF42" i="26" s="1"/>
  <c r="AF15" i="30"/>
  <c r="AF4" i="30" s="1"/>
  <c r="AF53" i="30"/>
  <c r="AF42" i="30" s="1"/>
  <c r="AF91" i="30"/>
  <c r="AF80" i="30" s="1"/>
  <c r="AF91" i="26"/>
  <c r="AK91" i="26" s="1"/>
  <c r="Q75" i="25"/>
  <c r="Q73" i="25"/>
  <c r="AF7" i="26"/>
  <c r="AF94" i="30"/>
  <c r="AF83" i="30" s="1"/>
  <c r="AF56" i="26"/>
  <c r="AF45" i="26" s="1"/>
  <c r="AF18" i="30"/>
  <c r="AF7" i="30" s="1"/>
  <c r="AF56" i="30"/>
  <c r="AF45" i="30" s="1"/>
  <c r="AF94" i="26"/>
  <c r="AD83" i="26"/>
  <c r="I37" i="29"/>
  <c r="I2" i="29"/>
  <c r="I35" i="29" s="1"/>
  <c r="I113" i="26"/>
  <c r="I78" i="26"/>
  <c r="I35" i="26"/>
  <c r="X32" i="33" l="1"/>
  <c r="X49" i="33" s="1"/>
  <c r="U32" i="33"/>
  <c r="U49" i="33" s="1"/>
  <c r="U33" i="33"/>
  <c r="U50" i="33" s="1"/>
  <c r="X50" i="33"/>
  <c r="BJ13" i="25"/>
  <c r="M145" i="34"/>
  <c r="L105" i="34"/>
  <c r="H23" i="33" s="1"/>
  <c r="L146" i="34"/>
  <c r="H64" i="33" s="1"/>
  <c r="BI17" i="25"/>
  <c r="M119" i="34"/>
  <c r="M160" i="34"/>
  <c r="M120" i="34"/>
  <c r="M161" i="34"/>
  <c r="BF17" i="25"/>
  <c r="M63" i="34"/>
  <c r="G24" i="33"/>
  <c r="D106" i="34"/>
  <c r="J106" i="34"/>
  <c r="G65" i="33"/>
  <c r="D147" i="34"/>
  <c r="J147" i="34"/>
  <c r="AK58" i="26"/>
  <c r="AK36" i="26"/>
  <c r="AK94" i="26"/>
  <c r="AK97" i="26"/>
  <c r="AK58" i="30"/>
  <c r="AK92" i="26"/>
  <c r="AK20" i="30"/>
  <c r="AK54" i="30"/>
  <c r="AK60" i="30"/>
  <c r="AK54" i="26"/>
  <c r="AK53" i="26"/>
  <c r="AK56" i="26"/>
  <c r="AK60" i="26"/>
  <c r="AK15" i="30"/>
  <c r="AK53" i="30"/>
  <c r="AK59" i="30"/>
  <c r="AK22" i="30"/>
  <c r="AK21" i="30"/>
  <c r="AK56" i="30"/>
  <c r="AK18" i="30"/>
  <c r="AK16" i="30"/>
  <c r="AK59" i="26"/>
  <c r="L47" i="26"/>
  <c r="L47" i="30"/>
  <c r="L9" i="30"/>
  <c r="P87" i="30"/>
  <c r="P11" i="30"/>
  <c r="P49" i="30"/>
  <c r="P49" i="26"/>
  <c r="P87" i="26"/>
  <c r="P86" i="30"/>
  <c r="P48" i="26"/>
  <c r="P10" i="30"/>
  <c r="P48" i="30"/>
  <c r="P5" i="30"/>
  <c r="P81" i="30"/>
  <c r="P43" i="30"/>
  <c r="P43" i="26"/>
  <c r="P42" i="26"/>
  <c r="P45" i="30"/>
  <c r="P4" i="30"/>
  <c r="P7" i="30"/>
  <c r="P45" i="26"/>
  <c r="L85" i="26"/>
  <c r="P42" i="30"/>
  <c r="P83" i="30"/>
  <c r="P80" i="30"/>
  <c r="BJ30" i="25"/>
  <c r="AK13" i="30"/>
  <c r="AK93" i="26"/>
  <c r="AK51" i="26"/>
  <c r="AJ75" i="26"/>
  <c r="AJ41" i="26"/>
  <c r="AJ113" i="30"/>
  <c r="AJ79" i="30"/>
  <c r="AJ75" i="30"/>
  <c r="AJ41" i="30"/>
  <c r="L37" i="26"/>
  <c r="AJ37" i="30"/>
  <c r="AJ3" i="30"/>
  <c r="C36" i="27"/>
  <c r="Q62" i="29"/>
  <c r="Q100" i="29"/>
  <c r="Z2" i="25"/>
  <c r="M23" i="34" s="1"/>
  <c r="Z37" i="25"/>
  <c r="Q24" i="29"/>
  <c r="P82" i="26"/>
  <c r="C37" i="27"/>
  <c r="BF18" i="25"/>
  <c r="BF2" i="25"/>
  <c r="Q67" i="26"/>
  <c r="Q45" i="26" s="1"/>
  <c r="Q105" i="26"/>
  <c r="Q83" i="26" s="1"/>
  <c r="Q67" i="30"/>
  <c r="Q45" i="30" s="1"/>
  <c r="Q105" i="30"/>
  <c r="Q83" i="30" s="1"/>
  <c r="Q29" i="30"/>
  <c r="Q7" i="30" s="1"/>
  <c r="Q34" i="29"/>
  <c r="Q12" i="29" s="1"/>
  <c r="Q72" i="29"/>
  <c r="Q50" i="29" s="1"/>
  <c r="Z12" i="25"/>
  <c r="Q110" i="29"/>
  <c r="Q88" i="29" s="1"/>
  <c r="Q67" i="29"/>
  <c r="Q45" i="29" s="1"/>
  <c r="Q105" i="29"/>
  <c r="Q83" i="29" s="1"/>
  <c r="Z7" i="25"/>
  <c r="Q29" i="29"/>
  <c r="Q7" i="29" s="1"/>
  <c r="Q109" i="29"/>
  <c r="Q87" i="29" s="1"/>
  <c r="Q33" i="29"/>
  <c r="Q11" i="29" s="1"/>
  <c r="Z11" i="25"/>
  <c r="Q71" i="29"/>
  <c r="Q49" i="29" s="1"/>
  <c r="Q34" i="30"/>
  <c r="Q110" i="26"/>
  <c r="Q110" i="30"/>
  <c r="Q88" i="30" s="1"/>
  <c r="Q12" i="26"/>
  <c r="Q72" i="26"/>
  <c r="Q50" i="26" s="1"/>
  <c r="Q72" i="30"/>
  <c r="Q50" i="30" s="1"/>
  <c r="C65" i="27"/>
  <c r="C43" i="27"/>
  <c r="C102" i="27"/>
  <c r="P3" i="29"/>
  <c r="C80" i="27" s="1"/>
  <c r="C64" i="27"/>
  <c r="C42" i="27"/>
  <c r="AW4" i="26"/>
  <c r="AW20" i="26"/>
  <c r="C49" i="27"/>
  <c r="C71" i="27"/>
  <c r="BF5" i="25"/>
  <c r="BF21" i="25"/>
  <c r="BF16" i="25"/>
  <c r="Y35" i="25"/>
  <c r="Q63" i="29"/>
  <c r="Q41" i="29" s="1"/>
  <c r="Q101" i="29"/>
  <c r="Q79" i="29" s="1"/>
  <c r="Z3" i="25"/>
  <c r="M64" i="34" s="1"/>
  <c r="Q25" i="29"/>
  <c r="Q3" i="29" s="1"/>
  <c r="R30" i="26" a="1"/>
  <c r="R30" i="26" s="1"/>
  <c r="R8" i="22"/>
  <c r="Q26" i="29"/>
  <c r="Q4" i="29" s="1"/>
  <c r="Q64" i="29"/>
  <c r="Q42" i="29" s="1"/>
  <c r="Q102" i="29"/>
  <c r="Q80" i="29" s="1"/>
  <c r="Z4" i="25"/>
  <c r="AA3" i="6"/>
  <c r="C145" i="27"/>
  <c r="P46" i="29"/>
  <c r="P88" i="30"/>
  <c r="P40" i="30"/>
  <c r="P46" i="30"/>
  <c r="Q108" i="29"/>
  <c r="Q86" i="29" s="1"/>
  <c r="Z10" i="25"/>
  <c r="Q32" i="29"/>
  <c r="Q10" i="29" s="1"/>
  <c r="Q70" i="29"/>
  <c r="Q48" i="29" s="1"/>
  <c r="P48" i="29"/>
  <c r="C147" i="27"/>
  <c r="C68" i="27"/>
  <c r="C46" i="27"/>
  <c r="R27" i="26" a="1"/>
  <c r="R27" i="26" s="1"/>
  <c r="R5" i="26" s="1"/>
  <c r="R12" i="22"/>
  <c r="R34" i="26" a="1"/>
  <c r="R34" i="26" s="1"/>
  <c r="AA11" i="6"/>
  <c r="C47" i="27"/>
  <c r="C69" i="27"/>
  <c r="Q108" i="30"/>
  <c r="Q86" i="30" s="1"/>
  <c r="Q108" i="26"/>
  <c r="Q86" i="26" s="1"/>
  <c r="Q32" i="30"/>
  <c r="Q10" i="30" s="1"/>
  <c r="Q70" i="30"/>
  <c r="Q48" i="30" s="1"/>
  <c r="Q70" i="26"/>
  <c r="Q48" i="26" s="1"/>
  <c r="BF19" i="25"/>
  <c r="BF3" i="25"/>
  <c r="P88" i="26"/>
  <c r="P40" i="26"/>
  <c r="P84" i="30"/>
  <c r="C48" i="27"/>
  <c r="C70" i="27"/>
  <c r="Q64" i="30"/>
  <c r="Q102" i="30"/>
  <c r="Q80" i="30" s="1"/>
  <c r="Q64" i="26"/>
  <c r="Q42" i="26" s="1"/>
  <c r="Q26" i="30"/>
  <c r="Q4" i="30" s="1"/>
  <c r="Q102" i="26"/>
  <c r="Q80" i="26" s="1"/>
  <c r="P42" i="29"/>
  <c r="C141" i="27"/>
  <c r="P79" i="29"/>
  <c r="C156" i="27" s="1"/>
  <c r="C178" i="27"/>
  <c r="P44" i="30"/>
  <c r="Q104" i="29"/>
  <c r="Q82" i="29" s="1"/>
  <c r="Q66" i="29"/>
  <c r="Q44" i="29" s="1"/>
  <c r="Z6" i="25"/>
  <c r="Q28" i="29"/>
  <c r="Q6" i="29" s="1"/>
  <c r="C185" i="27"/>
  <c r="P86" i="29"/>
  <c r="C106" i="27"/>
  <c r="P7" i="29"/>
  <c r="Y75" i="25"/>
  <c r="C63" i="27"/>
  <c r="Z8" i="25"/>
  <c r="Q106" i="29"/>
  <c r="Q84" i="29" s="1"/>
  <c r="Q68" i="29"/>
  <c r="Q46" i="29" s="1"/>
  <c r="Q30" i="29"/>
  <c r="Q8" i="29" s="1"/>
  <c r="R33" i="26" a="1"/>
  <c r="R33" i="26" s="1"/>
  <c r="R11" i="26" s="1"/>
  <c r="R2" i="22"/>
  <c r="R24" i="26" a="1"/>
  <c r="R24" i="26" s="1"/>
  <c r="AA7" i="6"/>
  <c r="AA12" i="6"/>
  <c r="C180" i="27"/>
  <c r="P81" i="29"/>
  <c r="P50" i="26"/>
  <c r="P78" i="30"/>
  <c r="AW22" i="26"/>
  <c r="AW6" i="26"/>
  <c r="BF23" i="25"/>
  <c r="BF7" i="25"/>
  <c r="P6" i="29"/>
  <c r="C105" i="27"/>
  <c r="Q68" i="26"/>
  <c r="Q46" i="26" s="1"/>
  <c r="Q8" i="26"/>
  <c r="Q106" i="26"/>
  <c r="Q30" i="30"/>
  <c r="Q8" i="30" s="1"/>
  <c r="Q68" i="30"/>
  <c r="Q46" i="30" s="1"/>
  <c r="Q106" i="30"/>
  <c r="Q84" i="30" s="1"/>
  <c r="C182" i="27"/>
  <c r="P83" i="29"/>
  <c r="Q66" i="30"/>
  <c r="Q44" i="30" s="1"/>
  <c r="Q66" i="26"/>
  <c r="Q44" i="26" s="1"/>
  <c r="Q6" i="26"/>
  <c r="Q104" i="30"/>
  <c r="Q82" i="30" s="1"/>
  <c r="Q28" i="30"/>
  <c r="Q6" i="30" s="1"/>
  <c r="Q104" i="26"/>
  <c r="R26" i="26" a="1"/>
  <c r="R26" i="26" s="1"/>
  <c r="R4" i="26" s="1"/>
  <c r="AA10" i="6"/>
  <c r="AA6" i="6"/>
  <c r="BF6" i="25"/>
  <c r="BF22" i="25"/>
  <c r="P43" i="29"/>
  <c r="C142" i="27"/>
  <c r="P50" i="30"/>
  <c r="P8" i="30"/>
  <c r="P85" i="29"/>
  <c r="C184" i="27"/>
  <c r="BF25" i="25"/>
  <c r="BF9" i="25"/>
  <c r="Q62" i="30"/>
  <c r="Q100" i="30"/>
  <c r="Q2" i="26"/>
  <c r="Q62" i="26"/>
  <c r="Q100" i="26"/>
  <c r="Q24" i="30"/>
  <c r="P75" i="29"/>
  <c r="P40" i="29"/>
  <c r="C139" i="27"/>
  <c r="Q109" i="26"/>
  <c r="Q87" i="26" s="1"/>
  <c r="Q109" i="30"/>
  <c r="Q87" i="30" s="1"/>
  <c r="Q71" i="30"/>
  <c r="Q49" i="30" s="1"/>
  <c r="Q71" i="26"/>
  <c r="Q49" i="26" s="1"/>
  <c r="Q33" i="30"/>
  <c r="Q11" i="30" s="1"/>
  <c r="C66" i="27"/>
  <c r="C44" i="27"/>
  <c r="P12" i="30"/>
  <c r="AW2" i="26"/>
  <c r="AW16" i="26"/>
  <c r="P84" i="26"/>
  <c r="P9" i="29"/>
  <c r="C108" i="27"/>
  <c r="P11" i="29"/>
  <c r="C110" i="27"/>
  <c r="BF20" i="25"/>
  <c r="BF4" i="25"/>
  <c r="P44" i="26"/>
  <c r="S24" i="22"/>
  <c r="S2" i="22" s="1"/>
  <c r="S38" i="22"/>
  <c r="S32" i="22"/>
  <c r="S10" i="22" s="1"/>
  <c r="S47" i="22"/>
  <c r="S29" i="22"/>
  <c r="S7" i="22" s="1"/>
  <c r="S42" i="22"/>
  <c r="S26" i="22"/>
  <c r="S4" i="22" s="1"/>
  <c r="S43" i="22"/>
  <c r="S27" i="22"/>
  <c r="S5" i="22" s="1"/>
  <c r="S48" i="22"/>
  <c r="S30" i="22"/>
  <c r="S8" i="22" s="1"/>
  <c r="S46" i="22"/>
  <c r="S33" i="22"/>
  <c r="S11" i="22" s="1"/>
  <c r="S44" i="22"/>
  <c r="S34" i="22"/>
  <c r="S12" i="22" s="1"/>
  <c r="S40" i="22"/>
  <c r="S28" i="22"/>
  <c r="S6" i="22" s="1"/>
  <c r="S41" i="22"/>
  <c r="AA2" i="6"/>
  <c r="AA5" i="6"/>
  <c r="P6" i="30"/>
  <c r="C149" i="27"/>
  <c r="P50" i="29"/>
  <c r="C127" i="27" s="1"/>
  <c r="C109" i="27"/>
  <c r="P10" i="29"/>
  <c r="AB28" i="6"/>
  <c r="AB28" i="25" s="1"/>
  <c r="G189" i="33" s="1"/>
  <c r="H189" i="33" s="1"/>
  <c r="AB24" i="6"/>
  <c r="AB24" i="25" s="1"/>
  <c r="AB27" i="6"/>
  <c r="AB27" i="25" s="1"/>
  <c r="G148" i="33" s="1"/>
  <c r="H148" i="33" s="1"/>
  <c r="AB25" i="6"/>
  <c r="AB25" i="25" s="1"/>
  <c r="AB26" i="6"/>
  <c r="AB26" i="25" s="1"/>
  <c r="G107" i="33" s="1"/>
  <c r="H107" i="33" s="1"/>
  <c r="AB32" i="6"/>
  <c r="AB32" i="25" s="1"/>
  <c r="G353" i="33" s="1"/>
  <c r="H353" i="33" s="1"/>
  <c r="AB29" i="6"/>
  <c r="AB29" i="25" s="1"/>
  <c r="G230" i="33" s="1"/>
  <c r="H230" i="33" s="1"/>
  <c r="AB31" i="6"/>
  <c r="AB31" i="25" s="1"/>
  <c r="G312" i="33" s="1"/>
  <c r="H312" i="33" s="1"/>
  <c r="AB30" i="6"/>
  <c r="AB30" i="25" s="1"/>
  <c r="G271" i="33" s="1"/>
  <c r="H271" i="33" s="1"/>
  <c r="AB34" i="6"/>
  <c r="AB34" i="25" s="1"/>
  <c r="G435" i="33" s="1"/>
  <c r="H435" i="33" s="1"/>
  <c r="AB33" i="6"/>
  <c r="AB33" i="25" s="1"/>
  <c r="G394" i="33" s="1"/>
  <c r="H394" i="33" s="1"/>
  <c r="R29" i="26" a="1"/>
  <c r="R29" i="26" s="1"/>
  <c r="R7" i="26" s="1"/>
  <c r="R28" i="26" a="1"/>
  <c r="R28" i="26" s="1"/>
  <c r="R6" i="22"/>
  <c r="AA9" i="6"/>
  <c r="P5" i="29"/>
  <c r="C104" i="27"/>
  <c r="P2" i="30"/>
  <c r="P47" i="29"/>
  <c r="C146" i="27"/>
  <c r="P49" i="29"/>
  <c r="C148" i="27"/>
  <c r="C67" i="27"/>
  <c r="C45" i="27"/>
  <c r="P88" i="29"/>
  <c r="C165" i="27" s="1"/>
  <c r="C187" i="27"/>
  <c r="BF8" i="25"/>
  <c r="BF24" i="25"/>
  <c r="C179" i="27"/>
  <c r="P80" i="29"/>
  <c r="P41" i="29"/>
  <c r="C118" i="27" s="1"/>
  <c r="C140" i="27"/>
  <c r="Z9" i="25"/>
  <c r="Q69" i="29"/>
  <c r="Q47" i="29" s="1"/>
  <c r="Q31" i="29"/>
  <c r="Q9" i="29" s="1"/>
  <c r="Q107" i="29"/>
  <c r="Q85" i="29" s="1"/>
  <c r="Q103" i="26"/>
  <c r="Q81" i="26" s="1"/>
  <c r="Q27" i="30"/>
  <c r="Q5" i="30" s="1"/>
  <c r="Q103" i="30"/>
  <c r="Q81" i="30" s="1"/>
  <c r="Q65" i="30"/>
  <c r="Q43" i="30" s="1"/>
  <c r="Q65" i="26"/>
  <c r="Q43" i="26" s="1"/>
  <c r="P82" i="30"/>
  <c r="C111" i="27"/>
  <c r="P12" i="29"/>
  <c r="C89" i="27" s="1"/>
  <c r="C101" i="27"/>
  <c r="P37" i="29"/>
  <c r="P2" i="29"/>
  <c r="R32" i="26" a="1"/>
  <c r="R32" i="26" s="1"/>
  <c r="R10" i="26" s="1"/>
  <c r="AA8" i="6"/>
  <c r="C107" i="27"/>
  <c r="P8" i="29"/>
  <c r="P87" i="29"/>
  <c r="C186" i="27"/>
  <c r="C143" i="27"/>
  <c r="P44" i="29"/>
  <c r="P4" i="29"/>
  <c r="C103" i="27"/>
  <c r="C51" i="27"/>
  <c r="C73" i="27"/>
  <c r="P45" i="29"/>
  <c r="C144" i="27"/>
  <c r="P113" i="29"/>
  <c r="P78" i="29"/>
  <c r="C177" i="27"/>
  <c r="T73" i="22" a="1"/>
  <c r="T73" i="22" s="1"/>
  <c r="AA4" i="6"/>
  <c r="C183" i="27"/>
  <c r="P84" i="29"/>
  <c r="P78" i="26"/>
  <c r="P46" i="26"/>
  <c r="Z5" i="25"/>
  <c r="Q65" i="29"/>
  <c r="Q43" i="29" s="1"/>
  <c r="Q103" i="29"/>
  <c r="Q81" i="29" s="1"/>
  <c r="Q27" i="29"/>
  <c r="Q5" i="29" s="1"/>
  <c r="C50" i="27"/>
  <c r="C72" i="27"/>
  <c r="C181" i="27"/>
  <c r="P82" i="29"/>
  <c r="AZ79" i="29"/>
  <c r="I111" i="26"/>
  <c r="AF74" i="30"/>
  <c r="AF40" i="30"/>
  <c r="AE46" i="26"/>
  <c r="AZ44" i="26" s="1"/>
  <c r="AK57" i="26"/>
  <c r="AE87" i="26"/>
  <c r="AO74" i="25"/>
  <c r="AO73" i="25"/>
  <c r="AK90" i="26"/>
  <c r="BI18" i="25"/>
  <c r="BI2" i="25"/>
  <c r="BI20" i="25"/>
  <c r="BI4" i="25"/>
  <c r="AF87" i="26"/>
  <c r="AB25" i="26" a="1"/>
  <c r="AB25" i="26" s="1"/>
  <c r="AB3" i="22"/>
  <c r="AE112" i="30"/>
  <c r="AE78" i="30"/>
  <c r="AZ78" i="30" s="1"/>
  <c r="BI24" i="25"/>
  <c r="BI8" i="25"/>
  <c r="AF112" i="29"/>
  <c r="AF78" i="29"/>
  <c r="AF111" i="29" s="1"/>
  <c r="BI22" i="25"/>
  <c r="BI6" i="25"/>
  <c r="N31" i="26" a="1"/>
  <c r="N31" i="26" s="1"/>
  <c r="N9" i="26" s="1"/>
  <c r="AA101" i="30"/>
  <c r="AA25" i="30"/>
  <c r="AA63" i="30"/>
  <c r="AA37" i="26"/>
  <c r="AA63" i="26"/>
  <c r="AA101" i="26"/>
  <c r="AA3" i="26"/>
  <c r="AA35" i="26" s="1"/>
  <c r="AF112" i="26"/>
  <c r="AK112" i="26" s="1"/>
  <c r="AF78" i="26"/>
  <c r="AE83" i="26"/>
  <c r="AE112" i="26"/>
  <c r="AE78" i="26"/>
  <c r="H111" i="26"/>
  <c r="N39" i="22"/>
  <c r="N25" i="22"/>
  <c r="O61" i="22"/>
  <c r="BI23" i="25"/>
  <c r="BI7" i="25"/>
  <c r="AF84" i="26"/>
  <c r="AZ41" i="29"/>
  <c r="AE50" i="26"/>
  <c r="AK61" i="26"/>
  <c r="AF80" i="26"/>
  <c r="AZ22" i="26"/>
  <c r="AZ6" i="26"/>
  <c r="AZ19" i="26"/>
  <c r="AE86" i="26"/>
  <c r="AO35" i="25"/>
  <c r="AF81" i="26"/>
  <c r="AK51" i="30"/>
  <c r="AJ113" i="26"/>
  <c r="BI19" i="25"/>
  <c r="BI3" i="25"/>
  <c r="AF82" i="26"/>
  <c r="AK55" i="26"/>
  <c r="AE80" i="26"/>
  <c r="AE36" i="29"/>
  <c r="AE2" i="29"/>
  <c r="AE35" i="29" s="1"/>
  <c r="AK14" i="30"/>
  <c r="M3" i="22"/>
  <c r="M25" i="26" a="1"/>
  <c r="M25" i="26" s="1"/>
  <c r="M37" i="26" s="1"/>
  <c r="M31" i="30"/>
  <c r="M9" i="30" s="1"/>
  <c r="M107" i="26"/>
  <c r="M69" i="30"/>
  <c r="M47" i="30" s="1"/>
  <c r="M107" i="30"/>
  <c r="M85" i="30" s="1"/>
  <c r="M69" i="26"/>
  <c r="M47" i="26" s="1"/>
  <c r="AA85" i="26"/>
  <c r="AE44" i="30"/>
  <c r="AZ42" i="30" s="1"/>
  <c r="AK55" i="30"/>
  <c r="AK95" i="26"/>
  <c r="AE46" i="30"/>
  <c r="AZ44" i="30" s="1"/>
  <c r="AK57" i="30"/>
  <c r="AZ24" i="26"/>
  <c r="AZ8" i="26"/>
  <c r="AK52" i="30"/>
  <c r="AF74" i="29"/>
  <c r="AF40" i="29"/>
  <c r="AF73" i="29" s="1"/>
  <c r="AZ3" i="29"/>
  <c r="AE88" i="26"/>
  <c r="AC31" i="26" a="1"/>
  <c r="AC31" i="26" s="1"/>
  <c r="AC9" i="22"/>
  <c r="AK99" i="26"/>
  <c r="L25" i="30"/>
  <c r="L101" i="30"/>
  <c r="L101" i="26"/>
  <c r="L63" i="26"/>
  <c r="L63" i="30"/>
  <c r="L3" i="26"/>
  <c r="AK89" i="26"/>
  <c r="AB69" i="30"/>
  <c r="AB47" i="30" s="1"/>
  <c r="AB69" i="26"/>
  <c r="AB47" i="26" s="1"/>
  <c r="AB31" i="30"/>
  <c r="AB9" i="30" s="1"/>
  <c r="AB107" i="26"/>
  <c r="AB107" i="30"/>
  <c r="AB85" i="30" s="1"/>
  <c r="AB9" i="26"/>
  <c r="AD31" i="22"/>
  <c r="AE67" i="22"/>
  <c r="AD45" i="22"/>
  <c r="AF36" i="30"/>
  <c r="AF2" i="30"/>
  <c r="AZ5" i="26"/>
  <c r="AZ21" i="26"/>
  <c r="AE112" i="29"/>
  <c r="AE78" i="29"/>
  <c r="AE111" i="29" s="1"/>
  <c r="AZ16" i="26"/>
  <c r="AF88" i="26"/>
  <c r="AF40" i="26"/>
  <c r="AF74" i="26"/>
  <c r="AE74" i="29"/>
  <c r="AE40" i="29"/>
  <c r="AE73" i="29" s="1"/>
  <c r="AE74" i="26"/>
  <c r="AE40" i="26"/>
  <c r="AF83" i="26"/>
  <c r="BI9" i="25"/>
  <c r="BI25" i="25"/>
  <c r="AE36" i="30"/>
  <c r="AE2" i="30"/>
  <c r="AF50" i="30"/>
  <c r="AK61" i="30"/>
  <c r="AF36" i="29"/>
  <c r="AF2" i="29"/>
  <c r="AF35" i="29" s="1"/>
  <c r="AK52" i="26"/>
  <c r="AZ20" i="26"/>
  <c r="AZ4" i="26"/>
  <c r="BI5" i="25"/>
  <c r="BI21" i="25"/>
  <c r="AE84" i="26"/>
  <c r="AK19" i="30"/>
  <c r="AZ25" i="26"/>
  <c r="AZ9" i="26"/>
  <c r="AE81" i="26"/>
  <c r="AF86" i="26"/>
  <c r="AN74" i="25"/>
  <c r="AN73" i="25"/>
  <c r="O45" i="22"/>
  <c r="O31" i="22"/>
  <c r="O9" i="22" s="1"/>
  <c r="P67" i="22"/>
  <c r="AE82" i="26"/>
  <c r="AF112" i="30"/>
  <c r="AF78" i="30"/>
  <c r="AC25" i="22"/>
  <c r="AD61" i="22"/>
  <c r="AC39" i="22"/>
  <c r="AZ18" i="26"/>
  <c r="AZ2" i="26"/>
  <c r="AN35" i="25"/>
  <c r="BI16" i="25"/>
  <c r="BI27" i="25" s="1"/>
  <c r="AK17" i="30"/>
  <c r="AE74" i="30"/>
  <c r="AE40" i="30"/>
  <c r="AZ40" i="30" s="1"/>
  <c r="AF12" i="30"/>
  <c r="AK23" i="30"/>
  <c r="U53" i="33" l="1"/>
  <c r="X53" i="33"/>
  <c r="X42" i="33"/>
  <c r="X44" i="33" s="1"/>
  <c r="U42" i="33"/>
  <c r="U44" i="33" s="1"/>
  <c r="L106" i="34"/>
  <c r="BF27" i="25"/>
  <c r="L147" i="34"/>
  <c r="H65" i="33" s="1"/>
  <c r="M105" i="34"/>
  <c r="H24" i="33"/>
  <c r="M146" i="34"/>
  <c r="G66" i="33"/>
  <c r="D148" i="34"/>
  <c r="J148" i="34"/>
  <c r="G25" i="33"/>
  <c r="D107" i="34"/>
  <c r="J107" i="34"/>
  <c r="AK74" i="26"/>
  <c r="AK36" i="30"/>
  <c r="AK74" i="30"/>
  <c r="AW46" i="30"/>
  <c r="AW8" i="30"/>
  <c r="AW46" i="26"/>
  <c r="AW84" i="30"/>
  <c r="AW47" i="26"/>
  <c r="AW47" i="30"/>
  <c r="AW9" i="30"/>
  <c r="AW85" i="30"/>
  <c r="M85" i="26"/>
  <c r="Q42" i="30"/>
  <c r="AW81" i="30"/>
  <c r="AW43" i="26"/>
  <c r="AW5" i="30"/>
  <c r="AW43" i="30"/>
  <c r="C77" i="27"/>
  <c r="Q12" i="30"/>
  <c r="C191" i="27"/>
  <c r="BA3" i="30"/>
  <c r="AJ35" i="30"/>
  <c r="BA79" i="30"/>
  <c r="BA89" i="29" s="1"/>
  <c r="BA91" i="29" s="1"/>
  <c r="AJ111" i="30"/>
  <c r="AB10" i="25"/>
  <c r="AB10" i="6"/>
  <c r="C115" i="27"/>
  <c r="AB4" i="25"/>
  <c r="AB4" i="6"/>
  <c r="AB9" i="25"/>
  <c r="AB9" i="6"/>
  <c r="L41" i="26"/>
  <c r="L75" i="26"/>
  <c r="L41" i="30"/>
  <c r="L75" i="30"/>
  <c r="AZ78" i="29"/>
  <c r="AZ88" i="29" s="1"/>
  <c r="AB3" i="25"/>
  <c r="M66" i="34" s="1"/>
  <c r="AB3" i="6"/>
  <c r="L113" i="26"/>
  <c r="AB11" i="25"/>
  <c r="AB11" i="6"/>
  <c r="AB5" i="25"/>
  <c r="AB5" i="6"/>
  <c r="L3" i="30"/>
  <c r="L37" i="30"/>
  <c r="AB7" i="25"/>
  <c r="AB7" i="6"/>
  <c r="L35" i="26"/>
  <c r="L79" i="30"/>
  <c r="L111" i="30" s="1"/>
  <c r="L113" i="30"/>
  <c r="AB12" i="25"/>
  <c r="AB12" i="6"/>
  <c r="AB2" i="25"/>
  <c r="M25" i="34" s="1"/>
  <c r="AB2" i="6"/>
  <c r="C153" i="27"/>
  <c r="BF11" i="25"/>
  <c r="BF14" i="25" s="1"/>
  <c r="BA41" i="30"/>
  <c r="BA51" i="29" s="1"/>
  <c r="BA53" i="29" s="1"/>
  <c r="AJ73" i="30"/>
  <c r="AB8" i="25"/>
  <c r="AB8" i="6"/>
  <c r="AB6" i="25"/>
  <c r="AB6" i="6"/>
  <c r="Z35" i="25"/>
  <c r="BA41" i="26"/>
  <c r="AJ73" i="26"/>
  <c r="R108" i="30"/>
  <c r="R86" i="30" s="1"/>
  <c r="R70" i="26"/>
  <c r="R48" i="26" s="1"/>
  <c r="R70" i="30"/>
  <c r="R48" i="30" s="1"/>
  <c r="R108" i="26"/>
  <c r="R86" i="26" s="1"/>
  <c r="R32" i="30"/>
  <c r="R10" i="30" s="1"/>
  <c r="C82" i="27"/>
  <c r="AW3" i="29"/>
  <c r="R6" i="26"/>
  <c r="R104" i="30"/>
  <c r="R82" i="30" s="1"/>
  <c r="R66" i="30"/>
  <c r="R44" i="30" s="1"/>
  <c r="R28" i="30"/>
  <c r="R6" i="30" s="1"/>
  <c r="R66" i="26"/>
  <c r="R44" i="26" s="1"/>
  <c r="R104" i="26"/>
  <c r="AW83" i="29"/>
  <c r="C162" i="27"/>
  <c r="AW41" i="29"/>
  <c r="C120" i="27"/>
  <c r="R29" i="29"/>
  <c r="R7" i="29" s="1"/>
  <c r="R105" i="29"/>
  <c r="R83" i="29" s="1"/>
  <c r="R67" i="29"/>
  <c r="R45" i="29" s="1"/>
  <c r="AA7" i="25"/>
  <c r="C163" i="27"/>
  <c r="AW84" i="29"/>
  <c r="AW82" i="30"/>
  <c r="C123" i="27"/>
  <c r="AW44" i="29"/>
  <c r="AA4" i="25"/>
  <c r="R64" i="29"/>
  <c r="R42" i="29" s="1"/>
  <c r="R26" i="29"/>
  <c r="R4" i="29" s="1"/>
  <c r="R102" i="29"/>
  <c r="R80" i="29" s="1"/>
  <c r="C81" i="27"/>
  <c r="AW2" i="29"/>
  <c r="AA9" i="25"/>
  <c r="R69" i="29"/>
  <c r="R47" i="29" s="1"/>
  <c r="R31" i="29"/>
  <c r="R9" i="29" s="1"/>
  <c r="R107" i="29"/>
  <c r="R85" i="29" s="1"/>
  <c r="R29" i="30"/>
  <c r="R7" i="30" s="1"/>
  <c r="R105" i="26"/>
  <c r="R83" i="26" s="1"/>
  <c r="R105" i="30"/>
  <c r="R83" i="30" s="1"/>
  <c r="R67" i="26"/>
  <c r="R45" i="26" s="1"/>
  <c r="R67" i="30"/>
  <c r="R45" i="30" s="1"/>
  <c r="AW8" i="29"/>
  <c r="C87" i="27"/>
  <c r="AA5" i="25"/>
  <c r="R27" i="29"/>
  <c r="R5" i="29" s="1"/>
  <c r="R65" i="29"/>
  <c r="R43" i="29" s="1"/>
  <c r="R103" i="29"/>
  <c r="R81" i="29" s="1"/>
  <c r="S33" i="26" a="1"/>
  <c r="S33" i="26" s="1"/>
  <c r="S11" i="26" s="1"/>
  <c r="S29" i="26" a="1"/>
  <c r="S29" i="26" s="1"/>
  <c r="S7" i="26" s="1"/>
  <c r="P73" i="29"/>
  <c r="C117" i="27"/>
  <c r="AW6" i="30"/>
  <c r="C83" i="27"/>
  <c r="AW4" i="29"/>
  <c r="AW42" i="30"/>
  <c r="R64" i="30"/>
  <c r="R42" i="30" s="1"/>
  <c r="R26" i="30"/>
  <c r="R64" i="26"/>
  <c r="R102" i="30"/>
  <c r="R80" i="30" s="1"/>
  <c r="R102" i="26"/>
  <c r="R80" i="26" s="1"/>
  <c r="R2" i="26"/>
  <c r="R100" i="30"/>
  <c r="R62" i="26"/>
  <c r="R24" i="30"/>
  <c r="R62" i="30"/>
  <c r="R100" i="26"/>
  <c r="R109" i="30"/>
  <c r="R87" i="30" s="1"/>
  <c r="R109" i="26"/>
  <c r="R87" i="26" s="1"/>
  <c r="R33" i="30"/>
  <c r="R11" i="30" s="1"/>
  <c r="R71" i="26"/>
  <c r="R49" i="26" s="1"/>
  <c r="R71" i="30"/>
  <c r="R49" i="30" s="1"/>
  <c r="AW40" i="26"/>
  <c r="R109" i="29"/>
  <c r="R87" i="29" s="1"/>
  <c r="R33" i="29"/>
  <c r="R11" i="29" s="1"/>
  <c r="AA11" i="25"/>
  <c r="R71" i="29"/>
  <c r="R49" i="29" s="1"/>
  <c r="C125" i="27"/>
  <c r="AW46" i="29"/>
  <c r="AW44" i="30"/>
  <c r="Q2" i="29"/>
  <c r="Q35" i="29" s="1"/>
  <c r="Q37" i="29"/>
  <c r="Q78" i="30"/>
  <c r="R24" i="29"/>
  <c r="R100" i="29"/>
  <c r="AA2" i="25"/>
  <c r="M24" i="34" s="1"/>
  <c r="R62" i="29"/>
  <c r="AA37" i="25"/>
  <c r="S30" i="26" a="1"/>
  <c r="S30" i="26" s="1"/>
  <c r="S8" i="26" s="1"/>
  <c r="S32" i="26" a="1"/>
  <c r="S32" i="26" s="1"/>
  <c r="S10" i="26" s="1"/>
  <c r="Q2" i="30"/>
  <c r="Q40" i="30"/>
  <c r="R66" i="29"/>
  <c r="R44" i="29" s="1"/>
  <c r="R104" i="29"/>
  <c r="R82" i="29" s="1"/>
  <c r="AA6" i="25"/>
  <c r="R28" i="29"/>
  <c r="R6" i="29" s="1"/>
  <c r="AW79" i="29"/>
  <c r="C158" i="27"/>
  <c r="R101" i="29"/>
  <c r="R79" i="29" s="1"/>
  <c r="R63" i="29"/>
  <c r="R41" i="29" s="1"/>
  <c r="AA3" i="25"/>
  <c r="M65" i="34" s="1"/>
  <c r="R25" i="29"/>
  <c r="R3" i="29" s="1"/>
  <c r="Z73" i="25"/>
  <c r="Z75" i="25"/>
  <c r="C88" i="27"/>
  <c r="AW9" i="29"/>
  <c r="Q84" i="26"/>
  <c r="C41" i="27"/>
  <c r="Y73" i="25"/>
  <c r="R72" i="26"/>
  <c r="R50" i="26" s="1"/>
  <c r="R110" i="30"/>
  <c r="R88" i="30" s="1"/>
  <c r="R110" i="26"/>
  <c r="R12" i="26"/>
  <c r="R34" i="30"/>
  <c r="R12" i="30" s="1"/>
  <c r="R72" i="30"/>
  <c r="R50" i="30" s="1"/>
  <c r="R65" i="30"/>
  <c r="R43" i="30" s="1"/>
  <c r="R103" i="26"/>
  <c r="R81" i="26" s="1"/>
  <c r="R27" i="30"/>
  <c r="R5" i="30" s="1"/>
  <c r="R103" i="30"/>
  <c r="R81" i="30" s="1"/>
  <c r="R65" i="26"/>
  <c r="R43" i="26" s="1"/>
  <c r="R106" i="26"/>
  <c r="R8" i="26"/>
  <c r="R68" i="26"/>
  <c r="R46" i="26" s="1"/>
  <c r="R106" i="30"/>
  <c r="R84" i="30" s="1"/>
  <c r="R68" i="30"/>
  <c r="R46" i="30" s="1"/>
  <c r="R30" i="30"/>
  <c r="R8" i="30" s="1"/>
  <c r="U73" i="22" a="1"/>
  <c r="U73" i="22" s="1"/>
  <c r="AW45" i="29"/>
  <c r="C124" i="27"/>
  <c r="AC29" i="6"/>
  <c r="AC29" i="25" s="1"/>
  <c r="G231" i="33" s="1"/>
  <c r="H231" i="33" s="1"/>
  <c r="AC28" i="6"/>
  <c r="AC28" i="25" s="1"/>
  <c r="G190" i="33" s="1"/>
  <c r="H190" i="33" s="1"/>
  <c r="AC24" i="6"/>
  <c r="AC24" i="25" s="1"/>
  <c r="AC33" i="6"/>
  <c r="AC33" i="25" s="1"/>
  <c r="G395" i="33" s="1"/>
  <c r="H395" i="33" s="1"/>
  <c r="AC34" i="6"/>
  <c r="AC34" i="25" s="1"/>
  <c r="G436" i="33" s="1"/>
  <c r="H436" i="33" s="1"/>
  <c r="AC30" i="6"/>
  <c r="AC30" i="25" s="1"/>
  <c r="G272" i="33" s="1"/>
  <c r="H272" i="33" s="1"/>
  <c r="AC27" i="6"/>
  <c r="AC27" i="25" s="1"/>
  <c r="G149" i="33" s="1"/>
  <c r="H149" i="33" s="1"/>
  <c r="AC32" i="6"/>
  <c r="AC32" i="25" s="1"/>
  <c r="G354" i="33" s="1"/>
  <c r="H354" i="33" s="1"/>
  <c r="AC31" i="6"/>
  <c r="AC31" i="25" s="1"/>
  <c r="G313" i="33" s="1"/>
  <c r="H313" i="33" s="1"/>
  <c r="AC25" i="6"/>
  <c r="AC25" i="25" s="1"/>
  <c r="AC26" i="6"/>
  <c r="AC26" i="25" s="1"/>
  <c r="G108" i="33" s="1"/>
  <c r="H108" i="33" s="1"/>
  <c r="T34" i="22"/>
  <c r="T12" i="22" s="1"/>
  <c r="T38" i="22"/>
  <c r="T33" i="22"/>
  <c r="T11" i="22" s="1"/>
  <c r="T44" i="22"/>
  <c r="T24" i="22"/>
  <c r="T2" i="22" s="1"/>
  <c r="T41" i="22"/>
  <c r="T29" i="22"/>
  <c r="T7" i="22" s="1"/>
  <c r="T26" i="22"/>
  <c r="T4" i="22" s="1"/>
  <c r="T46" i="22"/>
  <c r="T28" i="22"/>
  <c r="T6" i="22" s="1"/>
  <c r="T47" i="22"/>
  <c r="T40" i="22"/>
  <c r="T27" i="22"/>
  <c r="T5" i="22" s="1"/>
  <c r="T42" i="22"/>
  <c r="T30" i="22"/>
  <c r="T8" i="22" s="1"/>
  <c r="T48" i="22"/>
  <c r="T32" i="22"/>
  <c r="T10" i="22" s="1"/>
  <c r="T43" i="22"/>
  <c r="C164" i="27"/>
  <c r="AW85" i="29"/>
  <c r="S28" i="26" a="1"/>
  <c r="S28" i="26" s="1"/>
  <c r="S6" i="26" s="1"/>
  <c r="S27" i="26" a="1"/>
  <c r="S27" i="26" s="1"/>
  <c r="S5" i="26" s="1"/>
  <c r="S24" i="26" a="1"/>
  <c r="S24" i="26" s="1"/>
  <c r="S2" i="26" s="1"/>
  <c r="Q78" i="26"/>
  <c r="Q82" i="26"/>
  <c r="R110" i="29"/>
  <c r="R88" i="29" s="1"/>
  <c r="R34" i="29"/>
  <c r="R12" i="29" s="1"/>
  <c r="R72" i="29"/>
  <c r="R50" i="29" s="1"/>
  <c r="AA12" i="25"/>
  <c r="AW40" i="30"/>
  <c r="Q88" i="26"/>
  <c r="R30" i="29"/>
  <c r="R8" i="29" s="1"/>
  <c r="AA8" i="25"/>
  <c r="R68" i="29"/>
  <c r="R46" i="29" s="1"/>
  <c r="R106" i="29"/>
  <c r="R84" i="29" s="1"/>
  <c r="C79" i="27"/>
  <c r="P35" i="29"/>
  <c r="C126" i="27"/>
  <c r="AW47" i="29"/>
  <c r="AW43" i="29"/>
  <c r="C122" i="27"/>
  <c r="AW42" i="29"/>
  <c r="C121" i="27"/>
  <c r="AW4" i="30"/>
  <c r="C86" i="27"/>
  <c r="AW7" i="29"/>
  <c r="R70" i="29"/>
  <c r="R48" i="29" s="1"/>
  <c r="AA10" i="25"/>
  <c r="R32" i="29"/>
  <c r="R10" i="29" s="1"/>
  <c r="R108" i="29"/>
  <c r="R86" i="29" s="1"/>
  <c r="AW81" i="29"/>
  <c r="C160" i="27"/>
  <c r="C84" i="27"/>
  <c r="AW5" i="29"/>
  <c r="C119" i="27"/>
  <c r="AW40" i="29"/>
  <c r="Q78" i="29"/>
  <c r="Q111" i="29" s="1"/>
  <c r="Q113" i="29"/>
  <c r="C159" i="27"/>
  <c r="AW80" i="29"/>
  <c r="AW44" i="26"/>
  <c r="C85" i="27"/>
  <c r="AW6" i="29"/>
  <c r="AW80" i="30"/>
  <c r="AW2" i="30"/>
  <c r="AZ2" i="29"/>
  <c r="AZ12" i="29" s="1"/>
  <c r="C161" i="27"/>
  <c r="AW82" i="29"/>
  <c r="P111" i="29"/>
  <c r="C155" i="27"/>
  <c r="C157" i="27"/>
  <c r="AW78" i="29"/>
  <c r="S34" i="26" a="1"/>
  <c r="S34" i="26" s="1"/>
  <c r="S12" i="26" s="1"/>
  <c r="S26" i="26" a="1"/>
  <c r="S26" i="26" s="1"/>
  <c r="S4" i="26" s="1"/>
  <c r="AW42" i="26"/>
  <c r="Q40" i="26"/>
  <c r="AW78" i="30"/>
  <c r="Q75" i="29"/>
  <c r="Q40" i="29"/>
  <c r="Q73" i="29" s="1"/>
  <c r="BI11" i="25"/>
  <c r="BI14" i="25" s="1"/>
  <c r="AC69" i="30"/>
  <c r="AC47" i="30" s="1"/>
  <c r="AC107" i="26"/>
  <c r="AC107" i="30"/>
  <c r="AC85" i="30" s="1"/>
  <c r="AC31" i="30"/>
  <c r="AC9" i="30" s="1"/>
  <c r="AC69" i="26"/>
  <c r="AC47" i="26" s="1"/>
  <c r="AC9" i="26"/>
  <c r="AZ40" i="29"/>
  <c r="AZ50" i="29" s="1"/>
  <c r="AA37" i="30"/>
  <c r="AA3" i="30"/>
  <c r="AA35" i="30" s="1"/>
  <c r="AC25" i="26" a="1"/>
  <c r="AC25" i="26" s="1"/>
  <c r="AC3" i="22"/>
  <c r="AD31" i="26" a="1"/>
  <c r="AD31" i="26" s="1"/>
  <c r="AD9" i="22"/>
  <c r="AA75" i="30"/>
  <c r="AA41" i="30"/>
  <c r="AA73" i="30" s="1"/>
  <c r="AB85" i="26"/>
  <c r="O39" i="22"/>
  <c r="O25" i="22"/>
  <c r="P61" i="22"/>
  <c r="AZ40" i="26"/>
  <c r="N3" i="22"/>
  <c r="N25" i="26" a="1"/>
  <c r="N25" i="26" s="1"/>
  <c r="N37" i="26" s="1"/>
  <c r="AA113" i="30"/>
  <c r="AA79" i="30"/>
  <c r="AA111" i="30" s="1"/>
  <c r="AD25" i="22"/>
  <c r="AE61" i="22"/>
  <c r="AD39" i="22"/>
  <c r="O31" i="26" a="1"/>
  <c r="O31" i="26" s="1"/>
  <c r="O9" i="26" s="1"/>
  <c r="P31" i="22"/>
  <c r="P9" i="22" s="1"/>
  <c r="P45" i="22"/>
  <c r="Q67" i="22"/>
  <c r="M63" i="30"/>
  <c r="M3" i="26"/>
  <c r="M35" i="26" s="1"/>
  <c r="M63" i="26"/>
  <c r="M101" i="26"/>
  <c r="M113" i="26" s="1"/>
  <c r="M25" i="30"/>
  <c r="M101" i="30"/>
  <c r="AA113" i="26"/>
  <c r="AA79" i="26"/>
  <c r="AA111" i="26" s="1"/>
  <c r="AB101" i="30"/>
  <c r="AB25" i="30"/>
  <c r="AB63" i="30"/>
  <c r="AB37" i="26"/>
  <c r="AB63" i="26"/>
  <c r="AB101" i="26"/>
  <c r="AB3" i="26"/>
  <c r="AB35" i="26" s="1"/>
  <c r="AE31" i="22"/>
  <c r="AF67" i="22"/>
  <c r="AE45" i="22"/>
  <c r="L79" i="26"/>
  <c r="AA75" i="26"/>
  <c r="AA41" i="26"/>
  <c r="AA73" i="26" s="1"/>
  <c r="N69" i="26"/>
  <c r="N47" i="26" s="1"/>
  <c r="N69" i="30"/>
  <c r="N47" i="30" s="1"/>
  <c r="N107" i="30"/>
  <c r="N85" i="30" s="1"/>
  <c r="N107" i="26"/>
  <c r="N31" i="30"/>
  <c r="N9" i="30" s="1"/>
  <c r="AZ2" i="30"/>
  <c r="L107" i="34" l="1"/>
  <c r="H25" i="33"/>
  <c r="L148" i="34"/>
  <c r="M148" i="34" s="1"/>
  <c r="M106" i="34"/>
  <c r="M107" i="34"/>
  <c r="M147" i="34"/>
  <c r="G67" i="33"/>
  <c r="J149" i="34"/>
  <c r="D149" i="34"/>
  <c r="G26" i="33"/>
  <c r="J108" i="34"/>
  <c r="D108" i="34"/>
  <c r="S71" i="29"/>
  <c r="S49" i="29" s="1"/>
  <c r="S103" i="29"/>
  <c r="S81" i="29" s="1"/>
  <c r="R42" i="26"/>
  <c r="R4" i="30"/>
  <c r="N85" i="26"/>
  <c r="AK9" i="22"/>
  <c r="S33" i="29"/>
  <c r="S11" i="29" s="1"/>
  <c r="S62" i="29"/>
  <c r="S40" i="29" s="1"/>
  <c r="S100" i="29"/>
  <c r="S78" i="29" s="1"/>
  <c r="S108" i="29"/>
  <c r="S86" i="29" s="1"/>
  <c r="S69" i="29"/>
  <c r="S47" i="29" s="1"/>
  <c r="S24" i="29"/>
  <c r="S2" i="29" s="1"/>
  <c r="S64" i="29"/>
  <c r="S42" i="29" s="1"/>
  <c r="S101" i="29"/>
  <c r="S79" i="29" s="1"/>
  <c r="S67" i="29"/>
  <c r="S45" i="29" s="1"/>
  <c r="S31" i="29"/>
  <c r="S9" i="29" s="1"/>
  <c r="S68" i="29"/>
  <c r="S46" i="29" s="1"/>
  <c r="S72" i="29"/>
  <c r="S50" i="29" s="1"/>
  <c r="S110" i="29"/>
  <c r="S88" i="29" s="1"/>
  <c r="S27" i="29"/>
  <c r="S5" i="29" s="1"/>
  <c r="S70" i="29"/>
  <c r="S48" i="29" s="1"/>
  <c r="S29" i="29"/>
  <c r="S7" i="29" s="1"/>
  <c r="S107" i="29"/>
  <c r="S85" i="29" s="1"/>
  <c r="S63" i="29"/>
  <c r="S41" i="29" s="1"/>
  <c r="S105" i="29"/>
  <c r="S83" i="29" s="1"/>
  <c r="S34" i="29"/>
  <c r="S12" i="29" s="1"/>
  <c r="S25" i="29"/>
  <c r="S3" i="29" s="1"/>
  <c r="AB37" i="25"/>
  <c r="AW88" i="29"/>
  <c r="S65" i="29"/>
  <c r="S43" i="29" s="1"/>
  <c r="S32" i="29"/>
  <c r="S10" i="29" s="1"/>
  <c r="S66" i="29"/>
  <c r="S44" i="29" s="1"/>
  <c r="M79" i="30"/>
  <c r="M111" i="30" s="1"/>
  <c r="M113" i="30"/>
  <c r="S109" i="29"/>
  <c r="S87" i="29" s="1"/>
  <c r="AC4" i="25"/>
  <c r="AC4" i="6"/>
  <c r="AC2" i="25"/>
  <c r="M26" i="34" s="1"/>
  <c r="AC2" i="6"/>
  <c r="S26" i="29"/>
  <c r="S4" i="29" s="1"/>
  <c r="AA35" i="25"/>
  <c r="AC3" i="25"/>
  <c r="M67" i="34" s="1"/>
  <c r="AC3" i="6"/>
  <c r="AC6" i="25"/>
  <c r="AC6" i="6"/>
  <c r="S104" i="29"/>
  <c r="S82" i="29" s="1"/>
  <c r="L73" i="26"/>
  <c r="AC9" i="25"/>
  <c r="AC9" i="6"/>
  <c r="AC7" i="25"/>
  <c r="AC7" i="6"/>
  <c r="S28" i="29"/>
  <c r="S6" i="29" s="1"/>
  <c r="M41" i="26"/>
  <c r="M73" i="26" s="1"/>
  <c r="M75" i="26"/>
  <c r="AW12" i="29"/>
  <c r="L35" i="30"/>
  <c r="M3" i="30"/>
  <c r="M35" i="30" s="1"/>
  <c r="M37" i="30"/>
  <c r="AC10" i="25"/>
  <c r="AC10" i="6"/>
  <c r="AC5" i="25"/>
  <c r="AC5" i="6"/>
  <c r="S30" i="29"/>
  <c r="S8" i="29" s="1"/>
  <c r="AB35" i="25"/>
  <c r="L111" i="26"/>
  <c r="M41" i="30"/>
  <c r="M73" i="30" s="1"/>
  <c r="M75" i="30"/>
  <c r="AW50" i="29"/>
  <c r="AC8" i="25"/>
  <c r="AC8" i="6"/>
  <c r="AC12" i="25"/>
  <c r="AC12" i="6"/>
  <c r="S102" i="29"/>
  <c r="S80" i="29" s="1"/>
  <c r="S106" i="29"/>
  <c r="S84" i="29" s="1"/>
  <c r="L73" i="30"/>
  <c r="BA13" i="29"/>
  <c r="BA15" i="29" s="1"/>
  <c r="BA11" i="30"/>
  <c r="AC11" i="25"/>
  <c r="AC11" i="6"/>
  <c r="S103" i="26"/>
  <c r="S81" i="26" s="1"/>
  <c r="S65" i="30"/>
  <c r="S43" i="30" s="1"/>
  <c r="S103" i="30"/>
  <c r="S81" i="30" s="1"/>
  <c r="S65" i="26"/>
  <c r="S43" i="26" s="1"/>
  <c r="S27" i="30"/>
  <c r="S5" i="30" s="1"/>
  <c r="R113" i="29"/>
  <c r="R78" i="29"/>
  <c r="R111" i="29" s="1"/>
  <c r="R40" i="26"/>
  <c r="S29" i="30"/>
  <c r="S7" i="30" s="1"/>
  <c r="S67" i="30"/>
  <c r="S45" i="30" s="1"/>
  <c r="S67" i="26"/>
  <c r="S45" i="26" s="1"/>
  <c r="S105" i="26"/>
  <c r="S83" i="26" s="1"/>
  <c r="S105" i="30"/>
  <c r="S83" i="30" s="1"/>
  <c r="V73" i="22" a="1"/>
  <c r="V73" i="22" s="1"/>
  <c r="C113" i="27"/>
  <c r="C112" i="27"/>
  <c r="S104" i="26"/>
  <c r="S28" i="30"/>
  <c r="S6" i="30" s="1"/>
  <c r="S104" i="30"/>
  <c r="S82" i="30" s="1"/>
  <c r="S66" i="26"/>
  <c r="S44" i="26" s="1"/>
  <c r="S66" i="30"/>
  <c r="S44" i="30" s="1"/>
  <c r="T27" i="26" a="1"/>
  <c r="T27" i="26" s="1"/>
  <c r="T5" i="26" s="1"/>
  <c r="T24" i="26" a="1"/>
  <c r="T24" i="26" s="1"/>
  <c r="T2" i="26" s="1"/>
  <c r="R88" i="26"/>
  <c r="R2" i="29"/>
  <c r="R35" i="29" s="1"/>
  <c r="R37" i="29"/>
  <c r="S108" i="30"/>
  <c r="S86" i="30" s="1"/>
  <c r="S32" i="30"/>
  <c r="S10" i="30" s="1"/>
  <c r="S70" i="26"/>
  <c r="S48" i="26" s="1"/>
  <c r="S70" i="30"/>
  <c r="S48" i="30" s="1"/>
  <c r="S108" i="26"/>
  <c r="S86" i="26" s="1"/>
  <c r="C151" i="27"/>
  <c r="C150" i="27"/>
  <c r="T33" i="26" a="1"/>
  <c r="T33" i="26" s="1"/>
  <c r="T11" i="26" s="1"/>
  <c r="U27" i="22"/>
  <c r="U5" i="22" s="1"/>
  <c r="U38" i="22"/>
  <c r="U42" i="22"/>
  <c r="U34" i="22"/>
  <c r="U12" i="22" s="1"/>
  <c r="U40" i="22"/>
  <c r="U33" i="22"/>
  <c r="U11" i="22" s="1"/>
  <c r="U44" i="22"/>
  <c r="U30" i="22"/>
  <c r="U8" i="22" s="1"/>
  <c r="U29" i="22"/>
  <c r="U7" i="22" s="1"/>
  <c r="U41" i="22"/>
  <c r="U24" i="22"/>
  <c r="U2" i="22" s="1"/>
  <c r="U46" i="22"/>
  <c r="U48" i="22"/>
  <c r="U47" i="22"/>
  <c r="U32" i="22"/>
  <c r="U10" i="22" s="1"/>
  <c r="U28" i="22"/>
  <c r="U6" i="22" s="1"/>
  <c r="U26" i="22"/>
  <c r="U4" i="22" s="1"/>
  <c r="U43" i="22"/>
  <c r="R78" i="30"/>
  <c r="S34" i="30"/>
  <c r="S12" i="30" s="1"/>
  <c r="S72" i="26"/>
  <c r="S50" i="26" s="1"/>
  <c r="S110" i="26"/>
  <c r="S72" i="30"/>
  <c r="S50" i="30" s="1"/>
  <c r="S110" i="30"/>
  <c r="S88" i="30" s="1"/>
  <c r="T28" i="26" a="1"/>
  <c r="T28" i="26" s="1"/>
  <c r="T6" i="26" s="1"/>
  <c r="AA73" i="25"/>
  <c r="AA75" i="25"/>
  <c r="S33" i="30"/>
  <c r="S11" i="30" s="1"/>
  <c r="S71" i="26"/>
  <c r="S49" i="26" s="1"/>
  <c r="S71" i="30"/>
  <c r="S49" i="30" s="1"/>
  <c r="S109" i="30"/>
  <c r="S87" i="30" s="1"/>
  <c r="S109" i="26"/>
  <c r="T32" i="26" a="1"/>
  <c r="T32" i="26" s="1"/>
  <c r="T10" i="26" s="1"/>
  <c r="T34" i="26" a="1"/>
  <c r="T34" i="26" s="1"/>
  <c r="T12" i="26" s="1"/>
  <c r="AD28" i="6"/>
  <c r="AD28" i="25" s="1"/>
  <c r="G191" i="33" s="1"/>
  <c r="AD32" i="6"/>
  <c r="AD32" i="25" s="1"/>
  <c r="G355" i="33" s="1"/>
  <c r="AD26" i="6"/>
  <c r="AD26" i="25" s="1"/>
  <c r="G109" i="33" s="1"/>
  <c r="AD34" i="6"/>
  <c r="AD34" i="25" s="1"/>
  <c r="G437" i="33" s="1"/>
  <c r="H437" i="33" s="1"/>
  <c r="AD33" i="6"/>
  <c r="AD33" i="25" s="1"/>
  <c r="G396" i="33" s="1"/>
  <c r="AD24" i="6"/>
  <c r="AD24" i="25" s="1"/>
  <c r="AD29" i="6"/>
  <c r="AD29" i="25" s="1"/>
  <c r="G232" i="33" s="1"/>
  <c r="AD30" i="6"/>
  <c r="AD30" i="25" s="1"/>
  <c r="G273" i="33" s="1"/>
  <c r="AD27" i="6"/>
  <c r="AD27" i="25" s="1"/>
  <c r="G150" i="33" s="1"/>
  <c r="AD31" i="6"/>
  <c r="AD31" i="25" s="1"/>
  <c r="G314" i="33" s="1"/>
  <c r="AD25" i="6"/>
  <c r="AD25" i="25" s="1"/>
  <c r="R84" i="26"/>
  <c r="R78" i="26"/>
  <c r="S102" i="30"/>
  <c r="S80" i="30" s="1"/>
  <c r="S102" i="26"/>
  <c r="S64" i="26"/>
  <c r="S42" i="26" s="1"/>
  <c r="S64" i="30"/>
  <c r="S42" i="30" s="1"/>
  <c r="S26" i="30"/>
  <c r="S4" i="30" s="1"/>
  <c r="C189" i="27"/>
  <c r="C188" i="27"/>
  <c r="T26" i="26" a="1"/>
  <c r="T26" i="26" s="1"/>
  <c r="T4" i="26" s="1"/>
  <c r="C74" i="27"/>
  <c r="C75" i="27"/>
  <c r="S106" i="26"/>
  <c r="S30" i="30"/>
  <c r="S8" i="30" s="1"/>
  <c r="S68" i="26"/>
  <c r="S46" i="26" s="1"/>
  <c r="S68" i="30"/>
  <c r="S46" i="30" s="1"/>
  <c r="S106" i="30"/>
  <c r="S84" i="30" s="1"/>
  <c r="R75" i="29"/>
  <c r="R40" i="29"/>
  <c r="R73" i="29" s="1"/>
  <c r="R40" i="30"/>
  <c r="S24" i="30"/>
  <c r="S100" i="26"/>
  <c r="S78" i="26" s="1"/>
  <c r="S62" i="26"/>
  <c r="S62" i="30"/>
  <c r="S100" i="30"/>
  <c r="T30" i="26" a="1"/>
  <c r="T30" i="26" s="1"/>
  <c r="T8" i="26" s="1"/>
  <c r="T29" i="26" a="1"/>
  <c r="T29" i="26" s="1"/>
  <c r="T7" i="26" s="1"/>
  <c r="R2" i="30"/>
  <c r="R82" i="26"/>
  <c r="AF31" i="22"/>
  <c r="AG67" i="22"/>
  <c r="AF45" i="22"/>
  <c r="N25" i="30"/>
  <c r="N63" i="26"/>
  <c r="N3" i="26"/>
  <c r="N35" i="26" s="1"/>
  <c r="N101" i="30"/>
  <c r="N101" i="26"/>
  <c r="N113" i="26" s="1"/>
  <c r="N63" i="30"/>
  <c r="AB37" i="30"/>
  <c r="AB3" i="30"/>
  <c r="AB35" i="30" s="1"/>
  <c r="AB113" i="30"/>
  <c r="AB79" i="30"/>
  <c r="AB111" i="30" s="1"/>
  <c r="M79" i="26"/>
  <c r="M111" i="26" s="1"/>
  <c r="AB113" i="26"/>
  <c r="AB79" i="26"/>
  <c r="AB111" i="26" s="1"/>
  <c r="AC63" i="30"/>
  <c r="AC37" i="26"/>
  <c r="AC101" i="26"/>
  <c r="AC101" i="30"/>
  <c r="AC63" i="26"/>
  <c r="AC25" i="30"/>
  <c r="AC3" i="26"/>
  <c r="AC35" i="26" s="1"/>
  <c r="Q45" i="22"/>
  <c r="Q31" i="22"/>
  <c r="Q9" i="22" s="1"/>
  <c r="R67" i="22"/>
  <c r="AB75" i="26"/>
  <c r="AB41" i="26"/>
  <c r="AB73" i="26" s="1"/>
  <c r="AD25" i="26" a="1"/>
  <c r="AD25" i="26" s="1"/>
  <c r="AD3" i="22"/>
  <c r="AC85" i="26"/>
  <c r="AE25" i="22"/>
  <c r="AF61" i="22"/>
  <c r="AE39" i="22"/>
  <c r="P31" i="26" a="1"/>
  <c r="P31" i="26" s="1"/>
  <c r="P9" i="26" s="1"/>
  <c r="AK31" i="22"/>
  <c r="AD31" i="30"/>
  <c r="AD9" i="30" s="1"/>
  <c r="AD69" i="26"/>
  <c r="AD47" i="26" s="1"/>
  <c r="AD107" i="30"/>
  <c r="AD85" i="30" s="1"/>
  <c r="AD69" i="30"/>
  <c r="AD47" i="30" s="1"/>
  <c r="AD107" i="26"/>
  <c r="AD9" i="26"/>
  <c r="P39" i="22"/>
  <c r="P25" i="22"/>
  <c r="Q61" i="22"/>
  <c r="AE31" i="26" a="1"/>
  <c r="AE31" i="26" s="1"/>
  <c r="AE9" i="22"/>
  <c r="AB75" i="30"/>
  <c r="AB41" i="30"/>
  <c r="AB73" i="30" s="1"/>
  <c r="O31" i="30"/>
  <c r="O9" i="30" s="1"/>
  <c r="O69" i="26"/>
  <c r="O47" i="26" s="1"/>
  <c r="O107" i="30"/>
  <c r="O85" i="30" s="1"/>
  <c r="O107" i="26"/>
  <c r="O69" i="30"/>
  <c r="O47" i="30" s="1"/>
  <c r="O3" i="22"/>
  <c r="O25" i="26" a="1"/>
  <c r="O25" i="26" s="1"/>
  <c r="O37" i="26" s="1"/>
  <c r="H150" i="33" l="1"/>
  <c r="V6" i="33"/>
  <c r="H191" i="33"/>
  <c r="V37" i="33" s="1"/>
  <c r="V8" i="33"/>
  <c r="H273" i="33"/>
  <c r="V39" i="33" s="1"/>
  <c r="V10" i="33"/>
  <c r="H396" i="33"/>
  <c r="V38" i="33" s="1"/>
  <c r="V9" i="33"/>
  <c r="H232" i="33"/>
  <c r="V36" i="33" s="1"/>
  <c r="V7" i="33"/>
  <c r="H109" i="33"/>
  <c r="V5" i="33"/>
  <c r="H314" i="33"/>
  <c r="V40" i="33" s="1"/>
  <c r="V11" i="33"/>
  <c r="H355" i="33"/>
  <c r="V41" i="33" s="1"/>
  <c r="V12" i="33"/>
  <c r="H67" i="33"/>
  <c r="L149" i="34"/>
  <c r="M149" i="34"/>
  <c r="L108" i="34"/>
  <c r="M108" i="34" s="1"/>
  <c r="H66" i="33"/>
  <c r="H26" i="33"/>
  <c r="G68" i="33"/>
  <c r="V4" i="33" s="1"/>
  <c r="D150" i="34"/>
  <c r="J150" i="34"/>
  <c r="G27" i="33"/>
  <c r="V3" i="33" s="1"/>
  <c r="D109" i="34"/>
  <c r="J109" i="34"/>
  <c r="S75" i="29"/>
  <c r="T25" i="29"/>
  <c r="T3" i="29" s="1"/>
  <c r="T63" i="29"/>
  <c r="T41" i="29" s="1"/>
  <c r="T101" i="29"/>
  <c r="T79" i="29" s="1"/>
  <c r="T102" i="29"/>
  <c r="T80" i="29" s="1"/>
  <c r="T64" i="29"/>
  <c r="T42" i="29" s="1"/>
  <c r="T62" i="29"/>
  <c r="T40" i="29" s="1"/>
  <c r="S73" i="29"/>
  <c r="T103" i="29"/>
  <c r="T81" i="29" s="1"/>
  <c r="S87" i="26"/>
  <c r="O85" i="26"/>
  <c r="AW7" i="26"/>
  <c r="AW23" i="26"/>
  <c r="S80" i="26"/>
  <c r="T108" i="29"/>
  <c r="T86" i="29" s="1"/>
  <c r="T66" i="29"/>
  <c r="T44" i="29" s="1"/>
  <c r="T109" i="29"/>
  <c r="T87" i="29" s="1"/>
  <c r="T70" i="29"/>
  <c r="T48" i="29" s="1"/>
  <c r="T69" i="29"/>
  <c r="T47" i="29" s="1"/>
  <c r="T104" i="29"/>
  <c r="T82" i="29" s="1"/>
  <c r="T68" i="29"/>
  <c r="T46" i="29" s="1"/>
  <c r="S37" i="29"/>
  <c r="T26" i="29"/>
  <c r="T4" i="29" s="1"/>
  <c r="T24" i="29"/>
  <c r="T2" i="29" s="1"/>
  <c r="T71" i="29"/>
  <c r="T49" i="29" s="1"/>
  <c r="T67" i="29"/>
  <c r="T45" i="29" s="1"/>
  <c r="AC37" i="25"/>
  <c r="T28" i="29"/>
  <c r="T6" i="29" s="1"/>
  <c r="T100" i="29"/>
  <c r="T78" i="29" s="1"/>
  <c r="T33" i="29"/>
  <c r="T11" i="29" s="1"/>
  <c r="T65" i="29"/>
  <c r="T43" i="29" s="1"/>
  <c r="T29" i="29"/>
  <c r="T7" i="29" s="1"/>
  <c r="T31" i="29"/>
  <c r="T9" i="29" s="1"/>
  <c r="N41" i="26"/>
  <c r="N75" i="26"/>
  <c r="S40" i="30"/>
  <c r="S84" i="26"/>
  <c r="AD11" i="25"/>
  <c r="AD11" i="6"/>
  <c r="T106" i="29"/>
  <c r="T84" i="29" s="1"/>
  <c r="T32" i="29"/>
  <c r="T10" i="29" s="1"/>
  <c r="S35" i="29"/>
  <c r="S40" i="26"/>
  <c r="AD12" i="25"/>
  <c r="AD12" i="6"/>
  <c r="T34" i="29"/>
  <c r="T12" i="29" s="1"/>
  <c r="S82" i="26"/>
  <c r="S111" i="29"/>
  <c r="AC35" i="25"/>
  <c r="AD3" i="25"/>
  <c r="AD3" i="6"/>
  <c r="AD4" i="25"/>
  <c r="AD4" i="6"/>
  <c r="T72" i="29"/>
  <c r="T50" i="29" s="1"/>
  <c r="T30" i="29"/>
  <c r="T8" i="29" s="1"/>
  <c r="T27" i="29"/>
  <c r="T5" i="29" s="1"/>
  <c r="T105" i="29"/>
  <c r="T83" i="29" s="1"/>
  <c r="S113" i="29"/>
  <c r="N3" i="30"/>
  <c r="N35" i="30" s="1"/>
  <c r="N37" i="30"/>
  <c r="N41" i="30"/>
  <c r="N75" i="30"/>
  <c r="S2" i="30"/>
  <c r="AD9" i="25"/>
  <c r="AD9" i="6"/>
  <c r="AD10" i="25"/>
  <c r="AD10" i="6"/>
  <c r="T107" i="29"/>
  <c r="T85" i="29" s="1"/>
  <c r="AD5" i="25"/>
  <c r="AD5" i="6"/>
  <c r="AD6" i="25"/>
  <c r="AD6" i="6"/>
  <c r="T110" i="29"/>
  <c r="T88" i="29" s="1"/>
  <c r="S78" i="30"/>
  <c r="AD2" i="25"/>
  <c r="M27" i="34" s="1"/>
  <c r="AD2" i="6"/>
  <c r="S88" i="26"/>
  <c r="N79" i="30"/>
  <c r="N111" i="30" s="1"/>
  <c r="N113" i="30"/>
  <c r="AD8" i="25"/>
  <c r="AD8" i="6"/>
  <c r="AB73" i="25"/>
  <c r="AD7" i="25"/>
  <c r="AD7" i="6"/>
  <c r="AB75" i="25"/>
  <c r="T72" i="26"/>
  <c r="T50" i="26" s="1"/>
  <c r="T72" i="30"/>
  <c r="T50" i="30" s="1"/>
  <c r="T34" i="30"/>
  <c r="T12" i="30" s="1"/>
  <c r="T110" i="26"/>
  <c r="T110" i="30"/>
  <c r="T88" i="30" s="1"/>
  <c r="T66" i="26"/>
  <c r="T44" i="26" s="1"/>
  <c r="T104" i="30"/>
  <c r="T82" i="30" s="1"/>
  <c r="T66" i="30"/>
  <c r="T44" i="30" s="1"/>
  <c r="T28" i="30"/>
  <c r="T6" i="30" s="1"/>
  <c r="T104" i="26"/>
  <c r="U33" i="26" a="1"/>
  <c r="U33" i="26" s="1"/>
  <c r="U11" i="26" s="1"/>
  <c r="W73" i="22" a="1"/>
  <c r="W73" i="22" s="1"/>
  <c r="T108" i="26"/>
  <c r="T32" i="30"/>
  <c r="T10" i="30" s="1"/>
  <c r="T70" i="26"/>
  <c r="T48" i="26" s="1"/>
  <c r="T108" i="30"/>
  <c r="T86" i="30" s="1"/>
  <c r="T70" i="30"/>
  <c r="T48" i="30" s="1"/>
  <c r="T30" i="30"/>
  <c r="T8" i="30" s="1"/>
  <c r="T106" i="30"/>
  <c r="T84" i="30" s="1"/>
  <c r="T68" i="26"/>
  <c r="T46" i="26" s="1"/>
  <c r="T106" i="26"/>
  <c r="T68" i="30"/>
  <c r="T46" i="30" s="1"/>
  <c r="U34" i="26" a="1"/>
  <c r="U34" i="26" s="1"/>
  <c r="U12" i="26" s="1"/>
  <c r="U24" i="26" a="1"/>
  <c r="U24" i="26" s="1"/>
  <c r="U2" i="26" s="1"/>
  <c r="T24" i="30"/>
  <c r="T100" i="26"/>
  <c r="T78" i="26" s="1"/>
  <c r="T62" i="30"/>
  <c r="T100" i="30"/>
  <c r="T62" i="26"/>
  <c r="T65" i="30"/>
  <c r="T43" i="30" s="1"/>
  <c r="T103" i="26"/>
  <c r="T65" i="26"/>
  <c r="T43" i="26" s="1"/>
  <c r="T27" i="30"/>
  <c r="T5" i="30" s="1"/>
  <c r="T103" i="30"/>
  <c r="T81" i="30" s="1"/>
  <c r="V33" i="22"/>
  <c r="V11" i="22" s="1"/>
  <c r="V46" i="22"/>
  <c r="V32" i="22"/>
  <c r="V10" i="22" s="1"/>
  <c r="V43" i="22"/>
  <c r="V30" i="22"/>
  <c r="V8" i="22" s="1"/>
  <c r="V38" i="22"/>
  <c r="V26" i="22"/>
  <c r="V4" i="22" s="1"/>
  <c r="V42" i="22"/>
  <c r="V34" i="22"/>
  <c r="V12" i="22" s="1"/>
  <c r="V41" i="22"/>
  <c r="V29" i="22"/>
  <c r="V7" i="22" s="1"/>
  <c r="V28" i="22"/>
  <c r="V6" i="22" s="1"/>
  <c r="V48" i="22"/>
  <c r="V24" i="22"/>
  <c r="V2" i="22" s="1"/>
  <c r="V40" i="22"/>
  <c r="V44" i="22"/>
  <c r="V27" i="22"/>
  <c r="V5" i="22" s="1"/>
  <c r="V47" i="22"/>
  <c r="T102" i="26"/>
  <c r="T64" i="26"/>
  <c r="T42" i="26" s="1"/>
  <c r="T64" i="30"/>
  <c r="T42" i="30" s="1"/>
  <c r="T102" i="30"/>
  <c r="T80" i="30" s="1"/>
  <c r="T26" i="30"/>
  <c r="T4" i="30" s="1"/>
  <c r="U26" i="26" a="1"/>
  <c r="U26" i="26" s="1"/>
  <c r="U4" i="26" s="1"/>
  <c r="AX18" i="26" s="1"/>
  <c r="U29" i="26" a="1"/>
  <c r="U29" i="26" s="1"/>
  <c r="U7" i="26" s="1"/>
  <c r="U27" i="26" a="1"/>
  <c r="U27" i="26" s="1"/>
  <c r="U5" i="26" s="1"/>
  <c r="AX19" i="26" s="1"/>
  <c r="U28" i="26" a="1"/>
  <c r="U28" i="26" s="1"/>
  <c r="U6" i="26" s="1"/>
  <c r="U30" i="26" a="1"/>
  <c r="U30" i="26" s="1"/>
  <c r="U8" i="26" s="1"/>
  <c r="T71" i="26"/>
  <c r="T49" i="26" s="1"/>
  <c r="T109" i="26"/>
  <c r="T33" i="30"/>
  <c r="T11" i="30" s="1"/>
  <c r="T71" i="30"/>
  <c r="T49" i="30" s="1"/>
  <c r="T109" i="30"/>
  <c r="T87" i="30" s="1"/>
  <c r="AE34" i="6"/>
  <c r="AE34" i="25" s="1"/>
  <c r="G438" i="33" s="1"/>
  <c r="H438" i="33" s="1"/>
  <c r="AE32" i="6"/>
  <c r="AE32" i="25" s="1"/>
  <c r="G356" i="33" s="1"/>
  <c r="H356" i="33" s="1"/>
  <c r="AE26" i="6"/>
  <c r="AE26" i="25" s="1"/>
  <c r="G110" i="33" s="1"/>
  <c r="H110" i="33" s="1"/>
  <c r="AE25" i="6"/>
  <c r="AE25" i="25" s="1"/>
  <c r="AE29" i="6"/>
  <c r="AE29" i="25" s="1"/>
  <c r="G233" i="33" s="1"/>
  <c r="H233" i="33" s="1"/>
  <c r="AE33" i="6"/>
  <c r="AE33" i="25" s="1"/>
  <c r="G397" i="33" s="1"/>
  <c r="H397" i="33" s="1"/>
  <c r="AE24" i="6"/>
  <c r="AE24" i="25" s="1"/>
  <c r="AE27" i="6"/>
  <c r="AE27" i="25" s="1"/>
  <c r="G151" i="33" s="1"/>
  <c r="H151" i="33" s="1"/>
  <c r="AE30" i="6"/>
  <c r="AE30" i="25" s="1"/>
  <c r="G274" i="33" s="1"/>
  <c r="H274" i="33" s="1"/>
  <c r="AE28" i="6"/>
  <c r="AE28" i="25" s="1"/>
  <c r="G192" i="33" s="1"/>
  <c r="H192" i="33" s="1"/>
  <c r="AE31" i="6"/>
  <c r="AE31" i="25" s="1"/>
  <c r="G315" i="33" s="1"/>
  <c r="H315" i="33" s="1"/>
  <c r="T67" i="26"/>
  <c r="T45" i="26" s="1"/>
  <c r="T29" i="30"/>
  <c r="T7" i="30" s="1"/>
  <c r="T67" i="30"/>
  <c r="T45" i="30" s="1"/>
  <c r="T105" i="26"/>
  <c r="T105" i="30"/>
  <c r="T83" i="30" s="1"/>
  <c r="U32" i="26" a="1"/>
  <c r="U32" i="26" s="1"/>
  <c r="U10" i="26" s="1"/>
  <c r="P69" i="30"/>
  <c r="P107" i="30"/>
  <c r="P31" i="30"/>
  <c r="P69" i="26"/>
  <c r="P107" i="26"/>
  <c r="AE25" i="26" a="1"/>
  <c r="AE25" i="26" s="1"/>
  <c r="AE3" i="22"/>
  <c r="AC75" i="30"/>
  <c r="AC41" i="30"/>
  <c r="AC73" i="30" s="1"/>
  <c r="AE31" i="30"/>
  <c r="AE9" i="30" s="1"/>
  <c r="AZ7" i="30" s="1"/>
  <c r="AE69" i="26"/>
  <c r="AE47" i="26" s="1"/>
  <c r="AZ45" i="26" s="1"/>
  <c r="AE107" i="30"/>
  <c r="AE85" i="30" s="1"/>
  <c r="AZ83" i="30" s="1"/>
  <c r="AE69" i="30"/>
  <c r="AE47" i="30" s="1"/>
  <c r="AZ45" i="30" s="1"/>
  <c r="AE107" i="26"/>
  <c r="AE9" i="26"/>
  <c r="Q39" i="22"/>
  <c r="Q25" i="22"/>
  <c r="R61" i="22"/>
  <c r="P3" i="22"/>
  <c r="AK25" i="22"/>
  <c r="P25" i="26" a="1"/>
  <c r="P25" i="26" s="1"/>
  <c r="P37" i="26" s="1"/>
  <c r="AF25" i="22"/>
  <c r="AG61" i="22"/>
  <c r="AF39" i="22"/>
  <c r="AC37" i="30"/>
  <c r="AC3" i="30"/>
  <c r="AC35" i="30" s="1"/>
  <c r="AD37" i="26"/>
  <c r="AD63" i="30"/>
  <c r="AD101" i="30"/>
  <c r="AD25" i="30"/>
  <c r="AD63" i="26"/>
  <c r="AD101" i="26"/>
  <c r="AD3" i="26"/>
  <c r="AD35" i="26" s="1"/>
  <c r="R45" i="22"/>
  <c r="R31" i="22"/>
  <c r="R9" i="22" s="1"/>
  <c r="S67" i="22"/>
  <c r="AC75" i="26"/>
  <c r="AC41" i="26"/>
  <c r="AC73" i="26" s="1"/>
  <c r="AG45" i="22"/>
  <c r="AH67" i="22"/>
  <c r="AG31" i="22"/>
  <c r="AG9" i="22" s="1"/>
  <c r="Q31" i="26" a="1"/>
  <c r="Q31" i="26" s="1"/>
  <c r="Q9" i="26" s="1"/>
  <c r="AC113" i="30"/>
  <c r="AC79" i="30"/>
  <c r="AC111" i="30" s="1"/>
  <c r="AF31" i="26" a="1"/>
  <c r="AF31" i="26" s="1"/>
  <c r="AF9" i="22"/>
  <c r="AD85" i="26"/>
  <c r="AC113" i="26"/>
  <c r="AC79" i="26"/>
  <c r="AC111" i="26" s="1"/>
  <c r="N79" i="26"/>
  <c r="N111" i="26" s="1"/>
  <c r="O3" i="26"/>
  <c r="O35" i="26" s="1"/>
  <c r="O25" i="30"/>
  <c r="O63" i="30"/>
  <c r="O101" i="30"/>
  <c r="O63" i="26"/>
  <c r="O101" i="26"/>
  <c r="O113" i="26" s="1"/>
  <c r="V34" i="33" l="1"/>
  <c r="V51" i="33" s="1"/>
  <c r="V35" i="33"/>
  <c r="V52" i="33" s="1"/>
  <c r="L109" i="34"/>
  <c r="H27" i="33"/>
  <c r="L150" i="34"/>
  <c r="M150" i="34" s="1"/>
  <c r="BG17" i="25"/>
  <c r="M68" i="34"/>
  <c r="H68" i="33"/>
  <c r="V33" i="33" s="1"/>
  <c r="V13" i="33"/>
  <c r="M109" i="34"/>
  <c r="G28" i="33"/>
  <c r="D110" i="34"/>
  <c r="L110" i="34" s="1"/>
  <c r="J110" i="34"/>
  <c r="G69" i="33"/>
  <c r="D151" i="34"/>
  <c r="J151" i="34"/>
  <c r="AX24" i="26"/>
  <c r="AX8" i="26"/>
  <c r="T87" i="26"/>
  <c r="T81" i="26"/>
  <c r="T86" i="26"/>
  <c r="AX9" i="26"/>
  <c r="AX25" i="26"/>
  <c r="P85" i="26"/>
  <c r="P47" i="26"/>
  <c r="P9" i="30"/>
  <c r="P85" i="30"/>
  <c r="P47" i="30"/>
  <c r="T83" i="26"/>
  <c r="AX21" i="26"/>
  <c r="AX5" i="26"/>
  <c r="T80" i="26"/>
  <c r="U33" i="29"/>
  <c r="U11" i="29" s="1"/>
  <c r="AX9" i="29" s="1"/>
  <c r="U72" i="29"/>
  <c r="U50" i="29" s="1"/>
  <c r="U28" i="29"/>
  <c r="U6" i="29" s="1"/>
  <c r="AX4" i="29" s="1"/>
  <c r="U109" i="29"/>
  <c r="U87" i="29" s="1"/>
  <c r="AX85" i="29" s="1"/>
  <c r="T113" i="29"/>
  <c r="U104" i="29"/>
  <c r="U82" i="29" s="1"/>
  <c r="AX80" i="29" s="1"/>
  <c r="U32" i="29"/>
  <c r="U10" i="29" s="1"/>
  <c r="AX8" i="29" s="1"/>
  <c r="T37" i="29"/>
  <c r="U30" i="29"/>
  <c r="U8" i="29" s="1"/>
  <c r="AX6" i="29" s="1"/>
  <c r="U110" i="29"/>
  <c r="U88" i="29" s="1"/>
  <c r="U106" i="29"/>
  <c r="U84" i="29" s="1"/>
  <c r="AX82" i="29" s="1"/>
  <c r="AC73" i="25"/>
  <c r="U103" i="29"/>
  <c r="U81" i="29" s="1"/>
  <c r="U70" i="29"/>
  <c r="U48" i="29" s="1"/>
  <c r="AX46" i="29" s="1"/>
  <c r="U25" i="29"/>
  <c r="U3" i="29" s="1"/>
  <c r="U101" i="29"/>
  <c r="U79" i="29" s="1"/>
  <c r="U34" i="29"/>
  <c r="U12" i="29" s="1"/>
  <c r="U100" i="29"/>
  <c r="U78" i="29" s="1"/>
  <c r="U31" i="29"/>
  <c r="U9" i="29" s="1"/>
  <c r="AX7" i="29" s="1"/>
  <c r="U63" i="29"/>
  <c r="U41" i="29" s="1"/>
  <c r="AE6" i="25"/>
  <c r="AE6" i="6"/>
  <c r="AE10" i="25"/>
  <c r="AE10" i="6"/>
  <c r="AE2" i="25"/>
  <c r="M28" i="34" s="1"/>
  <c r="AE2" i="6"/>
  <c r="U62" i="29"/>
  <c r="T40" i="26"/>
  <c r="U66" i="29"/>
  <c r="U44" i="29" s="1"/>
  <c r="AX42" i="29" s="1"/>
  <c r="BG3" i="25"/>
  <c r="BG19" i="25"/>
  <c r="O3" i="30"/>
  <c r="O35" i="30" s="1"/>
  <c r="O37" i="30"/>
  <c r="AE11" i="25"/>
  <c r="AE11" i="6"/>
  <c r="U71" i="29"/>
  <c r="U49" i="29" s="1"/>
  <c r="AX47" i="29" s="1"/>
  <c r="U67" i="29"/>
  <c r="U45" i="29" s="1"/>
  <c r="AX43" i="29" s="1"/>
  <c r="U65" i="29"/>
  <c r="U43" i="29" s="1"/>
  <c r="T82" i="26"/>
  <c r="T88" i="26"/>
  <c r="T35" i="29"/>
  <c r="BG24" i="25"/>
  <c r="BG8" i="25"/>
  <c r="AE7" i="25"/>
  <c r="AE7" i="6"/>
  <c r="AD37" i="25"/>
  <c r="T78" i="30"/>
  <c r="U102" i="29"/>
  <c r="U80" i="29" s="1"/>
  <c r="AX16" i="26"/>
  <c r="AX2" i="26"/>
  <c r="U64" i="29"/>
  <c r="U42" i="29" s="1"/>
  <c r="BG7" i="25"/>
  <c r="BG23" i="25"/>
  <c r="AE3" i="25"/>
  <c r="M69" i="34" s="1"/>
  <c r="AE3" i="6"/>
  <c r="T84" i="26"/>
  <c r="BG21" i="25"/>
  <c r="BG5" i="25"/>
  <c r="O41" i="26"/>
  <c r="O73" i="26" s="1"/>
  <c r="O75" i="26"/>
  <c r="AE9" i="25"/>
  <c r="AE9" i="6"/>
  <c r="AE4" i="25"/>
  <c r="AE4" i="6"/>
  <c r="T40" i="30"/>
  <c r="U108" i="29"/>
  <c r="U86" i="29" s="1"/>
  <c r="AX84" i="29" s="1"/>
  <c r="BG22" i="25"/>
  <c r="BG6" i="25"/>
  <c r="BG18" i="25"/>
  <c r="BG2" i="25"/>
  <c r="BG25" i="25"/>
  <c r="BG9" i="25"/>
  <c r="AX6" i="26"/>
  <c r="AX22" i="26"/>
  <c r="U24" i="29"/>
  <c r="U105" i="29"/>
  <c r="U83" i="29" s="1"/>
  <c r="AX81" i="29" s="1"/>
  <c r="T2" i="30"/>
  <c r="U69" i="29"/>
  <c r="U47" i="29" s="1"/>
  <c r="AX45" i="29" s="1"/>
  <c r="AC75" i="25"/>
  <c r="BG20" i="25"/>
  <c r="BG4" i="25"/>
  <c r="T73" i="29"/>
  <c r="N73" i="26"/>
  <c r="AX20" i="26"/>
  <c r="AX4" i="26"/>
  <c r="O79" i="30"/>
  <c r="O111" i="30" s="1"/>
  <c r="O113" i="30"/>
  <c r="AD35" i="25"/>
  <c r="BG16" i="25"/>
  <c r="BG27" i="25" s="1"/>
  <c r="O41" i="30"/>
  <c r="O73" i="30" s="1"/>
  <c r="O75" i="30"/>
  <c r="AE8" i="25"/>
  <c r="AE8" i="6"/>
  <c r="AE12" i="25"/>
  <c r="AE12" i="6"/>
  <c r="AE5" i="25"/>
  <c r="AE5" i="6"/>
  <c r="U29" i="29"/>
  <c r="U7" i="29" s="1"/>
  <c r="AX5" i="29" s="1"/>
  <c r="U68" i="29"/>
  <c r="U46" i="29" s="1"/>
  <c r="AX44" i="29" s="1"/>
  <c r="U27" i="29"/>
  <c r="U5" i="29" s="1"/>
  <c r="U107" i="29"/>
  <c r="U85" i="29" s="1"/>
  <c r="AX83" i="29" s="1"/>
  <c r="U26" i="29"/>
  <c r="U4" i="29" s="1"/>
  <c r="T111" i="29"/>
  <c r="N73" i="30"/>
  <c r="T75" i="29"/>
  <c r="U104" i="26"/>
  <c r="U28" i="30"/>
  <c r="U6" i="30" s="1"/>
  <c r="AX4" i="30" s="1"/>
  <c r="U66" i="30"/>
  <c r="U44" i="30" s="1"/>
  <c r="AX42" i="30" s="1"/>
  <c r="U104" i="30"/>
  <c r="U82" i="30" s="1"/>
  <c r="AX80" i="30" s="1"/>
  <c r="U66" i="26"/>
  <c r="U44" i="26" s="1"/>
  <c r="AX42" i="26" s="1"/>
  <c r="X73" i="22" a="1"/>
  <c r="X73" i="22" s="1"/>
  <c r="U103" i="30"/>
  <c r="U81" i="30" s="1"/>
  <c r="U65" i="30"/>
  <c r="U43" i="30" s="1"/>
  <c r="U27" i="30"/>
  <c r="U5" i="30" s="1"/>
  <c r="U103" i="26"/>
  <c r="U81" i="26" s="1"/>
  <c r="U65" i="26"/>
  <c r="U43" i="26" s="1"/>
  <c r="V27" i="26" a="1"/>
  <c r="V27" i="26" s="1"/>
  <c r="V5" i="26" s="1"/>
  <c r="V34" i="26" a="1"/>
  <c r="V34" i="26" s="1"/>
  <c r="V12" i="26" s="1"/>
  <c r="V33" i="26" a="1"/>
  <c r="V33" i="26" s="1"/>
  <c r="V11" i="26" s="1"/>
  <c r="AF28" i="6"/>
  <c r="AF28" i="25" s="1"/>
  <c r="G193" i="33" s="1"/>
  <c r="H193" i="33" s="1"/>
  <c r="AF26" i="6"/>
  <c r="AF26" i="25" s="1"/>
  <c r="G111" i="33" s="1"/>
  <c r="H111" i="33" s="1"/>
  <c r="AF30" i="6"/>
  <c r="AF30" i="25" s="1"/>
  <c r="G275" i="33" s="1"/>
  <c r="H275" i="33" s="1"/>
  <c r="AF25" i="6"/>
  <c r="AF25" i="25" s="1"/>
  <c r="AF31" i="6"/>
  <c r="AF31" i="25" s="1"/>
  <c r="G316" i="33" s="1"/>
  <c r="H316" i="33" s="1"/>
  <c r="AF27" i="6"/>
  <c r="AF27" i="25" s="1"/>
  <c r="G152" i="33" s="1"/>
  <c r="H152" i="33" s="1"/>
  <c r="AF34" i="6"/>
  <c r="AF34" i="25" s="1"/>
  <c r="G439" i="33" s="1"/>
  <c r="H439" i="33" s="1"/>
  <c r="AF32" i="6"/>
  <c r="AF32" i="25" s="1"/>
  <c r="G357" i="33" s="1"/>
  <c r="H357" i="33" s="1"/>
  <c r="AF24" i="6"/>
  <c r="AF24" i="25" s="1"/>
  <c r="AF29" i="6"/>
  <c r="AF29" i="25" s="1"/>
  <c r="G234" i="33" s="1"/>
  <c r="H234" i="33" s="1"/>
  <c r="AF33" i="6"/>
  <c r="AF33" i="25" s="1"/>
  <c r="G398" i="33" s="1"/>
  <c r="H398" i="33" s="1"/>
  <c r="U100" i="26"/>
  <c r="U78" i="26" s="1"/>
  <c r="U62" i="26"/>
  <c r="U62" i="30"/>
  <c r="U24" i="30"/>
  <c r="U100" i="30"/>
  <c r="U110" i="26"/>
  <c r="U72" i="26"/>
  <c r="U50" i="26" s="1"/>
  <c r="U72" i="30"/>
  <c r="U50" i="30" s="1"/>
  <c r="U34" i="30"/>
  <c r="U12" i="30" s="1"/>
  <c r="U110" i="30"/>
  <c r="U88" i="30" s="1"/>
  <c r="W32" i="22"/>
  <c r="W10" i="22" s="1"/>
  <c r="W47" i="22"/>
  <c r="W41" i="22"/>
  <c r="W33" i="22"/>
  <c r="W11" i="22" s="1"/>
  <c r="W40" i="22"/>
  <c r="W29" i="22"/>
  <c r="W7" i="22" s="1"/>
  <c r="W42" i="22"/>
  <c r="W28" i="22"/>
  <c r="W6" i="22" s="1"/>
  <c r="W27" i="22"/>
  <c r="W5" i="22" s="1"/>
  <c r="W38" i="22"/>
  <c r="W24" i="22"/>
  <c r="W2" i="22" s="1"/>
  <c r="W44" i="22"/>
  <c r="W30" i="22"/>
  <c r="W8" i="22" s="1"/>
  <c r="W43" i="22"/>
  <c r="W34" i="22"/>
  <c r="W12" i="22" s="1"/>
  <c r="W48" i="22"/>
  <c r="W26" i="22"/>
  <c r="W4" i="22" s="1"/>
  <c r="W46" i="22"/>
  <c r="V26" i="26" a="1"/>
  <c r="V26" i="26" s="1"/>
  <c r="V4" i="26" s="1"/>
  <c r="E71" i="22" a="1"/>
  <c r="E71" i="22" s="1"/>
  <c r="U29" i="30"/>
  <c r="U7" i="30" s="1"/>
  <c r="AX5" i="30" s="1"/>
  <c r="U105" i="30"/>
  <c r="U83" i="30" s="1"/>
  <c r="AX81" i="30" s="1"/>
  <c r="U105" i="26"/>
  <c r="U67" i="26"/>
  <c r="U45" i="26" s="1"/>
  <c r="AX43" i="26" s="1"/>
  <c r="U67" i="30"/>
  <c r="U45" i="30" s="1"/>
  <c r="AX43" i="30" s="1"/>
  <c r="U64" i="26"/>
  <c r="U42" i="26" s="1"/>
  <c r="U26" i="30"/>
  <c r="U4" i="30" s="1"/>
  <c r="U64" i="30"/>
  <c r="U42" i="30" s="1"/>
  <c r="U102" i="26"/>
  <c r="U102" i="30"/>
  <c r="U80" i="30" s="1"/>
  <c r="V24" i="26" a="1"/>
  <c r="V24" i="26" s="1"/>
  <c r="V2" i="26" s="1"/>
  <c r="U30" i="30"/>
  <c r="U8" i="30" s="1"/>
  <c r="AX6" i="30" s="1"/>
  <c r="U68" i="30"/>
  <c r="U46" i="30" s="1"/>
  <c r="AX44" i="30" s="1"/>
  <c r="U106" i="30"/>
  <c r="U84" i="30" s="1"/>
  <c r="AX82" i="30" s="1"/>
  <c r="U106" i="26"/>
  <c r="U68" i="26"/>
  <c r="U46" i="26" s="1"/>
  <c r="AX44" i="26" s="1"/>
  <c r="V30" i="26" a="1"/>
  <c r="V30" i="26" s="1"/>
  <c r="V8" i="26" s="1"/>
  <c r="U109" i="30"/>
  <c r="U87" i="30" s="1"/>
  <c r="AX85" i="30" s="1"/>
  <c r="U33" i="30"/>
  <c r="U11" i="30" s="1"/>
  <c r="AX9" i="30" s="1"/>
  <c r="U71" i="30"/>
  <c r="U49" i="30" s="1"/>
  <c r="AX47" i="30" s="1"/>
  <c r="U109" i="26"/>
  <c r="U87" i="26" s="1"/>
  <c r="U71" i="26"/>
  <c r="U49" i="26" s="1"/>
  <c r="AX47" i="26" s="1"/>
  <c r="U70" i="30"/>
  <c r="U48" i="30" s="1"/>
  <c r="AX46" i="30" s="1"/>
  <c r="U108" i="30"/>
  <c r="U86" i="30" s="1"/>
  <c r="AX84" i="30" s="1"/>
  <c r="U108" i="26"/>
  <c r="U32" i="30"/>
  <c r="U10" i="30" s="1"/>
  <c r="AX8" i="30" s="1"/>
  <c r="U70" i="26"/>
  <c r="U48" i="26" s="1"/>
  <c r="AX46" i="26" s="1"/>
  <c r="V28" i="26" a="1"/>
  <c r="V28" i="26" s="1"/>
  <c r="V6" i="26" s="1"/>
  <c r="V29" i="26" a="1"/>
  <c r="V29" i="26" s="1"/>
  <c r="V7" i="26" s="1"/>
  <c r="V32" i="26" a="1"/>
  <c r="V32" i="26" s="1"/>
  <c r="V10" i="26" s="1"/>
  <c r="AD75" i="30"/>
  <c r="AD41" i="30"/>
  <c r="AD73" i="30" s="1"/>
  <c r="AG39" i="22"/>
  <c r="AG25" i="22"/>
  <c r="AG3" i="22" s="1"/>
  <c r="AH61" i="22"/>
  <c r="AK3" i="22"/>
  <c r="AE85" i="26"/>
  <c r="AF25" i="26" a="1"/>
  <c r="AF25" i="26" s="1"/>
  <c r="AF3" i="22"/>
  <c r="Q31" i="30"/>
  <c r="Q9" i="30" s="1"/>
  <c r="Q69" i="30"/>
  <c r="Q47" i="30" s="1"/>
  <c r="Q107" i="30"/>
  <c r="Q85" i="30" s="1"/>
  <c r="Q69" i="26"/>
  <c r="Q47" i="26" s="1"/>
  <c r="Q107" i="26"/>
  <c r="AD113" i="26"/>
  <c r="AD79" i="26"/>
  <c r="AD111" i="26" s="1"/>
  <c r="R25" i="22"/>
  <c r="R39" i="22"/>
  <c r="S61" i="22"/>
  <c r="Q3" i="22"/>
  <c r="Q25" i="26" a="1"/>
  <c r="Q25" i="26" s="1"/>
  <c r="Q37" i="26" s="1"/>
  <c r="S31" i="22"/>
  <c r="S9" i="22" s="1"/>
  <c r="T67" i="22"/>
  <c r="S45" i="22"/>
  <c r="AD75" i="26"/>
  <c r="AD41" i="26"/>
  <c r="AD73" i="26" s="1"/>
  <c r="AE37" i="26"/>
  <c r="AE25" i="30"/>
  <c r="AE101" i="30"/>
  <c r="AE63" i="26"/>
  <c r="AE101" i="26"/>
  <c r="AE63" i="30"/>
  <c r="AE3" i="26"/>
  <c r="R31" i="26" a="1"/>
  <c r="R31" i="26" s="1"/>
  <c r="R9" i="26" s="1"/>
  <c r="AG31" i="26" a="1"/>
  <c r="AG31" i="26" s="1"/>
  <c r="AG9" i="26" s="1"/>
  <c r="P101" i="26"/>
  <c r="P113" i="26" s="1"/>
  <c r="P63" i="26"/>
  <c r="P75" i="26" s="1"/>
  <c r="P101" i="30"/>
  <c r="P113" i="30" s="1"/>
  <c r="P25" i="30"/>
  <c r="P37" i="30" s="1"/>
  <c r="P63" i="30"/>
  <c r="P75" i="30" s="1"/>
  <c r="P3" i="26"/>
  <c r="P35" i="26" s="1"/>
  <c r="O79" i="26"/>
  <c r="O111" i="26" s="1"/>
  <c r="AI67" i="22"/>
  <c r="AH31" i="22"/>
  <c r="AH9" i="22" s="1"/>
  <c r="AH45" i="22"/>
  <c r="AD37" i="30"/>
  <c r="AD3" i="30"/>
  <c r="AD35" i="30" s="1"/>
  <c r="AF31" i="30"/>
  <c r="AF9" i="30" s="1"/>
  <c r="AF69" i="30"/>
  <c r="AF47" i="30" s="1"/>
  <c r="AF69" i="26"/>
  <c r="AF47" i="26" s="1"/>
  <c r="AF107" i="30"/>
  <c r="AF85" i="30" s="1"/>
  <c r="AF107" i="26"/>
  <c r="AF9" i="26"/>
  <c r="AD113" i="30"/>
  <c r="AD79" i="30"/>
  <c r="AD111" i="30" s="1"/>
  <c r="AZ7" i="26"/>
  <c r="AZ23" i="26"/>
  <c r="V32" i="33" l="1"/>
  <c r="V49" i="33" s="1"/>
  <c r="V50" i="33"/>
  <c r="H28" i="33"/>
  <c r="L151" i="34"/>
  <c r="M151" i="34" s="1"/>
  <c r="H69" i="33"/>
  <c r="M110" i="34"/>
  <c r="G29" i="33"/>
  <c r="J111" i="34"/>
  <c r="D111" i="34"/>
  <c r="G70" i="33"/>
  <c r="H70" i="33" s="1"/>
  <c r="J152" i="34"/>
  <c r="D152" i="34"/>
  <c r="L152" i="34" s="1"/>
  <c r="AX41" i="29"/>
  <c r="AX3" i="29"/>
  <c r="V71" i="29"/>
  <c r="V49" i="29" s="1"/>
  <c r="V24" i="29"/>
  <c r="V2" i="29" s="1"/>
  <c r="V70" i="29"/>
  <c r="V48" i="29" s="1"/>
  <c r="U86" i="26"/>
  <c r="Q85" i="26"/>
  <c r="U80" i="26"/>
  <c r="U83" i="26"/>
  <c r="AW45" i="30"/>
  <c r="AW83" i="30"/>
  <c r="AW7" i="30"/>
  <c r="AW45" i="26"/>
  <c r="V34" i="29"/>
  <c r="V12" i="29" s="1"/>
  <c r="V109" i="29"/>
  <c r="V87" i="29" s="1"/>
  <c r="V66" i="29"/>
  <c r="V44" i="29" s="1"/>
  <c r="V104" i="29"/>
  <c r="V82" i="29" s="1"/>
  <c r="V62" i="29"/>
  <c r="V40" i="29" s="1"/>
  <c r="V100" i="29"/>
  <c r="V78" i="29" s="1"/>
  <c r="V68" i="29"/>
  <c r="V46" i="29" s="1"/>
  <c r="AX79" i="29"/>
  <c r="V26" i="29"/>
  <c r="V4" i="29" s="1"/>
  <c r="V31" i="29"/>
  <c r="V9" i="29" s="1"/>
  <c r="V33" i="29"/>
  <c r="V11" i="29" s="1"/>
  <c r="V106" i="29"/>
  <c r="V84" i="29" s="1"/>
  <c r="V67" i="29"/>
  <c r="V45" i="29" s="1"/>
  <c r="U40" i="26"/>
  <c r="AF9" i="25"/>
  <c r="AF9" i="6"/>
  <c r="V30" i="29"/>
  <c r="V8" i="29" s="1"/>
  <c r="V72" i="29"/>
  <c r="V50" i="29" s="1"/>
  <c r="V108" i="29"/>
  <c r="V86" i="29" s="1"/>
  <c r="AF2" i="25"/>
  <c r="M29" i="34" s="1"/>
  <c r="AF2" i="6"/>
  <c r="AF6" i="25"/>
  <c r="AF6" i="6"/>
  <c r="V28" i="29"/>
  <c r="V6" i="29" s="1"/>
  <c r="U111" i="29"/>
  <c r="V103" i="29"/>
  <c r="V81" i="29" s="1"/>
  <c r="U84" i="26"/>
  <c r="V110" i="29"/>
  <c r="V88" i="29" s="1"/>
  <c r="V69" i="29"/>
  <c r="V47" i="29" s="1"/>
  <c r="U78" i="30"/>
  <c r="AF10" i="25"/>
  <c r="AF10" i="6"/>
  <c r="V105" i="29"/>
  <c r="V83" i="29" s="1"/>
  <c r="U82" i="26"/>
  <c r="U113" i="29"/>
  <c r="V32" i="29"/>
  <c r="V10" i="29" s="1"/>
  <c r="V107" i="29"/>
  <c r="V85" i="29" s="1"/>
  <c r="U2" i="30"/>
  <c r="AF12" i="25"/>
  <c r="AF12" i="6"/>
  <c r="V63" i="29"/>
  <c r="V41" i="29" s="1"/>
  <c r="BG11" i="25"/>
  <c r="BG14" i="25" s="1"/>
  <c r="AE37" i="25"/>
  <c r="U40" i="30"/>
  <c r="AF5" i="25"/>
  <c r="AF5" i="6"/>
  <c r="U37" i="29"/>
  <c r="U2" i="29"/>
  <c r="U35" i="29" s="1"/>
  <c r="AD75" i="25"/>
  <c r="AD73" i="25"/>
  <c r="U75" i="29"/>
  <c r="U40" i="29"/>
  <c r="U73" i="29" s="1"/>
  <c r="AX78" i="29"/>
  <c r="U88" i="26"/>
  <c r="AF3" i="25"/>
  <c r="M70" i="34" s="1"/>
  <c r="AF3" i="6"/>
  <c r="V101" i="29"/>
  <c r="V79" i="29" s="1"/>
  <c r="AE35" i="25"/>
  <c r="V27" i="29"/>
  <c r="V5" i="29" s="1"/>
  <c r="V64" i="29"/>
  <c r="V42" i="29" s="1"/>
  <c r="AF11" i="25"/>
  <c r="AF11" i="6"/>
  <c r="AF8" i="25"/>
  <c r="AF8" i="6"/>
  <c r="V25" i="29"/>
  <c r="V3" i="29" s="1"/>
  <c r="V65" i="29"/>
  <c r="V43" i="29" s="1"/>
  <c r="V102" i="29"/>
  <c r="V80" i="29" s="1"/>
  <c r="AF7" i="25"/>
  <c r="AF7" i="6"/>
  <c r="AF4" i="25"/>
  <c r="AF4" i="6"/>
  <c r="V29" i="29"/>
  <c r="V7" i="29" s="1"/>
  <c r="V26" i="30"/>
  <c r="V4" i="30" s="1"/>
  <c r="V102" i="26"/>
  <c r="V64" i="26"/>
  <c r="V42" i="26" s="1"/>
  <c r="V102" i="30"/>
  <c r="V80" i="30" s="1"/>
  <c r="V64" i="30"/>
  <c r="V42" i="30" s="1"/>
  <c r="W26" i="26" a="1"/>
  <c r="W26" i="26" s="1"/>
  <c r="W4" i="26" s="1"/>
  <c r="W27" i="26" a="1"/>
  <c r="W27" i="26" s="1"/>
  <c r="W5" i="26" s="1"/>
  <c r="W32" i="26" a="1"/>
  <c r="W32" i="26" s="1"/>
  <c r="W10" i="26" s="1"/>
  <c r="V67" i="30"/>
  <c r="V45" i="30" s="1"/>
  <c r="V67" i="26"/>
  <c r="V45" i="26" s="1"/>
  <c r="V105" i="30"/>
  <c r="V83" i="30" s="1"/>
  <c r="V29" i="30"/>
  <c r="V7" i="30" s="1"/>
  <c r="V105" i="26"/>
  <c r="V104" i="26"/>
  <c r="V66" i="30"/>
  <c r="V44" i="30" s="1"/>
  <c r="V28" i="30"/>
  <c r="V6" i="30" s="1"/>
  <c r="V104" i="30"/>
  <c r="V82" i="30" s="1"/>
  <c r="V66" i="26"/>
  <c r="V44" i="26" s="1"/>
  <c r="W29" i="26" a="1"/>
  <c r="W29" i="26" s="1"/>
  <c r="W7" i="26" s="1"/>
  <c r="V70" i="30"/>
  <c r="V48" i="30" s="1"/>
  <c r="V108" i="30"/>
  <c r="V86" i="30" s="1"/>
  <c r="V70" i="26"/>
  <c r="V48" i="26" s="1"/>
  <c r="V108" i="26"/>
  <c r="V86" i="26" s="1"/>
  <c r="V32" i="30"/>
  <c r="V10" i="30" s="1"/>
  <c r="V106" i="30"/>
  <c r="V84" i="30" s="1"/>
  <c r="V106" i="26"/>
  <c r="V68" i="26"/>
  <c r="V46" i="26" s="1"/>
  <c r="V68" i="30"/>
  <c r="V46" i="30" s="1"/>
  <c r="V30" i="30"/>
  <c r="V8" i="30" s="1"/>
  <c r="W34" i="26" a="1"/>
  <c r="W34" i="26" s="1"/>
  <c r="W12" i="26" s="1"/>
  <c r="Y73" i="22" a="1"/>
  <c r="Y73" i="22" s="1"/>
  <c r="Z73" i="22" a="1"/>
  <c r="Z73" i="22" s="1"/>
  <c r="W30" i="26" a="1"/>
  <c r="W30" i="26" s="1"/>
  <c r="W8" i="26" s="1"/>
  <c r="W33" i="26" a="1"/>
  <c r="W33" i="26" s="1"/>
  <c r="W11" i="26" s="1"/>
  <c r="V100" i="26"/>
  <c r="V78" i="26" s="1"/>
  <c r="V62" i="26"/>
  <c r="V24" i="30"/>
  <c r="V100" i="30"/>
  <c r="V62" i="30"/>
  <c r="W28" i="26" a="1"/>
  <c r="W28" i="26" s="1"/>
  <c r="W6" i="26" s="1"/>
  <c r="V27" i="30"/>
  <c r="V5" i="30" s="1"/>
  <c r="V65" i="26"/>
  <c r="V43" i="26" s="1"/>
  <c r="V65" i="30"/>
  <c r="V43" i="30" s="1"/>
  <c r="V103" i="26"/>
  <c r="V81" i="26" s="1"/>
  <c r="V103" i="30"/>
  <c r="V81" i="30" s="1"/>
  <c r="X33" i="22"/>
  <c r="X11" i="22" s="1"/>
  <c r="X38" i="22"/>
  <c r="X47" i="22"/>
  <c r="X26" i="22"/>
  <c r="X4" i="22" s="1"/>
  <c r="X40" i="22"/>
  <c r="X27" i="22"/>
  <c r="X5" i="22" s="1"/>
  <c r="X44" i="22"/>
  <c r="X34" i="22"/>
  <c r="X41" i="22"/>
  <c r="X28" i="22"/>
  <c r="X30" i="22"/>
  <c r="X43" i="22"/>
  <c r="X29" i="22"/>
  <c r="X7" i="22" s="1"/>
  <c r="X46" i="22"/>
  <c r="X24" i="22"/>
  <c r="X48" i="22"/>
  <c r="X32" i="22"/>
  <c r="X10" i="22" s="1"/>
  <c r="X42" i="22"/>
  <c r="W24" i="26" a="1"/>
  <c r="W24" i="26" s="1"/>
  <c r="W2" i="26" s="1"/>
  <c r="V33" i="30"/>
  <c r="V11" i="30" s="1"/>
  <c r="V109" i="26"/>
  <c r="V109" i="30"/>
  <c r="V87" i="30" s="1"/>
  <c r="V71" i="26"/>
  <c r="V49" i="26" s="1"/>
  <c r="V71" i="30"/>
  <c r="V49" i="30" s="1"/>
  <c r="F71" i="22" a="1"/>
  <c r="F71" i="22" s="1"/>
  <c r="AG28" i="6"/>
  <c r="AG28" i="25" s="1"/>
  <c r="G194" i="33" s="1"/>
  <c r="H194" i="33" s="1"/>
  <c r="AG29" i="6"/>
  <c r="AG29" i="25" s="1"/>
  <c r="G235" i="33" s="1"/>
  <c r="H235" i="33" s="1"/>
  <c r="AG34" i="6"/>
  <c r="AG34" i="25" s="1"/>
  <c r="G440" i="33" s="1"/>
  <c r="H440" i="33" s="1"/>
  <c r="AG26" i="6"/>
  <c r="AG26" i="25" s="1"/>
  <c r="G112" i="33" s="1"/>
  <c r="H112" i="33" s="1"/>
  <c r="AG30" i="6"/>
  <c r="AG30" i="25" s="1"/>
  <c r="G276" i="33" s="1"/>
  <c r="H276" i="33" s="1"/>
  <c r="AG32" i="6"/>
  <c r="AG32" i="25" s="1"/>
  <c r="G358" i="33" s="1"/>
  <c r="H358" i="33" s="1"/>
  <c r="AG25" i="6"/>
  <c r="AG25" i="25" s="1"/>
  <c r="AG31" i="6"/>
  <c r="AG31" i="25" s="1"/>
  <c r="G317" i="33" s="1"/>
  <c r="H317" i="33" s="1"/>
  <c r="AG33" i="6"/>
  <c r="AG33" i="25" s="1"/>
  <c r="G399" i="33" s="1"/>
  <c r="H399" i="33" s="1"/>
  <c r="AG24" i="6"/>
  <c r="AG24" i="25" s="1"/>
  <c r="AG27" i="6"/>
  <c r="AG27" i="25" s="1"/>
  <c r="G153" i="33" s="1"/>
  <c r="H153" i="33" s="1"/>
  <c r="V34" i="30"/>
  <c r="V12" i="30" s="1"/>
  <c r="V110" i="26"/>
  <c r="V72" i="26"/>
  <c r="V50" i="26" s="1"/>
  <c r="V110" i="30"/>
  <c r="V88" i="30" s="1"/>
  <c r="V72" i="30"/>
  <c r="V50" i="30" s="1"/>
  <c r="P79" i="26"/>
  <c r="P111" i="26" s="1"/>
  <c r="AF85" i="26"/>
  <c r="P41" i="30"/>
  <c r="AE113" i="26"/>
  <c r="AE79" i="26"/>
  <c r="AE111" i="26" s="1"/>
  <c r="S25" i="22"/>
  <c r="T61" i="22"/>
  <c r="S39" i="22"/>
  <c r="AI31" i="22"/>
  <c r="AI9" i="22" s="1"/>
  <c r="AI45" i="22"/>
  <c r="AW3" i="26"/>
  <c r="BF12" i="25" s="1"/>
  <c r="BF13" i="25" s="1"/>
  <c r="AW17" i="26"/>
  <c r="BF28" i="25" s="1"/>
  <c r="P3" i="30"/>
  <c r="AE75" i="26"/>
  <c r="AE41" i="26"/>
  <c r="Q25" i="30"/>
  <c r="Q3" i="26"/>
  <c r="Q35" i="26" s="1"/>
  <c r="Q63" i="30"/>
  <c r="Q101" i="26"/>
  <c r="Q113" i="26" s="1"/>
  <c r="Q63" i="26"/>
  <c r="Q101" i="30"/>
  <c r="R3" i="22"/>
  <c r="R25" i="26" a="1"/>
  <c r="R25" i="26" s="1"/>
  <c r="R37" i="26" s="1"/>
  <c r="R69" i="30"/>
  <c r="R47" i="30" s="1"/>
  <c r="R107" i="26"/>
  <c r="R31" i="30"/>
  <c r="R9" i="30" s="1"/>
  <c r="R69" i="26"/>
  <c r="R47" i="26" s="1"/>
  <c r="R107" i="30"/>
  <c r="R85" i="30" s="1"/>
  <c r="AZ17" i="26"/>
  <c r="BI28" i="25" s="1"/>
  <c r="AZ3" i="26"/>
  <c r="BI12" i="25" s="1"/>
  <c r="BI13" i="25" s="1"/>
  <c r="AE35" i="26"/>
  <c r="P79" i="30"/>
  <c r="P111" i="30" s="1"/>
  <c r="AE113" i="30"/>
  <c r="AE79" i="30"/>
  <c r="T31" i="22"/>
  <c r="T9" i="22" s="1"/>
  <c r="U67" i="22"/>
  <c r="T45" i="22"/>
  <c r="P41" i="26"/>
  <c r="AE37" i="30"/>
  <c r="AE3" i="30"/>
  <c r="S31" i="26" a="1"/>
  <c r="S31" i="26" s="1"/>
  <c r="S9" i="26" s="1"/>
  <c r="AF37" i="26"/>
  <c r="AF25" i="30"/>
  <c r="AF63" i="30"/>
  <c r="AF63" i="26"/>
  <c r="AF101" i="30"/>
  <c r="AF101" i="26"/>
  <c r="AF3" i="26"/>
  <c r="AF35" i="26" s="1"/>
  <c r="AH25" i="22"/>
  <c r="AH3" i="22" s="1"/>
  <c r="AI61" i="22"/>
  <c r="AH39" i="22"/>
  <c r="AH31" i="26" a="1"/>
  <c r="AH31" i="26" s="1"/>
  <c r="AH9" i="26" s="1"/>
  <c r="AG69" i="30"/>
  <c r="AG47" i="30" s="1"/>
  <c r="AG31" i="30"/>
  <c r="AG9" i="30" s="1"/>
  <c r="AG107" i="30"/>
  <c r="AG85" i="30" s="1"/>
  <c r="AG107" i="26"/>
  <c r="AG69" i="26"/>
  <c r="AG47" i="26" s="1"/>
  <c r="AE75" i="30"/>
  <c r="AE41" i="30"/>
  <c r="AG25" i="26" a="1"/>
  <c r="AG25" i="26" s="1"/>
  <c r="AG3" i="26" s="1"/>
  <c r="AG35" i="26" s="1"/>
  <c r="V42" i="33" l="1"/>
  <c r="V44" i="33" s="1"/>
  <c r="V53" i="33"/>
  <c r="L111" i="34"/>
  <c r="M111" i="34" s="1"/>
  <c r="H29" i="33"/>
  <c r="M152" i="34"/>
  <c r="G30" i="33"/>
  <c r="J112" i="34"/>
  <c r="D112" i="34"/>
  <c r="G71" i="33"/>
  <c r="J153" i="34"/>
  <c r="D153" i="34"/>
  <c r="W69" i="29"/>
  <c r="W47" i="29" s="1"/>
  <c r="W64" i="29"/>
  <c r="W42" i="29" s="1"/>
  <c r="W109" i="29"/>
  <c r="W87" i="29" s="1"/>
  <c r="W100" i="29"/>
  <c r="W78" i="29" s="1"/>
  <c r="AX88" i="29"/>
  <c r="V87" i="26"/>
  <c r="R85" i="26"/>
  <c r="V83" i="26"/>
  <c r="V80" i="26"/>
  <c r="W102" i="29"/>
  <c r="W80" i="29" s="1"/>
  <c r="W72" i="29"/>
  <c r="W50" i="29" s="1"/>
  <c r="W68" i="29"/>
  <c r="W46" i="29" s="1"/>
  <c r="W30" i="29"/>
  <c r="W8" i="29" s="1"/>
  <c r="W31" i="29"/>
  <c r="W9" i="29" s="1"/>
  <c r="W28" i="29"/>
  <c r="W6" i="29" s="1"/>
  <c r="W62" i="29"/>
  <c r="W40" i="29" s="1"/>
  <c r="W106" i="29"/>
  <c r="W84" i="29" s="1"/>
  <c r="W101" i="29"/>
  <c r="W79" i="29" s="1"/>
  <c r="W33" i="29"/>
  <c r="W11" i="29" s="1"/>
  <c r="W25" i="29"/>
  <c r="W3" i="29" s="1"/>
  <c r="W34" i="29"/>
  <c r="W12" i="29" s="1"/>
  <c r="W104" i="29"/>
  <c r="W82" i="29" s="1"/>
  <c r="W24" i="29"/>
  <c r="W2" i="29" s="1"/>
  <c r="W105" i="29"/>
  <c r="W83" i="29" s="1"/>
  <c r="W67" i="29"/>
  <c r="W45" i="29" s="1"/>
  <c r="V113" i="29"/>
  <c r="W26" i="29"/>
  <c r="W4" i="29" s="1"/>
  <c r="W71" i="29"/>
  <c r="W49" i="29" s="1"/>
  <c r="AX40" i="29"/>
  <c r="AX50" i="29" s="1"/>
  <c r="AX2" i="29"/>
  <c r="AX12" i="29" s="1"/>
  <c r="V84" i="26"/>
  <c r="Q41" i="30"/>
  <c r="Q73" i="30" s="1"/>
  <c r="Q75" i="30"/>
  <c r="P35" i="30"/>
  <c r="V40" i="26"/>
  <c r="W108" i="29"/>
  <c r="W86" i="29" s="1"/>
  <c r="V82" i="26"/>
  <c r="BF30" i="25"/>
  <c r="BF29" i="25"/>
  <c r="P73" i="30"/>
  <c r="W103" i="29"/>
  <c r="W81" i="29" s="1"/>
  <c r="Q3" i="30"/>
  <c r="Q35" i="30" s="1"/>
  <c r="Q37" i="30"/>
  <c r="W70" i="29"/>
  <c r="W48" i="29" s="1"/>
  <c r="AG85" i="26"/>
  <c r="P73" i="26"/>
  <c r="V88" i="26"/>
  <c r="AX40" i="26"/>
  <c r="W29" i="29"/>
  <c r="W7" i="29" s="1"/>
  <c r="W32" i="29"/>
  <c r="W10" i="29" s="1"/>
  <c r="V35" i="29"/>
  <c r="V111" i="29"/>
  <c r="Q79" i="30"/>
  <c r="Q111" i="30" s="1"/>
  <c r="Q113" i="30"/>
  <c r="AX2" i="30"/>
  <c r="AF35" i="25"/>
  <c r="V78" i="30"/>
  <c r="W27" i="29"/>
  <c r="W5" i="29" s="1"/>
  <c r="AF37" i="25"/>
  <c r="AX40" i="30"/>
  <c r="AX78" i="30"/>
  <c r="V73" i="29"/>
  <c r="AE73" i="25"/>
  <c r="V40" i="30"/>
  <c r="W65" i="29"/>
  <c r="W43" i="29" s="1"/>
  <c r="W63" i="29"/>
  <c r="W41" i="29" s="1"/>
  <c r="W107" i="29"/>
  <c r="W85" i="29" s="1"/>
  <c r="V2" i="30"/>
  <c r="W110" i="29"/>
  <c r="W88" i="29" s="1"/>
  <c r="V75" i="29"/>
  <c r="AE75" i="25"/>
  <c r="V37" i="29"/>
  <c r="Q41" i="26"/>
  <c r="Q73" i="26" s="1"/>
  <c r="Q75" i="26"/>
  <c r="W66" i="29"/>
  <c r="W44" i="29" s="1"/>
  <c r="W104" i="30"/>
  <c r="W82" i="30" s="1"/>
  <c r="W104" i="26"/>
  <c r="W28" i="30"/>
  <c r="W6" i="30" s="1"/>
  <c r="W66" i="26"/>
  <c r="W44" i="26" s="1"/>
  <c r="W66" i="30"/>
  <c r="W44" i="30" s="1"/>
  <c r="AI32" i="6"/>
  <c r="AI28" i="6"/>
  <c r="AI31" i="6"/>
  <c r="AI29" i="6"/>
  <c r="AI25" i="6"/>
  <c r="AI30" i="6"/>
  <c r="AI24" i="6"/>
  <c r="AI26" i="6"/>
  <c r="AI27" i="6"/>
  <c r="AI33" i="6"/>
  <c r="AI34" i="6"/>
  <c r="AG3" i="6"/>
  <c r="X32" i="26" a="1"/>
  <c r="X32" i="26" s="1"/>
  <c r="X10" i="26" s="1"/>
  <c r="AG10" i="6"/>
  <c r="W100" i="30"/>
  <c r="W100" i="26"/>
  <c r="W78" i="26" s="1"/>
  <c r="W24" i="30"/>
  <c r="W62" i="26"/>
  <c r="W62" i="30"/>
  <c r="Y32" i="22"/>
  <c r="Y10" i="22" s="1"/>
  <c r="Y28" i="22"/>
  <c r="Y48" i="22"/>
  <c r="Y26" i="22"/>
  <c r="Y4" i="22" s="1"/>
  <c r="Y40" i="22"/>
  <c r="Y43" i="22"/>
  <c r="Y29" i="22"/>
  <c r="Y7" i="22" s="1"/>
  <c r="Y38" i="22"/>
  <c r="Y27" i="22"/>
  <c r="Y5" i="22" s="1"/>
  <c r="Y46" i="22"/>
  <c r="Y33" i="22"/>
  <c r="Y11" i="22" s="1"/>
  <c r="Y41" i="22"/>
  <c r="Y30" i="22"/>
  <c r="Y42" i="22"/>
  <c r="Y24" i="22"/>
  <c r="Y44" i="22"/>
  <c r="Y34" i="22"/>
  <c r="Y47" i="22"/>
  <c r="W109" i="30"/>
  <c r="W87" i="30" s="1"/>
  <c r="W109" i="26"/>
  <c r="W71" i="30"/>
  <c r="W49" i="30" s="1"/>
  <c r="W33" i="30"/>
  <c r="W11" i="30" s="1"/>
  <c r="W71" i="26"/>
  <c r="W49" i="26" s="1"/>
  <c r="W67" i="30"/>
  <c r="W45" i="30" s="1"/>
  <c r="W67" i="26"/>
  <c r="W45" i="26" s="1"/>
  <c r="W105" i="26"/>
  <c r="W29" i="30"/>
  <c r="W7" i="30" s="1"/>
  <c r="W105" i="30"/>
  <c r="W83" i="30" s="1"/>
  <c r="X33" i="26" a="1"/>
  <c r="X33" i="26" s="1"/>
  <c r="X11" i="26" s="1"/>
  <c r="W108" i="30"/>
  <c r="W86" i="30" s="1"/>
  <c r="W32" i="30"/>
  <c r="W10" i="30" s="1"/>
  <c r="W108" i="26"/>
  <c r="W70" i="30"/>
  <c r="W48" i="30" s="1"/>
  <c r="W70" i="26"/>
  <c r="W48" i="26" s="1"/>
  <c r="X34" i="26" a="1"/>
  <c r="X34" i="26" s="1"/>
  <c r="X12" i="22"/>
  <c r="AH30" i="6"/>
  <c r="AH30" i="25" s="1"/>
  <c r="G277" i="33" s="1"/>
  <c r="H277" i="33" s="1"/>
  <c r="AH25" i="6"/>
  <c r="AH25" i="25" s="1"/>
  <c r="AH32" i="6"/>
  <c r="AH32" i="25" s="1"/>
  <c r="G359" i="33" s="1"/>
  <c r="H359" i="33" s="1"/>
  <c r="AH34" i="6"/>
  <c r="AH34" i="25" s="1"/>
  <c r="G441" i="33" s="1"/>
  <c r="H441" i="33" s="1"/>
  <c r="AH33" i="6"/>
  <c r="AH33" i="25" s="1"/>
  <c r="G400" i="33" s="1"/>
  <c r="H400" i="33" s="1"/>
  <c r="AH28" i="6"/>
  <c r="AH28" i="25" s="1"/>
  <c r="G195" i="33" s="1"/>
  <c r="H195" i="33" s="1"/>
  <c r="AH26" i="6"/>
  <c r="AH26" i="25" s="1"/>
  <c r="G113" i="33" s="1"/>
  <c r="H113" i="33" s="1"/>
  <c r="AH31" i="6"/>
  <c r="AH31" i="25" s="1"/>
  <c r="G318" i="33" s="1"/>
  <c r="H318" i="33" s="1"/>
  <c r="AH27" i="6"/>
  <c r="AH27" i="25" s="1"/>
  <c r="G154" i="33" s="1"/>
  <c r="H154" i="33" s="1"/>
  <c r="AH24" i="6"/>
  <c r="AH24" i="25" s="1"/>
  <c r="AH29" i="6"/>
  <c r="AH29" i="25" s="1"/>
  <c r="G236" i="33" s="1"/>
  <c r="H236" i="33" s="1"/>
  <c r="W26" i="30"/>
  <c r="W4" i="30" s="1"/>
  <c r="W102" i="26"/>
  <c r="W102" i="30"/>
  <c r="W80" i="30" s="1"/>
  <c r="W64" i="26"/>
  <c r="W42" i="26" s="1"/>
  <c r="W64" i="30"/>
  <c r="W42" i="30" s="1"/>
  <c r="W30" i="30"/>
  <c r="W8" i="30" s="1"/>
  <c r="W68" i="30"/>
  <c r="W46" i="30" s="1"/>
  <c r="W68" i="26"/>
  <c r="W46" i="26" s="1"/>
  <c r="W106" i="26"/>
  <c r="W106" i="30"/>
  <c r="W84" i="30" s="1"/>
  <c r="G71" i="22" a="1"/>
  <c r="G71" i="22" s="1"/>
  <c r="AG8" i="6"/>
  <c r="X27" i="26" a="1"/>
  <c r="X27" i="26" s="1"/>
  <c r="X5" i="26" s="1"/>
  <c r="AG5" i="6"/>
  <c r="AG12" i="6"/>
  <c r="X29" i="26" a="1"/>
  <c r="X29" i="26" s="1"/>
  <c r="X7" i="26" s="1"/>
  <c r="W34" i="30"/>
  <c r="W12" i="30" s="1"/>
  <c r="W110" i="26"/>
  <c r="W72" i="30"/>
  <c r="W50" i="30" s="1"/>
  <c r="W72" i="26"/>
  <c r="W50" i="26" s="1"/>
  <c r="W110" i="30"/>
  <c r="W88" i="30" s="1"/>
  <c r="X2" i="22"/>
  <c r="X24" i="26" a="1"/>
  <c r="X24" i="26" s="1"/>
  <c r="AG4" i="6"/>
  <c r="AG2" i="6"/>
  <c r="AG7" i="6"/>
  <c r="X26" i="26" a="1"/>
  <c r="X26" i="26" s="1"/>
  <c r="X4" i="26" s="1"/>
  <c r="W27" i="30"/>
  <c r="W5" i="30" s="1"/>
  <c r="W65" i="30"/>
  <c r="W43" i="30" s="1"/>
  <c r="W103" i="26"/>
  <c r="W65" i="26"/>
  <c r="W43" i="26" s="1"/>
  <c r="W103" i="30"/>
  <c r="W81" i="30" s="1"/>
  <c r="AG11" i="6"/>
  <c r="AG6" i="6"/>
  <c r="X30" i="26" a="1"/>
  <c r="X30" i="26" s="1"/>
  <c r="X8" i="22"/>
  <c r="H71" i="22" a="1"/>
  <c r="H71" i="22" s="1"/>
  <c r="AG9" i="6"/>
  <c r="X28" i="26" a="1"/>
  <c r="X28" i="26" s="1"/>
  <c r="X6" i="22"/>
  <c r="Z26" i="22"/>
  <c r="Z4" i="22" s="1"/>
  <c r="Z34" i="22"/>
  <c r="Z12" i="22" s="1"/>
  <c r="Z31" i="22"/>
  <c r="Z9" i="22" s="1"/>
  <c r="Z41" i="22"/>
  <c r="Z27" i="22"/>
  <c r="Z5" i="22" s="1"/>
  <c r="Z25" i="22"/>
  <c r="Z3" i="22" s="1"/>
  <c r="Z24" i="22"/>
  <c r="Z2" i="22" s="1"/>
  <c r="Z46" i="22"/>
  <c r="Z39" i="22"/>
  <c r="Z48" i="22"/>
  <c r="Z30" i="22"/>
  <c r="Z8" i="22" s="1"/>
  <c r="Z32" i="22"/>
  <c r="Z10" i="22" s="1"/>
  <c r="Z40" i="22"/>
  <c r="Z47" i="22"/>
  <c r="Z45" i="22"/>
  <c r="Z44" i="22"/>
  <c r="Z42" i="22"/>
  <c r="Z33" i="22"/>
  <c r="Z11" i="22" s="1"/>
  <c r="Z38" i="22"/>
  <c r="Z43" i="22"/>
  <c r="Z29" i="22"/>
  <c r="Z7" i="22" s="1"/>
  <c r="Z28" i="22"/>
  <c r="Z6" i="22" s="1"/>
  <c r="AG101" i="26"/>
  <c r="AG79" i="26" s="1"/>
  <c r="AG63" i="30"/>
  <c r="AG37" i="26"/>
  <c r="AG101" i="30"/>
  <c r="AG25" i="30"/>
  <c r="AG63" i="26"/>
  <c r="AH25" i="26" a="1"/>
  <c r="AH25" i="26" s="1"/>
  <c r="AH3" i="26" s="1"/>
  <c r="AH35" i="26" s="1"/>
  <c r="AZ3" i="30"/>
  <c r="AE35" i="30"/>
  <c r="AW41" i="26"/>
  <c r="BI30" i="25"/>
  <c r="BI29" i="25"/>
  <c r="AZ41" i="26"/>
  <c r="AE73" i="26"/>
  <c r="AZ41" i="30"/>
  <c r="AZ51" i="29" s="1"/>
  <c r="AZ53" i="29" s="1"/>
  <c r="AE73" i="30"/>
  <c r="AZ79" i="30"/>
  <c r="AZ89" i="29" s="1"/>
  <c r="AZ91" i="29" s="1"/>
  <c r="AE111" i="30"/>
  <c r="AH31" i="30"/>
  <c r="AH9" i="30" s="1"/>
  <c r="AH69" i="26"/>
  <c r="AH47" i="26" s="1"/>
  <c r="AH69" i="30"/>
  <c r="AH47" i="30" s="1"/>
  <c r="AH107" i="30"/>
  <c r="AH85" i="30" s="1"/>
  <c r="AH107" i="26"/>
  <c r="AF113" i="26"/>
  <c r="AF79" i="26"/>
  <c r="AF111" i="26" s="1"/>
  <c r="AF113" i="30"/>
  <c r="AF79" i="30"/>
  <c r="AF111" i="30" s="1"/>
  <c r="U31" i="22"/>
  <c r="U9" i="22" s="1"/>
  <c r="V67" i="22"/>
  <c r="U45" i="22"/>
  <c r="AF75" i="26"/>
  <c r="AF41" i="26"/>
  <c r="AF73" i="26" s="1"/>
  <c r="T31" i="26" a="1"/>
  <c r="T31" i="26" s="1"/>
  <c r="T9" i="26" s="1"/>
  <c r="AI25" i="22"/>
  <c r="AI3" i="22" s="1"/>
  <c r="AI39" i="22"/>
  <c r="AF75" i="30"/>
  <c r="AF41" i="30"/>
  <c r="AF73" i="30" s="1"/>
  <c r="AF37" i="30"/>
  <c r="AF3" i="30"/>
  <c r="AF35" i="30" s="1"/>
  <c r="Q79" i="26"/>
  <c r="Q111" i="26" s="1"/>
  <c r="S31" i="30"/>
  <c r="S9" i="30" s="1"/>
  <c r="S69" i="26"/>
  <c r="S47" i="26" s="1"/>
  <c r="S69" i="30"/>
  <c r="S47" i="30" s="1"/>
  <c r="S107" i="30"/>
  <c r="S85" i="30" s="1"/>
  <c r="S107" i="26"/>
  <c r="AI31" i="26" a="1"/>
  <c r="AI31" i="26" s="1"/>
  <c r="AI9" i="26" s="1"/>
  <c r="AW41" i="30"/>
  <c r="AW51" i="29" s="1"/>
  <c r="AW53" i="29" s="1"/>
  <c r="AW79" i="30"/>
  <c r="AW89" i="29" s="1"/>
  <c r="AW91" i="29" s="1"/>
  <c r="AW3" i="30"/>
  <c r="R101" i="26"/>
  <c r="R113" i="26" s="1"/>
  <c r="R63" i="30"/>
  <c r="R3" i="26"/>
  <c r="R35" i="26" s="1"/>
  <c r="R101" i="30"/>
  <c r="R25" i="30"/>
  <c r="R63" i="26"/>
  <c r="T25" i="22"/>
  <c r="U61" i="22"/>
  <c r="T39" i="22"/>
  <c r="S25" i="26" a="1"/>
  <c r="S25" i="26" s="1"/>
  <c r="S37" i="26" s="1"/>
  <c r="S3" i="22"/>
  <c r="H71" i="33" l="1"/>
  <c r="L153" i="34"/>
  <c r="L112" i="34"/>
  <c r="H30" i="33"/>
  <c r="G31" i="33"/>
  <c r="D113" i="34"/>
  <c r="J113" i="34"/>
  <c r="G72" i="33"/>
  <c r="J154" i="34"/>
  <c r="D154" i="34"/>
  <c r="AI12" i="6"/>
  <c r="E13" i="27" s="1"/>
  <c r="AI34" i="25"/>
  <c r="G442" i="33" s="1"/>
  <c r="H442" i="33" s="1"/>
  <c r="AI11" i="6"/>
  <c r="AI33" i="25"/>
  <c r="G401" i="33" s="1"/>
  <c r="AI5" i="6"/>
  <c r="E6" i="27" s="1"/>
  <c r="AI27" i="25"/>
  <c r="G155" i="33" s="1"/>
  <c r="AI4" i="6"/>
  <c r="E5" i="27" s="1"/>
  <c r="AI26" i="25"/>
  <c r="G114" i="33" s="1"/>
  <c r="AI2" i="6"/>
  <c r="AU2" i="6" s="1"/>
  <c r="AI24" i="25"/>
  <c r="AI8" i="6"/>
  <c r="AI30" i="25"/>
  <c r="G278" i="33" s="1"/>
  <c r="AI3" i="6"/>
  <c r="AI25" i="25"/>
  <c r="AI3" i="25" s="1"/>
  <c r="AI7" i="6"/>
  <c r="AU7" i="6" s="1"/>
  <c r="AI29" i="25"/>
  <c r="G237" i="33" s="1"/>
  <c r="AI9" i="6"/>
  <c r="E10" i="27" s="1"/>
  <c r="AI31" i="25"/>
  <c r="G319" i="33" s="1"/>
  <c r="AI6" i="6"/>
  <c r="AI28" i="25"/>
  <c r="G196" i="33" s="1"/>
  <c r="AI10" i="6"/>
  <c r="AI32" i="25"/>
  <c r="G360" i="33" s="1"/>
  <c r="AG111" i="26"/>
  <c r="W81" i="26"/>
  <c r="W86" i="26"/>
  <c r="W87" i="26"/>
  <c r="AW13" i="29"/>
  <c r="AW15" i="29" s="1"/>
  <c r="AW11" i="30"/>
  <c r="S85" i="26"/>
  <c r="W80" i="26"/>
  <c r="W83" i="26"/>
  <c r="W113" i="29"/>
  <c r="W111" i="29"/>
  <c r="AL10" i="22"/>
  <c r="E8" i="27"/>
  <c r="W73" i="29"/>
  <c r="W40" i="30"/>
  <c r="AG75" i="30"/>
  <c r="AG41" i="30"/>
  <c r="AG73" i="30" s="1"/>
  <c r="AL8" i="22"/>
  <c r="AL9" i="22"/>
  <c r="W40" i="26"/>
  <c r="W75" i="29"/>
  <c r="R3" i="30"/>
  <c r="R37" i="30"/>
  <c r="R79" i="30"/>
  <c r="R111" i="30" s="1"/>
  <c r="R113" i="30"/>
  <c r="R41" i="30"/>
  <c r="R75" i="30"/>
  <c r="AG113" i="30"/>
  <c r="AG79" i="30"/>
  <c r="AG111" i="30" s="1"/>
  <c r="AL7" i="22"/>
  <c r="AL5" i="22"/>
  <c r="AH85" i="26"/>
  <c r="W2" i="30"/>
  <c r="E12" i="27"/>
  <c r="AU11" i="6"/>
  <c r="AU6" i="6"/>
  <c r="E7" i="27"/>
  <c r="W82" i="26"/>
  <c r="AF75" i="25"/>
  <c r="AF73" i="25"/>
  <c r="AL11" i="22"/>
  <c r="AL12" i="22"/>
  <c r="R41" i="26"/>
  <c r="R73" i="26" s="1"/>
  <c r="R75" i="26"/>
  <c r="AL4" i="22"/>
  <c r="AU5" i="6"/>
  <c r="AU10" i="6"/>
  <c r="E11" i="27"/>
  <c r="AU4" i="6"/>
  <c r="W35" i="29"/>
  <c r="AG75" i="26"/>
  <c r="AG41" i="26"/>
  <c r="AG73" i="26" s="1"/>
  <c r="AL2" i="22"/>
  <c r="W84" i="26"/>
  <c r="W37" i="29"/>
  <c r="AG37" i="30"/>
  <c r="AG3" i="30"/>
  <c r="AG35" i="30" s="1"/>
  <c r="AL6" i="22"/>
  <c r="AL3" i="22"/>
  <c r="E9" i="27"/>
  <c r="AU8" i="6"/>
  <c r="W88" i="26"/>
  <c r="W78" i="30"/>
  <c r="AU3" i="6"/>
  <c r="E4" i="27"/>
  <c r="X105" i="29"/>
  <c r="X83" i="29" s="1"/>
  <c r="AG7" i="25"/>
  <c r="X29" i="29"/>
  <c r="X7" i="29" s="1"/>
  <c r="X67" i="29"/>
  <c r="X45" i="29" s="1"/>
  <c r="X103" i="29"/>
  <c r="X81" i="29" s="1"/>
  <c r="AG5" i="25"/>
  <c r="X27" i="29"/>
  <c r="X5" i="29" s="1"/>
  <c r="X65" i="29"/>
  <c r="X43" i="29" s="1"/>
  <c r="AL24" i="22"/>
  <c r="Z24" i="26" a="1"/>
  <c r="Z24" i="26" s="1"/>
  <c r="X8" i="26"/>
  <c r="X68" i="26"/>
  <c r="X46" i="26" s="1"/>
  <c r="X106" i="30"/>
  <c r="X84" i="30" s="1"/>
  <c r="X30" i="30"/>
  <c r="X8" i="30" s="1"/>
  <c r="X106" i="26"/>
  <c r="X68" i="30"/>
  <c r="X46" i="30" s="1"/>
  <c r="X62" i="29"/>
  <c r="AG37" i="25"/>
  <c r="X24" i="29"/>
  <c r="X100" i="29"/>
  <c r="AG2" i="25"/>
  <c r="M30" i="34" s="1"/>
  <c r="AH6" i="6"/>
  <c r="Y28" i="26" a="1"/>
  <c r="Y28" i="26" s="1"/>
  <c r="Y6" i="22"/>
  <c r="AU30" i="6"/>
  <c r="E31" i="27"/>
  <c r="AI8" i="25"/>
  <c r="X67" i="30"/>
  <c r="X45" i="30" s="1"/>
  <c r="X105" i="30"/>
  <c r="X83" i="30" s="1"/>
  <c r="X105" i="26"/>
  <c r="X83" i="26" s="1"/>
  <c r="X67" i="26"/>
  <c r="X45" i="26" s="1"/>
  <c r="X29" i="30"/>
  <c r="X7" i="30" s="1"/>
  <c r="X69" i="29"/>
  <c r="X47" i="29" s="1"/>
  <c r="X31" i="29"/>
  <c r="X9" i="29" s="1"/>
  <c r="X107" i="29"/>
  <c r="X85" i="29" s="1"/>
  <c r="AG9" i="25"/>
  <c r="Z28" i="26" a="1"/>
  <c r="Z28" i="26" s="1"/>
  <c r="AL28" i="22"/>
  <c r="AL25" i="22"/>
  <c r="Z25" i="26" a="1"/>
  <c r="Z25" i="26" s="1"/>
  <c r="Z3" i="26" s="1"/>
  <c r="AY17" i="26" s="1"/>
  <c r="X68" i="29"/>
  <c r="X46" i="29" s="1"/>
  <c r="AG8" i="25"/>
  <c r="X106" i="29"/>
  <c r="X84" i="29" s="1"/>
  <c r="X30" i="29"/>
  <c r="X8" i="29" s="1"/>
  <c r="AH11" i="6"/>
  <c r="Y34" i="26" a="1"/>
  <c r="Y34" i="26" s="1"/>
  <c r="Y12" i="22"/>
  <c r="Y27" i="26" a="1"/>
  <c r="Y27" i="26" s="1"/>
  <c r="Y32" i="26" a="1"/>
  <c r="Y32" i="26" s="1"/>
  <c r="AU25" i="6"/>
  <c r="E26" i="27"/>
  <c r="Z29" i="26" a="1"/>
  <c r="Z29" i="26" s="1"/>
  <c r="Z7" i="26" s="1"/>
  <c r="AL29" i="22"/>
  <c r="AL27" i="22"/>
  <c r="Z27" i="26" a="1"/>
  <c r="Z27" i="26" s="1"/>
  <c r="Z5" i="26" s="1"/>
  <c r="X2" i="26"/>
  <c r="X100" i="26"/>
  <c r="X62" i="26"/>
  <c r="X24" i="30"/>
  <c r="X62" i="30"/>
  <c r="X100" i="30"/>
  <c r="AH12" i="6"/>
  <c r="X32" i="29"/>
  <c r="X10" i="29" s="1"/>
  <c r="AG10" i="25"/>
  <c r="X70" i="29"/>
  <c r="X48" i="29" s="1"/>
  <c r="X108" i="29"/>
  <c r="X86" i="29" s="1"/>
  <c r="AG3" i="25"/>
  <c r="M71" i="34" s="1"/>
  <c r="X25" i="29"/>
  <c r="X3" i="29" s="1"/>
  <c r="X101" i="29"/>
  <c r="X79" i="29" s="1"/>
  <c r="X63" i="29"/>
  <c r="X41" i="29" s="1"/>
  <c r="E30" i="27"/>
  <c r="AU29" i="6"/>
  <c r="AI7" i="25"/>
  <c r="X66" i="29"/>
  <c r="X44" i="29" s="1"/>
  <c r="X28" i="29"/>
  <c r="X6" i="29" s="1"/>
  <c r="X104" i="29"/>
  <c r="X82" i="29" s="1"/>
  <c r="AG6" i="25"/>
  <c r="AH7" i="6"/>
  <c r="AH10" i="6"/>
  <c r="Y24" i="26" a="1"/>
  <c r="Y24" i="26" s="1"/>
  <c r="Y2" i="22"/>
  <c r="Y29" i="26" a="1"/>
  <c r="Y29" i="26" s="1"/>
  <c r="AI12" i="25"/>
  <c r="E35" i="27"/>
  <c r="AU34" i="6"/>
  <c r="E32" i="27"/>
  <c r="AU31" i="6"/>
  <c r="AI9" i="25"/>
  <c r="X66" i="26"/>
  <c r="X44" i="26" s="1"/>
  <c r="X104" i="26"/>
  <c r="X6" i="26"/>
  <c r="X28" i="30"/>
  <c r="X6" i="30" s="1"/>
  <c r="X104" i="30"/>
  <c r="X82" i="30" s="1"/>
  <c r="X66" i="30"/>
  <c r="X44" i="30" s="1"/>
  <c r="X109" i="29"/>
  <c r="X87" i="29" s="1"/>
  <c r="X71" i="29"/>
  <c r="X49" i="29" s="1"/>
  <c r="X33" i="29"/>
  <c r="X11" i="29" s="1"/>
  <c r="AG11" i="25"/>
  <c r="AH2" i="6"/>
  <c r="AH3" i="6"/>
  <c r="E34" i="27"/>
  <c r="AI11" i="25"/>
  <c r="AU33" i="6"/>
  <c r="E29" i="27"/>
  <c r="AU28" i="6"/>
  <c r="AI6" i="25"/>
  <c r="Z32" i="26" a="1"/>
  <c r="Z32" i="26" s="1"/>
  <c r="Z10" i="26" s="1"/>
  <c r="AL32" i="22"/>
  <c r="X34" i="29"/>
  <c r="X12" i="29" s="1"/>
  <c r="AG12" i="25"/>
  <c r="X72" i="29"/>
  <c r="X50" i="29" s="1"/>
  <c r="X110" i="29"/>
  <c r="X88" i="29" s="1"/>
  <c r="AH5" i="6"/>
  <c r="AH8" i="6"/>
  <c r="Y30" i="26" a="1"/>
  <c r="Y30" i="26" s="1"/>
  <c r="Y8" i="22"/>
  <c r="X70" i="30"/>
  <c r="X48" i="30" s="1"/>
  <c r="X32" i="30"/>
  <c r="X10" i="30" s="1"/>
  <c r="X70" i="26"/>
  <c r="X48" i="26" s="1"/>
  <c r="X108" i="26"/>
  <c r="X108" i="30"/>
  <c r="X86" i="30" s="1"/>
  <c r="AI5" i="25"/>
  <c r="E28" i="27"/>
  <c r="AU27" i="6"/>
  <c r="E33" i="27"/>
  <c r="AI10" i="25"/>
  <c r="AU32" i="6"/>
  <c r="AL30" i="22"/>
  <c r="Z30" i="26" a="1"/>
  <c r="Z30" i="26" s="1"/>
  <c r="Z31" i="26" a="1"/>
  <c r="Z31" i="26" s="1"/>
  <c r="Z9" i="26" s="1"/>
  <c r="AL31" i="22"/>
  <c r="X64" i="26"/>
  <c r="X102" i="26"/>
  <c r="X80" i="26" s="1"/>
  <c r="X102" i="30"/>
  <c r="X80" i="30" s="1"/>
  <c r="X26" i="30"/>
  <c r="X64" i="30"/>
  <c r="AL33" i="22"/>
  <c r="Z33" i="26" a="1"/>
  <c r="Z33" i="26" s="1"/>
  <c r="Z11" i="26" s="1"/>
  <c r="AL34" i="22"/>
  <c r="Z34" i="26" a="1"/>
  <c r="Z34" i="26" s="1"/>
  <c r="Z26" i="26" a="1"/>
  <c r="Z26" i="26" s="1"/>
  <c r="Z4" i="26" s="1"/>
  <c r="AL26" i="22"/>
  <c r="AH9" i="6"/>
  <c r="X33" i="30"/>
  <c r="X11" i="30" s="1"/>
  <c r="X109" i="26"/>
  <c r="X71" i="26"/>
  <c r="X49" i="26" s="1"/>
  <c r="X109" i="30"/>
  <c r="X87" i="30" s="1"/>
  <c r="X71" i="30"/>
  <c r="X49" i="30" s="1"/>
  <c r="Y26" i="26" a="1"/>
  <c r="Y26" i="26" s="1"/>
  <c r="AI4" i="25"/>
  <c r="AU26" i="6"/>
  <c r="E27" i="27"/>
  <c r="X64" i="29"/>
  <c r="X42" i="29" s="1"/>
  <c r="X26" i="29"/>
  <c r="X4" i="29" s="1"/>
  <c r="AG4" i="25"/>
  <c r="X102" i="29"/>
  <c r="X80" i="29" s="1"/>
  <c r="X27" i="30"/>
  <c r="X5" i="30" s="1"/>
  <c r="X65" i="26"/>
  <c r="X43" i="26" s="1"/>
  <c r="X65" i="30"/>
  <c r="X43" i="30" s="1"/>
  <c r="X103" i="30"/>
  <c r="X81" i="30" s="1"/>
  <c r="X103" i="26"/>
  <c r="AH4" i="6"/>
  <c r="X72" i="30"/>
  <c r="X50" i="30" s="1"/>
  <c r="X110" i="30"/>
  <c r="X88" i="30" s="1"/>
  <c r="X34" i="30"/>
  <c r="X12" i="30" s="1"/>
  <c r="X12" i="26"/>
  <c r="X110" i="26"/>
  <c r="X72" i="26"/>
  <c r="X50" i="26" s="1"/>
  <c r="Y33" i="26" a="1"/>
  <c r="Y33" i="26" s="1"/>
  <c r="AU24" i="6"/>
  <c r="E25" i="27"/>
  <c r="AI2" i="25"/>
  <c r="M32" i="34" s="1"/>
  <c r="V31" i="22"/>
  <c r="V9" i="22" s="1"/>
  <c r="W67" i="22"/>
  <c r="V45" i="22"/>
  <c r="S101" i="26"/>
  <c r="S113" i="26" s="1"/>
  <c r="S25" i="30"/>
  <c r="S63" i="30"/>
  <c r="S101" i="30"/>
  <c r="S63" i="26"/>
  <c r="S3" i="26"/>
  <c r="S35" i="26" s="1"/>
  <c r="T25" i="26" a="1"/>
  <c r="T25" i="26" s="1"/>
  <c r="T37" i="26" s="1"/>
  <c r="T3" i="22"/>
  <c r="R79" i="26"/>
  <c r="R111" i="26" s="1"/>
  <c r="U31" i="26" a="1"/>
  <c r="U31" i="26" s="1"/>
  <c r="U9" i="26" s="1"/>
  <c r="AZ11" i="30"/>
  <c r="AZ13" i="29"/>
  <c r="AZ15" i="29" s="1"/>
  <c r="AG113" i="26"/>
  <c r="AI107" i="30"/>
  <c r="AI85" i="30" s="1"/>
  <c r="AI31" i="30"/>
  <c r="AI9" i="30" s="1"/>
  <c r="AI69" i="30"/>
  <c r="AI47" i="30" s="1"/>
  <c r="AI69" i="26"/>
  <c r="AI47" i="26" s="1"/>
  <c r="AI107" i="26"/>
  <c r="U25" i="22"/>
  <c r="V61" i="22"/>
  <c r="U39" i="22"/>
  <c r="AH25" i="30"/>
  <c r="AH37" i="26"/>
  <c r="AH63" i="30"/>
  <c r="AH101" i="30"/>
  <c r="AH63" i="26"/>
  <c r="AH101" i="26"/>
  <c r="AH79" i="26" s="1"/>
  <c r="AH111" i="26" s="1"/>
  <c r="T107" i="26"/>
  <c r="T69" i="30"/>
  <c r="T47" i="30" s="1"/>
  <c r="T107" i="30"/>
  <c r="T85" i="30" s="1"/>
  <c r="T31" i="30"/>
  <c r="T9" i="30" s="1"/>
  <c r="T69" i="26"/>
  <c r="T47" i="26" s="1"/>
  <c r="AI25" i="26" a="1"/>
  <c r="AI25" i="26" s="1"/>
  <c r="H155" i="33" l="1"/>
  <c r="W6" i="33"/>
  <c r="H196" i="33"/>
  <c r="W37" i="33" s="1"/>
  <c r="W8" i="33"/>
  <c r="H278" i="33"/>
  <c r="W39" i="33" s="1"/>
  <c r="W10" i="33"/>
  <c r="H401" i="33"/>
  <c r="W38" i="33" s="1"/>
  <c r="W9" i="33"/>
  <c r="H319" i="33"/>
  <c r="W40" i="33" s="1"/>
  <c r="W11" i="33"/>
  <c r="H237" i="33"/>
  <c r="W36" i="33" s="1"/>
  <c r="W7" i="33"/>
  <c r="H114" i="33"/>
  <c r="W5" i="33"/>
  <c r="H360" i="33"/>
  <c r="W41" i="33" s="1"/>
  <c r="W12" i="33"/>
  <c r="L113" i="34"/>
  <c r="H31" i="33"/>
  <c r="M112" i="34"/>
  <c r="L154" i="34"/>
  <c r="M153" i="34"/>
  <c r="BH17" i="25"/>
  <c r="M73" i="34"/>
  <c r="G73" i="33"/>
  <c r="W4" i="33" s="1"/>
  <c r="D155" i="34"/>
  <c r="J155" i="34"/>
  <c r="G32" i="33"/>
  <c r="W3" i="33" s="1"/>
  <c r="D114" i="34"/>
  <c r="J114" i="34"/>
  <c r="AU9" i="6"/>
  <c r="E3" i="27"/>
  <c r="AU12" i="6"/>
  <c r="Y11" i="26"/>
  <c r="AK11" i="26" s="1"/>
  <c r="AK33" i="26"/>
  <c r="Y7" i="26"/>
  <c r="AK7" i="26" s="1"/>
  <c r="AK29" i="26"/>
  <c r="X81" i="26"/>
  <c r="X87" i="26"/>
  <c r="X86" i="26"/>
  <c r="AK32" i="26"/>
  <c r="Y10" i="26"/>
  <c r="AK10" i="26" s="1"/>
  <c r="AK27" i="26"/>
  <c r="Y5" i="26"/>
  <c r="AK5" i="26" s="1"/>
  <c r="X42" i="26"/>
  <c r="X42" i="30"/>
  <c r="X4" i="30"/>
  <c r="T85" i="26"/>
  <c r="AX23" i="26"/>
  <c r="AX7" i="26"/>
  <c r="Y4" i="26"/>
  <c r="AK4" i="26" s="1"/>
  <c r="AK26" i="26"/>
  <c r="E36" i="27"/>
  <c r="AK30" i="26"/>
  <c r="Z8" i="26"/>
  <c r="AH75" i="26"/>
  <c r="AH41" i="26"/>
  <c r="AH73" i="26" s="1"/>
  <c r="AH113" i="30"/>
  <c r="AH79" i="30"/>
  <c r="AH111" i="30" s="1"/>
  <c r="AI85" i="26"/>
  <c r="S41" i="26"/>
  <c r="S75" i="26"/>
  <c r="AY18" i="26"/>
  <c r="AY23" i="26"/>
  <c r="AY7" i="26"/>
  <c r="BH4" i="25"/>
  <c r="BH20" i="25"/>
  <c r="AY5" i="26"/>
  <c r="AY21" i="26"/>
  <c r="AK28" i="26"/>
  <c r="Z6" i="26"/>
  <c r="AK24" i="26"/>
  <c r="Z2" i="26"/>
  <c r="AH75" i="30"/>
  <c r="AH41" i="30"/>
  <c r="AH73" i="30" s="1"/>
  <c r="S79" i="30"/>
  <c r="S111" i="30" s="1"/>
  <c r="S113" i="30"/>
  <c r="AY25" i="26"/>
  <c r="AY9" i="26"/>
  <c r="AY8" i="26"/>
  <c r="AY24" i="26"/>
  <c r="BH6" i="25"/>
  <c r="BH22" i="25"/>
  <c r="AG35" i="25"/>
  <c r="AI3" i="26"/>
  <c r="BH18" i="25"/>
  <c r="BH2" i="25"/>
  <c r="E37" i="27"/>
  <c r="BH3" i="25"/>
  <c r="BH19" i="25"/>
  <c r="AH37" i="30"/>
  <c r="AH3" i="30"/>
  <c r="AH35" i="30" s="1"/>
  <c r="S41" i="30"/>
  <c r="S73" i="30" s="1"/>
  <c r="S75" i="30"/>
  <c r="BH23" i="25"/>
  <c r="BH7" i="25"/>
  <c r="S3" i="30"/>
  <c r="S35" i="30" s="1"/>
  <c r="S37" i="30"/>
  <c r="R35" i="30"/>
  <c r="BH8" i="25"/>
  <c r="BH24" i="25"/>
  <c r="BH9" i="25"/>
  <c r="BH25" i="25"/>
  <c r="BH21" i="25"/>
  <c r="BH5" i="25"/>
  <c r="AY19" i="26"/>
  <c r="AY3" i="26"/>
  <c r="AI35" i="25"/>
  <c r="BH16" i="25"/>
  <c r="BH27" i="25" s="1"/>
  <c r="AK34" i="26"/>
  <c r="Z12" i="26"/>
  <c r="R73" i="30"/>
  <c r="Z68" i="26"/>
  <c r="Z106" i="26"/>
  <c r="Z68" i="30"/>
  <c r="Z106" i="30"/>
  <c r="Z30" i="30"/>
  <c r="AH5" i="25"/>
  <c r="Y65" i="29"/>
  <c r="Y43" i="29" s="1"/>
  <c r="Y27" i="29"/>
  <c r="Y5" i="29" s="1"/>
  <c r="Y103" i="29"/>
  <c r="Y81" i="29" s="1"/>
  <c r="E39" i="27"/>
  <c r="Y30" i="30"/>
  <c r="Y8" i="30" s="1"/>
  <c r="Y68" i="30"/>
  <c r="Y46" i="30" s="1"/>
  <c r="Y106" i="26"/>
  <c r="Y68" i="26"/>
  <c r="Y46" i="26" s="1"/>
  <c r="Y106" i="30"/>
  <c r="Y84" i="30" s="1"/>
  <c r="Y8" i="26"/>
  <c r="X2" i="30"/>
  <c r="Z101" i="26"/>
  <c r="Z79" i="26" s="1"/>
  <c r="Z63" i="26"/>
  <c r="Z25" i="30"/>
  <c r="Z63" i="30"/>
  <c r="Z101" i="30"/>
  <c r="Y28" i="29"/>
  <c r="Y6" i="29" s="1"/>
  <c r="Y66" i="29"/>
  <c r="Y44" i="29" s="1"/>
  <c r="AH6" i="25"/>
  <c r="Y104" i="29"/>
  <c r="Y82" i="29" s="1"/>
  <c r="Z72" i="30"/>
  <c r="Z72" i="26"/>
  <c r="Z110" i="30"/>
  <c r="Z34" i="30"/>
  <c r="Z110" i="26"/>
  <c r="Z72" i="29"/>
  <c r="Z34" i="29"/>
  <c r="Z110" i="29"/>
  <c r="Z25" i="29"/>
  <c r="Z63" i="29"/>
  <c r="Z101" i="29"/>
  <c r="Y103" i="30"/>
  <c r="Y81" i="30" s="1"/>
  <c r="Y27" i="30"/>
  <c r="Y65" i="26"/>
  <c r="Y65" i="30"/>
  <c r="Y103" i="26"/>
  <c r="Y71" i="29"/>
  <c r="Y49" i="29" s="1"/>
  <c r="Y109" i="29"/>
  <c r="Y87" i="29" s="1"/>
  <c r="Y33" i="29"/>
  <c r="Y11" i="29" s="1"/>
  <c r="AH11" i="25"/>
  <c r="Y66" i="26"/>
  <c r="Y44" i="26" s="1"/>
  <c r="Y104" i="30"/>
  <c r="Y82" i="30" s="1"/>
  <c r="Y104" i="26"/>
  <c r="Y28" i="30"/>
  <c r="Y6" i="30" s="1"/>
  <c r="Y66" i="30"/>
  <c r="Y44" i="30" s="1"/>
  <c r="Y6" i="26"/>
  <c r="X37" i="29"/>
  <c r="X2" i="29"/>
  <c r="X35" i="29" s="1"/>
  <c r="Z102" i="29"/>
  <c r="Z64" i="29"/>
  <c r="Z26" i="29"/>
  <c r="Z69" i="30"/>
  <c r="Z107" i="26"/>
  <c r="Z85" i="26" s="1"/>
  <c r="Z31" i="30"/>
  <c r="Z107" i="30"/>
  <c r="Z69" i="26"/>
  <c r="Z33" i="29"/>
  <c r="Z71" i="29"/>
  <c r="Z109" i="29"/>
  <c r="X82" i="26"/>
  <c r="Y67" i="26"/>
  <c r="Y105" i="30"/>
  <c r="Y83" i="30" s="1"/>
  <c r="Y67" i="30"/>
  <c r="Y105" i="26"/>
  <c r="Y29" i="30"/>
  <c r="Y108" i="29"/>
  <c r="Y86" i="29" s="1"/>
  <c r="Y32" i="29"/>
  <c r="Y10" i="29" s="1"/>
  <c r="Y70" i="29"/>
  <c r="Y48" i="29" s="1"/>
  <c r="AH10" i="25"/>
  <c r="AH12" i="25"/>
  <c r="Y72" i="29"/>
  <c r="Y50" i="29" s="1"/>
  <c r="Y34" i="29"/>
  <c r="Y12" i="29" s="1"/>
  <c r="Y110" i="29"/>
  <c r="Y88" i="29" s="1"/>
  <c r="X40" i="26"/>
  <c r="Y101" i="29"/>
  <c r="Y79" i="29" s="1"/>
  <c r="Y25" i="29"/>
  <c r="Y3" i="29" s="1"/>
  <c r="AH3" i="25"/>
  <c r="M72" i="34" s="1"/>
  <c r="Y63" i="29"/>
  <c r="Y41" i="29" s="1"/>
  <c r="Y105" i="29"/>
  <c r="Y83" i="29" s="1"/>
  <c r="Y67" i="29"/>
  <c r="Y45" i="29" s="1"/>
  <c r="Y29" i="29"/>
  <c r="Y7" i="29" s="1"/>
  <c r="AH7" i="25"/>
  <c r="X78" i="26"/>
  <c r="Z103" i="30"/>
  <c r="Z65" i="26"/>
  <c r="Z103" i="26"/>
  <c r="Z81" i="26" s="1"/>
  <c r="Z27" i="30"/>
  <c r="Z65" i="30"/>
  <c r="Y110" i="26"/>
  <c r="Y72" i="26"/>
  <c r="Y50" i="26" s="1"/>
  <c r="Y72" i="30"/>
  <c r="Y50" i="30" s="1"/>
  <c r="Y34" i="30"/>
  <c r="Y12" i="30" s="1"/>
  <c r="Y110" i="30"/>
  <c r="Y88" i="30" s="1"/>
  <c r="Y12" i="26"/>
  <c r="Z104" i="30"/>
  <c r="Z104" i="26"/>
  <c r="Z66" i="30"/>
  <c r="Z66" i="26"/>
  <c r="Z28" i="30"/>
  <c r="X75" i="29"/>
  <c r="X40" i="29"/>
  <c r="X73" i="29" s="1"/>
  <c r="Z103" i="29"/>
  <c r="Z65" i="29"/>
  <c r="Z27" i="29"/>
  <c r="Z31" i="29"/>
  <c r="Z69" i="29"/>
  <c r="Z107" i="29"/>
  <c r="Y24" i="30"/>
  <c r="Y100" i="30"/>
  <c r="Y100" i="26"/>
  <c r="Y62" i="30"/>
  <c r="Y2" i="26"/>
  <c r="Y62" i="26"/>
  <c r="Z106" i="29"/>
  <c r="Z30" i="29"/>
  <c r="Z68" i="29"/>
  <c r="Z62" i="26"/>
  <c r="Z100" i="30"/>
  <c r="Z78" i="30" s="1"/>
  <c r="Z24" i="30"/>
  <c r="Z62" i="30"/>
  <c r="Z37" i="26"/>
  <c r="Z100" i="26"/>
  <c r="AI37" i="25"/>
  <c r="Z62" i="29"/>
  <c r="Z40" i="29" s="1"/>
  <c r="Z100" i="29"/>
  <c r="Z78" i="29" s="1"/>
  <c r="Z24" i="29"/>
  <c r="Z2" i="29" s="1"/>
  <c r="AH9" i="25"/>
  <c r="Y31" i="29"/>
  <c r="Y9" i="29" s="1"/>
  <c r="Y107" i="29"/>
  <c r="Y85" i="29" s="1"/>
  <c r="Y69" i="29"/>
  <c r="Y47" i="29" s="1"/>
  <c r="Z109" i="30"/>
  <c r="Z109" i="26"/>
  <c r="Z87" i="26" s="1"/>
  <c r="Z33" i="30"/>
  <c r="Z71" i="30"/>
  <c r="Z71" i="26"/>
  <c r="Y68" i="29"/>
  <c r="Y46" i="29" s="1"/>
  <c r="AH8" i="25"/>
  <c r="Y106" i="29"/>
  <c r="Y84" i="29" s="1"/>
  <c r="Y30" i="29"/>
  <c r="Y8" i="29" s="1"/>
  <c r="Y100" i="29"/>
  <c r="Y62" i="29"/>
  <c r="Y24" i="29"/>
  <c r="AH2" i="25"/>
  <c r="M31" i="34" s="1"/>
  <c r="AH37" i="25"/>
  <c r="Y102" i="26"/>
  <c r="Y64" i="30"/>
  <c r="Y42" i="30" s="1"/>
  <c r="Y102" i="30"/>
  <c r="Y80" i="30" s="1"/>
  <c r="Y26" i="30"/>
  <c r="Y4" i="30" s="1"/>
  <c r="Y64" i="26"/>
  <c r="Y42" i="26" s="1"/>
  <c r="Z102" i="30"/>
  <c r="Z26" i="30"/>
  <c r="Z102" i="26"/>
  <c r="Z80" i="26" s="1"/>
  <c r="Z64" i="30"/>
  <c r="Z64" i="26"/>
  <c r="Y26" i="29"/>
  <c r="Y4" i="29" s="1"/>
  <c r="AH4" i="25"/>
  <c r="Y102" i="29"/>
  <c r="Y80" i="29" s="1"/>
  <c r="Y64" i="29"/>
  <c r="Y42" i="29" s="1"/>
  <c r="Y71" i="30"/>
  <c r="Y33" i="30"/>
  <c r="Y109" i="30"/>
  <c r="Y87" i="30" s="1"/>
  <c r="Y71" i="26"/>
  <c r="Y109" i="26"/>
  <c r="X88" i="26"/>
  <c r="Z28" i="29"/>
  <c r="Z104" i="29"/>
  <c r="Z66" i="29"/>
  <c r="X78" i="30"/>
  <c r="Y32" i="30"/>
  <c r="Y70" i="30"/>
  <c r="Y108" i="26"/>
  <c r="Y108" i="30"/>
  <c r="Y86" i="30" s="1"/>
  <c r="Y70" i="26"/>
  <c r="X78" i="29"/>
  <c r="X111" i="29" s="1"/>
  <c r="X113" i="29"/>
  <c r="X84" i="26"/>
  <c r="Z32" i="29"/>
  <c r="Z108" i="29"/>
  <c r="Z70" i="29"/>
  <c r="Z70" i="30"/>
  <c r="Z70" i="26"/>
  <c r="Z32" i="30"/>
  <c r="Z108" i="26"/>
  <c r="Z108" i="30"/>
  <c r="Z105" i="29"/>
  <c r="Z29" i="29"/>
  <c r="Z67" i="29"/>
  <c r="X40" i="30"/>
  <c r="Z67" i="30"/>
  <c r="Z29" i="30"/>
  <c r="Z105" i="30"/>
  <c r="Z105" i="26"/>
  <c r="Z83" i="26" s="1"/>
  <c r="Z67" i="26"/>
  <c r="AG75" i="25"/>
  <c r="AG73" i="25"/>
  <c r="S79" i="26"/>
  <c r="S111" i="26" s="1"/>
  <c r="W31" i="22"/>
  <c r="W9" i="22" s="1"/>
  <c r="X67" i="22"/>
  <c r="W45" i="22"/>
  <c r="AH113" i="26"/>
  <c r="V25" i="22"/>
  <c r="W61" i="22"/>
  <c r="V39" i="22"/>
  <c r="V31" i="26" a="1"/>
  <c r="V31" i="26" s="1"/>
  <c r="V9" i="26" s="1"/>
  <c r="AI101" i="26"/>
  <c r="AI101" i="30"/>
  <c r="AI63" i="30"/>
  <c r="AI37" i="26"/>
  <c r="AI25" i="30"/>
  <c r="AI63" i="26"/>
  <c r="U31" i="30"/>
  <c r="U9" i="30" s="1"/>
  <c r="AX7" i="30" s="1"/>
  <c r="U107" i="30"/>
  <c r="U85" i="30" s="1"/>
  <c r="AX83" i="30" s="1"/>
  <c r="U107" i="26"/>
  <c r="U69" i="26"/>
  <c r="U47" i="26" s="1"/>
  <c r="AX45" i="26" s="1"/>
  <c r="U69" i="30"/>
  <c r="U47" i="30" s="1"/>
  <c r="AX45" i="30" s="1"/>
  <c r="T63" i="26"/>
  <c r="T101" i="26"/>
  <c r="T113" i="26" s="1"/>
  <c r="T101" i="30"/>
  <c r="T63" i="30"/>
  <c r="T25" i="30"/>
  <c r="T3" i="26"/>
  <c r="T35" i="26" s="1"/>
  <c r="U25" i="26" a="1"/>
  <c r="U25" i="26" s="1"/>
  <c r="U37" i="26" s="1"/>
  <c r="U3" i="22"/>
  <c r="W34" i="33" l="1"/>
  <c r="W51" i="33" s="1"/>
  <c r="W35" i="33"/>
  <c r="W52" i="33" s="1"/>
  <c r="L114" i="34"/>
  <c r="M114" i="34" s="1"/>
  <c r="M154" i="34"/>
  <c r="H32" i="33"/>
  <c r="L155" i="34"/>
  <c r="M155" i="34" s="1"/>
  <c r="M113" i="34"/>
  <c r="H73" i="33"/>
  <c r="H72" i="33"/>
  <c r="Y87" i="26"/>
  <c r="AK87" i="26" s="1"/>
  <c r="AK109" i="26"/>
  <c r="Y45" i="30"/>
  <c r="AK67" i="30"/>
  <c r="Y49" i="30"/>
  <c r="AK71" i="30"/>
  <c r="Y11" i="30"/>
  <c r="AK33" i="30"/>
  <c r="Y45" i="26"/>
  <c r="AK67" i="26"/>
  <c r="Y7" i="30"/>
  <c r="AK29" i="30"/>
  <c r="Y49" i="26"/>
  <c r="AK71" i="26"/>
  <c r="Y83" i="26"/>
  <c r="AK83" i="26" s="1"/>
  <c r="AK105" i="26"/>
  <c r="AK70" i="26"/>
  <c r="Y48" i="26"/>
  <c r="AK108" i="26"/>
  <c r="Y86" i="26"/>
  <c r="AK70" i="30"/>
  <c r="Y48" i="30"/>
  <c r="AK32" i="30"/>
  <c r="Y10" i="30"/>
  <c r="AK103" i="26"/>
  <c r="Y81" i="26"/>
  <c r="AK81" i="26" s="1"/>
  <c r="AK65" i="30"/>
  <c r="Y43" i="30"/>
  <c r="AK65" i="26"/>
  <c r="Y43" i="26"/>
  <c r="AK27" i="30"/>
  <c r="Y5" i="30"/>
  <c r="AK26" i="30"/>
  <c r="AK64" i="30"/>
  <c r="AK64" i="26"/>
  <c r="U85" i="26"/>
  <c r="Y80" i="26"/>
  <c r="AK80" i="26" s="1"/>
  <c r="AK102" i="26"/>
  <c r="BH11" i="25"/>
  <c r="BH14" i="25" s="1"/>
  <c r="AH35" i="25"/>
  <c r="AK12" i="26"/>
  <c r="T41" i="30"/>
  <c r="T75" i="30"/>
  <c r="Z48" i="26"/>
  <c r="E109" i="27"/>
  <c r="Z10" i="29"/>
  <c r="Z11" i="30"/>
  <c r="E69" i="27"/>
  <c r="E47" i="27"/>
  <c r="E146" i="27"/>
  <c r="Z47" i="29"/>
  <c r="E180" i="27"/>
  <c r="Z81" i="29"/>
  <c r="E179" i="27"/>
  <c r="Z80" i="29"/>
  <c r="E140" i="27"/>
  <c r="Z41" i="29"/>
  <c r="E118" i="27" s="1"/>
  <c r="E111" i="27"/>
  <c r="Z12" i="29"/>
  <c r="E89" i="27" s="1"/>
  <c r="Z88" i="30"/>
  <c r="T79" i="30"/>
  <c r="T111" i="30" s="1"/>
  <c r="T113" i="30"/>
  <c r="AI79" i="26"/>
  <c r="Z83" i="30"/>
  <c r="E144" i="27"/>
  <c r="Z45" i="29"/>
  <c r="Z48" i="30"/>
  <c r="E67" i="27"/>
  <c r="E45" i="27"/>
  <c r="Z87" i="30"/>
  <c r="E79" i="27"/>
  <c r="AK100" i="26"/>
  <c r="Z78" i="26"/>
  <c r="AK66" i="26"/>
  <c r="Z44" i="26"/>
  <c r="Z43" i="26"/>
  <c r="E110" i="27"/>
  <c r="Z11" i="29"/>
  <c r="E64" i="27"/>
  <c r="E42" i="27"/>
  <c r="AK72" i="30"/>
  <c r="Z50" i="30"/>
  <c r="AK2" i="26"/>
  <c r="AY16" i="26"/>
  <c r="BH28" i="25" s="1"/>
  <c r="Z35" i="26"/>
  <c r="AY2" i="26"/>
  <c r="BH12" i="25" s="1"/>
  <c r="AI75" i="26"/>
  <c r="AI41" i="26"/>
  <c r="AI73" i="26" s="1"/>
  <c r="E155" i="27"/>
  <c r="Z81" i="30"/>
  <c r="Z47" i="26"/>
  <c r="Z41" i="26"/>
  <c r="AI37" i="30"/>
  <c r="AI3" i="30"/>
  <c r="AI113" i="30"/>
  <c r="AI79" i="30"/>
  <c r="AI111" i="30" s="1"/>
  <c r="E106" i="27"/>
  <c r="Z7" i="29"/>
  <c r="Z42" i="26"/>
  <c r="AK42" i="26" s="1"/>
  <c r="AK66" i="30"/>
  <c r="Z44" i="30"/>
  <c r="T41" i="26"/>
  <c r="T73" i="26" s="1"/>
  <c r="T75" i="26"/>
  <c r="Z7" i="30"/>
  <c r="Z86" i="30"/>
  <c r="AK62" i="30"/>
  <c r="Z40" i="30"/>
  <c r="E65" i="27"/>
  <c r="E43" i="27"/>
  <c r="E68" i="27"/>
  <c r="E46" i="27"/>
  <c r="Z42" i="30"/>
  <c r="AK42" i="30" s="1"/>
  <c r="E117" i="27"/>
  <c r="AK104" i="26"/>
  <c r="Z82" i="26"/>
  <c r="Z85" i="30"/>
  <c r="AK110" i="26"/>
  <c r="Z88" i="26"/>
  <c r="AK30" i="30"/>
  <c r="Z8" i="30"/>
  <c r="AK6" i="26"/>
  <c r="AY4" i="26"/>
  <c r="AY20" i="26"/>
  <c r="E182" i="27"/>
  <c r="Z83" i="29"/>
  <c r="E41" i="27"/>
  <c r="Z82" i="30"/>
  <c r="Z43" i="30"/>
  <c r="Z84" i="30"/>
  <c r="S73" i="26"/>
  <c r="E147" i="27"/>
  <c r="Z48" i="29"/>
  <c r="Z4" i="30"/>
  <c r="AK4" i="30" s="1"/>
  <c r="E145" i="27"/>
  <c r="Z46" i="29"/>
  <c r="E70" i="27"/>
  <c r="E48" i="27"/>
  <c r="Z5" i="30"/>
  <c r="Z45" i="30"/>
  <c r="Z86" i="26"/>
  <c r="E66" i="27"/>
  <c r="E44" i="27"/>
  <c r="Z9" i="30"/>
  <c r="AI75" i="30"/>
  <c r="AI41" i="30"/>
  <c r="AI73" i="30" s="1"/>
  <c r="Z10" i="30"/>
  <c r="E143" i="27"/>
  <c r="Z44" i="29"/>
  <c r="Z49" i="26"/>
  <c r="AK24" i="30"/>
  <c r="Z2" i="30"/>
  <c r="E104" i="27"/>
  <c r="Z5" i="29"/>
  <c r="E186" i="27"/>
  <c r="Z87" i="29"/>
  <c r="E103" i="27"/>
  <c r="Z4" i="29"/>
  <c r="E73" i="27"/>
  <c r="E51" i="27"/>
  <c r="AK68" i="30"/>
  <c r="Z46" i="30"/>
  <c r="AI35" i="26"/>
  <c r="T3" i="30"/>
  <c r="T35" i="30" s="1"/>
  <c r="T37" i="30"/>
  <c r="Z45" i="26"/>
  <c r="E185" i="27"/>
  <c r="Z86" i="29"/>
  <c r="E181" i="27"/>
  <c r="Z82" i="29"/>
  <c r="Z80" i="30"/>
  <c r="Z49" i="30"/>
  <c r="E107" i="27"/>
  <c r="Z8" i="29"/>
  <c r="E184" i="27"/>
  <c r="Z85" i="29"/>
  <c r="E142" i="27"/>
  <c r="Z43" i="29"/>
  <c r="E72" i="27"/>
  <c r="E50" i="27"/>
  <c r="Z47" i="30"/>
  <c r="E141" i="27"/>
  <c r="Z42" i="29"/>
  <c r="E178" i="27"/>
  <c r="Z79" i="29"/>
  <c r="E156" i="27" s="1"/>
  <c r="E187" i="27"/>
  <c r="Z88" i="29"/>
  <c r="E165" i="27" s="1"/>
  <c r="AK34" i="30"/>
  <c r="Z12" i="30"/>
  <c r="Z79" i="30"/>
  <c r="AK106" i="26"/>
  <c r="Z84" i="26"/>
  <c r="Z41" i="30"/>
  <c r="AK68" i="26"/>
  <c r="Z46" i="26"/>
  <c r="AK8" i="26"/>
  <c r="AY22" i="26"/>
  <c r="AY6" i="26"/>
  <c r="E71" i="27"/>
  <c r="E49" i="27"/>
  <c r="E105" i="27"/>
  <c r="Z6" i="29"/>
  <c r="AK62" i="26"/>
  <c r="Z40" i="26"/>
  <c r="E183" i="27"/>
  <c r="Z84" i="29"/>
  <c r="E108" i="27"/>
  <c r="Z9" i="29"/>
  <c r="AK28" i="30"/>
  <c r="Z6" i="30"/>
  <c r="E148" i="27"/>
  <c r="Z49" i="29"/>
  <c r="E102" i="27"/>
  <c r="Z3" i="29"/>
  <c r="E80" i="27" s="1"/>
  <c r="E149" i="27"/>
  <c r="Z50" i="29"/>
  <c r="E127" i="27" s="1"/>
  <c r="AK72" i="26"/>
  <c r="Z50" i="26"/>
  <c r="Z3" i="30"/>
  <c r="Z75" i="29"/>
  <c r="E139" i="27"/>
  <c r="Z75" i="30"/>
  <c r="Y78" i="30"/>
  <c r="Y88" i="26"/>
  <c r="Y2" i="29"/>
  <c r="Y35" i="29" s="1"/>
  <c r="Y37" i="29"/>
  <c r="Z37" i="30"/>
  <c r="AI75" i="25"/>
  <c r="E63" i="27"/>
  <c r="Y40" i="26"/>
  <c r="Y2" i="30"/>
  <c r="AH73" i="25"/>
  <c r="AH75" i="25"/>
  <c r="Z113" i="30"/>
  <c r="Y82" i="26"/>
  <c r="Y40" i="30"/>
  <c r="Y40" i="29"/>
  <c r="Y73" i="29" s="1"/>
  <c r="Y75" i="29"/>
  <c r="Z75" i="26"/>
  <c r="Y113" i="29"/>
  <c r="Y78" i="29"/>
  <c r="Y111" i="29" s="1"/>
  <c r="Z37" i="29"/>
  <c r="E101" i="27"/>
  <c r="Z113" i="26"/>
  <c r="Z113" i="29"/>
  <c r="E177" i="27"/>
  <c r="Y78" i="26"/>
  <c r="Y84" i="26"/>
  <c r="T79" i="26"/>
  <c r="T111" i="26" s="1"/>
  <c r="AI113" i="26"/>
  <c r="X61" i="22"/>
  <c r="W25" i="22"/>
  <c r="W39" i="22"/>
  <c r="V25" i="26" a="1"/>
  <c r="V25" i="26" s="1"/>
  <c r="V37" i="26" s="1"/>
  <c r="V3" i="22"/>
  <c r="U101" i="30"/>
  <c r="U63" i="30"/>
  <c r="U63" i="26"/>
  <c r="U25" i="30"/>
  <c r="U101" i="26"/>
  <c r="U113" i="26" s="1"/>
  <c r="U3" i="26"/>
  <c r="U35" i="26" s="1"/>
  <c r="V31" i="30"/>
  <c r="V9" i="30" s="1"/>
  <c r="V69" i="30"/>
  <c r="V47" i="30" s="1"/>
  <c r="V107" i="30"/>
  <c r="V85" i="30" s="1"/>
  <c r="V69" i="26"/>
  <c r="V47" i="26" s="1"/>
  <c r="V107" i="26"/>
  <c r="X31" i="22"/>
  <c r="X9" i="22" s="1"/>
  <c r="Y67" i="22"/>
  <c r="X45" i="22"/>
  <c r="W31" i="26" a="1"/>
  <c r="W31" i="26" s="1"/>
  <c r="W9" i="26" s="1"/>
  <c r="W32" i="33" l="1"/>
  <c r="W49" i="33" s="1"/>
  <c r="W33" i="33"/>
  <c r="W50" i="33" s="1"/>
  <c r="W13" i="33"/>
  <c r="AK7" i="30"/>
  <c r="AK43" i="30"/>
  <c r="AK11" i="30"/>
  <c r="AK45" i="30"/>
  <c r="AK86" i="26"/>
  <c r="AK45" i="26"/>
  <c r="AK49" i="30"/>
  <c r="AK49" i="26"/>
  <c r="AK5" i="30"/>
  <c r="AK10" i="30"/>
  <c r="AK48" i="26"/>
  <c r="AK43" i="26"/>
  <c r="AK48" i="30"/>
  <c r="V85" i="26"/>
  <c r="Z35" i="29"/>
  <c r="BH13" i="25"/>
  <c r="AK82" i="26"/>
  <c r="E153" i="27"/>
  <c r="U79" i="30"/>
  <c r="U113" i="30"/>
  <c r="E161" i="27"/>
  <c r="AY82" i="29"/>
  <c r="AK46" i="30"/>
  <c r="AY44" i="30"/>
  <c r="AY7" i="30"/>
  <c r="E160" i="27"/>
  <c r="AY81" i="29"/>
  <c r="AY5" i="30"/>
  <c r="AI35" i="30"/>
  <c r="Z111" i="29"/>
  <c r="AK44" i="26"/>
  <c r="AY42" i="26"/>
  <c r="E191" i="27"/>
  <c r="AK6" i="30"/>
  <c r="AY4" i="30"/>
  <c r="AY45" i="30"/>
  <c r="AY85" i="29"/>
  <c r="E164" i="27"/>
  <c r="E121" i="27"/>
  <c r="AY42" i="29"/>
  <c r="AY5" i="29"/>
  <c r="E84" i="27"/>
  <c r="U3" i="30"/>
  <c r="U37" i="30"/>
  <c r="AK88" i="26"/>
  <c r="AY47" i="30"/>
  <c r="E82" i="27"/>
  <c r="AY3" i="29"/>
  <c r="AY2" i="30"/>
  <c r="U41" i="26"/>
  <c r="U75" i="26"/>
  <c r="E115" i="27"/>
  <c r="AK46" i="26"/>
  <c r="AY44" i="26"/>
  <c r="AY8" i="30"/>
  <c r="E74" i="27"/>
  <c r="E75" i="27"/>
  <c r="AY83" i="30"/>
  <c r="AY84" i="30"/>
  <c r="AK44" i="30"/>
  <c r="AY42" i="30"/>
  <c r="AY79" i="30"/>
  <c r="AY41" i="26"/>
  <c r="AY46" i="26"/>
  <c r="AY47" i="29"/>
  <c r="E126" i="27"/>
  <c r="E119" i="27"/>
  <c r="AY40" i="29"/>
  <c r="E85" i="27"/>
  <c r="AY6" i="29"/>
  <c r="AY80" i="29"/>
  <c r="E159" i="27"/>
  <c r="AY2" i="29"/>
  <c r="E81" i="27"/>
  <c r="AY47" i="26"/>
  <c r="AY3" i="30"/>
  <c r="E123" i="27"/>
  <c r="AY44" i="29"/>
  <c r="AY40" i="26"/>
  <c r="AY45" i="29"/>
  <c r="E124" i="27"/>
  <c r="AK50" i="26"/>
  <c r="AK40" i="26"/>
  <c r="Z73" i="26"/>
  <c r="AK12" i="30"/>
  <c r="AI111" i="26"/>
  <c r="AY9" i="30"/>
  <c r="AY84" i="29"/>
  <c r="E163" i="27"/>
  <c r="AY82" i="30"/>
  <c r="AK40" i="30"/>
  <c r="Z73" i="30"/>
  <c r="Z111" i="26"/>
  <c r="AK78" i="26"/>
  <c r="AY46" i="30"/>
  <c r="E120" i="27"/>
  <c r="AY41" i="29"/>
  <c r="Z111" i="30"/>
  <c r="Z73" i="29"/>
  <c r="AY45" i="26"/>
  <c r="E88" i="27"/>
  <c r="AY9" i="29"/>
  <c r="AY8" i="29"/>
  <c r="E87" i="27"/>
  <c r="E77" i="27"/>
  <c r="AY4" i="29"/>
  <c r="E83" i="27"/>
  <c r="AY41" i="30"/>
  <c r="AY40" i="30"/>
  <c r="AY43" i="29"/>
  <c r="E122" i="27"/>
  <c r="E157" i="27"/>
  <c r="AY78" i="29"/>
  <c r="E86" i="27"/>
  <c r="AY7" i="29"/>
  <c r="AK84" i="26"/>
  <c r="E162" i="27"/>
  <c r="AY83" i="29"/>
  <c r="AY43" i="26"/>
  <c r="U41" i="30"/>
  <c r="U75" i="30"/>
  <c r="AY78" i="30"/>
  <c r="AK2" i="30"/>
  <c r="Z35" i="30"/>
  <c r="AY43" i="30"/>
  <c r="E125" i="27"/>
  <c r="AY46" i="29"/>
  <c r="AY80" i="30"/>
  <c r="AI73" i="25"/>
  <c r="AK8" i="30"/>
  <c r="AY6" i="30"/>
  <c r="BH30" i="25"/>
  <c r="BH29" i="25"/>
  <c r="AK50" i="30"/>
  <c r="AY85" i="30"/>
  <c r="AY81" i="30"/>
  <c r="E158" i="27"/>
  <c r="AY79" i="29"/>
  <c r="T73" i="30"/>
  <c r="V101" i="30"/>
  <c r="V63" i="26"/>
  <c r="V63" i="30"/>
  <c r="V25" i="30"/>
  <c r="V101" i="26"/>
  <c r="V3" i="26"/>
  <c r="V35" i="26" s="1"/>
  <c r="U79" i="26"/>
  <c r="U111" i="26" s="1"/>
  <c r="W25" i="26" a="1"/>
  <c r="W25" i="26" s="1"/>
  <c r="W37" i="26" s="1"/>
  <c r="W3" i="22"/>
  <c r="Y61" i="22"/>
  <c r="X25" i="22"/>
  <c r="X39" i="22"/>
  <c r="Y31" i="22"/>
  <c r="Y9" i="22" s="1"/>
  <c r="Y45" i="22"/>
  <c r="W107" i="26"/>
  <c r="W31" i="30"/>
  <c r="W9" i="30" s="1"/>
  <c r="W69" i="26"/>
  <c r="W47" i="26" s="1"/>
  <c r="W69" i="30"/>
  <c r="W47" i="30" s="1"/>
  <c r="W107" i="30"/>
  <c r="W85" i="30" s="1"/>
  <c r="X31" i="26" a="1"/>
  <c r="X31" i="26" s="1"/>
  <c r="X9" i="26" s="1"/>
  <c r="AX17" i="26"/>
  <c r="BG28" i="25" s="1"/>
  <c r="AX3" i="26"/>
  <c r="BG12" i="25" s="1"/>
  <c r="BG13" i="25" s="1"/>
  <c r="W53" i="33" l="1"/>
  <c r="W42" i="33"/>
  <c r="W44" i="33" s="1"/>
  <c r="W85" i="26"/>
  <c r="E188" i="27"/>
  <c r="E113" i="27"/>
  <c r="E189" i="27"/>
  <c r="E112" i="27"/>
  <c r="V41" i="26"/>
  <c r="V73" i="26" s="1"/>
  <c r="V75" i="26"/>
  <c r="V79" i="30"/>
  <c r="V111" i="30" s="1"/>
  <c r="V113" i="30"/>
  <c r="BG30" i="25"/>
  <c r="BG29" i="25"/>
  <c r="AY12" i="29"/>
  <c r="V113" i="26"/>
  <c r="AY89" i="29"/>
  <c r="AY51" i="29"/>
  <c r="AX3" i="30"/>
  <c r="U35" i="30"/>
  <c r="V3" i="30"/>
  <c r="V35" i="30" s="1"/>
  <c r="V37" i="30"/>
  <c r="AY11" i="30"/>
  <c r="AY13" i="29"/>
  <c r="V41" i="30"/>
  <c r="V73" i="30" s="1"/>
  <c r="V75" i="30"/>
  <c r="E151" i="27"/>
  <c r="AX79" i="30"/>
  <c r="AX89" i="29" s="1"/>
  <c r="AX91" i="29" s="1"/>
  <c r="U111" i="30"/>
  <c r="AY88" i="29"/>
  <c r="E150" i="27"/>
  <c r="AX41" i="30"/>
  <c r="AX51" i="29" s="1"/>
  <c r="AX53" i="29" s="1"/>
  <c r="U73" i="30"/>
  <c r="AY50" i="29"/>
  <c r="AX41" i="26"/>
  <c r="U73" i="26"/>
  <c r="W25" i="30"/>
  <c r="W101" i="30"/>
  <c r="W63" i="30"/>
  <c r="W101" i="26"/>
  <c r="W113" i="26" s="1"/>
  <c r="W63" i="26"/>
  <c r="W3" i="26"/>
  <c r="X25" i="26" a="1"/>
  <c r="X25" i="26" s="1"/>
  <c r="X37" i="26" s="1"/>
  <c r="X3" i="22"/>
  <c r="V79" i="26"/>
  <c r="V111" i="26" s="1"/>
  <c r="Y25" i="22"/>
  <c r="Y39" i="22"/>
  <c r="X69" i="26"/>
  <c r="X47" i="26" s="1"/>
  <c r="X107" i="26"/>
  <c r="X31" i="30"/>
  <c r="X9" i="30" s="1"/>
  <c r="X107" i="30"/>
  <c r="X85" i="30" s="1"/>
  <c r="X69" i="30"/>
  <c r="X47" i="30" s="1"/>
  <c r="Y31" i="26" a="1"/>
  <c r="Y31" i="26" s="1"/>
  <c r="Y9" i="26" l="1"/>
  <c r="AK9" i="26" s="1"/>
  <c r="AK31" i="26"/>
  <c r="AX13" i="29"/>
  <c r="AX15" i="29" s="1"/>
  <c r="AX11" i="30"/>
  <c r="X85" i="26"/>
  <c r="AY15" i="29"/>
  <c r="AY91" i="29"/>
  <c r="AY53" i="29"/>
  <c r="W3" i="30"/>
  <c r="W37" i="30"/>
  <c r="W35" i="26"/>
  <c r="W41" i="30"/>
  <c r="W73" i="30" s="1"/>
  <c r="W75" i="30"/>
  <c r="W79" i="30"/>
  <c r="W111" i="30" s="1"/>
  <c r="W113" i="30"/>
  <c r="W41" i="26"/>
  <c r="W73" i="26" s="1"/>
  <c r="W75" i="26"/>
  <c r="Y69" i="30"/>
  <c r="Y107" i="30"/>
  <c r="Y85" i="30" s="1"/>
  <c r="Y31" i="30"/>
  <c r="Y69" i="26"/>
  <c r="Y107" i="26"/>
  <c r="AK107" i="26" s="1"/>
  <c r="Y25" i="26" a="1"/>
  <c r="Y25" i="26" s="1"/>
  <c r="Y37" i="26" s="1"/>
  <c r="AK37" i="26" s="1"/>
  <c r="Y3" i="22"/>
  <c r="X63" i="26"/>
  <c r="X101" i="30"/>
  <c r="X101" i="26"/>
  <c r="X113" i="26" s="1"/>
  <c r="X25" i="30"/>
  <c r="X63" i="30"/>
  <c r="X3" i="26"/>
  <c r="X35" i="26" s="1"/>
  <c r="W79" i="26"/>
  <c r="W111" i="26" s="1"/>
  <c r="Y47" i="26" l="1"/>
  <c r="AK47" i="26" s="1"/>
  <c r="AK69" i="26"/>
  <c r="Y9" i="30"/>
  <c r="AK9" i="30" s="1"/>
  <c r="AK31" i="30"/>
  <c r="Y47" i="30"/>
  <c r="AK47" i="30" s="1"/>
  <c r="AK69" i="30"/>
  <c r="Y85" i="26"/>
  <c r="AK85" i="26" s="1"/>
  <c r="X79" i="30"/>
  <c r="X111" i="30" s="1"/>
  <c r="X113" i="30"/>
  <c r="X41" i="26"/>
  <c r="X73" i="26" s="1"/>
  <c r="X75" i="26"/>
  <c r="AK25" i="26"/>
  <c r="W35" i="30"/>
  <c r="X41" i="30"/>
  <c r="X73" i="30" s="1"/>
  <c r="X75" i="30"/>
  <c r="X3" i="30"/>
  <c r="X35" i="30" s="1"/>
  <c r="X37" i="30"/>
  <c r="Y101" i="30"/>
  <c r="Y101" i="26"/>
  <c r="Y113" i="26" s="1"/>
  <c r="AK113" i="26" s="1"/>
  <c r="Y63" i="26"/>
  <c r="Y25" i="30"/>
  <c r="Y63" i="30"/>
  <c r="Y3" i="26"/>
  <c r="X79" i="26"/>
  <c r="AK101" i="26" l="1"/>
  <c r="Y41" i="30"/>
  <c r="Y75" i="30"/>
  <c r="AK75" i="30" s="1"/>
  <c r="AK63" i="30"/>
  <c r="Y3" i="30"/>
  <c r="Y35" i="30" s="1"/>
  <c r="AK35" i="30" s="1"/>
  <c r="Y37" i="30"/>
  <c r="AK37" i="30" s="1"/>
  <c r="AK25" i="30"/>
  <c r="Y41" i="26"/>
  <c r="Y75" i="26"/>
  <c r="AK75" i="26" s="1"/>
  <c r="AK63" i="26"/>
  <c r="X111" i="26"/>
  <c r="Y79" i="30"/>
  <c r="Y111" i="30" s="1"/>
  <c r="Y113" i="30"/>
  <c r="Y35" i="26"/>
  <c r="AK35" i="26" s="1"/>
  <c r="AK3" i="26"/>
  <c r="Y79" i="26"/>
  <c r="Y111" i="26" s="1"/>
  <c r="AK111" i="26" l="1"/>
  <c r="AK79" i="26"/>
  <c r="AK3" i="30"/>
  <c r="AK41" i="26"/>
  <c r="Y73" i="26"/>
  <c r="AK73" i="26" s="1"/>
  <c r="AK41" i="30"/>
  <c r="Y73" i="30"/>
  <c r="AK73" i="3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tc={5B21744A-8965-E140-9D3A-517E219FE7BF}</author>
    <author>tc={17361C05-4300-FA4C-B5D7-D570403AFC21}</author>
    <author>tc={86DCED2D-A95B-DB40-A0D6-6BE5623A43E8}</author>
    <author>tc={06EE2955-8E97-4846-84A6-54D5BD1AADF4}</author>
  </authors>
  <commentList>
    <comment ref="K27" authorId="0" shapeId="0" xr:uid="{5B21744A-8965-E140-9D3A-517E219FE7BF}">
      <text>
        <t>[Threaded comment]
Your version of Excel allows you to read this threaded comment; however, any edits to it will get removed if the file is opened in a newer version of Excel. Learn more: https://go.microsoft.com/fwlink/?linkid=870924
Comment:
    Assumes adoption doubles by 2050</t>
      </text>
    </comment>
    <comment ref="K28" authorId="1" shapeId="0" xr:uid="{17361C05-4300-FA4C-B5D7-D570403AFC21}">
      <text>
        <t>[Threaded comment]
Your version of Excel allows you to read this threaded comment; however, any edits to it will get removed if the file is opened in a newer version of Excel. Learn more: https://go.microsoft.com/fwlink/?linkid=870924
Comment:
    Assumes adoption doubles by 2050</t>
      </text>
    </comment>
    <comment ref="D68" authorId="2" shapeId="0" xr:uid="{86DCED2D-A95B-DB40-A0D6-6BE5623A43E8}">
      <text>
        <t>[Threaded comment]
Your version of Excel allows you to read this threaded comment; however, any edits to it will get removed if the file is opened in a newer version of Excel. Learn more: https://go.microsoft.com/fwlink/?linkid=870924
Comment:
    Other included LPG in this dataset. I adjusted so that LPG is a little lower than in 2021</t>
      </text>
    </comment>
    <comment ref="G68" authorId="3" shapeId="0" xr:uid="{06EE2955-8E97-4846-84A6-54D5BD1AADF4}">
      <text>
        <t>[Threaded comment]
Your version of Excel allows you to read this threaded comment; however, any edits to it will get removed if the file is opened in a newer version of Excel. Learn more: https://go.microsoft.com/fwlink/?linkid=870924
Comment:
    Other included LPG in this dataset. I adjusted so that LPG is a little lower than in 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tc={1F136FB5-0725-F241-9FB0-4ADE7687EE22}</author>
  </authors>
  <commentList>
    <comment ref="D1" authorId="0" shapeId="0" xr:uid="{1F136FB5-0725-F241-9FB0-4ADE7687EE22}">
      <text>
        <t>[Threaded comment]
Your version of Excel allows you to read this threaded comment; however, any edits to it will get removed if the file is opened in a newer version of Excel. Learn more: https://go.microsoft.com/fwlink/?linkid=870924
Comment:
    includes brewing and distilling, firing pottery, sweet and
confectionery making, fish smoking, cloth dyeing, cassava drying, nut roasting and vegetable oil manufacture.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tc={7C6265D4-5890-464E-B9F8-65055D95C243}</author>
    <author>tc={1D517ED6-EA7A-C34E-9140-9702EDDBE42C}</author>
    <author>tc={BB8D2AFA-EBE3-394D-A9AA-D1A5605259A8}</author>
  </authors>
  <commentList>
    <comment ref="B2" authorId="0" shapeId="0" xr:uid="{7C6265D4-5890-464E-B9F8-65055D95C243}">
      <text>
        <t>[Threaded comment]
Your version of Excel allows you to read this threaded comment; however, any edits to it will get removed if the file is opened in a newer version of Excel. Learn more: https://go.microsoft.com/fwlink/?linkid=870924
Comment:
    Dynamic values linked to Github CSVs</t>
      </text>
    </comment>
    <comment ref="D2" authorId="1" shapeId="0" xr:uid="{1D517ED6-EA7A-C34E-9140-9702EDDBE42C}">
      <text>
        <t>[Threaded comment]
Your version of Excel allows you to read this threaded comment; however, any edits to it will get removed if the file is opened in a newer version of Excel. Learn more: https://go.microsoft.com/fwlink/?linkid=870924
Comment:
    Just adding these here (they’re not in any other EF excel files). Currnetly, the EFs are the same as bau technology and ERs are only generated by efficiency gains. Can add alternate EFs later.</t>
      </text>
    </comment>
    <comment ref="K46" authorId="2" shapeId="0" xr:uid="{BB8D2AFA-EBE3-394D-A9AA-D1A5605259A8}">
      <text>
        <t xml:space="preserve">[Threaded comment]
Your version of Excel allows you to read this threaded comment; however, any edits to it will get removed if the file is opened in a newer version of Excel. Learn more: https://go.microsoft.com/fwlink/?linkid=870924
Comment:
    Rob Bailis:
includes combustion EF from Smith et al (2000) and 10% CH4 leakage based on default leakage rate from TOOL14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<sst xmlns="http://schemas.openxmlformats.org/spreadsheetml/2006/main" count="25500" uniqueCount="321">
  <si>
    <t>FROM EED</t>
  </si>
  <si>
    <t>Fuel</t>
  </si>
  <si>
    <t>Scenario</t>
  </si>
  <si>
    <t>unit</t>
  </si>
  <si>
    <t>overall</t>
  </si>
  <si>
    <t>biomass</t>
  </si>
  <si>
    <t>BAU-S</t>
  </si>
  <si>
    <t>M hh</t>
  </si>
  <si>
    <t>charcoal</t>
  </si>
  <si>
    <t>Imp_biomass</t>
  </si>
  <si>
    <t>Imp_charcoal</t>
  </si>
  <si>
    <t>Gas</t>
  </si>
  <si>
    <t>kerosene</t>
  </si>
  <si>
    <t>electric</t>
  </si>
  <si>
    <t>pellets</t>
  </si>
  <si>
    <t>ethanol</t>
  </si>
  <si>
    <t>biogas</t>
  </si>
  <si>
    <t>other</t>
  </si>
  <si>
    <t>rural</t>
  </si>
  <si>
    <t>urban</t>
  </si>
  <si>
    <t>population</t>
  </si>
  <si>
    <t>Total M hhs</t>
  </si>
  <si>
    <t>Rural M hhs</t>
  </si>
  <si>
    <t>Urban M hhs</t>
  </si>
  <si>
    <t>Population</t>
  </si>
  <si>
    <t>Urban</t>
  </si>
  <si>
    <t>Rural</t>
  </si>
  <si>
    <t>Region</t>
  </si>
  <si>
    <t>WHO projection (1000s)</t>
  </si>
  <si>
    <t>Total</t>
  </si>
  <si>
    <t>Charcoal</t>
  </si>
  <si>
    <t>Comments</t>
  </si>
  <si>
    <t>2019 is based on MoE study; 2030 and 2050 are from KNCTS targets</t>
  </si>
  <si>
    <t>Fill in blanks with 61% f biomass usedin 2030 and 90% of biomass users in 2050</t>
  </si>
  <si>
    <t>LPG</t>
  </si>
  <si>
    <t>% of HHs</t>
  </si>
  <si>
    <t>fuelwood</t>
  </si>
  <si>
    <t>Imp_fuelwood</t>
  </si>
  <si>
    <t>This is a prototype tool for simulating and tracking fuel consumption and emissions associated with household fuel choice trajectories.</t>
  </si>
  <si>
    <t>Worksheet</t>
  </si>
  <si>
    <t>Kerosene</t>
  </si>
  <si>
    <t>Fuelwood</t>
  </si>
  <si>
    <t>Electricity</t>
  </si>
  <si>
    <t>gas</t>
  </si>
  <si>
    <t xml:space="preserve">HH size </t>
  </si>
  <si>
    <t>HH size</t>
  </si>
  <si>
    <t>Coal</t>
  </si>
  <si>
    <t>URBAN</t>
  </si>
  <si>
    <t>DHS and Census data</t>
  </si>
  <si>
    <t>Assumptions 2030</t>
  </si>
  <si>
    <t>Assumptions 2050</t>
  </si>
  <si>
    <t>Assumptions 2040</t>
  </si>
  <si>
    <t>SCE-2</t>
  </si>
  <si>
    <t>BAU</t>
  </si>
  <si>
    <t>ton/cap-yr</t>
  </si>
  <si>
    <t>MWh/cap-yr</t>
  </si>
  <si>
    <t>Fuel consumption</t>
  </si>
  <si>
    <t>Mtons</t>
  </si>
  <si>
    <t>PJ</t>
  </si>
  <si>
    <t>Calorific values</t>
  </si>
  <si>
    <t>MJ/kg</t>
  </si>
  <si>
    <t>MJ/kWh</t>
  </si>
  <si>
    <t>Mass/vol</t>
  </si>
  <si>
    <t>Energy</t>
  </si>
  <si>
    <t>M USD</t>
  </si>
  <si>
    <t>Total undiscounted</t>
  </si>
  <si>
    <t>Cost (USD inc. taxes)</t>
  </si>
  <si>
    <t>No. of fuel users</t>
  </si>
  <si>
    <t>NICCS</t>
  </si>
  <si>
    <t>Energy consumption (PJ)</t>
  </si>
  <si>
    <t>clean</t>
  </si>
  <si>
    <t>New users 2025-2030</t>
  </si>
  <si>
    <t>New users 2030-2040</t>
  </si>
  <si>
    <t xml:space="preserve">Total </t>
  </si>
  <si>
    <t>ton/HH-yr</t>
  </si>
  <si>
    <t>13 kg cylinders per year</t>
  </si>
  <si>
    <t>Efs in g/kg fuel (g/kWh for elec)</t>
  </si>
  <si>
    <t>Notes</t>
  </si>
  <si>
    <t>Production and processing</t>
  </si>
  <si>
    <t>Firewood*</t>
  </si>
  <si>
    <t>Charcoal*</t>
  </si>
  <si>
    <r>
      <t xml:space="preserve">Ethanol </t>
    </r>
    <r>
      <rPr>
        <b/>
        <vertAlign val="superscript"/>
        <sz val="9"/>
        <color rgb="FF000000"/>
        <rFont val="Calibri Light"/>
        <family val="2"/>
      </rPr>
      <t>b, c</t>
    </r>
  </si>
  <si>
    <r>
      <t xml:space="preserve">Pellets </t>
    </r>
    <r>
      <rPr>
        <b/>
        <vertAlign val="superscript"/>
        <sz val="9"/>
        <color rgb="FF000000"/>
        <rFont val="Calibri Light"/>
        <family val="2"/>
      </rPr>
      <t>c</t>
    </r>
    <r>
      <rPr>
        <b/>
        <sz val="9"/>
        <color theme="1"/>
        <rFont val="Times New Roman"/>
        <family val="1"/>
      </rPr>
      <t xml:space="preserve">  </t>
    </r>
  </si>
  <si>
    <t>Elec**</t>
  </si>
  <si>
    <t>** taken from IFI Dataset of Default Grid Factors v.3.2</t>
  </si>
  <si>
    <t>CO</t>
  </si>
  <si>
    <r>
      <t>NO</t>
    </r>
    <r>
      <rPr>
        <vertAlign val="subscript"/>
        <sz val="9"/>
        <color rgb="FF000000"/>
        <rFont val="Calibri Light"/>
        <family val="2"/>
      </rPr>
      <t>x</t>
    </r>
  </si>
  <si>
    <r>
      <t>PM</t>
    </r>
    <r>
      <rPr>
        <vertAlign val="subscript"/>
        <sz val="9"/>
        <color rgb="FF000000"/>
        <rFont val="Calibri Light"/>
        <family val="2"/>
      </rPr>
      <t>10</t>
    </r>
  </si>
  <si>
    <r>
      <t>PM</t>
    </r>
    <r>
      <rPr>
        <vertAlign val="subscript"/>
        <sz val="9"/>
        <color rgb="FF000000"/>
        <rFont val="Calibri Light"/>
        <family val="2"/>
      </rPr>
      <t>2.5</t>
    </r>
    <r>
      <rPr>
        <sz val="9"/>
        <color rgb="FF000000"/>
        <rFont val="Calibri Light"/>
        <family val="2"/>
      </rPr>
      <t xml:space="preserve"> </t>
    </r>
  </si>
  <si>
    <r>
      <t>SO</t>
    </r>
    <r>
      <rPr>
        <vertAlign val="subscript"/>
        <sz val="9"/>
        <color rgb="FF000000"/>
        <rFont val="Calibri Light"/>
        <family val="2"/>
      </rPr>
      <t>x</t>
    </r>
  </si>
  <si>
    <t>BC</t>
  </si>
  <si>
    <t xml:space="preserve">OC </t>
  </si>
  <si>
    <r>
      <t>CH</t>
    </r>
    <r>
      <rPr>
        <vertAlign val="subscript"/>
        <sz val="9"/>
        <color rgb="FF000000"/>
        <rFont val="Calibri Light"/>
        <family val="2"/>
      </rPr>
      <t>4</t>
    </r>
  </si>
  <si>
    <r>
      <t>N</t>
    </r>
    <r>
      <rPr>
        <vertAlign val="subscript"/>
        <sz val="9"/>
        <color rgb="FF000000"/>
        <rFont val="Calibri Light"/>
        <family val="2"/>
      </rPr>
      <t>2</t>
    </r>
    <r>
      <rPr>
        <sz val="9"/>
        <color rgb="FF000000"/>
        <rFont val="Calibri Light"/>
        <family val="2"/>
      </rPr>
      <t>O</t>
    </r>
  </si>
  <si>
    <t>NMVOC</t>
  </si>
  <si>
    <r>
      <t>CO</t>
    </r>
    <r>
      <rPr>
        <vertAlign val="subscript"/>
        <sz val="9"/>
        <color rgb="FF000000"/>
        <rFont val="Calibri Light"/>
        <family val="2"/>
      </rPr>
      <t>2</t>
    </r>
  </si>
  <si>
    <t>Transportation</t>
  </si>
  <si>
    <t>NOx</t>
  </si>
  <si>
    <t>PM10</t>
  </si>
  <si>
    <t xml:space="preserve">PM2.5 </t>
  </si>
  <si>
    <t>SOx</t>
  </si>
  <si>
    <t>CH4</t>
  </si>
  <si>
    <t>N2O</t>
  </si>
  <si>
    <t>CO2</t>
  </si>
  <si>
    <t>Enduse</t>
  </si>
  <si>
    <r>
      <t>SO</t>
    </r>
    <r>
      <rPr>
        <vertAlign val="subscript"/>
        <sz val="9"/>
        <color rgb="FF000000"/>
        <rFont val="Calibri Light"/>
        <family val="2"/>
      </rPr>
      <t>x</t>
    </r>
    <r>
      <rPr>
        <sz val="9"/>
        <color rgb="FF000000"/>
        <rFont val="Calibri Light"/>
        <family val="2"/>
      </rPr>
      <t xml:space="preserve">  </t>
    </r>
  </si>
  <si>
    <r>
      <t>CO</t>
    </r>
    <r>
      <rPr>
        <vertAlign val="subscript"/>
        <sz val="9"/>
        <color rgb="FF000000"/>
        <rFont val="Calibri Light"/>
        <family val="2"/>
      </rPr>
      <t>2</t>
    </r>
    <r>
      <rPr>
        <sz val="9"/>
        <color rgb="FF000000"/>
        <rFont val="Calibri Light"/>
        <family val="2"/>
      </rPr>
      <t xml:space="preserve"> </t>
    </r>
  </si>
  <si>
    <t>Biomass</t>
  </si>
  <si>
    <t>Ethanol</t>
  </si>
  <si>
    <t>Pellets</t>
  </si>
  <si>
    <t>TNMOC</t>
  </si>
  <si>
    <t>TSP</t>
  </si>
  <si>
    <t>fNRB (fossil fuels = 1, pellets &amp; biogas = 0)</t>
  </si>
  <si>
    <t>GWP - CH4</t>
  </si>
  <si>
    <t>GWP - N2O</t>
  </si>
  <si>
    <r>
      <t>CO</t>
    </r>
    <r>
      <rPr>
        <vertAlign val="subscript"/>
        <sz val="12"/>
        <color theme="1"/>
        <rFont val="Calibri (Body)"/>
      </rPr>
      <t>2</t>
    </r>
    <r>
      <rPr>
        <sz val="12"/>
        <color theme="1"/>
        <rFont val="Aptos Narrow"/>
        <family val="2"/>
        <scheme val="minor"/>
      </rPr>
      <t>e</t>
    </r>
  </si>
  <si>
    <t>CH4 (as CO2)</t>
  </si>
  <si>
    <t>N2O (as CO2)</t>
  </si>
  <si>
    <t>"upstream"</t>
  </si>
  <si>
    <t>Units are in g per kg fuel (kWh for electricity)</t>
  </si>
  <si>
    <t>CO2e</t>
  </si>
  <si>
    <t>Transposed for easy lookup</t>
  </si>
  <si>
    <t>ktons</t>
  </si>
  <si>
    <t>GWh</t>
  </si>
  <si>
    <t>Emissions (CO2e)</t>
  </si>
  <si>
    <t>Emissions (BC)</t>
  </si>
  <si>
    <t>Woodfuel total</t>
  </si>
  <si>
    <t>Total woodfuel</t>
  </si>
  <si>
    <t>% diff</t>
  </si>
  <si>
    <t>% of total cooking energy</t>
  </si>
  <si>
    <t>Trad woodfuel</t>
  </si>
  <si>
    <t>Emissions (CH4)</t>
  </si>
  <si>
    <t>Total CO2e</t>
  </si>
  <si>
    <t>Total BC</t>
  </si>
  <si>
    <t>Total CH4</t>
  </si>
  <si>
    <t>wood eq</t>
  </si>
  <si>
    <t>Summary</t>
  </si>
  <si>
    <t>NICCS_scenario</t>
  </si>
  <si>
    <t>BAU_Scenario</t>
  </si>
  <si>
    <t>BAU_Fuel_cons</t>
  </si>
  <si>
    <t>BAU_emissions</t>
  </si>
  <si>
    <t>NICCS_Fuel_cons</t>
  </si>
  <si>
    <t>NICCS_emissions</t>
  </si>
  <si>
    <t>Cost_diff</t>
  </si>
  <si>
    <t>params</t>
  </si>
  <si>
    <t>efs</t>
  </si>
  <si>
    <t>No. of HHs</t>
  </si>
  <si>
    <t>This sheet shows the percentages and number of households cooking with each primary fuel/stove combination. Data in 2020, 2021 and 2024 are based on actual data points from recent national survey (see "params" worksheet. Data for 2050 are from WHO. Other years are linear extrapolations.</t>
  </si>
  <si>
    <t>This sheet shows fuel consumption, which is derived by multiplying the data from the "BAU_scenario" worksheet by fuel consumption per household, which is listed in the "params" worksheet.</t>
  </si>
  <si>
    <t>This sheet shows emissions of GHGs and SLCPs, which are derived by multiplying the data from the "BAU_Fuel_cons" worksheet by fuel-specific emission factors, which are listed in the "efs" worksheet. It also accounts for fNRB, which is taken from the latest MoFuSS analysis, and is also listed on the "params" sheet.</t>
  </si>
  <si>
    <t>fNRB</t>
  </si>
  <si>
    <t>This sheet shows the percentages and number of households cooking with each primary fuel/stove combination and meeting NICCS 2040 targets. Data match BAU through 2025. Total population matches BAU.</t>
  </si>
  <si>
    <t>This sheet shows fuel consumption, which is derived by multiplying the data from the "NICCS_scenario" worksheet by fuel consumption per household, which is listed in the "params" worksheet.</t>
  </si>
  <si>
    <t>This sheet shows emissions of GHGs and SLCPs, which are derived by multiplying the data from the "NICCS_Fuel_cons" worksheet by fuel-specific emission factors, which are listed in the "efs" worksheet. It also accounts for fNRB, which is taken from the latest MoFuSS analysis, and is also listed on the "params" sheet. We assume fNRB doesn't change, though it would likely be lower from reduced woodfuel demand.</t>
  </si>
  <si>
    <t>This sheet shows the cost differential between the two trajectories.</t>
  </si>
  <si>
    <t>This sheet lists key input parameters including fuel choice data from UBOS surveys, tax rates, fuel consumption per capita, fuel unit costs, and calorific values.</t>
  </si>
  <si>
    <t>This sheet shows population projections from WHO and household size data from DHS and UBOS. The projections in the BAU_scenario and NICCS_scenario worksheets use WHO projections and DHS and UBOS household sizes to estimate no. of rural and urban households through 2050.</t>
  </si>
  <si>
    <t>This sheet shows fuel and stove-specific emission factors used to estimate emissions.</t>
  </si>
  <si>
    <t>This sheet summarises outputs for select years.</t>
  </si>
  <si>
    <t>For report</t>
  </si>
  <si>
    <t/>
  </si>
  <si>
    <t>Mean number of household members</t>
  </si>
  <si>
    <t>Malawi</t>
  </si>
  <si>
    <t>Households using clean fuel for cooking</t>
  </si>
  <si>
    <t>Households using solid fuel for cooking</t>
  </si>
  <si>
    <t>Households who do no cooking in the household</t>
  </si>
  <si>
    <t>Households cooking with other types of fuel</t>
  </si>
  <si>
    <t>Households cooking with dung</t>
  </si>
  <si>
    <t>Households cooking with agricultural crop</t>
  </si>
  <si>
    <t>Households cooking with straw/shrubs/grass</t>
  </si>
  <si>
    <t>Households cooking with wood</t>
  </si>
  <si>
    <t>Households cooking with charcoal</t>
  </si>
  <si>
    <t>Households cooking with coal, lignite</t>
  </si>
  <si>
    <t>Households cooking with kerosene</t>
  </si>
  <si>
    <t>Households cooking with LPG/natural gas/biogas</t>
  </si>
  <si>
    <t>Households cooking with electricity</t>
  </si>
  <si>
    <t>Value</t>
  </si>
  <si>
    <t>Characteristic Label</t>
  </si>
  <si>
    <t>Indicator</t>
  </si>
  <si>
    <t>Survey Year</t>
  </si>
  <si>
    <t>MoFuSS fuel categories</t>
  </si>
  <si>
    <t>coal</t>
  </si>
  <si>
    <t>Traditional charcoal </t>
  </si>
  <si>
    <t>Firewood </t>
  </si>
  <si>
    <t>Electricity </t>
  </si>
  <si>
    <t>LPG </t>
  </si>
  <si>
    <t>Other agricultural residues </t>
  </si>
  <si>
    <t>Sustainable charcoal </t>
  </si>
  <si>
    <t>Sawdust </t>
  </si>
  <si>
    <t>Briquettes </t>
  </si>
  <si>
    <t>Pellets </t>
  </si>
  <si>
    <t>Dung </t>
  </si>
  <si>
    <t>Rice/coffee husks </t>
  </si>
  <si>
    <t>Paraffin </t>
  </si>
  <si>
    <t>Solar </t>
  </si>
  <si>
    <t>Other </t>
  </si>
  <si>
    <t>Total respondents </t>
  </si>
  <si>
    <t>-</t>
  </si>
  <si>
    <t>LL </t>
  </si>
  <si>
    <t>BT </t>
  </si>
  <si>
    <t>MZ </t>
  </si>
  <si>
    <t>ZA </t>
  </si>
  <si>
    <t>Total </t>
  </si>
  <si>
    <t>BL</t>
  </si>
  <si>
    <t>ML</t>
  </si>
  <si>
    <t>iso3</t>
  </si>
  <si>
    <t>country</t>
  </si>
  <si>
    <t>area</t>
  </si>
  <si>
    <t>fuel</t>
  </si>
  <si>
    <t>year</t>
  </si>
  <si>
    <t>percent_median</t>
  </si>
  <si>
    <t>MWI</t>
  </si>
  <si>
    <t>Total Polluting</t>
  </si>
  <si>
    <t>Total Clean</t>
  </si>
  <si>
    <t>population_median</t>
  </si>
  <si>
    <t>RURAL</t>
  </si>
  <si>
    <t>YEAR</t>
  </si>
  <si>
    <t>REGION</t>
  </si>
  <si>
    <t>1000s</t>
  </si>
  <si>
    <t>UN POPULATION EST.</t>
  </si>
  <si>
    <t>North</t>
  </si>
  <si>
    <t>Centre</t>
  </si>
  <si>
    <t>South</t>
  </si>
  <si>
    <t>Solar</t>
  </si>
  <si>
    <t>Battery</t>
  </si>
  <si>
    <t>Paraffin</t>
  </si>
  <si>
    <t>Firewood</t>
  </si>
  <si>
    <t>Grass/Straw</t>
  </si>
  <si>
    <t>Other</t>
  </si>
  <si>
    <t>Main Source of Energy Used for Cooking (%)</t>
  </si>
  <si>
    <t>Main Source of Energy Used for Cooking (No. of HHs)</t>
  </si>
  <si>
    <t>Country Name</t>
  </si>
  <si>
    <t>Percentage of households whose main type of cooking fuel is electricity</t>
  </si>
  <si>
    <t>Percentage of households whose main type of cooking fuel is Liquified Petroleum Gas (LPG) or natural gas or biogas</t>
  </si>
  <si>
    <t>Percentage of households whose main type of cooking fuel is kerosene</t>
  </si>
  <si>
    <t>Percentage of households whose main type of cooking fuel is coal, lignite</t>
  </si>
  <si>
    <t>Percentage of households whose main type of cooking fuel is charcoal</t>
  </si>
  <si>
    <t>Percentage of households whose main type of cooking fuel is wood</t>
  </si>
  <si>
    <t>Percentage of households whose main type of cooking fuel is straw/shrubs/grass</t>
  </si>
  <si>
    <t>Percentage of households whose main type of cooking fuel is agricultural crop</t>
  </si>
  <si>
    <t>Percentage of households whose main type of cooking fuel is dung</t>
  </si>
  <si>
    <t>Percentage of households whose main type of cooking fuel is gasoline</t>
  </si>
  <si>
    <t>Percentage of households cooking with processed biomass (pellets) or woodchips</t>
  </si>
  <si>
    <t>Percentage of households cooking with garbage/plastic</t>
  </si>
  <si>
    <t>Percentage of households cooking with sawdust</t>
  </si>
  <si>
    <t>Percentage of households whose main type of cooking fuel is other</t>
  </si>
  <si>
    <t>Percentage of households who do no cooking in the household</t>
  </si>
  <si>
    <t>Percentage of households using solid fuel for cooking, including coal/lignite, xcharcoal, wood, straw/shrubs/grass, agricultural crops, and animal dung</t>
  </si>
  <si>
    <t>Percentage of households using clean fuel for cooking, including electricity, LPG, natural gas, biogas</t>
  </si>
  <si>
    <t>FROM MCFS MIDLINE SURVEY -- TABLE 11: ENERGY SOURCES USED FOR COOKING B.1A WHICH OF THE FOLLOWING ENERGY SOURCES DO YOU USE IN YOUR HOUSEHOLD FOR COOKING? (%)</t>
  </si>
  <si>
    <t>FROM 2018 CENSUS -- Table 4.4: Households by main source of energy used for lighting and Cooking, 2018</t>
  </si>
  <si>
    <t>DHS data (2000-2017)</t>
  </si>
  <si>
    <t>NEWER DATA</t>
  </si>
  <si>
    <t>FROM LSMS SURVEYS</t>
  </si>
  <si>
    <t>Area</t>
  </si>
  <si>
    <t>Year</t>
  </si>
  <si>
    <t>Electric</t>
  </si>
  <si>
    <t>slope</t>
  </si>
  <si>
    <t>intercept</t>
  </si>
  <si>
    <t>% of popl'n</t>
  </si>
  <si>
    <t>M ppl</t>
  </si>
  <si>
    <t>Linear fit to survey data through 2024</t>
  </si>
  <si>
    <t>Linear fit through 2024</t>
  </si>
  <si>
    <t>From "MWI_MoFuSS_data_review.xlsx"</t>
  </si>
  <si>
    <t>Efficiencies</t>
  </si>
  <si>
    <t>region</t>
  </si>
  <si>
    <t>fuel_tons3</t>
  </si>
  <si>
    <t>fuel_tons1</t>
  </si>
  <si>
    <t>fuel_tons2</t>
  </si>
  <si>
    <t>ssa</t>
  </si>
  <si>
    <t>residential only - pulls directly from "BAU_fuel_cons"</t>
  </si>
  <si>
    <t>For indexing</t>
  </si>
  <si>
    <t>*</t>
  </si>
  <si>
    <t>Charcoal conversion factor</t>
  </si>
  <si>
    <t>tons of charcoal per ton oven-dry wood (using the study's forest:kiln efficiency, converting to oven-dry assuming 20% moisture for the air-dry value given in the report)</t>
  </si>
  <si>
    <t>rural cottage</t>
  </si>
  <si>
    <t>urban cottage</t>
  </si>
  <si>
    <t>Assumptions</t>
  </si>
  <si>
    <t>of rural woodfuel consumption</t>
  </si>
  <si>
    <t>of urban woodfuel consumption</t>
  </si>
  <si>
    <t>All expressed as Mton</t>
  </si>
  <si>
    <t>brickburning</t>
  </si>
  <si>
    <t>schools</t>
  </si>
  <si>
    <t>Mton in 2016 - assume it scales with population</t>
  </si>
  <si>
    <t>urban construction</t>
  </si>
  <si>
    <t>rural construction</t>
  </si>
  <si>
    <t>kg per cap - assume it scales with population</t>
  </si>
  <si>
    <t>food service</t>
  </si>
  <si>
    <t xml:space="preserve">of urban HH demand </t>
  </si>
  <si>
    <t>BEST</t>
  </si>
  <si>
    <t>WISDOM</t>
  </si>
  <si>
    <t>tobacco</t>
  </si>
  <si>
    <t>Trent's model</t>
  </si>
  <si>
    <t>tons (5-yr running average of production from Trent's model)</t>
  </si>
  <si>
    <t>% of residential</t>
  </si>
  <si>
    <t>cottage</t>
  </si>
  <si>
    <t>construction</t>
  </si>
  <si>
    <t>Residential fuel mass in Mton (GWh for elec)</t>
  </si>
  <si>
    <t>All sectors - fuel mass in Mton (GWh for elec)</t>
  </si>
  <si>
    <t>% Non-residential</t>
  </si>
  <si>
    <t>adds non-residential demand to fuel_tons1</t>
  </si>
  <si>
    <t>Near-zero demand to allow regeneration</t>
  </si>
  <si>
    <t>BEFORE CORRECTION</t>
  </si>
  <si>
    <t>CORRECTED</t>
  </si>
  <si>
    <t>UNCORRECTED</t>
  </si>
  <si>
    <t>MOZ</t>
  </si>
  <si>
    <t>Mozambique</t>
  </si>
  <si>
    <t>Overall</t>
  </si>
  <si>
    <t>TZA</t>
  </si>
  <si>
    <t>United Republic of Tanzania</t>
  </si>
  <si>
    <t>ZMB</t>
  </si>
  <si>
    <t>Zambia</t>
  </si>
  <si>
    <t>Non-Residential fuel mass in Mton (GWh for elec)</t>
  </si>
  <si>
    <t>Plots for presentation</t>
  </si>
  <si>
    <t>Residential wood</t>
  </si>
  <si>
    <t>Non-residential wood</t>
  </si>
  <si>
    <t>Residential charcoal (wood-eq)</t>
  </si>
  <si>
    <t>Non-residential charcoal (wood-eq)</t>
  </si>
  <si>
    <t>of residential</t>
  </si>
  <si>
    <t>of total</t>
  </si>
  <si>
    <t>Includes corrections of previous error in charcoal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</si>
</sst>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000"/>
    <numFmt numFmtId="167" formatCode="0.000"/>
    <numFmt numFmtId="168" formatCode="0.0000%"/>
  </numFmts>
  <fonts count="19">
    <font>
      <sz val="12"/>
      <color theme="1"/>
      <name val="Aptos Narrow"/>
      <family val="2"/>
      <scheme val="minor"/>
    </font>
    <font>
      <sz val="12"/>
      <color theme="1"/>
      <name val="Aptos Narrow"/>
      <family val="2"/>
      <scheme val="minor"/>
    </font>
    <font>
      <b/>
      <sz val="8"/>
      <color theme="1"/>
      <name val="Arial"/>
      <family val="2"/>
    </font>
    <font>
      <b/>
      <sz val="12"/>
      <color theme="1"/>
      <name val="Aptos Narrow"/>
      <scheme val="minor"/>
    </font>
    <font>
      <sz val="8"/>
      <name val="Arial"/>
      <family val="2"/>
    </font>
    <font>
      <sz val="12"/>
      <name val="Aptos Narrow"/>
      <scheme val="minor"/>
    </font>
    <font>
      <sz val="8"/>
      <color theme="1"/>
      <name val="Arial"/>
      <family val="2"/>
    </font>
    <font>
      <sz val="12"/>
      <color theme="1"/>
      <name val="Aptos Narrow"/>
      <scheme val="minor"/>
    </font>
    <font>
      <b/>
      <sz val="15"/>
      <color theme="4"/>
      <name val="Arial"/>
      <family val="2"/>
    </font>
    <font>
      <b/>
      <sz val="11"/>
      <color theme="4"/>
      <name val="Arial"/>
      <family val="2"/>
    </font>
    <font>
      <sz val="8"/>
      <name val="Aptos Narrow"/>
      <family val="2"/>
      <scheme val="minor"/>
    </font>
    <font>
      <b/>
      <sz val="12"/>
      <color rgb="FF000000"/>
      <name val="Aptos Narrow"/>
      <scheme val="minor"/>
    </font>
    <font>
      <b/>
      <sz val="12"/>
      <color theme="1"/>
      <name val="Aptos Narrow"/>
      <family val="2"/>
      <scheme val="minor"/>
    </font>
    <font>
      <b/>
      <vertAlign val="superscript"/>
      <sz val="9"/>
      <color rgb="FF000000"/>
      <name val="Calibri Light"/>
      <family val="2"/>
    </font>
    <font>
      <b/>
      <sz val="9"/>
      <color theme="1"/>
      <name val="Times New Roman"/>
      <family val="1"/>
    </font>
    <font>
      <vertAlign val="subscript"/>
      <sz val="9"/>
      <color rgb="FF000000"/>
      <name val="Calibri Light"/>
      <family val="2"/>
    </font>
    <font>
      <sz val="9"/>
      <color rgb="FF000000"/>
      <name val="Calibri Light"/>
      <family val="2"/>
    </font>
    <font>
      <vertAlign val="subscript"/>
      <sz val="12"/>
      <color theme="1"/>
      <name val="Calibri (Body)"/>
    </font>
    <font>
      <b/>
      <sz val="12"/>
      <name val="Aptos Narrow"/>
      <scheme val="minor"/>
    </font>
  </fonts>
  <fills count="7">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theme="8"/>
        <bgColor theme="0" tint="-4.9989318521683403E-2"/>
      </patternFill>
    </fill>
    <fill>
      <patternFill patternType="solid">
        <fgColor theme="0" tint="-0.499984740745262"/>
        <bgColor indexed="64"/>
      </patternFill>
    </fill>
    <fill>
      <patternFill patternType="solid">
        <fgColor rgb="FFFFFF00"/>
        <bgColor rgb="FF000000"/>
      </patternFill>
    </fill>
  </fills>
  <borders count="79">
    <border>
      <left/>
      <right/>
      <top/>
      <bottom/>
      <diagonal/>
    </border>
    <border>
      <left style="thin">
        <color theme="3"/>
      </left>
      <right style="thin">
        <color theme="3"/>
      </right>
      <top style="thin">
        <color theme="3"/>
      </top>
      <bottom style="thin">
        <color theme="3"/>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3"/>
      </left>
      <right/>
      <top style="thin">
        <color theme="3"/>
      </top>
      <bottom style="thin">
        <color theme="3"/>
      </bottom>
      <diagonal/>
    </border>
    <border>
      <left style="medium">
        <color indexed="64"/>
      </left>
      <right style="medium">
        <color indexed="64"/>
      </right>
      <top style="medium">
        <color indexed="64"/>
      </top>
      <bottom style="thin">
        <color theme="3"/>
      </bottom>
      <diagonal/>
    </border>
    <border>
      <left/>
      <right style="thin">
        <color theme="3"/>
      </right>
      <top style="thin">
        <color theme="3"/>
      </top>
      <bottom style="thin">
        <color theme="3"/>
      </bottom>
      <diagonal/>
    </border>
    <border>
      <left style="thin">
        <color theme="0" tint="-0.14996795556505021"/>
      </left>
      <right/>
      <top style="thin">
        <color theme="0" tint="-0.14996795556505021"/>
      </top>
      <bottom style="thin">
        <color theme="0" tint="-0.14996795556505021"/>
      </bottom>
      <diagonal/>
    </border>
    <border>
      <left style="medium">
        <color indexed="64"/>
      </left>
      <right style="medium">
        <color indexed="64"/>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medium">
        <color indexed="64"/>
      </right>
      <top/>
      <bottom/>
      <diagonal/>
    </border>
    <border>
      <left style="medium">
        <color indexed="64"/>
      </left>
      <right style="medium">
        <color indexed="64"/>
      </right>
      <top style="thin">
        <color theme="0" tint="-0.14996795556505021"/>
      </top>
      <bottom style="medium">
        <color indexed="64"/>
      </bottom>
      <diagonal/>
    </border>
    <border>
      <left style="thin">
        <color theme="3" tint="0.79998168889431442"/>
      </left>
      <right style="thin">
        <color theme="3" tint="0.79998168889431442"/>
      </right>
      <top/>
      <bottom style="thin">
        <color theme="3" tint="0.79998168889431442"/>
      </bottom>
      <diagonal/>
    </border>
    <border>
      <left style="thin">
        <color theme="0" tint="-0.14996795556505021"/>
      </left>
      <right style="thin">
        <color theme="0" tint="-0.14996795556505021"/>
      </right>
      <top/>
      <bottom style="thin">
        <color theme="0" tint="-0.14996795556505021"/>
      </bottom>
      <diagonal/>
    </border>
    <border>
      <left style="thin">
        <color theme="3" tint="0.79998168889431442"/>
      </left>
      <right style="thin">
        <color theme="3" tint="0.79998168889431442"/>
      </right>
      <top style="thin">
        <color theme="3" tint="0.79998168889431442"/>
      </top>
      <bottom style="medium">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medium">
        <color indexed="64"/>
      </bottom>
      <diagonal/>
    </border>
    <border>
      <left/>
      <right style="thin">
        <color theme="0" tint="-0.14996795556505021"/>
      </right>
      <top style="thin">
        <color theme="0" tint="-0.14996795556505021"/>
      </top>
      <bottom style="medium">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theme="0" tint="-0.14996795556505021"/>
      </bottom>
      <diagonal/>
    </border>
    <border>
      <left style="thin">
        <color theme="3" tint="0.79998168889431442"/>
      </left>
      <right/>
      <top style="thin">
        <color theme="3" tint="0.79998168889431442"/>
      </top>
      <bottom style="thin">
        <color theme="3" tint="0.79998168889431442"/>
      </bottom>
      <diagonal/>
    </border>
    <border>
      <left style="thin">
        <color theme="3" tint="0.79998168889431442"/>
      </left>
      <right/>
      <top style="thin">
        <color theme="3" tint="0.79998168889431442"/>
      </top>
      <bottom style="medium">
        <color indexed="64"/>
      </bottom>
      <diagonal/>
    </border>
    <border>
      <left style="thin">
        <color theme="3" tint="0.79998168889431442"/>
      </left>
      <right/>
      <top/>
      <bottom style="thin">
        <color theme="3" tint="0.79998168889431442"/>
      </bottom>
      <diagonal/>
    </border>
    <border>
      <left/>
      <right style="thin">
        <color theme="3" tint="0.79998168889431442"/>
      </right>
      <top style="thin">
        <color theme="3" tint="0.79998168889431442"/>
      </top>
      <bottom style="thin">
        <color theme="3" tint="0.79998168889431442"/>
      </bottom>
      <diagonal/>
    </border>
    <border>
      <left/>
      <right style="thin">
        <color theme="3" tint="0.79998168889431442"/>
      </right>
      <top style="thin">
        <color theme="3" tint="0.79998168889431442"/>
      </top>
      <bottom style="medium">
        <color indexed="64"/>
      </bottom>
      <diagonal/>
    </border>
    <border>
      <left/>
      <right style="thin">
        <color theme="3" tint="0.79998168889431442"/>
      </right>
      <top/>
      <bottom style="thin">
        <color theme="3" tint="0.79998168889431442"/>
      </bottom>
      <diagonal/>
    </border>
    <border>
      <left style="medium">
        <color indexed="64"/>
      </left>
      <right style="medium">
        <color indexed="64"/>
      </right>
      <top style="thin">
        <color theme="3" tint="0.79998168889431442"/>
      </top>
      <bottom style="thin">
        <color theme="3" tint="0.79998168889431442"/>
      </bottom>
      <diagonal/>
    </border>
    <border>
      <left style="medium">
        <color indexed="64"/>
      </left>
      <right style="medium">
        <color indexed="64"/>
      </right>
      <top style="thin">
        <color theme="3" tint="0.79998168889431442"/>
      </top>
      <bottom style="medium">
        <color indexed="64"/>
      </bottom>
      <diagonal/>
    </border>
    <border>
      <left style="medium">
        <color indexed="64"/>
      </left>
      <right style="medium">
        <color indexed="64"/>
      </right>
      <top/>
      <bottom style="thin">
        <color theme="3" tint="0.79998168889431442"/>
      </bottom>
      <diagonal/>
    </border>
    <border>
      <left/>
      <right/>
      <top/>
      <bottom style="thick">
        <color theme="3"/>
      </bottom>
      <diagonal/>
    </border>
    <border>
      <left/>
      <right/>
      <top/>
      <bottom style="medium">
        <color theme="3" tint="0.59996337778862885"/>
      </bottom>
      <diagonal/>
    </border>
    <border>
      <left/>
      <right/>
      <top style="thin">
        <color theme="3"/>
      </top>
      <bottom style="thin">
        <color theme="3"/>
      </bottom>
      <diagonal/>
    </border>
    <border>
      <left/>
      <right/>
      <top style="thin">
        <color theme="0" tint="-0.14996795556505021"/>
      </top>
      <bottom style="thin">
        <color theme="0" tint="-0.14996795556505021"/>
      </bottom>
      <diagonal/>
    </border>
    <border>
      <left/>
      <right/>
      <top style="thin">
        <color theme="0" tint="-0.14996795556505021"/>
      </top>
      <bottom style="medium">
        <color indexed="64"/>
      </bottom>
      <diagonal/>
    </border>
    <border>
      <left style="thin">
        <color theme="0" tint="-0.14996795556505021"/>
      </left>
      <right style="thin">
        <color theme="0" tint="-0.14996795556505021"/>
      </right>
      <top/>
      <bottom/>
      <diagonal/>
    </border>
    <border>
      <left style="medium">
        <color indexed="64"/>
      </left>
      <right/>
      <top style="medium">
        <color indexed="64"/>
      </top>
      <bottom style="thin">
        <color theme="0" tint="-0.14996795556505021"/>
      </bottom>
      <diagonal/>
    </border>
    <border>
      <left style="medium">
        <color indexed="64"/>
      </left>
      <right/>
      <top style="thin">
        <color theme="0" tint="-0.14996795556505021"/>
      </top>
      <bottom style="thin">
        <color theme="0" tint="-0.14996795556505021"/>
      </bottom>
      <diagonal/>
    </border>
    <border>
      <left style="medium">
        <color indexed="64"/>
      </left>
      <right/>
      <top/>
      <bottom/>
      <diagonal/>
    </border>
    <border>
      <left style="medium">
        <color indexed="64"/>
      </left>
      <right/>
      <top style="thin">
        <color theme="0" tint="-0.14996795556505021"/>
      </top>
      <bottom style="medium">
        <color indexed="64"/>
      </bottom>
      <diagonal/>
    </border>
    <border>
      <left style="medium">
        <color indexed="64"/>
      </left>
      <right style="medium">
        <color indexed="64"/>
      </right>
      <top style="medium">
        <color indexed="64"/>
      </top>
      <bottom/>
      <diagonal/>
    </border>
    <border>
      <left style="medium">
        <color indexed="64"/>
      </left>
      <right style="thin">
        <color theme="3" tint="0.79998168889431442"/>
      </right>
      <top style="medium">
        <color indexed="64"/>
      </top>
      <bottom style="thin">
        <color theme="3" tint="0.79998168889431442"/>
      </bottom>
      <diagonal/>
    </border>
    <border>
      <left style="thin">
        <color theme="3" tint="0.79998168889431442"/>
      </left>
      <right style="thin">
        <color theme="3" tint="0.79998168889431442"/>
      </right>
      <top style="medium">
        <color indexed="64"/>
      </top>
      <bottom style="thin">
        <color theme="3" tint="0.79998168889431442"/>
      </bottom>
      <diagonal/>
    </border>
    <border>
      <left style="thin">
        <color theme="0" tint="-0.14996795556505021"/>
      </left>
      <right style="thin">
        <color theme="0" tint="-0.14996795556505021"/>
      </right>
      <top style="medium">
        <color indexed="64"/>
      </top>
      <bottom style="thin">
        <color theme="0" tint="-0.14996795556505021"/>
      </bottom>
      <diagonal/>
    </border>
    <border>
      <left style="thin">
        <color theme="3" tint="0.79998168889431442"/>
      </left>
      <right style="medium">
        <color indexed="64"/>
      </right>
      <top style="medium">
        <color indexed="64"/>
      </top>
      <bottom style="thin">
        <color theme="3" tint="0.79998168889431442"/>
      </bottom>
      <diagonal/>
    </border>
    <border>
      <left style="medium">
        <color indexed="64"/>
      </left>
      <right style="thin">
        <color theme="3" tint="0.79998168889431442"/>
      </right>
      <top style="thin">
        <color theme="3" tint="0.79998168889431442"/>
      </top>
      <bottom style="thin">
        <color theme="3" tint="0.79998168889431442"/>
      </bottom>
      <diagonal/>
    </border>
    <border>
      <left style="thin">
        <color theme="3" tint="0.79998168889431442"/>
      </left>
      <right style="medium">
        <color indexed="64"/>
      </right>
      <top style="thin">
        <color theme="3" tint="0.79998168889431442"/>
      </top>
      <bottom style="thin">
        <color theme="3" tint="0.79998168889431442"/>
      </bottom>
      <diagonal/>
    </border>
    <border>
      <left style="medium">
        <color indexed="64"/>
      </left>
      <right style="thin">
        <color theme="3" tint="0.79998168889431442"/>
      </right>
      <top style="thin">
        <color theme="3" tint="0.79998168889431442"/>
      </top>
      <bottom style="medium">
        <color indexed="64"/>
      </bottom>
      <diagonal/>
    </border>
    <border>
      <left style="thin">
        <color theme="3" tint="0.79998168889431442"/>
      </left>
      <right style="medium">
        <color indexed="64"/>
      </right>
      <top style="thin">
        <color theme="3" tint="0.79998168889431442"/>
      </top>
      <bottom style="medium">
        <color indexed="64"/>
      </bottom>
      <diagonal/>
    </border>
    <border>
      <left style="medium">
        <color indexed="64"/>
      </left>
      <right style="thin">
        <color theme="0" tint="-0.14996795556505021"/>
      </right>
      <top style="medium">
        <color indexed="64"/>
      </top>
      <bottom style="thin">
        <color theme="0" tint="-0.14996795556505021"/>
      </bottom>
      <diagonal/>
    </border>
    <border>
      <left style="medium">
        <color indexed="64"/>
      </left>
      <right style="thin">
        <color theme="0" tint="-0.14996795556505021"/>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
      <left style="medium">
        <color indexed="64"/>
      </left>
      <right style="thin">
        <color theme="0" tint="-0.14996795556505021"/>
      </right>
      <top style="thin">
        <color theme="0" tint="-0.14996795556505021"/>
      </top>
      <bottom/>
      <diagonal/>
    </border>
    <border>
      <left/>
      <right style="medium">
        <color indexed="64"/>
      </right>
      <top style="medium">
        <color indexed="64"/>
      </top>
      <bottom style="thin">
        <color theme="3"/>
      </bottom>
      <diagonal/>
    </border>
    <border>
      <left style="thin">
        <color theme="3"/>
      </left>
      <right style="thin">
        <color theme="3"/>
      </right>
      <top style="thin">
        <color theme="3"/>
      </top>
      <bottom/>
      <diagonal/>
    </border>
    <border>
      <left style="thin">
        <color theme="3"/>
      </left>
      <right/>
      <top style="thin">
        <color theme="3"/>
      </top>
      <bottom/>
      <diagonal/>
    </border>
    <border>
      <left style="thin">
        <color theme="3" tint="0.79998168889431442"/>
      </left>
      <right style="medium">
        <color indexed="64"/>
      </right>
      <top/>
      <bottom style="thin">
        <color theme="3" tint="0.79998168889431442"/>
      </bottom>
      <diagonal/>
    </border>
    <border>
      <left style="medium">
        <color indexed="64"/>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theme="3"/>
      </right>
      <top style="thin">
        <color theme="3"/>
      </top>
      <bottom/>
      <diagonal/>
    </border>
    <border>
      <left style="thin">
        <color rgb="FF0E2841"/>
      </left>
      <right style="thin">
        <color rgb="FF0E2841"/>
      </right>
      <top style="thin">
        <color rgb="FF0E2841"/>
      </top>
      <bottom style="thin">
        <color rgb="FF0E2841"/>
      </bottom>
      <diagonal/>
    </border>
    <border>
      <left style="thin">
        <color theme="3" tint="0.79998168889431442"/>
      </left>
      <right/>
      <top style="medium">
        <color indexed="64"/>
      </top>
      <bottom style="thin">
        <color theme="3" tint="0.79998168889431442"/>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14996795556505021"/>
      </right>
      <top/>
      <bottom style="thin">
        <color theme="0" tint="-0.14996795556505021"/>
      </bottom>
      <diagonal/>
    </border>
    <border>
      <left style="medium">
        <color indexed="64"/>
      </left>
      <right style="medium">
        <color indexed="64"/>
      </right>
      <top/>
      <bottom style="thin">
        <color theme="0" tint="-0.14996795556505021"/>
      </bottom>
      <diagonal/>
    </border>
    <border>
      <left/>
      <right style="thin">
        <color theme="3"/>
      </right>
      <top style="medium">
        <color indexed="64"/>
      </top>
      <bottom style="medium">
        <color indexed="64"/>
      </bottom>
      <diagonal/>
    </border>
  </borders>
  <cellStyleXfs count="9">
    <xf numFmtId="0" fontId="0" fillId="0" borderId="0"/>
    <xf numFmtId="9" fontId="1" fillId="0" borderId="0" applyFont="0" applyFill="0" applyBorder="0" applyAlignment="0" applyProtection="0"/>
    <xf numFmtId="49" fontId="2" fillId="0" borderId="1" applyNumberFormat="0" applyProtection="0">
      <alignment vertical="center"/>
      <protection locked="0"/>
    </xf>
    <xf numFmtId="2" fontId="4" fillId="4" borderId="2" applyNumberFormat="0" applyProtection="0">
      <alignment vertical="center"/>
      <protection locked="0"/>
    </xf>
    <xf numFmtId="0" fontId="6" fillId="2" borderId="3" applyNumberFormat="0" applyProtection="0">
      <alignment vertical="center"/>
    </xf>
    <xf numFmtId="0" fontId="8" fillId="0" borderId="33" applyNumberFormat="0" applyFill="0" applyAlignment="0" applyProtection="0"/>
    <xf numFmtId="0" fontId="4" fillId="0" borderId="0"/>
    <xf numFmtId="0" fontId="9" fillId="0" borderId="34" applyNumberFormat="0" applyFill="0" applyAlignment="0" applyProtection="0"/>
    <xf numFmtId="9" fontId="4" fillId="0" borderId="0" applyFont="0" applyFill="0" applyBorder="0" applyAlignment="0" applyProtection="0"/>
  </cellStyleXfs>
  <cellXfs count="216">
    <xf numFmtId="0" fontId="0" fillId="0" borderId="0" xfId="0"/>
    <xf numFmtId="0" fontId="3" fillId="3" borderId="1" xfId="2" applyNumberFormat="1" applyFont="1" applyFill="1" applyProtection="1">
      <alignment vertical="center"/>
    </xf>
    <xf numFmtId="0" fontId="3" fillId="0" borderId="1" xfId="2" applyNumberFormat="1" applyFont="1" applyProtection="1">
      <alignment vertical="center"/>
    </xf>
    <xf numFmtId="9" fontId="5" fillId="0" borderId="2" xfId="3" applyNumberFormat="1" applyFont="1" applyFill="1" applyProtection="1">
      <alignment vertical="center"/>
    </xf>
    <xf numFmtId="0" fontId="7" fillId="2" borderId="3" xfId="4" applyFont="1">
      <alignment vertical="center"/>
    </xf>
    <xf numFmtId="2" fontId="5" fillId="0" borderId="2" xfId="3" applyNumberFormat="1" applyFont="1" applyFill="1" applyProtection="1">
      <alignment vertical="center"/>
    </xf>
    <xf numFmtId="0" fontId="7" fillId="0" borderId="0" xfId="0" applyFont="1"/>
    <xf numFmtId="0" fontId="3" fillId="0" borderId="4" xfId="2" applyNumberFormat="1" applyFont="1" applyBorder="1" applyProtection="1">
      <alignment vertical="center"/>
    </xf>
    <xf numFmtId="0" fontId="3" fillId="0" borderId="5" xfId="2" applyNumberFormat="1" applyFont="1" applyBorder="1" applyProtection="1">
      <alignment vertical="center"/>
    </xf>
    <xf numFmtId="0" fontId="3" fillId="0" borderId="6" xfId="2" applyNumberFormat="1" applyFont="1" applyBorder="1" applyProtection="1">
      <alignment vertical="center"/>
    </xf>
    <xf numFmtId="0" fontId="7" fillId="2" borderId="7" xfId="4" applyFont="1" applyBorder="1">
      <alignment vertical="center"/>
    </xf>
    <xf numFmtId="9" fontId="7" fillId="2" borderId="8" xfId="1" applyFont="1" applyFill="1" applyBorder="1" applyAlignment="1">
      <alignment vertical="center"/>
    </xf>
    <xf numFmtId="9" fontId="7" fillId="2" borderId="9" xfId="1" applyFont="1" applyFill="1" applyBorder="1" applyAlignment="1">
      <alignment vertical="center"/>
    </xf>
    <xf numFmtId="9" fontId="7" fillId="2" borderId="3" xfId="1" applyFont="1" applyFill="1" applyBorder="1" applyAlignment="1">
      <alignment vertical="center"/>
    </xf>
    <xf numFmtId="9" fontId="7" fillId="2" borderId="7" xfId="1" applyFont="1" applyFill="1" applyBorder="1" applyAlignment="1">
      <alignment vertical="center"/>
    </xf>
    <xf numFmtId="0" fontId="0" fillId="0" borderId="10" xfId="0" applyBorder="1"/>
    <xf numFmtId="1" fontId="0" fillId="0" borderId="10" xfId="0" applyNumberFormat="1" applyBorder="1"/>
    <xf numFmtId="9" fontId="7" fillId="2" borderId="11" xfId="1" applyFont="1" applyFill="1" applyBorder="1" applyAlignment="1">
      <alignment vertical="center"/>
    </xf>
    <xf numFmtId="2" fontId="0" fillId="0" borderId="0" xfId="0" applyNumberFormat="1"/>
    <xf numFmtId="0" fontId="7" fillId="2" borderId="0" xfId="4" applyFont="1" applyBorder="1">
      <alignment vertical="center"/>
    </xf>
    <xf numFmtId="3" fontId="0" fillId="0" borderId="0" xfId="0" applyNumberFormat="1"/>
    <xf numFmtId="9" fontId="0" fillId="0" borderId="0" xfId="1" applyFont="1"/>
    <xf numFmtId="9" fontId="0" fillId="0" borderId="0" xfId="0" applyNumberFormat="1"/>
    <xf numFmtId="0" fontId="0" fillId="0" borderId="0" xfId="0" applyAlignment="1">
      <alignment wrapText="1"/>
    </xf>
    <xf numFmtId="9" fontId="0" fillId="3" borderId="10" xfId="1" applyFont="1" applyFill="1" applyBorder="1"/>
    <xf numFmtId="0" fontId="3" fillId="0" borderId="0" xfId="0" applyFont="1"/>
    <xf numFmtId="164" fontId="0" fillId="3" borderId="10" xfId="1" applyNumberFormat="1" applyFont="1" applyFill="1" applyBorder="1"/>
    <xf numFmtId="3" fontId="0" fillId="0" borderId="0" xfId="0" applyNumberFormat="1" applyAlignment="1">
      <alignment wrapText="1"/>
    </xf>
    <xf numFmtId="9" fontId="5" fillId="0" borderId="12" xfId="3" applyNumberFormat="1" applyFont="1" applyFill="1" applyBorder="1" applyProtection="1">
      <alignment vertical="center"/>
    </xf>
    <xf numFmtId="0" fontId="7" fillId="2" borderId="13" xfId="4" applyFont="1" applyBorder="1">
      <alignment vertical="center"/>
    </xf>
    <xf numFmtId="2" fontId="5" fillId="0" borderId="12" xfId="3" applyNumberFormat="1" applyFont="1" applyFill="1" applyBorder="1" applyProtection="1">
      <alignment vertical="center"/>
    </xf>
    <xf numFmtId="9" fontId="5" fillId="0" borderId="14" xfId="3" applyNumberFormat="1" applyFont="1" applyFill="1" applyBorder="1" applyProtection="1">
      <alignment vertical="center"/>
    </xf>
    <xf numFmtId="0" fontId="7" fillId="2" borderId="15" xfId="4" applyFont="1" applyBorder="1">
      <alignment vertical="center"/>
    </xf>
    <xf numFmtId="2" fontId="5" fillId="0" borderId="14" xfId="3" applyNumberFormat="1" applyFont="1" applyFill="1" applyBorder="1" applyProtection="1">
      <alignment vertical="center"/>
    </xf>
    <xf numFmtId="0" fontId="0" fillId="3" borderId="0" xfId="0" applyFill="1"/>
    <xf numFmtId="0" fontId="7" fillId="2" borderId="16" xfId="4" applyFont="1" applyBorder="1">
      <alignment vertical="center"/>
    </xf>
    <xf numFmtId="0" fontId="7" fillId="2" borderId="17" xfId="4" applyFont="1" applyBorder="1">
      <alignment vertical="center"/>
    </xf>
    <xf numFmtId="9" fontId="7" fillId="2" borderId="18" xfId="1" applyFont="1" applyFill="1" applyBorder="1" applyAlignment="1">
      <alignment vertical="center"/>
    </xf>
    <xf numFmtId="9" fontId="7" fillId="2" borderId="15" xfId="1" applyFont="1" applyFill="1" applyBorder="1" applyAlignment="1">
      <alignment vertical="center"/>
    </xf>
    <xf numFmtId="9" fontId="7" fillId="2" borderId="17" xfId="1" applyFont="1" applyFill="1" applyBorder="1" applyAlignment="1">
      <alignment vertical="center"/>
    </xf>
    <xf numFmtId="0" fontId="7" fillId="2" borderId="19" xfId="4" applyFont="1" applyBorder="1">
      <alignment vertical="center"/>
    </xf>
    <xf numFmtId="0" fontId="7" fillId="2" borderId="20" xfId="4" applyFont="1" applyBorder="1">
      <alignment vertical="center"/>
    </xf>
    <xf numFmtId="9" fontId="5" fillId="0" borderId="24" xfId="3" applyNumberFormat="1" applyFont="1" applyFill="1" applyBorder="1" applyProtection="1">
      <alignment vertical="center"/>
    </xf>
    <xf numFmtId="9" fontId="5" fillId="0" borderId="25" xfId="3" applyNumberFormat="1" applyFont="1" applyFill="1" applyBorder="1" applyProtection="1">
      <alignment vertical="center"/>
    </xf>
    <xf numFmtId="9" fontId="5" fillId="0" borderId="26" xfId="3" applyNumberFormat="1" applyFont="1" applyFill="1" applyBorder="1" applyProtection="1">
      <alignment vertical="center"/>
    </xf>
    <xf numFmtId="2" fontId="5" fillId="0" borderId="24" xfId="3" applyNumberFormat="1" applyFont="1" applyFill="1" applyBorder="1" applyProtection="1">
      <alignment vertical="center"/>
    </xf>
    <xf numFmtId="2" fontId="5" fillId="0" borderId="25" xfId="3" applyNumberFormat="1" applyFont="1" applyFill="1" applyBorder="1" applyProtection="1">
      <alignment vertical="center"/>
    </xf>
    <xf numFmtId="2" fontId="5" fillId="0" borderId="26" xfId="3" applyNumberFormat="1" applyFont="1" applyFill="1" applyBorder="1" applyProtection="1">
      <alignment vertical="center"/>
    </xf>
    <xf numFmtId="2" fontId="5" fillId="0" borderId="27" xfId="3" applyNumberFormat="1" applyFont="1" applyFill="1" applyBorder="1" applyProtection="1">
      <alignment vertical="center"/>
    </xf>
    <xf numFmtId="2" fontId="5" fillId="0" borderId="28" xfId="3" applyNumberFormat="1" applyFont="1" applyFill="1" applyBorder="1" applyProtection="1">
      <alignment vertical="center"/>
    </xf>
    <xf numFmtId="2" fontId="5" fillId="0" borderId="29" xfId="3" applyNumberFormat="1" applyFont="1" applyFill="1" applyBorder="1" applyProtection="1">
      <alignment vertical="center"/>
    </xf>
    <xf numFmtId="2" fontId="5" fillId="0" borderId="30" xfId="3" applyNumberFormat="1" applyFont="1" applyFill="1" applyBorder="1" applyProtection="1">
      <alignment vertical="center"/>
    </xf>
    <xf numFmtId="2" fontId="5" fillId="0" borderId="31" xfId="3" applyNumberFormat="1" applyFont="1" applyFill="1" applyBorder="1" applyProtection="1">
      <alignment vertical="center"/>
    </xf>
    <xf numFmtId="2" fontId="5" fillId="0" borderId="32" xfId="3" applyNumberFormat="1" applyFont="1" applyFill="1" applyBorder="1" applyProtection="1">
      <alignment vertical="center"/>
    </xf>
    <xf numFmtId="165" fontId="0" fillId="0" borderId="0" xfId="0" applyNumberFormat="1"/>
    <xf numFmtId="1" fontId="0" fillId="0" borderId="0" xfId="0" applyNumberFormat="1"/>
    <xf numFmtId="0" fontId="3" fillId="0" borderId="35" xfId="2" applyNumberFormat="1" applyFont="1" applyBorder="1" applyProtection="1">
      <alignment vertical="center"/>
    </xf>
    <xf numFmtId="9" fontId="7" fillId="2" borderId="36" xfId="1" applyFont="1" applyFill="1" applyBorder="1" applyAlignment="1">
      <alignment vertical="center"/>
    </xf>
    <xf numFmtId="9" fontId="7" fillId="2" borderId="37" xfId="1" applyFont="1" applyFill="1" applyBorder="1" applyAlignment="1">
      <alignment vertical="center"/>
    </xf>
    <xf numFmtId="0" fontId="7" fillId="2" borderId="38" xfId="4" applyFont="1" applyBorder="1">
      <alignment vertical="center"/>
    </xf>
    <xf numFmtId="9" fontId="7" fillId="0" borderId="8" xfId="1" applyFont="1" applyFill="1" applyBorder="1" applyAlignment="1">
      <alignment vertical="center"/>
    </xf>
    <xf numFmtId="9" fontId="7" fillId="0" borderId="9" xfId="1" applyFont="1" applyFill="1" applyBorder="1" applyAlignment="1">
      <alignment vertical="center"/>
    </xf>
    <xf numFmtId="9" fontId="7" fillId="0" borderId="3" xfId="1" applyFont="1" applyFill="1" applyBorder="1" applyAlignment="1">
      <alignment vertical="center"/>
    </xf>
    <xf numFmtId="9" fontId="7" fillId="0" borderId="7" xfId="1" applyFont="1" applyFill="1" applyBorder="1" applyAlignment="1">
      <alignment vertical="center"/>
    </xf>
    <xf numFmtId="9" fontId="0" fillId="0" borderId="10" xfId="1" applyFont="1" applyFill="1" applyBorder="1"/>
    <xf numFmtId="9" fontId="0" fillId="0" borderId="10" xfId="0" applyNumberFormat="1" applyBorder="1"/>
    <xf numFmtId="9" fontId="7" fillId="0" borderId="11" xfId="1" applyFont="1" applyFill="1" applyBorder="1" applyAlignment="1">
      <alignment vertical="center"/>
    </xf>
    <xf numFmtId="9" fontId="7" fillId="0" borderId="18" xfId="1" applyFont="1" applyFill="1" applyBorder="1" applyAlignment="1">
      <alignment vertical="center"/>
    </xf>
    <xf numFmtId="9" fontId="7" fillId="0" borderId="15" xfId="1" applyFont="1" applyFill="1" applyBorder="1" applyAlignment="1">
      <alignment vertical="center"/>
    </xf>
    <xf numFmtId="9" fontId="7" fillId="0" borderId="17" xfId="1" applyFont="1" applyFill="1" applyBorder="1" applyAlignment="1">
      <alignment vertical="center"/>
    </xf>
    <xf numFmtId="9" fontId="7" fillId="0" borderId="23" xfId="1" applyFont="1" applyFill="1" applyBorder="1" applyAlignment="1">
      <alignment vertical="center"/>
    </xf>
    <xf numFmtId="9" fontId="7" fillId="0" borderId="39" xfId="1" applyFont="1" applyFill="1" applyBorder="1" applyAlignment="1">
      <alignment vertical="center"/>
    </xf>
    <xf numFmtId="9" fontId="7" fillId="0" borderId="40" xfId="1" applyFont="1" applyFill="1" applyBorder="1" applyAlignment="1">
      <alignment vertical="center"/>
    </xf>
    <xf numFmtId="9" fontId="0" fillId="0" borderId="41" xfId="1" applyFont="1" applyFill="1" applyBorder="1"/>
    <xf numFmtId="9" fontId="0" fillId="0" borderId="41" xfId="0" applyNumberFormat="1" applyBorder="1"/>
    <xf numFmtId="9" fontId="7" fillId="0" borderId="42" xfId="1" applyFont="1" applyFill="1" applyBorder="1" applyAlignment="1">
      <alignment vertical="center"/>
    </xf>
    <xf numFmtId="9" fontId="0" fillId="3" borderId="43" xfId="0" applyNumberFormat="1" applyFill="1" applyBorder="1"/>
    <xf numFmtId="0" fontId="0" fillId="3" borderId="10" xfId="0" applyFill="1" applyBorder="1"/>
    <xf numFmtId="9" fontId="0" fillId="3" borderId="10" xfId="0" applyNumberFormat="1" applyFill="1" applyBorder="1"/>
    <xf numFmtId="0" fontId="0" fillId="3" borderId="22" xfId="0" applyFill="1" applyBorder="1"/>
    <xf numFmtId="164" fontId="0" fillId="3" borderId="10" xfId="0" applyNumberFormat="1" applyFill="1" applyBorder="1"/>
    <xf numFmtId="0" fontId="0" fillId="5" borderId="43" xfId="0" applyFill="1" applyBorder="1"/>
    <xf numFmtId="0" fontId="0" fillId="5" borderId="10" xfId="0" applyFill="1" applyBorder="1"/>
    <xf numFmtId="9" fontId="7" fillId="3" borderId="8" xfId="1" applyFont="1" applyFill="1" applyBorder="1" applyAlignment="1">
      <alignment vertical="center"/>
    </xf>
    <xf numFmtId="9" fontId="0" fillId="3" borderId="22" xfId="1" applyFont="1" applyFill="1" applyBorder="1"/>
    <xf numFmtId="9" fontId="0" fillId="3" borderId="22" xfId="0" applyNumberFormat="1" applyFill="1" applyBorder="1"/>
    <xf numFmtId="9" fontId="5" fillId="0" borderId="44" xfId="3" applyNumberFormat="1" applyFont="1" applyFill="1" applyBorder="1" applyProtection="1">
      <alignment vertical="center"/>
    </xf>
    <xf numFmtId="9" fontId="5" fillId="0" borderId="45" xfId="3" applyNumberFormat="1" applyFont="1" applyFill="1" applyBorder="1" applyProtection="1">
      <alignment vertical="center"/>
    </xf>
    <xf numFmtId="0" fontId="7" fillId="2" borderId="46" xfId="4" applyFont="1" applyBorder="1">
      <alignment vertical="center"/>
    </xf>
    <xf numFmtId="9" fontId="5" fillId="0" borderId="47" xfId="3" applyNumberFormat="1" applyFont="1" applyFill="1" applyBorder="1" applyProtection="1">
      <alignment vertical="center"/>
    </xf>
    <xf numFmtId="9" fontId="5" fillId="0" borderId="48" xfId="3" applyNumberFormat="1" applyFont="1" applyFill="1" applyBorder="1" applyProtection="1">
      <alignment vertical="center"/>
    </xf>
    <xf numFmtId="9" fontId="5" fillId="0" borderId="49" xfId="3" applyNumberFormat="1" applyFont="1" applyFill="1" applyBorder="1" applyProtection="1">
      <alignment vertical="center"/>
    </xf>
    <xf numFmtId="9" fontId="5" fillId="0" borderId="50" xfId="3" applyNumberFormat="1" applyFont="1" applyFill="1" applyBorder="1" applyProtection="1">
      <alignment vertical="center"/>
    </xf>
    <xf numFmtId="9" fontId="5" fillId="0" borderId="51" xfId="3" applyNumberFormat="1" applyFont="1" applyFill="1" applyBorder="1" applyProtection="1">
      <alignment vertical="center"/>
    </xf>
    <xf numFmtId="0" fontId="7" fillId="2" borderId="52" xfId="4" applyFont="1" applyBorder="1">
      <alignment vertical="center"/>
    </xf>
    <xf numFmtId="0" fontId="7" fillId="2" borderId="53" xfId="4" applyFont="1" applyBorder="1">
      <alignment vertical="center"/>
    </xf>
    <xf numFmtId="0" fontId="7" fillId="2" borderId="54" xfId="4" applyFont="1" applyBorder="1">
      <alignment vertical="center"/>
    </xf>
    <xf numFmtId="0" fontId="7" fillId="2" borderId="55" xfId="4" applyFont="1" applyBorder="1">
      <alignment vertical="center"/>
    </xf>
    <xf numFmtId="0" fontId="3" fillId="0" borderId="56" xfId="2" applyNumberFormat="1" applyFont="1" applyBorder="1" applyProtection="1">
      <alignment vertical="center"/>
    </xf>
    <xf numFmtId="0" fontId="3" fillId="0" borderId="57" xfId="2" applyNumberFormat="1" applyFont="1" applyBorder="1" applyProtection="1">
      <alignment vertical="center"/>
    </xf>
    <xf numFmtId="0" fontId="3" fillId="0" borderId="58" xfId="2" applyNumberFormat="1" applyFont="1" applyBorder="1" applyProtection="1">
      <alignment vertical="center"/>
    </xf>
    <xf numFmtId="9" fontId="5" fillId="0" borderId="59" xfId="3" applyNumberFormat="1" applyFont="1" applyFill="1" applyBorder="1" applyProtection="1">
      <alignment vertical="center"/>
    </xf>
    <xf numFmtId="0" fontId="3" fillId="0" borderId="61" xfId="2" applyNumberFormat="1" applyFont="1" applyBorder="1" applyProtection="1">
      <alignment vertical="center"/>
    </xf>
    <xf numFmtId="0" fontId="3" fillId="0" borderId="62" xfId="2" applyNumberFormat="1" applyFont="1" applyBorder="1" applyProtection="1">
      <alignment vertical="center"/>
    </xf>
    <xf numFmtId="9" fontId="5" fillId="0" borderId="0" xfId="3" applyNumberFormat="1" applyFont="1" applyFill="1" applyBorder="1" applyProtection="1">
      <alignment vertical="center"/>
    </xf>
    <xf numFmtId="0" fontId="3" fillId="0" borderId="43" xfId="2" applyNumberFormat="1" applyFont="1" applyBorder="1" applyProtection="1">
      <alignment vertical="center"/>
    </xf>
    <xf numFmtId="0" fontId="3" fillId="0" borderId="69" xfId="2" applyNumberFormat="1" applyFont="1" applyBorder="1" applyProtection="1">
      <alignment vertical="center"/>
    </xf>
    <xf numFmtId="2" fontId="0" fillId="0" borderId="63" xfId="0" applyNumberFormat="1" applyBorder="1"/>
    <xf numFmtId="2" fontId="0" fillId="0" borderId="64" xfId="0" applyNumberFormat="1" applyBorder="1"/>
    <xf numFmtId="2" fontId="0" fillId="0" borderId="65" xfId="0" applyNumberFormat="1" applyBorder="1"/>
    <xf numFmtId="2" fontId="0" fillId="0" borderId="41" xfId="0" applyNumberFormat="1" applyBorder="1"/>
    <xf numFmtId="2" fontId="0" fillId="0" borderId="66" xfId="0" applyNumberFormat="1" applyBorder="1"/>
    <xf numFmtId="2" fontId="0" fillId="0" borderId="67" xfId="0" applyNumberFormat="1" applyBorder="1"/>
    <xf numFmtId="2" fontId="0" fillId="0" borderId="21" xfId="0" applyNumberFormat="1" applyBorder="1"/>
    <xf numFmtId="2" fontId="0" fillId="0" borderId="68" xfId="0" applyNumberFormat="1" applyBorder="1"/>
    <xf numFmtId="0" fontId="7" fillId="3" borderId="0" xfId="0" applyFont="1" applyFill="1"/>
    <xf numFmtId="0" fontId="11" fillId="6" borderId="70" xfId="0" applyFont="1" applyFill="1" applyBorder="1" applyAlignment="1">
      <alignment vertical="center"/>
    </xf>
    <xf numFmtId="0" fontId="3" fillId="3" borderId="61" xfId="2" applyNumberFormat="1" applyFont="1" applyFill="1" applyBorder="1" applyProtection="1">
      <alignment vertical="center"/>
    </xf>
    <xf numFmtId="2" fontId="0" fillId="0" borderId="43" xfId="0" applyNumberFormat="1" applyBorder="1"/>
    <xf numFmtId="2" fontId="0" fillId="0" borderId="10" xfId="0" applyNumberFormat="1" applyBorder="1"/>
    <xf numFmtId="2" fontId="0" fillId="0" borderId="22" xfId="0" applyNumberFormat="1" applyBorder="1"/>
    <xf numFmtId="9" fontId="5" fillId="3" borderId="2" xfId="3" applyNumberFormat="1" applyFont="1" applyFill="1" applyProtection="1">
      <alignment vertical="center"/>
    </xf>
    <xf numFmtId="0" fontId="7" fillId="3" borderId="3" xfId="4" applyFont="1" applyFill="1">
      <alignment vertical="center"/>
    </xf>
    <xf numFmtId="9" fontId="5" fillId="3" borderId="49" xfId="3" applyNumberFormat="1" applyFont="1" applyFill="1" applyBorder="1" applyProtection="1">
      <alignment vertical="center"/>
    </xf>
    <xf numFmtId="2" fontId="0" fillId="3" borderId="41" xfId="0" applyNumberFormat="1" applyFill="1" applyBorder="1"/>
    <xf numFmtId="2" fontId="0" fillId="3" borderId="0" xfId="0" applyNumberFormat="1" applyFill="1"/>
    <xf numFmtId="2" fontId="0" fillId="3" borderId="10" xfId="0" applyNumberFormat="1" applyFill="1" applyBorder="1"/>
    <xf numFmtId="2" fontId="0" fillId="3" borderId="66" xfId="0" applyNumberFormat="1" applyFill="1" applyBorder="1"/>
    <xf numFmtId="1" fontId="0" fillId="3" borderId="0" xfId="0" applyNumberFormat="1" applyFill="1"/>
    <xf numFmtId="9" fontId="5" fillId="3" borderId="48" xfId="3" applyNumberFormat="1" applyFont="1" applyFill="1" applyBorder="1" applyProtection="1">
      <alignment vertical="center"/>
    </xf>
    <xf numFmtId="10" fontId="0" fillId="0" borderId="10" xfId="0" applyNumberFormat="1" applyBorder="1"/>
    <xf numFmtId="10" fontId="0" fillId="3" borderId="10" xfId="0" applyNumberFormat="1" applyFill="1" applyBorder="1"/>
    <xf numFmtId="2" fontId="5" fillId="3" borderId="2" xfId="3" applyNumberFormat="1" applyFont="1" applyFill="1" applyProtection="1">
      <alignment vertical="center"/>
    </xf>
    <xf numFmtId="0" fontId="12" fillId="0" borderId="0" xfId="0" applyFont="1"/>
    <xf numFmtId="0" fontId="12" fillId="3" borderId="0" xfId="0" applyFont="1" applyFill="1"/>
    <xf numFmtId="0" fontId="0" fillId="0" borderId="0" xfId="0" applyAlignment="1">
      <alignment horizontal="left" indent="1"/>
    </xf>
    <xf numFmtId="0" fontId="0" fillId="3" borderId="0" xfId="0" applyFill="1" applyAlignment="1">
      <alignment horizontal="left" indent="1"/>
    </xf>
    <xf numFmtId="1" fontId="0" fillId="0" borderId="0" xfId="1" applyNumberFormat="1" applyFont="1"/>
    <xf numFmtId="0" fontId="3" fillId="3" borderId="0" xfId="0" applyFont="1" applyFill="1"/>
    <xf numFmtId="1" fontId="0" fillId="0" borderId="63" xfId="0" applyNumberFormat="1" applyBorder="1"/>
    <xf numFmtId="164" fontId="7" fillId="0" borderId="3" xfId="1" applyNumberFormat="1" applyFont="1" applyFill="1" applyBorder="1" applyAlignment="1">
      <alignment vertical="center"/>
    </xf>
    <xf numFmtId="9" fontId="18" fillId="3" borderId="0" xfId="3" applyNumberFormat="1" applyFont="1" applyFill="1" applyBorder="1" applyProtection="1">
      <alignment vertical="center"/>
    </xf>
    <xf numFmtId="165" fontId="0" fillId="0" borderId="63" xfId="0" applyNumberFormat="1" applyBorder="1"/>
    <xf numFmtId="167" fontId="0" fillId="0" borderId="0" xfId="0" applyNumberFormat="1"/>
    <xf numFmtId="0" fontId="0" fillId="0" borderId="0" xfId="0" applyAlignment="1">
      <alignment vertical="top"/>
    </xf>
    <xf numFmtId="0" fontId="3" fillId="0" borderId="0" xfId="0" applyFont="1" applyAlignment="1">
      <alignment vertical="top"/>
    </xf>
    <xf numFmtId="9" fontId="0" fillId="3" borderId="0" xfId="0" applyNumberFormat="1" applyFill="1" applyAlignment="1">
      <alignment vertical="top"/>
    </xf>
    <xf numFmtId="0" fontId="0" fillId="0" borderId="0" xfId="0" applyAlignment="1">
      <alignment vertical="top" wrapText="1"/>
    </xf>
    <xf numFmtId="0" fontId="7" fillId="0" borderId="0" xfId="0" applyFont="1" applyAlignment="1">
      <alignment vertical="top"/>
    </xf>
    <xf numFmtId="0" fontId="7" fillId="2" borderId="3" xfId="4" applyFont="1" applyAlignment="1">
      <alignment vertical="top"/>
    </xf>
    <xf numFmtId="165" fontId="0" fillId="0" borderId="0" xfId="0" applyNumberFormat="1" applyAlignment="1">
      <alignment vertical="top"/>
    </xf>
    <xf numFmtId="9" fontId="0" fillId="0" borderId="0" xfId="0" applyNumberFormat="1" applyAlignment="1">
      <alignment vertical="top"/>
    </xf>
    <xf numFmtId="2" fontId="0" fillId="0" borderId="0" xfId="0" applyNumberFormat="1" applyAlignment="1">
      <alignment vertical="top"/>
    </xf>
    <xf numFmtId="0" fontId="7" fillId="2" borderId="15" xfId="4" applyFont="1" applyBorder="1" applyAlignment="1">
      <alignment vertical="top"/>
    </xf>
    <xf numFmtId="166" fontId="0" fillId="0" borderId="0" xfId="0" applyNumberFormat="1" applyAlignment="1">
      <alignment vertical="top"/>
    </xf>
    <xf numFmtId="9" fontId="0" fillId="0" borderId="0" xfId="1" applyFont="1" applyAlignment="1">
      <alignment vertical="top"/>
    </xf>
    <xf numFmtId="164" fontId="0" fillId="0" borderId="0" xfId="1" applyNumberFormat="1" applyFont="1" applyAlignment="1">
      <alignment vertical="top"/>
    </xf>
    <xf numFmtId="0" fontId="7" fillId="3" borderId="0" xfId="4" applyFont="1" applyFill="1" applyBorder="1" applyAlignment="1">
      <alignment vertical="top"/>
    </xf>
    <xf numFmtId="0" fontId="3" fillId="0" borderId="0" xfId="0" applyFont="1" applyAlignment="1">
      <alignment vertical="top" wrapText="1"/>
    </xf>
    <xf numFmtId="167" fontId="0" fillId="0" borderId="0" xfId="0" applyNumberFormat="1" applyAlignment="1">
      <alignment vertical="top"/>
    </xf>
    <xf numFmtId="0" fontId="7" fillId="2" borderId="0" xfId="4" applyFont="1" applyBorder="1" applyAlignment="1">
      <alignment vertical="top"/>
    </xf>
    <xf numFmtId="9" fontId="0" fillId="0" borderId="10" xfId="1" applyFont="1" applyBorder="1"/>
    <xf numFmtId="9" fontId="7" fillId="2" borderId="0" xfId="1" applyFont="1" applyFill="1" applyBorder="1" applyAlignment="1">
      <alignment vertical="center"/>
    </xf>
    <xf numFmtId="9" fontId="5" fillId="0" borderId="71" xfId="3" applyNumberFormat="1" applyFont="1" applyFill="1" applyBorder="1" applyProtection="1">
      <alignment vertical="center"/>
    </xf>
    <xf numFmtId="0" fontId="3" fillId="0" borderId="73" xfId="2" applyNumberFormat="1" applyFont="1" applyBorder="1" applyProtection="1">
      <alignment vertical="center"/>
    </xf>
    <xf numFmtId="0" fontId="3" fillId="0" borderId="74" xfId="2" applyNumberFormat="1" applyFont="1" applyBorder="1" applyProtection="1">
      <alignment vertical="center"/>
    </xf>
    <xf numFmtId="0" fontId="3" fillId="0" borderId="75" xfId="2" applyNumberFormat="1" applyFont="1" applyBorder="1" applyProtection="1">
      <alignment vertical="center"/>
    </xf>
    <xf numFmtId="9" fontId="7" fillId="2" borderId="63" xfId="1" applyFont="1" applyFill="1" applyBorder="1" applyAlignment="1">
      <alignment vertical="center"/>
    </xf>
    <xf numFmtId="9" fontId="7" fillId="2" borderId="64" xfId="1" applyFont="1" applyFill="1" applyBorder="1" applyAlignment="1">
      <alignment vertical="center"/>
    </xf>
    <xf numFmtId="9" fontId="7" fillId="2" borderId="65" xfId="1" applyFont="1" applyFill="1" applyBorder="1" applyAlignment="1">
      <alignment vertical="center"/>
    </xf>
    <xf numFmtId="9" fontId="7" fillId="2" borderId="41" xfId="1" applyFont="1" applyFill="1" applyBorder="1" applyAlignment="1">
      <alignment vertical="center"/>
    </xf>
    <xf numFmtId="9" fontId="7" fillId="2" borderId="66" xfId="1" applyFont="1" applyFill="1" applyBorder="1" applyAlignment="1">
      <alignment vertical="center"/>
    </xf>
    <xf numFmtId="9" fontId="7" fillId="2" borderId="67" xfId="1" applyFont="1" applyFill="1" applyBorder="1" applyAlignment="1">
      <alignment vertical="center"/>
    </xf>
    <xf numFmtId="9" fontId="7" fillId="2" borderId="21" xfId="1" applyFont="1" applyFill="1" applyBorder="1" applyAlignment="1">
      <alignment vertical="center"/>
    </xf>
    <xf numFmtId="9" fontId="7" fillId="2" borderId="68" xfId="1" applyFont="1" applyFill="1" applyBorder="1" applyAlignment="1">
      <alignment vertical="center"/>
    </xf>
    <xf numFmtId="168" fontId="0" fillId="0" borderId="0" xfId="1" applyNumberFormat="1" applyFont="1" applyAlignment="1">
      <alignment vertical="top"/>
    </xf>
    <xf numFmtId="9" fontId="7" fillId="2" borderId="76" xfId="1" applyFont="1" applyFill="1" applyBorder="1" applyAlignment="1">
      <alignment vertical="center"/>
    </xf>
    <xf numFmtId="9" fontId="7" fillId="2" borderId="77" xfId="1" applyFont="1" applyFill="1" applyBorder="1" applyAlignment="1">
      <alignment vertical="center"/>
    </xf>
    <xf numFmtId="0" fontId="3" fillId="0" borderId="60" xfId="2" applyNumberFormat="1" applyFont="1" applyBorder="1" applyProtection="1">
      <alignment vertical="center"/>
    </xf>
    <xf numFmtId="0" fontId="3" fillId="0" borderId="78" xfId="2" applyNumberFormat="1" applyFont="1" applyBorder="1" applyProtection="1">
      <alignment vertical="center"/>
    </xf>
    <xf numFmtId="0" fontId="3" fillId="0" borderId="72" xfId="2" applyNumberFormat="1" applyFont="1" applyBorder="1" applyProtection="1">
      <alignment vertical="center"/>
    </xf>
    <xf numFmtId="0" fontId="7" fillId="2" borderId="64" xfId="1" applyNumberFormat="1" applyFont="1" applyFill="1" applyBorder="1" applyAlignment="1">
      <alignment vertical="center"/>
    </xf>
    <xf numFmtId="0" fontId="7" fillId="2" borderId="65" xfId="1" applyNumberFormat="1" applyFont="1" applyFill="1" applyBorder="1" applyAlignment="1">
      <alignment vertical="center"/>
    </xf>
    <xf numFmtId="0" fontId="7" fillId="2" borderId="76" xfId="1" applyNumberFormat="1" applyFont="1" applyFill="1" applyBorder="1" applyAlignment="1">
      <alignment vertical="center"/>
    </xf>
    <xf numFmtId="0" fontId="7" fillId="2" borderId="77" xfId="1" applyNumberFormat="1" applyFont="1" applyFill="1" applyBorder="1" applyAlignment="1">
      <alignment vertical="center"/>
    </xf>
    <xf numFmtId="0" fontId="7" fillId="2" borderId="0" xfId="1" applyNumberFormat="1" applyFont="1" applyFill="1" applyBorder="1" applyAlignment="1">
      <alignment vertical="center"/>
    </xf>
    <xf numFmtId="0" fontId="7" fillId="2" borderId="66" xfId="1" applyNumberFormat="1" applyFont="1" applyFill="1" applyBorder="1" applyAlignment="1">
      <alignment vertical="center"/>
    </xf>
    <xf numFmtId="0" fontId="7" fillId="2" borderId="9" xfId="1" applyNumberFormat="1" applyFont="1" applyFill="1" applyBorder="1" applyAlignment="1">
      <alignment vertical="center"/>
    </xf>
    <xf numFmtId="0" fontId="7" fillId="0" borderId="8" xfId="1" applyNumberFormat="1" applyFont="1" applyFill="1" applyBorder="1" applyAlignment="1">
      <alignment vertical="center"/>
    </xf>
    <xf numFmtId="0" fontId="0" fillId="0" borderId="10" xfId="1" applyNumberFormat="1" applyFont="1" applyFill="1" applyBorder="1"/>
    <xf numFmtId="0" fontId="0" fillId="0" borderId="10" xfId="1" applyNumberFormat="1" applyFont="1" applyBorder="1"/>
    <xf numFmtId="0" fontId="7" fillId="2" borderId="21" xfId="1" applyNumberFormat="1" applyFont="1" applyFill="1" applyBorder="1" applyAlignment="1">
      <alignment vertical="center"/>
    </xf>
    <xf numFmtId="0" fontId="7" fillId="2" borderId="68" xfId="1" applyNumberFormat="1" applyFont="1" applyFill="1" applyBorder="1" applyAlignment="1">
      <alignment vertical="center"/>
    </xf>
    <xf numFmtId="0" fontId="7" fillId="2" borderId="18" xfId="1" applyNumberFormat="1" applyFont="1" applyFill="1" applyBorder="1" applyAlignment="1">
      <alignment vertical="center"/>
    </xf>
    <xf numFmtId="0" fontId="7" fillId="0" borderId="11" xfId="1" applyNumberFormat="1" applyFont="1" applyFill="1" applyBorder="1" applyAlignment="1">
      <alignment vertical="center"/>
    </xf>
    <xf numFmtId="2" fontId="7" fillId="2" borderId="64" xfId="1" applyNumberFormat="1" applyFont="1" applyFill="1" applyBorder="1" applyAlignment="1">
      <alignment vertical="center"/>
    </xf>
    <xf numFmtId="2" fontId="7" fillId="2" borderId="65" xfId="1" applyNumberFormat="1" applyFont="1" applyFill="1" applyBorder="1" applyAlignment="1">
      <alignment vertical="center"/>
    </xf>
    <xf numFmtId="2" fontId="7" fillId="2" borderId="76" xfId="1" applyNumberFormat="1" applyFont="1" applyFill="1" applyBorder="1" applyAlignment="1">
      <alignment vertical="center"/>
    </xf>
    <xf numFmtId="2" fontId="7" fillId="2" borderId="77" xfId="1" applyNumberFormat="1" applyFont="1" applyFill="1" applyBorder="1" applyAlignment="1">
      <alignment vertical="center"/>
    </xf>
    <xf numFmtId="2" fontId="7" fillId="2" borderId="0" xfId="1" applyNumberFormat="1" applyFont="1" applyFill="1" applyBorder="1" applyAlignment="1">
      <alignment vertical="center"/>
    </xf>
    <xf numFmtId="2" fontId="7" fillId="2" borderId="66" xfId="1" applyNumberFormat="1" applyFont="1" applyFill="1" applyBorder="1" applyAlignment="1">
      <alignment vertical="center"/>
    </xf>
    <xf numFmtId="2" fontId="7" fillId="2" borderId="9" xfId="1" applyNumberFormat="1" applyFont="1" applyFill="1" applyBorder="1" applyAlignment="1">
      <alignment vertical="center"/>
    </xf>
    <xf numFmtId="2" fontId="7" fillId="0" borderId="8" xfId="1" applyNumberFormat="1" applyFont="1" applyFill="1" applyBorder="1" applyAlignment="1">
      <alignment vertical="center"/>
    </xf>
    <xf numFmtId="2" fontId="0" fillId="0" borderId="10" xfId="1" applyNumberFormat="1" applyFont="1" applyFill="1" applyBorder="1"/>
    <xf numFmtId="2" fontId="0" fillId="0" borderId="10" xfId="1" applyNumberFormat="1" applyFont="1" applyBorder="1"/>
    <xf numFmtId="2" fontId="7" fillId="2" borderId="21" xfId="1" applyNumberFormat="1" applyFont="1" applyFill="1" applyBorder="1" applyAlignment="1">
      <alignment vertical="center"/>
    </xf>
    <xf numFmtId="2" fontId="7" fillId="2" borderId="68" xfId="1" applyNumberFormat="1" applyFont="1" applyFill="1" applyBorder="1" applyAlignment="1">
      <alignment vertical="center"/>
    </xf>
    <xf numFmtId="2" fontId="7" fillId="2" borderId="18" xfId="1" applyNumberFormat="1" applyFont="1" applyFill="1" applyBorder="1" applyAlignment="1">
      <alignment vertical="center"/>
    </xf>
    <xf numFmtId="2" fontId="7" fillId="0" borderId="11" xfId="1" applyNumberFormat="1" applyFont="1" applyFill="1" applyBorder="1" applyAlignment="1">
      <alignment vertical="center"/>
    </xf>
    <xf numFmtId="164" fontId="7" fillId="2" borderId="41" xfId="1" applyNumberFormat="1" applyFont="1" applyFill="1" applyBorder="1" applyAlignment="1">
      <alignment vertical="center"/>
    </xf>
    <xf numFmtId="164" fontId="7" fillId="2" borderId="0" xfId="1" applyNumberFormat="1" applyFont="1" applyFill="1" applyBorder="1" applyAlignment="1">
      <alignment vertical="center"/>
    </xf>
    <xf numFmtId="164" fontId="7" fillId="2" borderId="66" xfId="1" applyNumberFormat="1" applyFont="1" applyFill="1" applyBorder="1" applyAlignment="1">
      <alignment vertical="center"/>
    </xf>
    <xf numFmtId="0" fontId="3" fillId="0" borderId="0" xfId="0" applyFont="1" applyAlignment="1">
      <alignment horizontal="left"/>
    </xf>
    <xf numFmtId="0" fontId="0" fillId="0" borderId="0" xfId="0" applyAlignment="1">
      <alignment horizontal="right" vertical="top"/>
    </xf>
    <xf numFmtId="164" fontId="0" fillId="0" borderId="0" xfId="0" applyNumberFormat="1"/>
    <xf numFmtId="0" fontId="0" fillId="0" borderId="0" xfId="0" applyAlignment="1">
      <alignment horizontal="right"/>
    </xf>
  </cellXfs>
  <cellStyles count="9">
    <cellStyle name="Calc_general2" xfId="3" xr:uid="{7BD32431-91A5-764D-B560-4ED9EB602E50}"/>
    <cellStyle name="InputFixed" xfId="4" xr:uid="{D140E2F1-B46E-D54D-BC9B-21F3A7680D63}"/>
    <cellStyle name="Normal" xfId="0" builtinId="0"/>
    <cellStyle name="Normal 2" xfId="6" xr:uid="{97A5856D-6032-E740-97EA-606996400E5F}"/>
    <cellStyle name="Percent" xfId="1" builtinId="5"/>
    <cellStyle name="Percent 2" xfId="8" xr:uid="{EB87A77E-5A4E-0C45-A71A-2BA4282024DE}"/>
    <cellStyle name="TableFirstColumn" xfId="2" xr:uid="{F52E7CFE-BBD4-ED41-81D9-FB1FD67197A7}"/>
    <cellStyle name="Title1" xfId="5" xr:uid="{7F1E8E47-7103-0F46-8C5D-48898A0D173A}"/>
    <cellStyle name="Title3" xfId="7" xr:uid="{1062A67D-563C-444B-BA1B-0B25F2E9BD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BAU_Scenario!$B$2</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BAU_Scenario!$O$2:$AS$2</c:f>
              <c:numCache>
                <c:formatCode>General</c:formatCode>
                <c:ptCount val="31"/>
                <c:pt idx="0">
                  <c:v>16.712147144325868</c:v>
                </c:pt>
                <c:pt idx="1">
                  <c:v>16.871914269021403</c:v>
                </c:pt>
                <c:pt idx="2">
                  <c:v>17.018109423249676</c:v>
                </c:pt>
                <c:pt idx="3">
                  <c:v>17.150296866846219</c:v>
                </c:pt>
                <c:pt idx="4">
                  <c:v>17.268205534321265</c:v>
                </c:pt>
                <c:pt idx="5">
                  <c:v>17.224711918681901</c:v>
                </c:pt>
                <c:pt idx="6">
                  <c:v>17.159951702836548</c:v>
                </c:pt>
                <c:pt idx="7">
                  <c:v>17.07262955005465</c:v>
                </c:pt>
                <c:pt idx="8">
                  <c:v>16.961210265283782</c:v>
                </c:pt>
                <c:pt idx="9">
                  <c:v>16.824078641874006</c:v>
                </c:pt>
                <c:pt idx="10">
                  <c:v>16.659931374822982</c:v>
                </c:pt>
                <c:pt idx="11">
                  <c:v>16.467968265730015</c:v>
                </c:pt>
                <c:pt idx="12">
                  <c:v>16.247729799519636</c:v>
                </c:pt>
                <c:pt idx="13">
                  <c:v>15.998796640556012</c:v>
                </c:pt>
                <c:pt idx="14">
                  <c:v>15.720957610784112</c:v>
                </c:pt>
                <c:pt idx="15">
                  <c:v>15.416306868519275</c:v>
                </c:pt>
                <c:pt idx="16">
                  <c:v>15.084551671313649</c:v>
                </c:pt>
                <c:pt idx="17">
                  <c:v>14.72529767296837</c:v>
                </c:pt>
                <c:pt idx="18">
                  <c:v>14.33828517310414</c:v>
                </c:pt>
                <c:pt idx="19">
                  <c:v>13.923288230470915</c:v>
                </c:pt>
                <c:pt idx="20">
                  <c:v>13.480129489588395</c:v>
                </c:pt>
                <c:pt idx="21">
                  <c:v>13.008642231020529</c:v>
                </c:pt>
                <c:pt idx="22">
                  <c:v>12.508690097738413</c:v>
                </c:pt>
                <c:pt idx="23">
                  <c:v>11.980156950368418</c:v>
                </c:pt>
                <c:pt idx="24">
                  <c:v>11.422963974292983</c:v>
                </c:pt>
                <c:pt idx="25">
                  <c:v>10.837118721677871</c:v>
                </c:pt>
                <c:pt idx="26">
                  <c:v>10.22268692204676</c:v>
                </c:pt>
                <c:pt idx="27">
                  <c:v>9.5798192320009541</c:v>
                </c:pt>
                <c:pt idx="28">
                  <c:v>8.9087346077361591</c:v>
                </c:pt>
                <c:pt idx="29">
                  <c:v>8.2097043953669981</c:v>
                </c:pt>
                <c:pt idx="30">
                  <c:v>7.4830211279999999</c:v>
                </c:pt>
              </c:numCache>
            </c:numRef>
          </c:val>
          <c:extLst>
            <c:ext xmlns:c16="http://schemas.microsoft.com/office/drawing/2014/chart" uri="{C3380CC4-5D6E-409C-BE32-E72D297353CC}">
              <c16:uniqueId val="{00000000-244E-0F41-8F49-CDAB9E3951C8}"/>
            </c:ext>
          </c:extLst>
        </c:ser>
        <c:ser>
          <c:idx val="1"/>
          <c:order val="1"/>
          <c:tx>
            <c:strRef>
              <c:f>BAU_Scenario!$B$3</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BAU_Scenario!$O$3:$AS$3</c:f>
              <c:numCache>
                <c:formatCode>General</c:formatCode>
                <c:ptCount val="31"/>
                <c:pt idx="0">
                  <c:v>9.6260829350963899</c:v>
                </c:pt>
                <c:pt idx="1">
                  <c:v>10.36966116458288</c:v>
                </c:pt>
                <c:pt idx="2">
                  <c:v>11.147816986682104</c:v>
                </c:pt>
                <c:pt idx="3">
                  <c:v>11.961194026043261</c:v>
                </c:pt>
                <c:pt idx="4">
                  <c:v>12.810396812175124</c:v>
                </c:pt>
                <c:pt idx="5">
                  <c:v>13.772050673018528</c:v>
                </c:pt>
                <c:pt idx="6">
                  <c:v>14.770655326522181</c:v>
                </c:pt>
                <c:pt idx="7">
                  <c:v>15.806232916057812</c:v>
                </c:pt>
                <c:pt idx="8">
                  <c:v>16.878448552979329</c:v>
                </c:pt>
                <c:pt idx="9">
                  <c:v>17.986663024461294</c:v>
                </c:pt>
                <c:pt idx="10">
                  <c:v>19.13014696976137</c:v>
                </c:pt>
                <c:pt idx="11">
                  <c:v>20.308206781080482</c:v>
                </c:pt>
                <c:pt idx="12">
                  <c:v>21.520183564298087</c:v>
                </c:pt>
                <c:pt idx="13">
                  <c:v>22.765185202428945</c:v>
                </c:pt>
                <c:pt idx="14">
                  <c:v>24.041998149863389</c:v>
                </c:pt>
                <c:pt idx="15">
                  <c:v>25.3556663278221</c:v>
                </c:pt>
                <c:pt idx="16">
                  <c:v>26.70535365540885</c:v>
                </c:pt>
                <c:pt idx="17">
                  <c:v>28.090769130824182</c:v>
                </c:pt>
                <c:pt idx="18">
                  <c:v>29.511751311224344</c:v>
                </c:pt>
                <c:pt idx="19">
                  <c:v>30.968130594496689</c:v>
                </c:pt>
                <c:pt idx="20">
                  <c:v>32.459671091158235</c:v>
                </c:pt>
                <c:pt idx="21">
                  <c:v>33.985961924528667</c:v>
                </c:pt>
                <c:pt idx="22">
                  <c:v>35.546483770826661</c:v>
                </c:pt>
                <c:pt idx="23">
                  <c:v>37.140664752999442</c:v>
                </c:pt>
                <c:pt idx="24">
                  <c:v>38.767845293934982</c:v>
                </c:pt>
                <c:pt idx="25">
                  <c:v>40.42732604236619</c:v>
                </c:pt>
                <c:pt idx="26">
                  <c:v>42.118331303739339</c:v>
                </c:pt>
                <c:pt idx="27">
                  <c:v>43.84005009173697</c:v>
                </c:pt>
                <c:pt idx="28">
                  <c:v>45.591674057874954</c:v>
                </c:pt>
                <c:pt idx="29">
                  <c:v>47.372341833785704</c:v>
                </c:pt>
                <c:pt idx="30">
                  <c:v>49.181114339999993</c:v>
                </c:pt>
              </c:numCache>
            </c:numRef>
          </c:val>
          <c:extLst>
            <c:ext xmlns:c16="http://schemas.microsoft.com/office/drawing/2014/chart" uri="{C3380CC4-5D6E-409C-BE32-E72D297353CC}">
              <c16:uniqueId val="{00000001-244E-0F41-8F49-CDAB9E3951C8}"/>
            </c:ext>
          </c:extLst>
        </c:ser>
        <c:ser>
          <c:idx val="2"/>
          <c:order val="2"/>
          <c:tx>
            <c:strRef>
              <c:f>BAU_Scenario!$B$4</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BAU_Scenario!$O$4:$AS$4</c:f>
              <c:numCache>
                <c:formatCode>General</c:formatCode>
                <c:ptCount val="31"/>
                <c:pt idx="0">
                  <c:v>0.11995749142857652</c:v>
                </c:pt>
                <c:pt idx="1">
                  <c:v>0.14467838068323105</c:v>
                </c:pt>
                <c:pt idx="2">
                  <c:v>0.17128224055900845</c:v>
                </c:pt>
                <c:pt idx="3">
                  <c:v>0.19984912453416476</c:v>
                </c:pt>
                <c:pt idx="4">
                  <c:v>0.23045631099379324</c:v>
                </c:pt>
                <c:pt idx="5">
                  <c:v>0.26144476148829876</c:v>
                </c:pt>
                <c:pt idx="6">
                  <c:v>0.29447994874343492</c:v>
                </c:pt>
                <c:pt idx="7">
                  <c:v>0.32962948708791651</c:v>
                </c:pt>
                <c:pt idx="8">
                  <c:v>0.36695486970855673</c:v>
                </c:pt>
                <c:pt idx="9">
                  <c:v>0.40651205257525519</c:v>
                </c:pt>
                <c:pt idx="10">
                  <c:v>0.44835391533684138</c:v>
                </c:pt>
                <c:pt idx="11">
                  <c:v>0.49253023727186279</c:v>
                </c:pt>
                <c:pt idx="12">
                  <c:v>0.53908770642140891</c:v>
                </c:pt>
                <c:pt idx="13">
                  <c:v>0.588063189381275</c:v>
                </c:pt>
                <c:pt idx="14">
                  <c:v>0.63947356468227812</c:v>
                </c:pt>
                <c:pt idx="15">
                  <c:v>0.69355531036311902</c:v>
                </c:pt>
                <c:pt idx="16">
                  <c:v>0.75034708622073931</c:v>
                </c:pt>
                <c:pt idx="17">
                  <c:v>0.80991774975155617</c:v>
                </c:pt>
                <c:pt idx="18">
                  <c:v>0.87234159159102076</c:v>
                </c:pt>
                <c:pt idx="19">
                  <c:v>0.93769537246775247</c:v>
                </c:pt>
                <c:pt idx="20">
                  <c:v>1.006054512298139</c:v>
                </c:pt>
                <c:pt idx="21">
                  <c:v>1.077488818172482</c:v>
                </c:pt>
                <c:pt idx="22">
                  <c:v>1.1520650287625436</c:v>
                </c:pt>
                <c:pt idx="23">
                  <c:v>1.2298512714046839</c:v>
                </c:pt>
                <c:pt idx="24">
                  <c:v>1.3109145879646451</c:v>
                </c:pt>
                <c:pt idx="25">
                  <c:v>1.3953194273793605</c:v>
                </c:pt>
                <c:pt idx="26">
                  <c:v>1.4831269491256573</c:v>
                </c:pt>
                <c:pt idx="27">
                  <c:v>1.5743935970425225</c:v>
                </c:pt>
                <c:pt idx="28">
                  <c:v>1.6691734647873857</c:v>
                </c:pt>
                <c:pt idx="29">
                  <c:v>1.7675151972503571</c:v>
                </c:pt>
                <c:pt idx="30">
                  <c:v>1.8694644600000001</c:v>
                </c:pt>
              </c:numCache>
            </c:numRef>
          </c:val>
          <c:extLst>
            <c:ext xmlns:c16="http://schemas.microsoft.com/office/drawing/2014/chart" uri="{C3380CC4-5D6E-409C-BE32-E72D297353CC}">
              <c16:uniqueId val="{00000002-244E-0F41-8F49-CDAB9E3951C8}"/>
            </c:ext>
          </c:extLst>
        </c:ser>
        <c:ser>
          <c:idx val="3"/>
          <c:order val="3"/>
          <c:tx>
            <c:strRef>
              <c:f>BAU_Scenario!$B$5</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BAU_Scenario!$O$5:$AS$5</c:f>
              <c:numCache>
                <c:formatCode>General</c:formatCode>
                <c:ptCount val="31"/>
                <c:pt idx="0">
                  <c:v>3.9985830476189012E-2</c:v>
                </c:pt>
                <c:pt idx="1">
                  <c:v>4.8226126894409527E-2</c:v>
                </c:pt>
                <c:pt idx="2">
                  <c:v>5.7094080186333565E-2</c:v>
                </c:pt>
                <c:pt idx="3">
                  <c:v>6.6616374844719786E-2</c:v>
                </c:pt>
                <c:pt idx="4">
                  <c:v>7.681877033126347E-2</c:v>
                </c:pt>
                <c:pt idx="5">
                  <c:v>8.7148253829431976E-2</c:v>
                </c:pt>
                <c:pt idx="6">
                  <c:v>9.8159982914477348E-2</c:v>
                </c:pt>
                <c:pt idx="7">
                  <c:v>0.10987649569597122</c:v>
                </c:pt>
                <c:pt idx="8">
                  <c:v>0.12231828990285129</c:v>
                </c:pt>
                <c:pt idx="9">
                  <c:v>0.13550401752508412</c:v>
                </c:pt>
                <c:pt idx="10">
                  <c:v>0.14945130511227955</c:v>
                </c:pt>
                <c:pt idx="11">
                  <c:v>0.16417674575728669</c:v>
                </c:pt>
                <c:pt idx="12">
                  <c:v>0.17969590214046877</c:v>
                </c:pt>
                <c:pt idx="13">
                  <c:v>0.19602106312709086</c:v>
                </c:pt>
                <c:pt idx="14">
                  <c:v>0.21315785489409195</c:v>
                </c:pt>
                <c:pt idx="15">
                  <c:v>0.23118510345437229</c:v>
                </c:pt>
                <c:pt idx="16">
                  <c:v>0.25011569540691247</c:v>
                </c:pt>
                <c:pt idx="17">
                  <c:v>0.26997258325051815</c:v>
                </c:pt>
                <c:pt idx="18">
                  <c:v>0.29078053053033975</c:v>
                </c:pt>
                <c:pt idx="19">
                  <c:v>0.31256512415591708</c:v>
                </c:pt>
                <c:pt idx="20">
                  <c:v>0.33535150409937942</c:v>
                </c:pt>
                <c:pt idx="21">
                  <c:v>0.35916293939082711</c:v>
                </c:pt>
                <c:pt idx="22">
                  <c:v>0.38402167625418115</c:v>
                </c:pt>
                <c:pt idx="23">
                  <c:v>0.40995042380156127</c:v>
                </c:pt>
                <c:pt idx="24">
                  <c:v>0.43697152932154854</c:v>
                </c:pt>
                <c:pt idx="25">
                  <c:v>0.46510647579312042</c:v>
                </c:pt>
                <c:pt idx="26">
                  <c:v>0.49437564970855286</c:v>
                </c:pt>
                <c:pt idx="27">
                  <c:v>0.52479786568084141</c:v>
                </c:pt>
                <c:pt idx="28">
                  <c:v>0.55639115492912927</c:v>
                </c:pt>
                <c:pt idx="29">
                  <c:v>0.58917173241678655</c:v>
                </c:pt>
                <c:pt idx="30">
                  <c:v>0.62315482</c:v>
                </c:pt>
              </c:numCache>
            </c:numRef>
          </c:val>
          <c:extLst>
            <c:ext xmlns:c16="http://schemas.microsoft.com/office/drawing/2014/chart" uri="{C3380CC4-5D6E-409C-BE32-E72D297353CC}">
              <c16:uniqueId val="{00000003-244E-0F41-8F49-CDAB9E3951C8}"/>
            </c:ext>
          </c:extLst>
        </c:ser>
        <c:ser>
          <c:idx val="4"/>
          <c:order val="4"/>
          <c:tx>
            <c:strRef>
              <c:f>BAU_Scenario!$B$6</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BAU_Scenario!$O$6:$AS$6</c:f>
              <c:numCache>
                <c:formatCode>General</c:formatCode>
                <c:ptCount val="31"/>
                <c:pt idx="0">
                  <c:v>4.638378466352077E-2</c:v>
                </c:pt>
                <c:pt idx="1">
                  <c:v>5.3517574169166027E-2</c:v>
                </c:pt>
                <c:pt idx="2">
                  <c:v>6.1170489804041238E-2</c:v>
                </c:pt>
                <c:pt idx="3">
                  <c:v>6.9363894578207727E-2</c:v>
                </c:pt>
                <c:pt idx="4">
                  <c:v>7.811831310227263E-2</c:v>
                </c:pt>
                <c:pt idx="5">
                  <c:v>7.8255625605907597E-2</c:v>
                </c:pt>
                <c:pt idx="6">
                  <c:v>7.8224790644478584E-2</c:v>
                </c:pt>
                <c:pt idx="7">
                  <c:v>7.8014206264048272E-2</c:v>
                </c:pt>
                <c:pt idx="8">
                  <c:v>7.7611447584021401E-2</c:v>
                </c:pt>
                <c:pt idx="9">
                  <c:v>7.7003911631377389E-2</c:v>
                </c:pt>
                <c:pt idx="10">
                  <c:v>7.617955860075544E-2</c:v>
                </c:pt>
                <c:pt idx="11">
                  <c:v>7.5126913290069194E-2</c:v>
                </c:pt>
                <c:pt idx="12">
                  <c:v>7.3835028680423825E-2</c:v>
                </c:pt>
                <c:pt idx="13">
                  <c:v>7.2292631331007495E-2</c:v>
                </c:pt>
                <c:pt idx="14">
                  <c:v>7.0487460931006163E-2</c:v>
                </c:pt>
                <c:pt idx="15">
                  <c:v>6.8430381311125305E-2</c:v>
                </c:pt>
                <c:pt idx="16">
                  <c:v>6.6107388030663822E-2</c:v>
                </c:pt>
                <c:pt idx="17">
                  <c:v>6.3508166378853925E-2</c:v>
                </c:pt>
                <c:pt idx="18">
                  <c:v>6.0622863207723338E-2</c:v>
                </c:pt>
                <c:pt idx="19">
                  <c:v>5.7441666571097574E-2</c:v>
                </c:pt>
                <c:pt idx="20">
                  <c:v>5.3954537469672256E-2</c:v>
                </c:pt>
                <c:pt idx="21">
                  <c:v>5.0151087584412862E-2</c:v>
                </c:pt>
                <c:pt idx="22">
                  <c:v>4.6020878254570956E-2</c:v>
                </c:pt>
                <c:pt idx="23">
                  <c:v>4.1553649216553641E-2</c:v>
                </c:pt>
                <c:pt idx="24">
                  <c:v>3.6739194315355717E-2</c:v>
                </c:pt>
                <c:pt idx="25">
                  <c:v>3.1567349181263485E-2</c:v>
                </c:pt>
                <c:pt idx="26">
                  <c:v>2.6028027779808598E-2</c:v>
                </c:pt>
                <c:pt idx="27">
                  <c:v>2.0111264051789892E-2</c:v>
                </c:pt>
                <c:pt idx="28">
                  <c:v>1.3807308603103863E-2</c:v>
                </c:pt>
                <c:pt idx="29">
                  <c:v>7.1066321202982851E-3</c:v>
                </c:pt>
                <c:pt idx="30">
                  <c:v>0</c:v>
                </c:pt>
              </c:numCache>
            </c:numRef>
          </c:val>
          <c:extLst>
            <c:ext xmlns:c16="http://schemas.microsoft.com/office/drawing/2014/chart" uri="{C3380CC4-5D6E-409C-BE32-E72D297353CC}">
              <c16:uniqueId val="{00000004-244E-0F41-8F49-CDAB9E3951C8}"/>
            </c:ext>
          </c:extLst>
        </c:ser>
        <c:ser>
          <c:idx val="5"/>
          <c:order val="5"/>
          <c:tx>
            <c:strRef>
              <c:f>BAU_Scenario!$B$7</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BAU_Scenario!$O$7:$AS$7</c:f>
              <c:numCache>
                <c:formatCode>General</c:formatCode>
                <c:ptCount val="31"/>
                <c:pt idx="0">
                  <c:v>3.402109333333448E-3</c:v>
                </c:pt>
                <c:pt idx="1">
                  <c:v>2.5843666086958514E-3</c:v>
                </c:pt>
                <c:pt idx="2">
                  <c:v>1.6863230434785528E-3</c:v>
                </c:pt>
                <c:pt idx="3">
                  <c:v>7.0387113043517396E-4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244E-0F41-8F49-CDAB9E3951C8}"/>
            </c:ext>
          </c:extLst>
        </c:ser>
        <c:ser>
          <c:idx val="6"/>
          <c:order val="6"/>
          <c:tx>
            <c:strRef>
              <c:f>BAU_Scenario!$B$8</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BAU_Scenario!$O$8:$AS$8</c:f>
              <c:numCache>
                <c:formatCode>General</c:formatCode>
                <c:ptCount val="31"/>
                <c:pt idx="0">
                  <c:v>0.87148983660119383</c:v>
                </c:pt>
                <c:pt idx="1">
                  <c:v>0.8630248891441259</c:v>
                </c:pt>
                <c:pt idx="2">
                  <c:v>0.85186020980351385</c:v>
                </c:pt>
                <c:pt idx="3">
                  <c:v>0.83780773351846227</c:v>
                </c:pt>
                <c:pt idx="4">
                  <c:v>0.82067486586580263</c:v>
                </c:pt>
                <c:pt idx="5">
                  <c:v>0.8219142990410121</c:v>
                </c:pt>
                <c:pt idx="6">
                  <c:v>0.82139270848908286</c:v>
                </c:pt>
                <c:pt idx="7">
                  <c:v>0.81898915046201926</c:v>
                </c:pt>
                <c:pt idx="8">
                  <c:v>0.81457403779675353</c:v>
                </c:pt>
                <c:pt idx="9">
                  <c:v>0.80801593847944297</c:v>
                </c:pt>
                <c:pt idx="10">
                  <c:v>0.79918952525631826</c:v>
                </c:pt>
                <c:pt idx="11">
                  <c:v>0.78797571085437912</c:v>
                </c:pt>
                <c:pt idx="12">
                  <c:v>0.77426113654552986</c:v>
                </c:pt>
                <c:pt idx="13">
                  <c:v>0.75792912071889751</c:v>
                </c:pt>
                <c:pt idx="14">
                  <c:v>0.73885293666806495</c:v>
                </c:pt>
                <c:pt idx="15">
                  <c:v>0.71714641965688186</c:v>
                </c:pt>
                <c:pt idx="16">
                  <c:v>0.69266469600105107</c:v>
                </c:pt>
                <c:pt idx="17">
                  <c:v>0.66530100190264407</c:v>
                </c:pt>
                <c:pt idx="18">
                  <c:v>0.63495345208465348</c:v>
                </c:pt>
                <c:pt idx="19">
                  <c:v>0.60152062985362553</c:v>
                </c:pt>
                <c:pt idx="20">
                  <c:v>0.56489882068151809</c:v>
                </c:pt>
                <c:pt idx="21">
                  <c:v>0.52498072735878965</c:v>
                </c:pt>
                <c:pt idx="22">
                  <c:v>0.48165857490064767</c:v>
                </c:pt>
                <c:pt idx="23">
                  <c:v>0.434826475178064</c:v>
                </c:pt>
                <c:pt idx="24">
                  <c:v>0.3843791528634703</c:v>
                </c:pt>
                <c:pt idx="25">
                  <c:v>0.33021183702373241</c:v>
                </c:pt>
                <c:pt idx="26">
                  <c:v>0.27222062416744203</c:v>
                </c:pt>
                <c:pt idx="27">
                  <c:v>0.21030291278172733</c:v>
                </c:pt>
                <c:pt idx="28">
                  <c:v>0.1443583905707129</c:v>
                </c:pt>
                <c:pt idx="29">
                  <c:v>7.4289059140672187E-2</c:v>
                </c:pt>
                <c:pt idx="30">
                  <c:v>0</c:v>
                </c:pt>
              </c:numCache>
            </c:numRef>
          </c:val>
          <c:extLst>
            <c:ext xmlns:c16="http://schemas.microsoft.com/office/drawing/2014/chart" uri="{C3380CC4-5D6E-409C-BE32-E72D297353CC}">
              <c16:uniqueId val="{00000006-244E-0F41-8F49-CDAB9E3951C8}"/>
            </c:ext>
          </c:extLst>
        </c:ser>
        <c:ser>
          <c:idx val="7"/>
          <c:order val="7"/>
          <c:tx>
            <c:strRef>
              <c:f>BAU_Scenario!$B$9</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BAU_Scenario!$O$9:$AS$9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244E-0F41-8F49-CDAB9E3951C8}"/>
            </c:ext>
          </c:extLst>
        </c:ser>
        <c:ser>
          <c:idx val="8"/>
          <c:order val="8"/>
          <c:tx>
            <c:strRef>
              <c:f>BAU_Scenario!$B$10</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BAU_Scenario!$O$10:$AS$10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244E-0F41-8F49-CDAB9E3951C8}"/>
            </c:ext>
          </c:extLst>
        </c:ser>
        <c:ser>
          <c:idx val="9"/>
          <c:order val="9"/>
          <c:tx>
            <c:strRef>
              <c:f>BAU_Scenario!$B$11</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BAU_Scenario!$O$11:$AS$11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244E-0F41-8F49-CDAB9E3951C8}"/>
            </c:ext>
          </c:extLst>
        </c:ser>
        <c:ser>
          <c:idx val="10"/>
          <c:order val="10"/>
          <c:tx>
            <c:strRef>
              <c:f>BAU_Scenario!$B$12</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BAU_Scenario!$O$12:$AS$12</c:f>
              <c:numCache>
                <c:formatCode>General</c:formatCode>
                <c:ptCount val="31"/>
                <c:pt idx="0">
                  <c:v>0.138041783790573</c:v>
                </c:pt>
                <c:pt idx="1">
                  <c:v>0.13505872737330571</c:v>
                </c:pt>
                <c:pt idx="2">
                  <c:v>0.13168542560568436</c:v>
                </c:pt>
                <c:pt idx="3">
                  <c:v>0.1279106439857936</c:v>
                </c:pt>
                <c:pt idx="4">
                  <c:v>0.12460437753267935</c:v>
                </c:pt>
                <c:pt idx="5">
                  <c:v>0.12260317171612223</c:v>
                </c:pt>
                <c:pt idx="6">
                  <c:v>0.12039339685413628</c:v>
                </c:pt>
                <c:pt idx="7">
                  <c:v>0.11796683344494484</c:v>
                </c:pt>
                <c:pt idx="8">
                  <c:v>0.11531396981986226</c:v>
                </c:pt>
                <c:pt idx="9">
                  <c:v>0.11242529560964665</c:v>
                </c:pt>
                <c:pt idx="10">
                  <c:v>0.10929425797913202</c:v>
                </c:pt>
                <c:pt idx="11">
                  <c:v>0.1059185771841256</c:v>
                </c:pt>
                <c:pt idx="12">
                  <c:v>0.10229878027903036</c:v>
                </c:pt>
                <c:pt idx="13">
                  <c:v>9.843603624348371E-2</c:v>
                </c:pt>
                <c:pt idx="14">
                  <c:v>9.4333465301924518E-2</c:v>
                </c:pt>
                <c:pt idx="15">
                  <c:v>9.0005170057963851E-2</c:v>
                </c:pt>
                <c:pt idx="16">
                  <c:v>8.5453413103136339E-2</c:v>
                </c:pt>
                <c:pt idx="17">
                  <c:v>8.0679207483824053E-2</c:v>
                </c:pt>
                <c:pt idx="18">
                  <c:v>7.5684625552990173E-2</c:v>
                </c:pt>
                <c:pt idx="19">
                  <c:v>7.0472196028258452E-2</c:v>
                </c:pt>
                <c:pt idx="20">
                  <c:v>6.5045041732955416E-2</c:v>
                </c:pt>
                <c:pt idx="21">
                  <c:v>5.9406680521321018E-2</c:v>
                </c:pt>
                <c:pt idx="22">
                  <c:v>5.3561108442911592E-2</c:v>
                </c:pt>
                <c:pt idx="23">
                  <c:v>4.7512744906071602E-2</c:v>
                </c:pt>
                <c:pt idx="24">
                  <c:v>4.1266580554637514E-2</c:v>
                </c:pt>
                <c:pt idx="25">
                  <c:v>3.4828387777832481E-2</c:v>
                </c:pt>
                <c:pt idx="26">
                  <c:v>2.8204550223240477E-2</c:v>
                </c:pt>
                <c:pt idx="27">
                  <c:v>2.1402097362011263E-2</c:v>
                </c:pt>
                <c:pt idx="28">
                  <c:v>1.442854673638375E-2</c:v>
                </c:pt>
                <c:pt idx="29">
                  <c:v>7.2917870097445022E-3</c:v>
                </c:pt>
                <c:pt idx="30">
                  <c:v>0</c:v>
                </c:pt>
              </c:numCache>
            </c:numRef>
          </c:val>
          <c:extLst>
            <c:ext xmlns:c16="http://schemas.microsoft.com/office/drawing/2014/chart" uri="{C3380CC4-5D6E-409C-BE32-E72D297353CC}">
              <c16:uniqueId val="{0000000A-244E-0F41-8F49-CDAB9E3951C8}"/>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BAU_Scenario!$B$13</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BAU_Scenario!$O$13:$AS$13</c:f>
              <c:numCache>
                <c:formatCode>General</c:formatCode>
                <c:ptCount val="31"/>
                <c:pt idx="0">
                  <c:v>14.372381492272273</c:v>
                </c:pt>
                <c:pt idx="1">
                  <c:v>14.532470106406739</c:v>
                </c:pt>
                <c:pt idx="2">
                  <c:v>14.684733847387127</c:v>
                </c:pt>
                <c:pt idx="3">
                  <c:v>14.829201636782491</c:v>
                </c:pt>
                <c:pt idx="4">
                  <c:v>14.966082062249647</c:v>
                </c:pt>
                <c:pt idx="5">
                  <c:v>14.917323728556774</c:v>
                </c:pt>
                <c:pt idx="6">
                  <c:v>14.852286771893171</c:v>
                </c:pt>
                <c:pt idx="7">
                  <c:v>14.770023405469212</c:v>
                </c:pt>
                <c:pt idx="8">
                  <c:v>14.669370246803561</c:v>
                </c:pt>
                <c:pt idx="9">
                  <c:v>14.549089306720276</c:v>
                </c:pt>
                <c:pt idx="10">
                  <c:v>14.40823903113831</c:v>
                </c:pt>
                <c:pt idx="11">
                  <c:v>14.246366184260445</c:v>
                </c:pt>
                <c:pt idx="12">
                  <c:v>14.063343725957717</c:v>
                </c:pt>
                <c:pt idx="13">
                  <c:v>13.859095052969742</c:v>
                </c:pt>
                <c:pt idx="14">
                  <c:v>13.633782736627724</c:v>
                </c:pt>
                <c:pt idx="15">
                  <c:v>13.38917901139817</c:v>
                </c:pt>
                <c:pt idx="16">
                  <c:v>13.125417339046985</c:v>
                </c:pt>
                <c:pt idx="17">
                  <c:v>12.842416927665546</c:v>
                </c:pt>
                <c:pt idx="18">
                  <c:v>12.540218206308912</c:v>
                </c:pt>
                <c:pt idx="19">
                  <c:v>12.218894363289317</c:v>
                </c:pt>
                <c:pt idx="20">
                  <c:v>11.878574388548779</c:v>
                </c:pt>
                <c:pt idx="21">
                  <c:v>11.519408724871507</c:v>
                </c:pt>
                <c:pt idx="22">
                  <c:v>11.141579967429641</c:v>
                </c:pt>
                <c:pt idx="23">
                  <c:v>10.745285747895277</c:v>
                </c:pt>
                <c:pt idx="24">
                  <c:v>10.330759694195223</c:v>
                </c:pt>
                <c:pt idx="25">
                  <c:v>9.8983209619861086</c:v>
                </c:pt>
                <c:pt idx="26">
                  <c:v>9.4483448425856515</c:v>
                </c:pt>
                <c:pt idx="27">
                  <c:v>8.9812882680963479</c:v>
                </c:pt>
                <c:pt idx="28">
                  <c:v>8.4976701633296745</c:v>
                </c:pt>
                <c:pt idx="29">
                  <c:v>7.9980553683199078</c:v>
                </c:pt>
                <c:pt idx="30">
                  <c:v>7.4830211279999999</c:v>
                </c:pt>
              </c:numCache>
            </c:numRef>
          </c:val>
          <c:extLst>
            <c:ext xmlns:c16="http://schemas.microsoft.com/office/drawing/2014/chart" uri="{C3380CC4-5D6E-409C-BE32-E72D297353CC}">
              <c16:uniqueId val="{00000000-1737-BB4E-9E12-5F781A367278}"/>
            </c:ext>
          </c:extLst>
        </c:ser>
        <c:ser>
          <c:idx val="1"/>
          <c:order val="1"/>
          <c:tx>
            <c:strRef>
              <c:f>BAU_Scenario!$B$14</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BAU_Scenario!$O$14:$AS$14</c:f>
              <c:numCache>
                <c:formatCode>General</c:formatCode>
                <c:ptCount val="31"/>
                <c:pt idx="0">
                  <c:v>2.1807246302954901</c:v>
                </c:pt>
                <c:pt idx="1">
                  <c:v>2.4454077980229116</c:v>
                </c:pt>
                <c:pt idx="2">
                  <c:v>2.720709420338665</c:v>
                </c:pt>
                <c:pt idx="3">
                  <c:v>3.0067364663088472</c:v>
                </c:pt>
                <c:pt idx="4">
                  <c:v>3.3036434410936653</c:v>
                </c:pt>
                <c:pt idx="5">
                  <c:v>3.7774966033939301</c:v>
                </c:pt>
                <c:pt idx="6">
                  <c:v>4.2699439366749079</c:v>
                </c:pt>
                <c:pt idx="7">
                  <c:v>4.7808759979398552</c:v>
                </c:pt>
                <c:pt idx="8">
                  <c:v>5.3099829984306322</c:v>
                </c:pt>
                <c:pt idx="9">
                  <c:v>5.8567495862259413</c:v>
                </c:pt>
                <c:pt idx="10">
                  <c:v>6.4205771480699658</c:v>
                </c:pt>
                <c:pt idx="11">
                  <c:v>7.0009118401970163</c:v>
                </c:pt>
                <c:pt idx="12">
                  <c:v>7.5972441904325381</c:v>
                </c:pt>
                <c:pt idx="13">
                  <c:v>8.2090084200047677</c:v>
                </c:pt>
                <c:pt idx="14">
                  <c:v>8.8357037191525105</c:v>
                </c:pt>
                <c:pt idx="15">
                  <c:v>9.4779195572170067</c:v>
                </c:pt>
                <c:pt idx="16">
                  <c:v>10.135335610117551</c:v>
                </c:pt>
                <c:pt idx="17">
                  <c:v>10.807421950660647</c:v>
                </c:pt>
                <c:pt idx="18">
                  <c:v>11.49366020665108</c:v>
                </c:pt>
                <c:pt idx="19">
                  <c:v>12.193483456594571</c:v>
                </c:pt>
                <c:pt idx="20">
                  <c:v>12.906297752403624</c:v>
                </c:pt>
                <c:pt idx="21">
                  <c:v>13.631448136392464</c:v>
                </c:pt>
                <c:pt idx="22">
                  <c:v>14.368222800835282</c:v>
                </c:pt>
                <c:pt idx="23">
                  <c:v>15.115822677851266</c:v>
                </c:pt>
                <c:pt idx="24">
                  <c:v>15.873374155837872</c:v>
                </c:pt>
                <c:pt idx="25">
                  <c:v>16.640001341040172</c:v>
                </c:pt>
                <c:pt idx="26">
                  <c:v>17.414797020956403</c:v>
                </c:pt>
                <c:pt idx="27">
                  <c:v>18.196882302998141</c:v>
                </c:pt>
                <c:pt idx="28">
                  <c:v>18.985400505296976</c:v>
                </c:pt>
                <c:pt idx="29">
                  <c:v>19.779508471388208</c:v>
                </c:pt>
                <c:pt idx="30">
                  <c:v>20.578308101999998</c:v>
                </c:pt>
              </c:numCache>
            </c:numRef>
          </c:val>
          <c:extLst>
            <c:ext xmlns:c16="http://schemas.microsoft.com/office/drawing/2014/chart" uri="{C3380CC4-5D6E-409C-BE32-E72D297353CC}">
              <c16:uniqueId val="{00000001-1737-BB4E-9E12-5F781A367278}"/>
            </c:ext>
          </c:extLst>
        </c:ser>
        <c:ser>
          <c:idx val="2"/>
          <c:order val="2"/>
          <c:tx>
            <c:strRef>
              <c:f>BAU_Scenario!$B$15</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BAU_Scenario!$O$15:$AS$15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1737-BB4E-9E12-5F781A367278}"/>
            </c:ext>
          </c:extLst>
        </c:ser>
        <c:ser>
          <c:idx val="3"/>
          <c:order val="3"/>
          <c:tx>
            <c:strRef>
              <c:f>BAU_Scenario!$B$16</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BAU_Scenario!$O$16:$AS$16</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1737-BB4E-9E12-5F781A367278}"/>
            </c:ext>
          </c:extLst>
        </c:ser>
        <c:ser>
          <c:idx val="4"/>
          <c:order val="4"/>
          <c:tx>
            <c:strRef>
              <c:f>BAU_Scenario!$B$17</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BAU_Scenario!$O$17:$AS$17</c:f>
              <c:numCache>
                <c:formatCode>General</c:formatCode>
                <c:ptCount val="31"/>
                <c:pt idx="0">
                  <c:v>2.4073567421849479E-3</c:v>
                </c:pt>
                <c:pt idx="1">
                  <c:v>2.3750910400654841E-3</c:v>
                </c:pt>
                <c:pt idx="2">
                  <c:v>2.3386132375670795E-3</c:v>
                </c:pt>
                <c:pt idx="3">
                  <c:v>2.2979029681664321E-3</c:v>
                </c:pt>
                <c:pt idx="4">
                  <c:v>2.2529649762153534E-3</c:v>
                </c:pt>
                <c:pt idx="5">
                  <c:v>2.216781282639105E-3</c:v>
                </c:pt>
                <c:pt idx="6">
                  <c:v>2.1768264634910391E-3</c:v>
                </c:pt>
                <c:pt idx="7">
                  <c:v>2.1329519024063754E-3</c:v>
                </c:pt>
                <c:pt idx="8">
                  <c:v>2.0849856194206976E-3</c:v>
                </c:pt>
                <c:pt idx="9">
                  <c:v>2.0327556580647609E-3</c:v>
                </c:pt>
                <c:pt idx="10">
                  <c:v>1.9761435368821668E-3</c:v>
                </c:pt>
                <c:pt idx="11">
                  <c:v>1.9151080359421002E-3</c:v>
                </c:pt>
                <c:pt idx="12">
                  <c:v>1.8496586848865686E-3</c:v>
                </c:pt>
                <c:pt idx="13">
                  <c:v>1.7798166199728461E-3</c:v>
                </c:pt>
                <c:pt idx="14">
                  <c:v>1.7056382578093849E-3</c:v>
                </c:pt>
                <c:pt idx="15">
                  <c:v>1.6273785868054073E-3</c:v>
                </c:pt>
                <c:pt idx="16">
                  <c:v>1.5450785167554482E-3</c:v>
                </c:pt>
                <c:pt idx="17">
                  <c:v>1.458756364496069E-3</c:v>
                </c:pt>
                <c:pt idx="18">
                  <c:v>1.3684496001285362E-3</c:v>
                </c:pt>
                <c:pt idx="19">
                  <c:v>1.2742039452587339E-3</c:v>
                </c:pt>
                <c:pt idx="20">
                  <c:v>1.1760758634854615E-3</c:v>
                </c:pt>
                <c:pt idx="21">
                  <c:v>1.0741289609399879E-3</c:v>
                </c:pt>
                <c:pt idx="22">
                  <c:v>9.6843548997710112E-4</c:v>
                </c:pt>
                <c:pt idx="23">
                  <c:v>8.5907535767882205E-4</c:v>
                </c:pt>
                <c:pt idx="24">
                  <c:v>7.46138799605048E-4</c:v>
                </c:pt>
                <c:pt idx="25">
                  <c:v>6.2973018601151457E-4</c:v>
                </c:pt>
                <c:pt idx="26">
                  <c:v>5.0996493928314899E-4</c:v>
                </c:pt>
                <c:pt idx="27">
                  <c:v>3.8697015890566227E-4</c:v>
                </c:pt>
                <c:pt idx="28">
                  <c:v>2.608817691515946E-4</c:v>
                </c:pt>
                <c:pt idx="29">
                  <c:v>1.3184240451478185E-4</c:v>
                </c:pt>
                <c:pt idx="30">
                  <c:v>0</c:v>
                </c:pt>
              </c:numCache>
            </c:numRef>
          </c:val>
          <c:extLst>
            <c:ext xmlns:c16="http://schemas.microsoft.com/office/drawing/2014/chart" uri="{C3380CC4-5D6E-409C-BE32-E72D297353CC}">
              <c16:uniqueId val="{00000004-1737-BB4E-9E12-5F781A367278}"/>
            </c:ext>
          </c:extLst>
        </c:ser>
        <c:ser>
          <c:idx val="5"/>
          <c:order val="5"/>
          <c:tx>
            <c:strRef>
              <c:f>BAU_Scenario!$B$18</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BAU_Scenario!$O$18:$AS$18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1737-BB4E-9E12-5F781A367278}"/>
            </c:ext>
          </c:extLst>
        </c:ser>
        <c:ser>
          <c:idx val="6"/>
          <c:order val="6"/>
          <c:tx>
            <c:strRef>
              <c:f>BAU_Scenario!$B$19</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BAU_Scenario!$O$19:$AS$19</c:f>
              <c:numCache>
                <c:formatCode>General</c:formatCode>
                <c:ptCount val="31"/>
                <c:pt idx="0">
                  <c:v>4.7352483459328819E-2</c:v>
                </c:pt>
                <c:pt idx="1">
                  <c:v>4.4488809320713613E-2</c:v>
                </c:pt>
                <c:pt idx="2">
                  <c:v>4.1432816564809079E-2</c:v>
                </c:pt>
                <c:pt idx="3">
                  <c:v>3.8183153417387948E-2</c:v>
                </c:pt>
                <c:pt idx="4">
                  <c:v>3.4738774032630815E-2</c:v>
                </c:pt>
                <c:pt idx="5">
                  <c:v>3.4180852729778256E-2</c:v>
                </c:pt>
                <c:pt idx="6">
                  <c:v>3.3564783927754138E-2</c:v>
                </c:pt>
                <c:pt idx="7">
                  <c:v>3.2888276090574473E-2</c:v>
                </c:pt>
                <c:pt idx="8">
                  <c:v>3.2148677435728176E-2</c:v>
                </c:pt>
                <c:pt idx="9">
                  <c:v>3.1343336542979439E-2</c:v>
                </c:pt>
                <c:pt idx="10">
                  <c:v>3.0470426530603782E-2</c:v>
                </c:pt>
                <c:pt idx="11">
                  <c:v>2.9529311822869983E-2</c:v>
                </c:pt>
                <c:pt idx="12">
                  <c:v>2.8520139358626972E-2</c:v>
                </c:pt>
                <c:pt idx="13">
                  <c:v>2.7443235040706396E-2</c:v>
                </c:pt>
                <c:pt idx="14">
                  <c:v>2.6299468764483195E-2</c:v>
                </c:pt>
                <c:pt idx="15">
                  <c:v>2.5092772230992412E-2</c:v>
                </c:pt>
                <c:pt idx="16">
                  <c:v>2.3823776233931723E-2</c:v>
                </c:pt>
                <c:pt idx="17">
                  <c:v>2.2492763203100532E-2</c:v>
                </c:pt>
                <c:pt idx="18">
                  <c:v>2.1100310895097188E-2</c:v>
                </c:pt>
                <c:pt idx="19">
                  <c:v>1.9647124297594389E-2</c:v>
                </c:pt>
                <c:pt idx="20">
                  <c:v>1.8134074030517627E-2</c:v>
                </c:pt>
                <c:pt idx="21">
                  <c:v>1.6562140845474041E-2</c:v>
                </c:pt>
                <c:pt idx="22">
                  <c:v>1.4932438811369634E-2</c:v>
                </c:pt>
                <c:pt idx="23">
                  <c:v>1.3246200026392893E-2</c:v>
                </c:pt>
                <c:pt idx="24">
                  <c:v>1.1504815844940395E-2</c:v>
                </c:pt>
                <c:pt idx="25">
                  <c:v>9.7098955662103057E-3</c:v>
                </c:pt>
                <c:pt idx="26">
                  <c:v>7.8632189036871337E-3</c:v>
                </c:pt>
                <c:pt idx="27">
                  <c:v>5.9667456216638826E-3</c:v>
                </c:pt>
                <c:pt idx="28">
                  <c:v>4.0225715550244404E-3</c:v>
                </c:pt>
                <c:pt idx="29">
                  <c:v>2.0328960044694072E-3</c:v>
                </c:pt>
                <c:pt idx="30">
                  <c:v>0</c:v>
                </c:pt>
              </c:numCache>
            </c:numRef>
          </c:val>
          <c:extLst>
            <c:ext xmlns:c16="http://schemas.microsoft.com/office/drawing/2014/chart" uri="{C3380CC4-5D6E-409C-BE32-E72D297353CC}">
              <c16:uniqueId val="{00000006-1737-BB4E-9E12-5F781A367278}"/>
            </c:ext>
          </c:extLst>
        </c:ser>
        <c:ser>
          <c:idx val="7"/>
          <c:order val="7"/>
          <c:tx>
            <c:strRef>
              <c:f>BAU_Scenario!$B$20</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BAU_Scenario!$O$20:$AS$20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1737-BB4E-9E12-5F781A367278}"/>
            </c:ext>
          </c:extLst>
        </c:ser>
        <c:ser>
          <c:idx val="8"/>
          <c:order val="8"/>
          <c:tx>
            <c:strRef>
              <c:f>BAU_Scenario!$B$21</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BAU_Scenario!$O$21:$AS$21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1737-BB4E-9E12-5F781A367278}"/>
            </c:ext>
          </c:extLst>
        </c:ser>
        <c:ser>
          <c:idx val="9"/>
          <c:order val="9"/>
          <c:tx>
            <c:strRef>
              <c:f>BAU_Scenario!$B$22</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BAU_Scenario!$O$22:$AS$22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1737-BB4E-9E12-5F781A367278}"/>
            </c:ext>
          </c:extLst>
        </c:ser>
        <c:ser>
          <c:idx val="10"/>
          <c:order val="10"/>
          <c:tx>
            <c:strRef>
              <c:f>BAU_Scenario!$B$23</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BAU_Scenario!$O$23:$AS$23</c:f>
              <c:numCache>
                <c:formatCode>General</c:formatCode>
                <c:ptCount val="31"/>
                <c:pt idx="0">
                  <c:v>0.12929786416610894</c:v>
                </c:pt>
                <c:pt idx="1">
                  <c:v>0.12840251488732257</c:v>
                </c:pt>
                <c:pt idx="2">
                  <c:v>0.12732207176089338</c:v>
                </c:pt>
                <c:pt idx="3">
                  <c:v>0.12605579834392089</c:v>
                </c:pt>
                <c:pt idx="4">
                  <c:v>0.12460437753267935</c:v>
                </c:pt>
                <c:pt idx="5">
                  <c:v>0.12260317171612223</c:v>
                </c:pt>
                <c:pt idx="6">
                  <c:v>0.12039339685413628</c:v>
                </c:pt>
                <c:pt idx="7">
                  <c:v>0.11796683344494484</c:v>
                </c:pt>
                <c:pt idx="8">
                  <c:v>0.11531396981986226</c:v>
                </c:pt>
                <c:pt idx="9">
                  <c:v>0.11242529560964665</c:v>
                </c:pt>
                <c:pt idx="10">
                  <c:v>0.10929425797913202</c:v>
                </c:pt>
                <c:pt idx="11">
                  <c:v>0.1059185771841256</c:v>
                </c:pt>
                <c:pt idx="12">
                  <c:v>0.10229878027903036</c:v>
                </c:pt>
                <c:pt idx="13">
                  <c:v>9.843603624348371E-2</c:v>
                </c:pt>
                <c:pt idx="14">
                  <c:v>9.4333465301924518E-2</c:v>
                </c:pt>
                <c:pt idx="15">
                  <c:v>9.0005170057963851E-2</c:v>
                </c:pt>
                <c:pt idx="16">
                  <c:v>8.5453413103136339E-2</c:v>
                </c:pt>
                <c:pt idx="17">
                  <c:v>8.0679207483824053E-2</c:v>
                </c:pt>
                <c:pt idx="18">
                  <c:v>7.5684625552990173E-2</c:v>
                </c:pt>
                <c:pt idx="19">
                  <c:v>7.0472196028258452E-2</c:v>
                </c:pt>
                <c:pt idx="20">
                  <c:v>6.5045041732955416E-2</c:v>
                </c:pt>
                <c:pt idx="21">
                  <c:v>5.9406680521321018E-2</c:v>
                </c:pt>
                <c:pt idx="22">
                  <c:v>5.3561108442911592E-2</c:v>
                </c:pt>
                <c:pt idx="23">
                  <c:v>4.7512744906071602E-2</c:v>
                </c:pt>
                <c:pt idx="24">
                  <c:v>4.1266580554637514E-2</c:v>
                </c:pt>
                <c:pt idx="25">
                  <c:v>3.4828387777832481E-2</c:v>
                </c:pt>
                <c:pt idx="26">
                  <c:v>2.8204550223240477E-2</c:v>
                </c:pt>
                <c:pt idx="27">
                  <c:v>2.1402097362011263E-2</c:v>
                </c:pt>
                <c:pt idx="28">
                  <c:v>1.442854673638375E-2</c:v>
                </c:pt>
                <c:pt idx="29">
                  <c:v>7.2917870097445022E-3</c:v>
                </c:pt>
                <c:pt idx="30">
                  <c:v>0</c:v>
                </c:pt>
              </c:numCache>
            </c:numRef>
          </c:val>
          <c:extLst>
            <c:ext xmlns:c16="http://schemas.microsoft.com/office/drawing/2014/chart" uri="{C3380CC4-5D6E-409C-BE32-E72D297353CC}">
              <c16:uniqueId val="{0000000A-1737-BB4E-9E12-5F781A367278}"/>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BAU_Scenario!$B$24</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BAU_Scenario!$O$24:$AS$24</c:f>
              <c:numCache>
                <c:formatCode>General</c:formatCode>
                <c:ptCount val="31"/>
                <c:pt idx="0">
                  <c:v>2.3397656520535932</c:v>
                </c:pt>
                <c:pt idx="1">
                  <c:v>2.339444162614662</c:v>
                </c:pt>
                <c:pt idx="2">
                  <c:v>2.3333755758625485</c:v>
                </c:pt>
                <c:pt idx="3">
                  <c:v>2.3210952300637295</c:v>
                </c:pt>
                <c:pt idx="4">
                  <c:v>2.3021234720716186</c:v>
                </c:pt>
                <c:pt idx="5">
                  <c:v>2.3073881901251285</c:v>
                </c:pt>
                <c:pt idx="6">
                  <c:v>2.3076649309433752</c:v>
                </c:pt>
                <c:pt idx="7">
                  <c:v>2.302606144585436</c:v>
                </c:pt>
                <c:pt idx="8">
                  <c:v>2.2918400184802223</c:v>
                </c:pt>
                <c:pt idx="9">
                  <c:v>2.2749893351537298</c:v>
                </c:pt>
                <c:pt idx="10">
                  <c:v>2.2516923436846712</c:v>
                </c:pt>
                <c:pt idx="11">
                  <c:v>2.2216020814695683</c:v>
                </c:pt>
                <c:pt idx="12">
                  <c:v>2.1843860735619192</c:v>
                </c:pt>
                <c:pt idx="13">
                  <c:v>2.1397015875862704</c:v>
                </c:pt>
                <c:pt idx="14">
                  <c:v>2.0871748741563882</c:v>
                </c:pt>
                <c:pt idx="15">
                  <c:v>2.0271278571211049</c:v>
                </c:pt>
                <c:pt idx="16">
                  <c:v>1.9591343322666639</c:v>
                </c:pt>
                <c:pt idx="17">
                  <c:v>1.8828807453028245</c:v>
                </c:pt>
                <c:pt idx="18">
                  <c:v>1.7980669667952283</c:v>
                </c:pt>
                <c:pt idx="19">
                  <c:v>1.7043938671815977</c:v>
                </c:pt>
                <c:pt idx="20">
                  <c:v>1.6015551010396156</c:v>
                </c:pt>
                <c:pt idx="21">
                  <c:v>1.4892335061490225</c:v>
                </c:pt>
                <c:pt idx="22">
                  <c:v>1.3671101303087729</c:v>
                </c:pt>
                <c:pt idx="23">
                  <c:v>1.2348712024731401</c:v>
                </c:pt>
                <c:pt idx="24">
                  <c:v>1.09220428009776</c:v>
                </c:pt>
                <c:pt idx="25">
                  <c:v>0.93879775969176227</c:v>
                </c:pt>
                <c:pt idx="26">
                  <c:v>0.77434207946110822</c:v>
                </c:pt>
                <c:pt idx="27">
                  <c:v>0.59853096390460592</c:v>
                </c:pt>
                <c:pt idx="28">
                  <c:v>0.41106444440648399</c:v>
                </c:pt>
                <c:pt idx="29">
                  <c:v>0.21164902704709032</c:v>
                </c:pt>
                <c:pt idx="30">
                  <c:v>0</c:v>
                </c:pt>
              </c:numCache>
            </c:numRef>
          </c:val>
          <c:extLst>
            <c:ext xmlns:c16="http://schemas.microsoft.com/office/drawing/2014/chart" uri="{C3380CC4-5D6E-409C-BE32-E72D297353CC}">
              <c16:uniqueId val="{00000000-24B0-1949-A84E-2F3F9AC62825}"/>
            </c:ext>
          </c:extLst>
        </c:ser>
        <c:ser>
          <c:idx val="1"/>
          <c:order val="1"/>
          <c:tx>
            <c:strRef>
              <c:f>BAU_Scenario!$B$25</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BAU_Scenario!$O$25:$AS$25</c:f>
              <c:numCache>
                <c:formatCode>General</c:formatCode>
                <c:ptCount val="31"/>
                <c:pt idx="0">
                  <c:v>7.4453583048008998</c:v>
                </c:pt>
                <c:pt idx="1">
                  <c:v>7.9242533665599675</c:v>
                </c:pt>
                <c:pt idx="2">
                  <c:v>8.4271075663434392</c:v>
                </c:pt>
                <c:pt idx="3">
                  <c:v>8.9544575597344132</c:v>
                </c:pt>
                <c:pt idx="4">
                  <c:v>9.5067533710814587</c:v>
                </c:pt>
                <c:pt idx="5">
                  <c:v>9.9945540696245985</c:v>
                </c:pt>
                <c:pt idx="6">
                  <c:v>10.500711389847273</c:v>
                </c:pt>
                <c:pt idx="7">
                  <c:v>11.025356918117957</c:v>
                </c:pt>
                <c:pt idx="8">
                  <c:v>11.568465554548698</c:v>
                </c:pt>
                <c:pt idx="9">
                  <c:v>12.12991343823535</c:v>
                </c:pt>
                <c:pt idx="10">
                  <c:v>12.709569821691405</c:v>
                </c:pt>
                <c:pt idx="11">
                  <c:v>13.307294940883466</c:v>
                </c:pt>
                <c:pt idx="12">
                  <c:v>13.922939373865548</c:v>
                </c:pt>
                <c:pt idx="13">
                  <c:v>14.556176782424178</c:v>
                </c:pt>
                <c:pt idx="14">
                  <c:v>15.206294430710876</c:v>
                </c:pt>
                <c:pt idx="15">
                  <c:v>15.877746770605093</c:v>
                </c:pt>
                <c:pt idx="16">
                  <c:v>16.570018045291299</c:v>
                </c:pt>
                <c:pt idx="17">
                  <c:v>17.283347180163535</c:v>
                </c:pt>
                <c:pt idx="18">
                  <c:v>18.018091104573262</c:v>
                </c:pt>
                <c:pt idx="19">
                  <c:v>18.774647137902118</c:v>
                </c:pt>
                <c:pt idx="20">
                  <c:v>19.553373338754611</c:v>
                </c:pt>
                <c:pt idx="21">
                  <c:v>20.354513788136206</c:v>
                </c:pt>
                <c:pt idx="22">
                  <c:v>21.178260969991378</c:v>
                </c:pt>
                <c:pt idx="23">
                  <c:v>22.024842075148179</c:v>
                </c:pt>
                <c:pt idx="24">
                  <c:v>22.89447113809711</c:v>
                </c:pt>
                <c:pt idx="25">
                  <c:v>23.787324701326018</c:v>
                </c:pt>
                <c:pt idx="26">
                  <c:v>24.70353428278294</c:v>
                </c:pt>
                <c:pt idx="27">
                  <c:v>25.643167788738833</c:v>
                </c:pt>
                <c:pt idx="28">
                  <c:v>26.606273552577981</c:v>
                </c:pt>
                <c:pt idx="29">
                  <c:v>27.592833362397496</c:v>
                </c:pt>
                <c:pt idx="30">
                  <c:v>28.602806237999999</c:v>
                </c:pt>
              </c:numCache>
            </c:numRef>
          </c:val>
          <c:extLst>
            <c:ext xmlns:c16="http://schemas.microsoft.com/office/drawing/2014/chart" uri="{C3380CC4-5D6E-409C-BE32-E72D297353CC}">
              <c16:uniqueId val="{00000001-24B0-1949-A84E-2F3F9AC62825}"/>
            </c:ext>
          </c:extLst>
        </c:ser>
        <c:ser>
          <c:idx val="2"/>
          <c:order val="2"/>
          <c:tx>
            <c:strRef>
              <c:f>BAU_Scenario!$B$26</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BAU_Scenario!$O$26:$AS$26</c:f>
              <c:numCache>
                <c:formatCode>General</c:formatCode>
                <c:ptCount val="31"/>
                <c:pt idx="0">
                  <c:v>0.11995749142857652</c:v>
                </c:pt>
                <c:pt idx="1">
                  <c:v>0.14467838068323105</c:v>
                </c:pt>
                <c:pt idx="2">
                  <c:v>0.17128224055900845</c:v>
                </c:pt>
                <c:pt idx="3">
                  <c:v>0.19984912453416476</c:v>
                </c:pt>
                <c:pt idx="4">
                  <c:v>0.23045631099379324</c:v>
                </c:pt>
                <c:pt idx="5">
                  <c:v>0.26144476148829876</c:v>
                </c:pt>
                <c:pt idx="6">
                  <c:v>0.29447994874343492</c:v>
                </c:pt>
                <c:pt idx="7">
                  <c:v>0.32962948708791651</c:v>
                </c:pt>
                <c:pt idx="8">
                  <c:v>0.36695486970855673</c:v>
                </c:pt>
                <c:pt idx="9">
                  <c:v>0.40651205257525519</c:v>
                </c:pt>
                <c:pt idx="10">
                  <c:v>0.44835391533684138</c:v>
                </c:pt>
                <c:pt idx="11">
                  <c:v>0.49253023727186279</c:v>
                </c:pt>
                <c:pt idx="12">
                  <c:v>0.53908770642140891</c:v>
                </c:pt>
                <c:pt idx="13">
                  <c:v>0.588063189381275</c:v>
                </c:pt>
                <c:pt idx="14">
                  <c:v>0.63947356468227812</c:v>
                </c:pt>
                <c:pt idx="15">
                  <c:v>0.69355531036311902</c:v>
                </c:pt>
                <c:pt idx="16">
                  <c:v>0.75034708622073931</c:v>
                </c:pt>
                <c:pt idx="17">
                  <c:v>0.80991774975155617</c:v>
                </c:pt>
                <c:pt idx="18">
                  <c:v>0.87234159159102076</c:v>
                </c:pt>
                <c:pt idx="19">
                  <c:v>0.93769537246775247</c:v>
                </c:pt>
                <c:pt idx="20">
                  <c:v>1.006054512298139</c:v>
                </c:pt>
                <c:pt idx="21">
                  <c:v>1.077488818172482</c:v>
                </c:pt>
                <c:pt idx="22">
                  <c:v>1.1520650287625436</c:v>
                </c:pt>
                <c:pt idx="23">
                  <c:v>1.2298512714046839</c:v>
                </c:pt>
                <c:pt idx="24">
                  <c:v>1.3109145879646451</c:v>
                </c:pt>
                <c:pt idx="25">
                  <c:v>1.3953194273793605</c:v>
                </c:pt>
                <c:pt idx="26">
                  <c:v>1.4831269491256573</c:v>
                </c:pt>
                <c:pt idx="27">
                  <c:v>1.5743935970425225</c:v>
                </c:pt>
                <c:pt idx="28">
                  <c:v>1.6691734647873857</c:v>
                </c:pt>
                <c:pt idx="29">
                  <c:v>1.7675151972503571</c:v>
                </c:pt>
                <c:pt idx="30">
                  <c:v>1.8694644600000001</c:v>
                </c:pt>
              </c:numCache>
            </c:numRef>
          </c:val>
          <c:extLst>
            <c:ext xmlns:c16="http://schemas.microsoft.com/office/drawing/2014/chart" uri="{C3380CC4-5D6E-409C-BE32-E72D297353CC}">
              <c16:uniqueId val="{00000002-24B0-1949-A84E-2F3F9AC62825}"/>
            </c:ext>
          </c:extLst>
        </c:ser>
        <c:ser>
          <c:idx val="3"/>
          <c:order val="3"/>
          <c:tx>
            <c:strRef>
              <c:f>BAU_Scenario!$B$27</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BAU_Scenario!$O$27:$AS$27</c:f>
              <c:numCache>
                <c:formatCode>General</c:formatCode>
                <c:ptCount val="31"/>
                <c:pt idx="0">
                  <c:v>3.9985830476189012E-2</c:v>
                </c:pt>
                <c:pt idx="1">
                  <c:v>4.8226126894409527E-2</c:v>
                </c:pt>
                <c:pt idx="2">
                  <c:v>5.7094080186333565E-2</c:v>
                </c:pt>
                <c:pt idx="3">
                  <c:v>6.6616374844719786E-2</c:v>
                </c:pt>
                <c:pt idx="4">
                  <c:v>7.681877033126347E-2</c:v>
                </c:pt>
                <c:pt idx="5">
                  <c:v>8.7148253829431976E-2</c:v>
                </c:pt>
                <c:pt idx="6">
                  <c:v>9.8159982914477348E-2</c:v>
                </c:pt>
                <c:pt idx="7">
                  <c:v>0.10987649569597122</c:v>
                </c:pt>
                <c:pt idx="8">
                  <c:v>0.12231828990285129</c:v>
                </c:pt>
                <c:pt idx="9">
                  <c:v>0.13550401752508412</c:v>
                </c:pt>
                <c:pt idx="10">
                  <c:v>0.14945130511227955</c:v>
                </c:pt>
                <c:pt idx="11">
                  <c:v>0.16417674575728669</c:v>
                </c:pt>
                <c:pt idx="12">
                  <c:v>0.17969590214046877</c:v>
                </c:pt>
                <c:pt idx="13">
                  <c:v>0.19602106312709086</c:v>
                </c:pt>
                <c:pt idx="14">
                  <c:v>0.21315785489409195</c:v>
                </c:pt>
                <c:pt idx="15">
                  <c:v>0.23118510345437229</c:v>
                </c:pt>
                <c:pt idx="16">
                  <c:v>0.25011569540691247</c:v>
                </c:pt>
                <c:pt idx="17">
                  <c:v>0.26997258325051815</c:v>
                </c:pt>
                <c:pt idx="18">
                  <c:v>0.29078053053033975</c:v>
                </c:pt>
                <c:pt idx="19">
                  <c:v>0.31256512415591708</c:v>
                </c:pt>
                <c:pt idx="20">
                  <c:v>0.33535150409937942</c:v>
                </c:pt>
                <c:pt idx="21">
                  <c:v>0.35916293939082711</c:v>
                </c:pt>
                <c:pt idx="22">
                  <c:v>0.38402167625418115</c:v>
                </c:pt>
                <c:pt idx="23">
                  <c:v>0.40995042380156127</c:v>
                </c:pt>
                <c:pt idx="24">
                  <c:v>0.43697152932154854</c:v>
                </c:pt>
                <c:pt idx="25">
                  <c:v>0.46510647579312042</c:v>
                </c:pt>
                <c:pt idx="26">
                  <c:v>0.49437564970855286</c:v>
                </c:pt>
                <c:pt idx="27">
                  <c:v>0.52479786568084141</c:v>
                </c:pt>
                <c:pt idx="28">
                  <c:v>0.55639115492912927</c:v>
                </c:pt>
                <c:pt idx="29">
                  <c:v>0.58917173241678655</c:v>
                </c:pt>
                <c:pt idx="30">
                  <c:v>0.62315482</c:v>
                </c:pt>
              </c:numCache>
            </c:numRef>
          </c:val>
          <c:extLst>
            <c:ext xmlns:c16="http://schemas.microsoft.com/office/drawing/2014/chart" uri="{C3380CC4-5D6E-409C-BE32-E72D297353CC}">
              <c16:uniqueId val="{00000003-24B0-1949-A84E-2F3F9AC62825}"/>
            </c:ext>
          </c:extLst>
        </c:ser>
        <c:ser>
          <c:idx val="4"/>
          <c:order val="4"/>
          <c:tx>
            <c:strRef>
              <c:f>BAU_Scenario!$B$28</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BAU_Scenario!$O$28:$AS$28</c:f>
              <c:numCache>
                <c:formatCode>General</c:formatCode>
                <c:ptCount val="31"/>
                <c:pt idx="0">
                  <c:v>4.3976427921335826E-2</c:v>
                </c:pt>
                <c:pt idx="1">
                  <c:v>5.1142483129100545E-2</c:v>
                </c:pt>
                <c:pt idx="2">
                  <c:v>5.8831876566474157E-2</c:v>
                </c:pt>
                <c:pt idx="3">
                  <c:v>6.7065991610041301E-2</c:v>
                </c:pt>
                <c:pt idx="4">
                  <c:v>7.5865348126057275E-2</c:v>
                </c:pt>
                <c:pt idx="5">
                  <c:v>7.603884432326849E-2</c:v>
                </c:pt>
                <c:pt idx="6">
                  <c:v>7.604796418098754E-2</c:v>
                </c:pt>
                <c:pt idx="7">
                  <c:v>7.5881254361641892E-2</c:v>
                </c:pt>
                <c:pt idx="8">
                  <c:v>7.5526461964600708E-2</c:v>
                </c:pt>
                <c:pt idx="9">
                  <c:v>7.4971155973312623E-2</c:v>
                </c:pt>
                <c:pt idx="10">
                  <c:v>7.4203415063873276E-2</c:v>
                </c:pt>
                <c:pt idx="11">
                  <c:v>7.3211805254127099E-2</c:v>
                </c:pt>
                <c:pt idx="12">
                  <c:v>7.1985369995537257E-2</c:v>
                </c:pt>
                <c:pt idx="13">
                  <c:v>7.0512814711034655E-2</c:v>
                </c:pt>
                <c:pt idx="14">
                  <c:v>6.8781822673196782E-2</c:v>
                </c:pt>
                <c:pt idx="15">
                  <c:v>6.6803002724319896E-2</c:v>
                </c:pt>
                <c:pt idx="16">
                  <c:v>6.4562309513908372E-2</c:v>
                </c:pt>
                <c:pt idx="17">
                  <c:v>6.2049410014357861E-2</c:v>
                </c:pt>
                <c:pt idx="18">
                  <c:v>5.92544136075948E-2</c:v>
                </c:pt>
                <c:pt idx="19">
                  <c:v>5.616746262583884E-2</c:v>
                </c:pt>
                <c:pt idx="20">
                  <c:v>5.2778461606186794E-2</c:v>
                </c:pt>
                <c:pt idx="21">
                  <c:v>4.9076958623472874E-2</c:v>
                </c:pt>
                <c:pt idx="22">
                  <c:v>4.5052442764593852E-2</c:v>
                </c:pt>
                <c:pt idx="23">
                  <c:v>4.0694573858874816E-2</c:v>
                </c:pt>
                <c:pt idx="24">
                  <c:v>3.5993055515750667E-2</c:v>
                </c:pt>
                <c:pt idx="25">
                  <c:v>3.0937618995251968E-2</c:v>
                </c:pt>
                <c:pt idx="26">
                  <c:v>2.5518062840525449E-2</c:v>
                </c:pt>
                <c:pt idx="27">
                  <c:v>1.9724293892884229E-2</c:v>
                </c:pt>
                <c:pt idx="28">
                  <c:v>1.3546426833952269E-2</c:v>
                </c:pt>
                <c:pt idx="29">
                  <c:v>6.9747897157835031E-3</c:v>
                </c:pt>
                <c:pt idx="30">
                  <c:v>0</c:v>
                </c:pt>
              </c:numCache>
            </c:numRef>
          </c:val>
          <c:extLst>
            <c:ext xmlns:c16="http://schemas.microsoft.com/office/drawing/2014/chart" uri="{C3380CC4-5D6E-409C-BE32-E72D297353CC}">
              <c16:uniqueId val="{00000004-24B0-1949-A84E-2F3F9AC62825}"/>
            </c:ext>
          </c:extLst>
        </c:ser>
        <c:ser>
          <c:idx val="5"/>
          <c:order val="5"/>
          <c:tx>
            <c:strRef>
              <c:f>BAU_Scenario!$B$29</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BAU_Scenario!$O$29:$AS$29</c:f>
              <c:numCache>
                <c:formatCode>General</c:formatCode>
                <c:ptCount val="31"/>
                <c:pt idx="0">
                  <c:v>3.402109333333448E-3</c:v>
                </c:pt>
                <c:pt idx="1">
                  <c:v>2.5843666086958514E-3</c:v>
                </c:pt>
                <c:pt idx="2">
                  <c:v>1.6863230434785528E-3</c:v>
                </c:pt>
                <c:pt idx="3">
                  <c:v>7.0387113043517396E-4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24B0-1949-A84E-2F3F9AC62825}"/>
            </c:ext>
          </c:extLst>
        </c:ser>
        <c:ser>
          <c:idx val="6"/>
          <c:order val="6"/>
          <c:tx>
            <c:strRef>
              <c:f>BAU_Scenario!$B$30</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BAU_Scenario!$O$30:$AS$30</c:f>
              <c:numCache>
                <c:formatCode>General</c:formatCode>
                <c:ptCount val="31"/>
                <c:pt idx="0">
                  <c:v>0.82413735314186498</c:v>
                </c:pt>
                <c:pt idx="1">
                  <c:v>0.81853607982341225</c:v>
                </c:pt>
                <c:pt idx="2">
                  <c:v>0.81042739323870472</c:v>
                </c:pt>
                <c:pt idx="3">
                  <c:v>0.79962458010107429</c:v>
                </c:pt>
                <c:pt idx="4">
                  <c:v>0.78593609183317181</c:v>
                </c:pt>
                <c:pt idx="5">
                  <c:v>0.78773344631123388</c:v>
                </c:pt>
                <c:pt idx="6">
                  <c:v>0.78782792456132877</c:v>
                </c:pt>
                <c:pt idx="7">
                  <c:v>0.78610087437144482</c:v>
                </c:pt>
                <c:pt idx="8">
                  <c:v>0.78242536036102539</c:v>
                </c:pt>
                <c:pt idx="9">
                  <c:v>0.77667260193646348</c:v>
                </c:pt>
                <c:pt idx="10">
                  <c:v>0.76871909872571442</c:v>
                </c:pt>
                <c:pt idx="11">
                  <c:v>0.75844639903150912</c:v>
                </c:pt>
                <c:pt idx="12">
                  <c:v>0.7457409971869029</c:v>
                </c:pt>
                <c:pt idx="13">
                  <c:v>0.73048588567819106</c:v>
                </c:pt>
                <c:pt idx="14">
                  <c:v>0.71255346790358176</c:v>
                </c:pt>
                <c:pt idx="15">
                  <c:v>0.69205364742588948</c:v>
                </c:pt>
                <c:pt idx="16">
                  <c:v>0.66884091976711935</c:v>
                </c:pt>
                <c:pt idx="17">
                  <c:v>0.64280823869954351</c:v>
                </c:pt>
                <c:pt idx="18">
                  <c:v>0.61385314118955625</c:v>
                </c:pt>
                <c:pt idx="19">
                  <c:v>0.58187350555603112</c:v>
                </c:pt>
                <c:pt idx="20">
                  <c:v>0.5467647466510005</c:v>
                </c:pt>
                <c:pt idx="21">
                  <c:v>0.50841858651331562</c:v>
                </c:pt>
                <c:pt idx="22">
                  <c:v>0.46672613608927804</c:v>
                </c:pt>
                <c:pt idx="23">
                  <c:v>0.42158027515167112</c:v>
                </c:pt>
                <c:pt idx="24">
                  <c:v>0.3728743370185299</c:v>
                </c:pt>
                <c:pt idx="25">
                  <c:v>0.32050194145752209</c:v>
                </c:pt>
                <c:pt idx="26">
                  <c:v>0.2643574052637549</c:v>
                </c:pt>
                <c:pt idx="27">
                  <c:v>0.20433616716006345</c:v>
                </c:pt>
                <c:pt idx="28">
                  <c:v>0.14033581901568845</c:v>
                </c:pt>
                <c:pt idx="29">
                  <c:v>7.2256163136202783E-2</c:v>
                </c:pt>
                <c:pt idx="30">
                  <c:v>0</c:v>
                </c:pt>
              </c:numCache>
            </c:numRef>
          </c:val>
          <c:extLst>
            <c:ext xmlns:c16="http://schemas.microsoft.com/office/drawing/2014/chart" uri="{C3380CC4-5D6E-409C-BE32-E72D297353CC}">
              <c16:uniqueId val="{00000006-24B0-1949-A84E-2F3F9AC62825}"/>
            </c:ext>
          </c:extLst>
        </c:ser>
        <c:ser>
          <c:idx val="7"/>
          <c:order val="7"/>
          <c:tx>
            <c:strRef>
              <c:f>BAU_Scenario!$B$31</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BAU_Scenario!$O$31:$AS$31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24B0-1949-A84E-2F3F9AC62825}"/>
            </c:ext>
          </c:extLst>
        </c:ser>
        <c:ser>
          <c:idx val="8"/>
          <c:order val="8"/>
          <c:tx>
            <c:strRef>
              <c:f>BAU_Scenario!$B$32</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BAU_Scenario!$O$32:$AS$32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24B0-1949-A84E-2F3F9AC62825}"/>
            </c:ext>
          </c:extLst>
        </c:ser>
        <c:ser>
          <c:idx val="9"/>
          <c:order val="9"/>
          <c:tx>
            <c:strRef>
              <c:f>BAU_Scenario!$B$33</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BAU_Scenario!$O$33:$AS$33</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24B0-1949-A84E-2F3F9AC62825}"/>
            </c:ext>
          </c:extLst>
        </c:ser>
        <c:ser>
          <c:idx val="10"/>
          <c:order val="10"/>
          <c:tx>
            <c:strRef>
              <c:f>BAU_Scenario!$B$34</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BAU_Scenario!$O$34:$AS$34</c:f>
              <c:numCache>
                <c:formatCode>General</c:formatCode>
                <c:ptCount val="31"/>
                <c:pt idx="0">
                  <c:v>8.7439196244640492E-3</c:v>
                </c:pt>
                <c:pt idx="1">
                  <c:v>6.6562124859831399E-3</c:v>
                </c:pt>
                <c:pt idx="2">
                  <c:v>4.3633538447909606E-3</c:v>
                </c:pt>
                <c:pt idx="3">
                  <c:v>1.8548456418727103E-3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24B0-1949-A84E-2F3F9AC62825}"/>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Summary!$B$41</c:f>
              <c:strCache>
                <c:ptCount val="1"/>
                <c:pt idx="0">
                  <c:v>fuelwood</c:v>
                </c:pt>
              </c:strCache>
            </c:strRef>
          </c:tx>
          <c:spPr>
            <a:solidFill>
              <a:schemeClr val="accent1"/>
            </a:solidFill>
            <a:ln>
              <a:noFill/>
            </a:ln>
            <a:effectLst/>
          </c:spPr>
          <c:invertIfNegative val="0"/>
          <c:cat>
            <c:strRef>
              <c:f>Summary!$E$40:$F$40</c:f>
              <c:strCache>
                <c:ptCount val="1"/>
                <c:pt idx="0">
                  <c:v>BAU</c:v>
                </c:pt>
              </c:strCache>
            </c:strRef>
          </c:cat>
          <c:val>
            <c:numRef>
              <c:f>Summary!$E$41:$F$41</c:f>
              <c:numCache>
                <c:formatCode>0.0</c:formatCode>
                <c:ptCount val="2"/>
                <c:pt idx="0">
                  <c:v>0</c:v>
                </c:pt>
              </c:numCache>
            </c:numRef>
          </c:val>
          <c:extLst>
            <c:ext xmlns:c16="http://schemas.microsoft.com/office/drawing/2014/chart" uri="{C3380CC4-5D6E-409C-BE32-E72D297353CC}">
              <c16:uniqueId val="{00000000-515D-7644-8EFC-40FB0D014C72}"/>
            </c:ext>
          </c:extLst>
        </c:ser>
        <c:ser>
          <c:idx val="1"/>
          <c:order val="1"/>
          <c:tx>
            <c:strRef>
              <c:f>Summary!$B$42</c:f>
              <c:strCache>
                <c:ptCount val="1"/>
                <c:pt idx="0">
                  <c:v>charcoal</c:v>
                </c:pt>
              </c:strCache>
            </c:strRef>
          </c:tx>
          <c:spPr>
            <a:solidFill>
              <a:schemeClr val="accent2"/>
            </a:solidFill>
            <a:ln>
              <a:noFill/>
            </a:ln>
            <a:effectLst/>
          </c:spPr>
          <c:invertIfNegative val="0"/>
          <c:cat>
            <c:strRef>
              <c:f>Summary!$E$40:$F$40</c:f>
              <c:strCache>
                <c:ptCount val="1"/>
                <c:pt idx="0">
                  <c:v>BAU</c:v>
                </c:pt>
              </c:strCache>
            </c:strRef>
          </c:cat>
          <c:val>
            <c:numRef>
              <c:f>Summary!$E$42:$F$42</c:f>
              <c:numCache>
                <c:formatCode>0.0</c:formatCode>
                <c:ptCount val="2"/>
                <c:pt idx="0">
                  <c:v>0</c:v>
                </c:pt>
              </c:numCache>
            </c:numRef>
          </c:val>
          <c:extLst>
            <c:ext xmlns:c16="http://schemas.microsoft.com/office/drawing/2014/chart" uri="{C3380CC4-5D6E-409C-BE32-E72D297353CC}">
              <c16:uniqueId val="{00000001-515D-7644-8EFC-40FB0D014C72}"/>
            </c:ext>
          </c:extLst>
        </c:ser>
        <c:ser>
          <c:idx val="2"/>
          <c:order val="2"/>
          <c:tx>
            <c:strRef>
              <c:f>Summary!$B$43</c:f>
              <c:strCache>
                <c:ptCount val="1"/>
                <c:pt idx="0">
                  <c:v>Imp_fuelwood</c:v>
                </c:pt>
              </c:strCache>
            </c:strRef>
          </c:tx>
          <c:spPr>
            <a:solidFill>
              <a:schemeClr val="accent3"/>
            </a:solidFill>
            <a:ln>
              <a:noFill/>
            </a:ln>
            <a:effectLst/>
          </c:spPr>
          <c:invertIfNegative val="0"/>
          <c:cat>
            <c:strRef>
              <c:f>Summary!$E$40:$F$40</c:f>
              <c:strCache>
                <c:ptCount val="1"/>
                <c:pt idx="0">
                  <c:v>BAU</c:v>
                </c:pt>
              </c:strCache>
            </c:strRef>
          </c:cat>
          <c:val>
            <c:numRef>
              <c:f>Summary!$E$43:$F$43</c:f>
              <c:numCache>
                <c:formatCode>0.0</c:formatCode>
                <c:ptCount val="2"/>
                <c:pt idx="0">
                  <c:v>0</c:v>
                </c:pt>
              </c:numCache>
            </c:numRef>
          </c:val>
          <c:extLst>
            <c:ext xmlns:c16="http://schemas.microsoft.com/office/drawing/2014/chart" uri="{C3380CC4-5D6E-409C-BE32-E72D297353CC}">
              <c16:uniqueId val="{00000002-515D-7644-8EFC-40FB0D014C72}"/>
            </c:ext>
          </c:extLst>
        </c:ser>
        <c:ser>
          <c:idx val="3"/>
          <c:order val="3"/>
          <c:tx>
            <c:strRef>
              <c:f>Summary!$B$44</c:f>
              <c:strCache>
                <c:ptCount val="1"/>
                <c:pt idx="0">
                  <c:v>Imp_charcoal</c:v>
                </c:pt>
              </c:strCache>
            </c:strRef>
          </c:tx>
          <c:spPr>
            <a:solidFill>
              <a:schemeClr val="accent4"/>
            </a:solidFill>
            <a:ln>
              <a:noFill/>
            </a:ln>
            <a:effectLst/>
          </c:spPr>
          <c:invertIfNegative val="0"/>
          <c:cat>
            <c:strRef>
              <c:f>Summary!$E$40:$F$40</c:f>
              <c:strCache>
                <c:ptCount val="1"/>
                <c:pt idx="0">
                  <c:v>BAU</c:v>
                </c:pt>
              </c:strCache>
            </c:strRef>
          </c:cat>
          <c:val>
            <c:numRef>
              <c:f>Summary!$E$44:$F$44</c:f>
              <c:numCache>
                <c:formatCode>0.0</c:formatCode>
                <c:ptCount val="2"/>
                <c:pt idx="0">
                  <c:v>0</c:v>
                </c:pt>
              </c:numCache>
            </c:numRef>
          </c:val>
          <c:extLst>
            <c:ext xmlns:c16="http://schemas.microsoft.com/office/drawing/2014/chart" uri="{C3380CC4-5D6E-409C-BE32-E72D297353CC}">
              <c16:uniqueId val="{00000003-515D-7644-8EFC-40FB0D014C72}"/>
            </c:ext>
          </c:extLst>
        </c:ser>
        <c:ser>
          <c:idx val="4"/>
          <c:order val="4"/>
          <c:tx>
            <c:strRef>
              <c:f>Summary!$B$45</c:f>
              <c:strCache>
                <c:ptCount val="1"/>
                <c:pt idx="0">
                  <c:v>Gas</c:v>
                </c:pt>
              </c:strCache>
            </c:strRef>
          </c:tx>
          <c:spPr>
            <a:solidFill>
              <a:schemeClr val="accent5"/>
            </a:solidFill>
            <a:ln>
              <a:noFill/>
            </a:ln>
            <a:effectLst/>
          </c:spPr>
          <c:invertIfNegative val="0"/>
          <c:cat>
            <c:strRef>
              <c:f>Summary!$E$40:$F$40</c:f>
              <c:strCache>
                <c:ptCount val="1"/>
                <c:pt idx="0">
                  <c:v>BAU</c:v>
                </c:pt>
              </c:strCache>
            </c:strRef>
          </c:cat>
          <c:val>
            <c:numRef>
              <c:f>Summary!$E$45:$F$45</c:f>
              <c:numCache>
                <c:formatCode>0.0</c:formatCode>
                <c:ptCount val="2"/>
                <c:pt idx="0">
                  <c:v>0</c:v>
                </c:pt>
              </c:numCache>
            </c:numRef>
          </c:val>
          <c:extLst>
            <c:ext xmlns:c16="http://schemas.microsoft.com/office/drawing/2014/chart" uri="{C3380CC4-5D6E-409C-BE32-E72D297353CC}">
              <c16:uniqueId val="{00000004-515D-7644-8EFC-40FB0D014C72}"/>
            </c:ext>
          </c:extLst>
        </c:ser>
        <c:ser>
          <c:idx val="5"/>
          <c:order val="5"/>
          <c:tx>
            <c:strRef>
              <c:f>Summary!$B$46</c:f>
              <c:strCache>
                <c:ptCount val="1"/>
                <c:pt idx="0">
                  <c:v>kerosene</c:v>
                </c:pt>
              </c:strCache>
            </c:strRef>
          </c:tx>
          <c:spPr>
            <a:solidFill>
              <a:schemeClr val="accent6"/>
            </a:solidFill>
            <a:ln>
              <a:noFill/>
            </a:ln>
            <a:effectLst/>
          </c:spPr>
          <c:invertIfNegative val="0"/>
          <c:cat>
            <c:strRef>
              <c:f>Summary!$E$40:$F$40</c:f>
              <c:strCache>
                <c:ptCount val="1"/>
                <c:pt idx="0">
                  <c:v>BAU</c:v>
                </c:pt>
              </c:strCache>
            </c:strRef>
          </c:cat>
          <c:val>
            <c:numRef>
              <c:f>Summary!$E$46:$F$46</c:f>
              <c:numCache>
                <c:formatCode>0.0</c:formatCode>
                <c:ptCount val="2"/>
                <c:pt idx="0">
                  <c:v>0</c:v>
                </c:pt>
              </c:numCache>
            </c:numRef>
          </c:val>
          <c:extLst>
            <c:ext xmlns:c16="http://schemas.microsoft.com/office/drawing/2014/chart" uri="{C3380CC4-5D6E-409C-BE32-E72D297353CC}">
              <c16:uniqueId val="{00000005-515D-7644-8EFC-40FB0D014C72}"/>
            </c:ext>
          </c:extLst>
        </c:ser>
        <c:ser>
          <c:idx val="6"/>
          <c:order val="6"/>
          <c:tx>
            <c:strRef>
              <c:f>Summary!$B$47</c:f>
              <c:strCache>
                <c:ptCount val="1"/>
                <c:pt idx="0">
                  <c:v>electric</c:v>
                </c:pt>
              </c:strCache>
            </c:strRef>
          </c:tx>
          <c:spPr>
            <a:solidFill>
              <a:schemeClr val="accent1">
                <a:lumMod val="60000"/>
              </a:schemeClr>
            </a:solidFill>
            <a:ln>
              <a:noFill/>
            </a:ln>
            <a:effectLst/>
          </c:spPr>
          <c:invertIfNegative val="0"/>
          <c:cat>
            <c:strRef>
              <c:f>Summary!$E$40:$F$40</c:f>
              <c:strCache>
                <c:ptCount val="1"/>
                <c:pt idx="0">
                  <c:v>BAU</c:v>
                </c:pt>
              </c:strCache>
            </c:strRef>
          </c:cat>
          <c:val>
            <c:numRef>
              <c:f>Summary!$E$47:$F$47</c:f>
              <c:numCache>
                <c:formatCode>0.0</c:formatCode>
                <c:ptCount val="2"/>
                <c:pt idx="0">
                  <c:v>0</c:v>
                </c:pt>
              </c:numCache>
            </c:numRef>
          </c:val>
          <c:extLst>
            <c:ext xmlns:c16="http://schemas.microsoft.com/office/drawing/2014/chart" uri="{C3380CC4-5D6E-409C-BE32-E72D297353CC}">
              <c16:uniqueId val="{00000006-515D-7644-8EFC-40FB0D014C72}"/>
            </c:ext>
          </c:extLst>
        </c:ser>
        <c:ser>
          <c:idx val="7"/>
          <c:order val="7"/>
          <c:tx>
            <c:strRef>
              <c:f>Summary!$B$48</c:f>
              <c:strCache>
                <c:ptCount val="1"/>
                <c:pt idx="0">
                  <c:v>pellets</c:v>
                </c:pt>
              </c:strCache>
            </c:strRef>
          </c:tx>
          <c:spPr>
            <a:solidFill>
              <a:schemeClr val="accent2">
                <a:lumMod val="60000"/>
              </a:schemeClr>
            </a:solidFill>
            <a:ln>
              <a:noFill/>
            </a:ln>
            <a:effectLst/>
          </c:spPr>
          <c:invertIfNegative val="0"/>
          <c:cat>
            <c:strRef>
              <c:f>Summary!$E$40:$F$40</c:f>
              <c:strCache>
                <c:ptCount val="1"/>
                <c:pt idx="0">
                  <c:v>BAU</c:v>
                </c:pt>
              </c:strCache>
            </c:strRef>
          </c:cat>
          <c:val>
            <c:numRef>
              <c:f>Summary!$E$48:$F$48</c:f>
              <c:numCache>
                <c:formatCode>0.0</c:formatCode>
                <c:ptCount val="2"/>
                <c:pt idx="0">
                  <c:v>0</c:v>
                </c:pt>
              </c:numCache>
            </c:numRef>
          </c:val>
          <c:extLst>
            <c:ext xmlns:c16="http://schemas.microsoft.com/office/drawing/2014/chart" uri="{C3380CC4-5D6E-409C-BE32-E72D297353CC}">
              <c16:uniqueId val="{00000007-515D-7644-8EFC-40FB0D014C72}"/>
            </c:ext>
          </c:extLst>
        </c:ser>
        <c:ser>
          <c:idx val="8"/>
          <c:order val="8"/>
          <c:tx>
            <c:strRef>
              <c:f>Summary!$B$49</c:f>
              <c:strCache>
                <c:ptCount val="1"/>
                <c:pt idx="0">
                  <c:v>ethanol</c:v>
                </c:pt>
              </c:strCache>
            </c:strRef>
          </c:tx>
          <c:spPr>
            <a:solidFill>
              <a:schemeClr val="accent3">
                <a:lumMod val="60000"/>
              </a:schemeClr>
            </a:solidFill>
            <a:ln>
              <a:noFill/>
            </a:ln>
            <a:effectLst/>
          </c:spPr>
          <c:invertIfNegative val="0"/>
          <c:cat>
            <c:strRef>
              <c:f>Summary!$E$40:$F$40</c:f>
              <c:strCache>
                <c:ptCount val="1"/>
                <c:pt idx="0">
                  <c:v>BAU</c:v>
                </c:pt>
              </c:strCache>
            </c:strRef>
          </c:cat>
          <c:val>
            <c:numRef>
              <c:f>Summary!$E$49:$F$49</c:f>
              <c:numCache>
                <c:formatCode>0.0</c:formatCode>
                <c:ptCount val="2"/>
                <c:pt idx="0">
                  <c:v>0</c:v>
                </c:pt>
              </c:numCache>
            </c:numRef>
          </c:val>
          <c:extLst>
            <c:ext xmlns:c16="http://schemas.microsoft.com/office/drawing/2014/chart" uri="{C3380CC4-5D6E-409C-BE32-E72D297353CC}">
              <c16:uniqueId val="{00000008-515D-7644-8EFC-40FB0D014C72}"/>
            </c:ext>
          </c:extLst>
        </c:ser>
        <c:ser>
          <c:idx val="9"/>
          <c:order val="9"/>
          <c:tx>
            <c:strRef>
              <c:f>Summary!$B$50</c:f>
              <c:strCache>
                <c:ptCount val="1"/>
                <c:pt idx="0">
                  <c:v>biogas</c:v>
                </c:pt>
              </c:strCache>
            </c:strRef>
          </c:tx>
          <c:spPr>
            <a:solidFill>
              <a:schemeClr val="accent4">
                <a:lumMod val="60000"/>
              </a:schemeClr>
            </a:solidFill>
            <a:ln>
              <a:noFill/>
            </a:ln>
            <a:effectLst/>
          </c:spPr>
          <c:invertIfNegative val="0"/>
          <c:cat>
            <c:strRef>
              <c:f>Summary!$E$40:$F$40</c:f>
              <c:strCache>
                <c:ptCount val="1"/>
                <c:pt idx="0">
                  <c:v>BAU</c:v>
                </c:pt>
              </c:strCache>
            </c:strRef>
          </c:cat>
          <c:val>
            <c:numRef>
              <c:f>Summary!$E$50:$F$50</c:f>
              <c:numCache>
                <c:formatCode>0.0</c:formatCode>
                <c:ptCount val="2"/>
                <c:pt idx="0">
                  <c:v>0</c:v>
                </c:pt>
              </c:numCache>
            </c:numRef>
          </c:val>
          <c:extLst>
            <c:ext xmlns:c16="http://schemas.microsoft.com/office/drawing/2014/chart" uri="{C3380CC4-5D6E-409C-BE32-E72D297353CC}">
              <c16:uniqueId val="{00000009-515D-7644-8EFC-40FB0D014C72}"/>
            </c:ext>
          </c:extLst>
        </c:ser>
        <c:ser>
          <c:idx val="10"/>
          <c:order val="10"/>
          <c:tx>
            <c:strRef>
              <c:f>Summary!$B$51</c:f>
              <c:strCache>
                <c:ptCount val="1"/>
                <c:pt idx="0">
                  <c:v>other</c:v>
                </c:pt>
              </c:strCache>
            </c:strRef>
          </c:tx>
          <c:spPr>
            <a:solidFill>
              <a:schemeClr val="accent5">
                <a:lumMod val="60000"/>
              </a:schemeClr>
            </a:solidFill>
            <a:ln>
              <a:noFill/>
            </a:ln>
            <a:effectLst/>
          </c:spPr>
          <c:invertIfNegative val="0"/>
          <c:cat>
            <c:strRef>
              <c:f>Summary!$E$40:$F$40</c:f>
              <c:strCache>
                <c:ptCount val="1"/>
                <c:pt idx="0">
                  <c:v>BAU</c:v>
                </c:pt>
              </c:strCache>
            </c:strRef>
          </c:cat>
          <c:val>
            <c:numRef>
              <c:f>Summary!$E$51:$F$51</c:f>
              <c:numCache>
                <c:formatCode>0.0</c:formatCode>
                <c:ptCount val="2"/>
                <c:pt idx="0">
                  <c:v>0</c:v>
                </c:pt>
              </c:numCache>
            </c:numRef>
          </c:val>
          <c:extLst>
            <c:ext xmlns:c16="http://schemas.microsoft.com/office/drawing/2014/chart" uri="{C3380CC4-5D6E-409C-BE32-E72D297353CC}">
              <c16:uniqueId val="{0000000A-515D-7644-8EFC-40FB0D014C72}"/>
            </c:ext>
          </c:extLst>
        </c:ser>
        <c:dLbls>
          <c:showLegendKey val="0"/>
          <c:showVal val="0"/>
          <c:showCatName val="0"/>
          <c:showSerName val="0"/>
          <c:showPercent val="0"/>
          <c:showBubbleSize val="0"/>
        </c:dLbls>
        <c:gapWidth val="150"/>
        <c:overlap val="100"/>
        <c:axId val="633110688"/>
        <c:axId val="633092992"/>
      </c:barChart>
      <c:catAx>
        <c:axId val="6331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92992"/>
        <c:crosses val="autoZero"/>
        <c:auto val="1"/>
        <c:lblAlgn val="ctr"/>
        <c:lblOffset val="100"/>
        <c:noMultiLvlLbl val="0"/>
      </c:catAx>
      <c:valAx>
        <c:axId val="633092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1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Summary!$B$52</c:f>
              <c:strCache>
                <c:ptCount val="1"/>
                <c:pt idx="0">
                  <c:v>fuelwood</c:v>
                </c:pt>
              </c:strCache>
            </c:strRef>
          </c:tx>
          <c:spPr>
            <a:solidFill>
              <a:schemeClr val="accent1"/>
            </a:solidFill>
            <a:ln>
              <a:noFill/>
            </a:ln>
            <a:effectLst/>
          </c:spPr>
          <c:invertIfNegative val="0"/>
          <c:cat>
            <c:strRef>
              <c:f>Summary!$E$40:$F$40</c:f>
              <c:strCache>
                <c:ptCount val="1"/>
                <c:pt idx="0">
                  <c:v>BAU</c:v>
                </c:pt>
              </c:strCache>
            </c:strRef>
          </c:cat>
          <c:val>
            <c:numRef>
              <c:f>Summary!$E$52:$F$52</c:f>
              <c:numCache>
                <c:formatCode>0.0</c:formatCode>
                <c:ptCount val="2"/>
                <c:pt idx="0">
                  <c:v>0</c:v>
                </c:pt>
              </c:numCache>
            </c:numRef>
          </c:val>
          <c:extLst>
            <c:ext xmlns:c16="http://schemas.microsoft.com/office/drawing/2014/chart" uri="{C3380CC4-5D6E-409C-BE32-E72D297353CC}">
              <c16:uniqueId val="{00000000-6CA2-5042-87A4-AA66A85D628F}"/>
            </c:ext>
          </c:extLst>
        </c:ser>
        <c:ser>
          <c:idx val="1"/>
          <c:order val="1"/>
          <c:tx>
            <c:strRef>
              <c:f>Summary!$B$53</c:f>
              <c:strCache>
                <c:ptCount val="1"/>
                <c:pt idx="0">
                  <c:v>charcoal</c:v>
                </c:pt>
              </c:strCache>
            </c:strRef>
          </c:tx>
          <c:spPr>
            <a:solidFill>
              <a:schemeClr val="accent2"/>
            </a:solidFill>
            <a:ln>
              <a:noFill/>
            </a:ln>
            <a:effectLst/>
          </c:spPr>
          <c:invertIfNegative val="0"/>
          <c:cat>
            <c:strRef>
              <c:f>Summary!$E$40:$F$40</c:f>
              <c:strCache>
                <c:ptCount val="1"/>
                <c:pt idx="0">
                  <c:v>BAU</c:v>
                </c:pt>
              </c:strCache>
            </c:strRef>
          </c:cat>
          <c:val>
            <c:numRef>
              <c:f>Summary!$E$53:$F$53</c:f>
              <c:numCache>
                <c:formatCode>0.0</c:formatCode>
                <c:ptCount val="2"/>
                <c:pt idx="0">
                  <c:v>0</c:v>
                </c:pt>
              </c:numCache>
            </c:numRef>
          </c:val>
          <c:extLst>
            <c:ext xmlns:c16="http://schemas.microsoft.com/office/drawing/2014/chart" uri="{C3380CC4-5D6E-409C-BE32-E72D297353CC}">
              <c16:uniqueId val="{00000001-6CA2-5042-87A4-AA66A85D628F}"/>
            </c:ext>
          </c:extLst>
        </c:ser>
        <c:ser>
          <c:idx val="2"/>
          <c:order val="2"/>
          <c:tx>
            <c:strRef>
              <c:f>Summary!$B$54</c:f>
              <c:strCache>
                <c:ptCount val="1"/>
                <c:pt idx="0">
                  <c:v>Imp_fuelwood</c:v>
                </c:pt>
              </c:strCache>
            </c:strRef>
          </c:tx>
          <c:spPr>
            <a:solidFill>
              <a:schemeClr val="accent3"/>
            </a:solidFill>
            <a:ln>
              <a:noFill/>
            </a:ln>
            <a:effectLst/>
          </c:spPr>
          <c:invertIfNegative val="0"/>
          <c:cat>
            <c:strRef>
              <c:f>Summary!$E$40:$F$40</c:f>
              <c:strCache>
                <c:ptCount val="1"/>
                <c:pt idx="0">
                  <c:v>BAU</c:v>
                </c:pt>
              </c:strCache>
            </c:strRef>
          </c:cat>
          <c:val>
            <c:numRef>
              <c:f>Summary!$E$54:$F$54</c:f>
              <c:numCache>
                <c:formatCode>0.0</c:formatCode>
                <c:ptCount val="2"/>
                <c:pt idx="0">
                  <c:v>0</c:v>
                </c:pt>
              </c:numCache>
            </c:numRef>
          </c:val>
          <c:extLst>
            <c:ext xmlns:c16="http://schemas.microsoft.com/office/drawing/2014/chart" uri="{C3380CC4-5D6E-409C-BE32-E72D297353CC}">
              <c16:uniqueId val="{00000002-6CA2-5042-87A4-AA66A85D628F}"/>
            </c:ext>
          </c:extLst>
        </c:ser>
        <c:ser>
          <c:idx val="3"/>
          <c:order val="3"/>
          <c:tx>
            <c:strRef>
              <c:f>Summary!$B$55</c:f>
              <c:strCache>
                <c:ptCount val="1"/>
                <c:pt idx="0">
                  <c:v>Imp_charcoal</c:v>
                </c:pt>
              </c:strCache>
            </c:strRef>
          </c:tx>
          <c:spPr>
            <a:solidFill>
              <a:schemeClr val="accent4"/>
            </a:solidFill>
            <a:ln>
              <a:noFill/>
            </a:ln>
            <a:effectLst/>
          </c:spPr>
          <c:invertIfNegative val="0"/>
          <c:cat>
            <c:strRef>
              <c:f>Summary!$E$40:$F$40</c:f>
              <c:strCache>
                <c:ptCount val="1"/>
                <c:pt idx="0">
                  <c:v>BAU</c:v>
                </c:pt>
              </c:strCache>
            </c:strRef>
          </c:cat>
          <c:val>
            <c:numRef>
              <c:f>Summary!$E$55:$F$55</c:f>
              <c:numCache>
                <c:formatCode>0.0</c:formatCode>
                <c:ptCount val="2"/>
                <c:pt idx="0">
                  <c:v>0</c:v>
                </c:pt>
              </c:numCache>
            </c:numRef>
          </c:val>
          <c:extLst>
            <c:ext xmlns:c16="http://schemas.microsoft.com/office/drawing/2014/chart" uri="{C3380CC4-5D6E-409C-BE32-E72D297353CC}">
              <c16:uniqueId val="{00000003-6CA2-5042-87A4-AA66A85D628F}"/>
            </c:ext>
          </c:extLst>
        </c:ser>
        <c:ser>
          <c:idx val="4"/>
          <c:order val="4"/>
          <c:tx>
            <c:strRef>
              <c:f>Summary!$B$56</c:f>
              <c:strCache>
                <c:ptCount val="1"/>
                <c:pt idx="0">
                  <c:v>Gas</c:v>
                </c:pt>
              </c:strCache>
            </c:strRef>
          </c:tx>
          <c:spPr>
            <a:solidFill>
              <a:schemeClr val="accent5"/>
            </a:solidFill>
            <a:ln>
              <a:noFill/>
            </a:ln>
            <a:effectLst/>
          </c:spPr>
          <c:invertIfNegative val="0"/>
          <c:cat>
            <c:strRef>
              <c:f>Summary!$E$40:$F$40</c:f>
              <c:strCache>
                <c:ptCount val="1"/>
                <c:pt idx="0">
                  <c:v>BAU</c:v>
                </c:pt>
              </c:strCache>
            </c:strRef>
          </c:cat>
          <c:val>
            <c:numRef>
              <c:f>Summary!$E$56:$F$56</c:f>
              <c:numCache>
                <c:formatCode>0.0</c:formatCode>
                <c:ptCount val="2"/>
                <c:pt idx="0">
                  <c:v>0</c:v>
                </c:pt>
              </c:numCache>
            </c:numRef>
          </c:val>
          <c:extLst>
            <c:ext xmlns:c16="http://schemas.microsoft.com/office/drawing/2014/chart" uri="{C3380CC4-5D6E-409C-BE32-E72D297353CC}">
              <c16:uniqueId val="{00000004-6CA2-5042-87A4-AA66A85D628F}"/>
            </c:ext>
          </c:extLst>
        </c:ser>
        <c:ser>
          <c:idx val="5"/>
          <c:order val="5"/>
          <c:tx>
            <c:strRef>
              <c:f>Summary!$B$57</c:f>
              <c:strCache>
                <c:ptCount val="1"/>
                <c:pt idx="0">
                  <c:v>kerosene</c:v>
                </c:pt>
              </c:strCache>
            </c:strRef>
          </c:tx>
          <c:spPr>
            <a:solidFill>
              <a:schemeClr val="accent6"/>
            </a:solidFill>
            <a:ln>
              <a:noFill/>
            </a:ln>
            <a:effectLst/>
          </c:spPr>
          <c:invertIfNegative val="0"/>
          <c:cat>
            <c:strRef>
              <c:f>Summary!$E$40:$F$40</c:f>
              <c:strCache>
                <c:ptCount val="1"/>
                <c:pt idx="0">
                  <c:v>BAU</c:v>
                </c:pt>
              </c:strCache>
            </c:strRef>
          </c:cat>
          <c:val>
            <c:numRef>
              <c:f>Summary!$E$57:$F$57</c:f>
              <c:numCache>
                <c:formatCode>0.0</c:formatCode>
                <c:ptCount val="2"/>
                <c:pt idx="0">
                  <c:v>0</c:v>
                </c:pt>
              </c:numCache>
            </c:numRef>
          </c:val>
          <c:extLst>
            <c:ext xmlns:c16="http://schemas.microsoft.com/office/drawing/2014/chart" uri="{C3380CC4-5D6E-409C-BE32-E72D297353CC}">
              <c16:uniqueId val="{00000005-6CA2-5042-87A4-AA66A85D628F}"/>
            </c:ext>
          </c:extLst>
        </c:ser>
        <c:ser>
          <c:idx val="6"/>
          <c:order val="6"/>
          <c:tx>
            <c:strRef>
              <c:f>Summary!$B$58</c:f>
              <c:strCache>
                <c:ptCount val="1"/>
                <c:pt idx="0">
                  <c:v>electric</c:v>
                </c:pt>
              </c:strCache>
            </c:strRef>
          </c:tx>
          <c:spPr>
            <a:solidFill>
              <a:schemeClr val="accent1">
                <a:lumMod val="60000"/>
              </a:schemeClr>
            </a:solidFill>
            <a:ln>
              <a:noFill/>
            </a:ln>
            <a:effectLst/>
          </c:spPr>
          <c:invertIfNegative val="0"/>
          <c:cat>
            <c:strRef>
              <c:f>Summary!$E$40:$F$40</c:f>
              <c:strCache>
                <c:ptCount val="1"/>
                <c:pt idx="0">
                  <c:v>BAU</c:v>
                </c:pt>
              </c:strCache>
            </c:strRef>
          </c:cat>
          <c:val>
            <c:numRef>
              <c:f>Summary!$E$58:$F$58</c:f>
              <c:numCache>
                <c:formatCode>0.0</c:formatCode>
                <c:ptCount val="2"/>
                <c:pt idx="0">
                  <c:v>0</c:v>
                </c:pt>
              </c:numCache>
            </c:numRef>
          </c:val>
          <c:extLst>
            <c:ext xmlns:c16="http://schemas.microsoft.com/office/drawing/2014/chart" uri="{C3380CC4-5D6E-409C-BE32-E72D297353CC}">
              <c16:uniqueId val="{00000006-6CA2-5042-87A4-AA66A85D628F}"/>
            </c:ext>
          </c:extLst>
        </c:ser>
        <c:ser>
          <c:idx val="7"/>
          <c:order val="7"/>
          <c:tx>
            <c:strRef>
              <c:f>Summary!$B$59</c:f>
              <c:strCache>
                <c:ptCount val="1"/>
                <c:pt idx="0">
                  <c:v>pellets</c:v>
                </c:pt>
              </c:strCache>
            </c:strRef>
          </c:tx>
          <c:spPr>
            <a:solidFill>
              <a:schemeClr val="accent2">
                <a:lumMod val="60000"/>
              </a:schemeClr>
            </a:solidFill>
            <a:ln>
              <a:noFill/>
            </a:ln>
            <a:effectLst/>
          </c:spPr>
          <c:invertIfNegative val="0"/>
          <c:cat>
            <c:strRef>
              <c:f>Summary!$E$40:$F$40</c:f>
              <c:strCache>
                <c:ptCount val="1"/>
                <c:pt idx="0">
                  <c:v>BAU</c:v>
                </c:pt>
              </c:strCache>
            </c:strRef>
          </c:cat>
          <c:val>
            <c:numRef>
              <c:f>Summary!$E$59:$F$59</c:f>
              <c:numCache>
                <c:formatCode>0.0</c:formatCode>
                <c:ptCount val="2"/>
                <c:pt idx="0">
                  <c:v>0</c:v>
                </c:pt>
              </c:numCache>
            </c:numRef>
          </c:val>
          <c:extLst>
            <c:ext xmlns:c16="http://schemas.microsoft.com/office/drawing/2014/chart" uri="{C3380CC4-5D6E-409C-BE32-E72D297353CC}">
              <c16:uniqueId val="{00000007-6CA2-5042-87A4-AA66A85D628F}"/>
            </c:ext>
          </c:extLst>
        </c:ser>
        <c:ser>
          <c:idx val="8"/>
          <c:order val="8"/>
          <c:tx>
            <c:strRef>
              <c:f>Summary!$B$60</c:f>
              <c:strCache>
                <c:ptCount val="1"/>
                <c:pt idx="0">
                  <c:v>ethanol</c:v>
                </c:pt>
              </c:strCache>
            </c:strRef>
          </c:tx>
          <c:spPr>
            <a:solidFill>
              <a:schemeClr val="accent3">
                <a:lumMod val="60000"/>
              </a:schemeClr>
            </a:solidFill>
            <a:ln>
              <a:noFill/>
            </a:ln>
            <a:effectLst/>
          </c:spPr>
          <c:invertIfNegative val="0"/>
          <c:cat>
            <c:strRef>
              <c:f>Summary!$E$40:$F$40</c:f>
              <c:strCache>
                <c:ptCount val="1"/>
                <c:pt idx="0">
                  <c:v>BAU</c:v>
                </c:pt>
              </c:strCache>
            </c:strRef>
          </c:cat>
          <c:val>
            <c:numRef>
              <c:f>Summary!$E$60:$F$60</c:f>
              <c:numCache>
                <c:formatCode>0.0</c:formatCode>
                <c:ptCount val="2"/>
                <c:pt idx="0">
                  <c:v>0</c:v>
                </c:pt>
              </c:numCache>
            </c:numRef>
          </c:val>
          <c:extLst>
            <c:ext xmlns:c16="http://schemas.microsoft.com/office/drawing/2014/chart" uri="{C3380CC4-5D6E-409C-BE32-E72D297353CC}">
              <c16:uniqueId val="{00000008-6CA2-5042-87A4-AA66A85D628F}"/>
            </c:ext>
          </c:extLst>
        </c:ser>
        <c:ser>
          <c:idx val="9"/>
          <c:order val="9"/>
          <c:tx>
            <c:strRef>
              <c:f>Summary!$B$61</c:f>
              <c:strCache>
                <c:ptCount val="1"/>
                <c:pt idx="0">
                  <c:v>biogas</c:v>
                </c:pt>
              </c:strCache>
            </c:strRef>
          </c:tx>
          <c:spPr>
            <a:solidFill>
              <a:schemeClr val="accent4">
                <a:lumMod val="60000"/>
              </a:schemeClr>
            </a:solidFill>
            <a:ln>
              <a:noFill/>
            </a:ln>
            <a:effectLst/>
          </c:spPr>
          <c:invertIfNegative val="0"/>
          <c:cat>
            <c:strRef>
              <c:f>Summary!$E$40:$F$40</c:f>
              <c:strCache>
                <c:ptCount val="1"/>
                <c:pt idx="0">
                  <c:v>BAU</c:v>
                </c:pt>
              </c:strCache>
            </c:strRef>
          </c:cat>
          <c:val>
            <c:numRef>
              <c:f>Summary!$E$61:$F$61</c:f>
              <c:numCache>
                <c:formatCode>0.0</c:formatCode>
                <c:ptCount val="2"/>
                <c:pt idx="0">
                  <c:v>0</c:v>
                </c:pt>
              </c:numCache>
            </c:numRef>
          </c:val>
          <c:extLst>
            <c:ext xmlns:c16="http://schemas.microsoft.com/office/drawing/2014/chart" uri="{C3380CC4-5D6E-409C-BE32-E72D297353CC}">
              <c16:uniqueId val="{00000009-6CA2-5042-87A4-AA66A85D628F}"/>
            </c:ext>
          </c:extLst>
        </c:ser>
        <c:ser>
          <c:idx val="10"/>
          <c:order val="10"/>
          <c:tx>
            <c:strRef>
              <c:f>Summary!$B$62</c:f>
              <c:strCache>
                <c:ptCount val="1"/>
                <c:pt idx="0">
                  <c:v>other</c:v>
                </c:pt>
              </c:strCache>
            </c:strRef>
          </c:tx>
          <c:spPr>
            <a:solidFill>
              <a:schemeClr val="accent5">
                <a:lumMod val="60000"/>
              </a:schemeClr>
            </a:solidFill>
            <a:ln>
              <a:noFill/>
            </a:ln>
            <a:effectLst/>
          </c:spPr>
          <c:invertIfNegative val="0"/>
          <c:cat>
            <c:strRef>
              <c:f>Summary!$E$40:$F$40</c:f>
              <c:strCache>
                <c:ptCount val="1"/>
                <c:pt idx="0">
                  <c:v>BAU</c:v>
                </c:pt>
              </c:strCache>
            </c:strRef>
          </c:cat>
          <c:val>
            <c:numRef>
              <c:f>Summary!$E$62:$F$62</c:f>
              <c:numCache>
                <c:formatCode>0.0</c:formatCode>
                <c:ptCount val="2"/>
                <c:pt idx="0">
                  <c:v>0</c:v>
                </c:pt>
              </c:numCache>
            </c:numRef>
          </c:val>
          <c:extLst>
            <c:ext xmlns:c16="http://schemas.microsoft.com/office/drawing/2014/chart" uri="{C3380CC4-5D6E-409C-BE32-E72D297353CC}">
              <c16:uniqueId val="{0000000A-6CA2-5042-87A4-AA66A85D628F}"/>
            </c:ext>
          </c:extLst>
        </c:ser>
        <c:dLbls>
          <c:showLegendKey val="0"/>
          <c:showVal val="0"/>
          <c:showCatName val="0"/>
          <c:showSerName val="0"/>
          <c:showPercent val="0"/>
          <c:showBubbleSize val="0"/>
        </c:dLbls>
        <c:gapWidth val="150"/>
        <c:overlap val="100"/>
        <c:axId val="633110688"/>
        <c:axId val="633092992"/>
      </c:barChart>
      <c:catAx>
        <c:axId val="6331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92992"/>
        <c:crosses val="autoZero"/>
        <c:auto val="1"/>
        <c:lblAlgn val="ctr"/>
        <c:lblOffset val="100"/>
        <c:noMultiLvlLbl val="0"/>
      </c:catAx>
      <c:valAx>
        <c:axId val="633092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1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Summary!$B$63</c:f>
              <c:strCache>
                <c:ptCount val="1"/>
                <c:pt idx="0">
                  <c:v>fuelwood</c:v>
                </c:pt>
              </c:strCache>
            </c:strRef>
          </c:tx>
          <c:spPr>
            <a:solidFill>
              <a:schemeClr val="accent1"/>
            </a:solidFill>
            <a:ln>
              <a:noFill/>
            </a:ln>
            <a:effectLst/>
          </c:spPr>
          <c:invertIfNegative val="0"/>
          <c:cat>
            <c:strRef>
              <c:f>Summary!$E$40:$F$40</c:f>
              <c:strCache>
                <c:ptCount val="1"/>
                <c:pt idx="0">
                  <c:v>BAU</c:v>
                </c:pt>
              </c:strCache>
            </c:strRef>
          </c:cat>
          <c:val>
            <c:numRef>
              <c:f>Summary!$E$63:$F$63</c:f>
              <c:numCache>
                <c:formatCode>0.0</c:formatCode>
                <c:ptCount val="2"/>
                <c:pt idx="0">
                  <c:v>0</c:v>
                </c:pt>
              </c:numCache>
            </c:numRef>
          </c:val>
          <c:extLst>
            <c:ext xmlns:c16="http://schemas.microsoft.com/office/drawing/2014/chart" uri="{C3380CC4-5D6E-409C-BE32-E72D297353CC}">
              <c16:uniqueId val="{00000000-28E7-B54C-9317-AFEF4C11525B}"/>
            </c:ext>
          </c:extLst>
        </c:ser>
        <c:ser>
          <c:idx val="1"/>
          <c:order val="1"/>
          <c:tx>
            <c:strRef>
              <c:f>Summary!$B$64</c:f>
              <c:strCache>
                <c:ptCount val="1"/>
                <c:pt idx="0">
                  <c:v>charcoal</c:v>
                </c:pt>
              </c:strCache>
            </c:strRef>
          </c:tx>
          <c:spPr>
            <a:solidFill>
              <a:schemeClr val="accent2"/>
            </a:solidFill>
            <a:ln>
              <a:noFill/>
            </a:ln>
            <a:effectLst/>
          </c:spPr>
          <c:invertIfNegative val="0"/>
          <c:cat>
            <c:strRef>
              <c:f>Summary!$E$40:$F$40</c:f>
              <c:strCache>
                <c:ptCount val="1"/>
                <c:pt idx="0">
                  <c:v>BAU</c:v>
                </c:pt>
              </c:strCache>
            </c:strRef>
          </c:cat>
          <c:val>
            <c:numRef>
              <c:f>Summary!$E$64:$F$64</c:f>
              <c:numCache>
                <c:formatCode>0.0</c:formatCode>
                <c:ptCount val="2"/>
                <c:pt idx="0">
                  <c:v>0</c:v>
                </c:pt>
              </c:numCache>
            </c:numRef>
          </c:val>
          <c:extLst>
            <c:ext xmlns:c16="http://schemas.microsoft.com/office/drawing/2014/chart" uri="{C3380CC4-5D6E-409C-BE32-E72D297353CC}">
              <c16:uniqueId val="{00000001-28E7-B54C-9317-AFEF4C11525B}"/>
            </c:ext>
          </c:extLst>
        </c:ser>
        <c:ser>
          <c:idx val="2"/>
          <c:order val="2"/>
          <c:tx>
            <c:strRef>
              <c:f>Summary!$B$65</c:f>
              <c:strCache>
                <c:ptCount val="1"/>
                <c:pt idx="0">
                  <c:v>Imp_fuelwood</c:v>
                </c:pt>
              </c:strCache>
            </c:strRef>
          </c:tx>
          <c:spPr>
            <a:solidFill>
              <a:schemeClr val="accent3"/>
            </a:solidFill>
            <a:ln>
              <a:noFill/>
            </a:ln>
            <a:effectLst/>
          </c:spPr>
          <c:invertIfNegative val="0"/>
          <c:cat>
            <c:strRef>
              <c:f>Summary!$E$40:$F$40</c:f>
              <c:strCache>
                <c:ptCount val="1"/>
                <c:pt idx="0">
                  <c:v>BAU</c:v>
                </c:pt>
              </c:strCache>
            </c:strRef>
          </c:cat>
          <c:val>
            <c:numRef>
              <c:f>Summary!$E$65:$F$65</c:f>
              <c:numCache>
                <c:formatCode>0.0</c:formatCode>
                <c:ptCount val="2"/>
                <c:pt idx="0">
                  <c:v>0</c:v>
                </c:pt>
              </c:numCache>
            </c:numRef>
          </c:val>
          <c:extLst>
            <c:ext xmlns:c16="http://schemas.microsoft.com/office/drawing/2014/chart" uri="{C3380CC4-5D6E-409C-BE32-E72D297353CC}">
              <c16:uniqueId val="{00000002-28E7-B54C-9317-AFEF4C11525B}"/>
            </c:ext>
          </c:extLst>
        </c:ser>
        <c:ser>
          <c:idx val="3"/>
          <c:order val="3"/>
          <c:tx>
            <c:strRef>
              <c:f>Summary!$B$66</c:f>
              <c:strCache>
                <c:ptCount val="1"/>
                <c:pt idx="0">
                  <c:v>Imp_charcoal</c:v>
                </c:pt>
              </c:strCache>
            </c:strRef>
          </c:tx>
          <c:spPr>
            <a:solidFill>
              <a:schemeClr val="accent4"/>
            </a:solidFill>
            <a:ln>
              <a:noFill/>
            </a:ln>
            <a:effectLst/>
          </c:spPr>
          <c:invertIfNegative val="0"/>
          <c:cat>
            <c:strRef>
              <c:f>Summary!$E$40:$F$40</c:f>
              <c:strCache>
                <c:ptCount val="1"/>
                <c:pt idx="0">
                  <c:v>BAU</c:v>
                </c:pt>
              </c:strCache>
            </c:strRef>
          </c:cat>
          <c:val>
            <c:numRef>
              <c:f>Summary!$E$66:$F$66</c:f>
              <c:numCache>
                <c:formatCode>0.0</c:formatCode>
                <c:ptCount val="2"/>
                <c:pt idx="0">
                  <c:v>0</c:v>
                </c:pt>
              </c:numCache>
            </c:numRef>
          </c:val>
          <c:extLst>
            <c:ext xmlns:c16="http://schemas.microsoft.com/office/drawing/2014/chart" uri="{C3380CC4-5D6E-409C-BE32-E72D297353CC}">
              <c16:uniqueId val="{00000003-28E7-B54C-9317-AFEF4C11525B}"/>
            </c:ext>
          </c:extLst>
        </c:ser>
        <c:ser>
          <c:idx val="4"/>
          <c:order val="4"/>
          <c:tx>
            <c:strRef>
              <c:f>Summary!$B$67</c:f>
              <c:strCache>
                <c:ptCount val="1"/>
                <c:pt idx="0">
                  <c:v>Gas</c:v>
                </c:pt>
              </c:strCache>
            </c:strRef>
          </c:tx>
          <c:spPr>
            <a:solidFill>
              <a:schemeClr val="accent5"/>
            </a:solidFill>
            <a:ln>
              <a:noFill/>
            </a:ln>
            <a:effectLst/>
          </c:spPr>
          <c:invertIfNegative val="0"/>
          <c:cat>
            <c:strRef>
              <c:f>Summary!$E$40:$F$40</c:f>
              <c:strCache>
                <c:ptCount val="1"/>
                <c:pt idx="0">
                  <c:v>BAU</c:v>
                </c:pt>
              </c:strCache>
            </c:strRef>
          </c:cat>
          <c:val>
            <c:numRef>
              <c:f>Summary!$E$67:$F$67</c:f>
              <c:numCache>
                <c:formatCode>0.0</c:formatCode>
                <c:ptCount val="2"/>
                <c:pt idx="0">
                  <c:v>0</c:v>
                </c:pt>
              </c:numCache>
            </c:numRef>
          </c:val>
          <c:extLst>
            <c:ext xmlns:c16="http://schemas.microsoft.com/office/drawing/2014/chart" uri="{C3380CC4-5D6E-409C-BE32-E72D297353CC}">
              <c16:uniqueId val="{00000004-28E7-B54C-9317-AFEF4C11525B}"/>
            </c:ext>
          </c:extLst>
        </c:ser>
        <c:ser>
          <c:idx val="5"/>
          <c:order val="5"/>
          <c:tx>
            <c:strRef>
              <c:f>Summary!$B$68</c:f>
              <c:strCache>
                <c:ptCount val="1"/>
                <c:pt idx="0">
                  <c:v>kerosene</c:v>
                </c:pt>
              </c:strCache>
            </c:strRef>
          </c:tx>
          <c:spPr>
            <a:solidFill>
              <a:schemeClr val="accent6"/>
            </a:solidFill>
            <a:ln>
              <a:noFill/>
            </a:ln>
            <a:effectLst/>
          </c:spPr>
          <c:invertIfNegative val="0"/>
          <c:cat>
            <c:strRef>
              <c:f>Summary!$E$40:$F$40</c:f>
              <c:strCache>
                <c:ptCount val="1"/>
                <c:pt idx="0">
                  <c:v>BAU</c:v>
                </c:pt>
              </c:strCache>
            </c:strRef>
          </c:cat>
          <c:val>
            <c:numRef>
              <c:f>Summary!$E$68:$F$68</c:f>
              <c:numCache>
                <c:formatCode>0.0</c:formatCode>
                <c:ptCount val="2"/>
                <c:pt idx="0">
                  <c:v>0</c:v>
                </c:pt>
              </c:numCache>
            </c:numRef>
          </c:val>
          <c:extLst>
            <c:ext xmlns:c16="http://schemas.microsoft.com/office/drawing/2014/chart" uri="{C3380CC4-5D6E-409C-BE32-E72D297353CC}">
              <c16:uniqueId val="{00000005-28E7-B54C-9317-AFEF4C11525B}"/>
            </c:ext>
          </c:extLst>
        </c:ser>
        <c:ser>
          <c:idx val="6"/>
          <c:order val="6"/>
          <c:tx>
            <c:strRef>
              <c:f>Summary!$B$69</c:f>
              <c:strCache>
                <c:ptCount val="1"/>
                <c:pt idx="0">
                  <c:v>electric</c:v>
                </c:pt>
              </c:strCache>
            </c:strRef>
          </c:tx>
          <c:spPr>
            <a:solidFill>
              <a:schemeClr val="accent1">
                <a:lumMod val="60000"/>
              </a:schemeClr>
            </a:solidFill>
            <a:ln>
              <a:noFill/>
            </a:ln>
            <a:effectLst/>
          </c:spPr>
          <c:invertIfNegative val="0"/>
          <c:cat>
            <c:strRef>
              <c:f>Summary!$E$40:$F$40</c:f>
              <c:strCache>
                <c:ptCount val="1"/>
                <c:pt idx="0">
                  <c:v>BAU</c:v>
                </c:pt>
              </c:strCache>
            </c:strRef>
          </c:cat>
          <c:val>
            <c:numRef>
              <c:f>Summary!$E$69:$F$69</c:f>
              <c:numCache>
                <c:formatCode>0.0</c:formatCode>
                <c:ptCount val="2"/>
                <c:pt idx="0">
                  <c:v>0</c:v>
                </c:pt>
              </c:numCache>
            </c:numRef>
          </c:val>
          <c:extLst>
            <c:ext xmlns:c16="http://schemas.microsoft.com/office/drawing/2014/chart" uri="{C3380CC4-5D6E-409C-BE32-E72D297353CC}">
              <c16:uniqueId val="{00000006-28E7-B54C-9317-AFEF4C11525B}"/>
            </c:ext>
          </c:extLst>
        </c:ser>
        <c:ser>
          <c:idx val="7"/>
          <c:order val="7"/>
          <c:tx>
            <c:strRef>
              <c:f>Summary!$B$70</c:f>
              <c:strCache>
                <c:ptCount val="1"/>
                <c:pt idx="0">
                  <c:v>pellets</c:v>
                </c:pt>
              </c:strCache>
            </c:strRef>
          </c:tx>
          <c:spPr>
            <a:solidFill>
              <a:schemeClr val="accent2">
                <a:lumMod val="60000"/>
              </a:schemeClr>
            </a:solidFill>
            <a:ln>
              <a:noFill/>
            </a:ln>
            <a:effectLst/>
          </c:spPr>
          <c:invertIfNegative val="0"/>
          <c:cat>
            <c:strRef>
              <c:f>Summary!$E$40:$F$40</c:f>
              <c:strCache>
                <c:ptCount val="1"/>
                <c:pt idx="0">
                  <c:v>BAU</c:v>
                </c:pt>
              </c:strCache>
            </c:strRef>
          </c:cat>
          <c:val>
            <c:numRef>
              <c:f>Summary!$E$70:$F$70</c:f>
              <c:numCache>
                <c:formatCode>0.0</c:formatCode>
                <c:ptCount val="2"/>
                <c:pt idx="0">
                  <c:v>0</c:v>
                </c:pt>
              </c:numCache>
            </c:numRef>
          </c:val>
          <c:extLst>
            <c:ext xmlns:c16="http://schemas.microsoft.com/office/drawing/2014/chart" uri="{C3380CC4-5D6E-409C-BE32-E72D297353CC}">
              <c16:uniqueId val="{00000007-28E7-B54C-9317-AFEF4C11525B}"/>
            </c:ext>
          </c:extLst>
        </c:ser>
        <c:ser>
          <c:idx val="8"/>
          <c:order val="8"/>
          <c:tx>
            <c:strRef>
              <c:f>Summary!$B$71</c:f>
              <c:strCache>
                <c:ptCount val="1"/>
                <c:pt idx="0">
                  <c:v>ethanol</c:v>
                </c:pt>
              </c:strCache>
            </c:strRef>
          </c:tx>
          <c:spPr>
            <a:solidFill>
              <a:schemeClr val="accent3">
                <a:lumMod val="60000"/>
              </a:schemeClr>
            </a:solidFill>
            <a:ln>
              <a:noFill/>
            </a:ln>
            <a:effectLst/>
          </c:spPr>
          <c:invertIfNegative val="0"/>
          <c:cat>
            <c:strRef>
              <c:f>Summary!$E$40:$F$40</c:f>
              <c:strCache>
                <c:ptCount val="1"/>
                <c:pt idx="0">
                  <c:v>BAU</c:v>
                </c:pt>
              </c:strCache>
            </c:strRef>
          </c:cat>
          <c:val>
            <c:numRef>
              <c:f>Summary!$E$71:$F$71</c:f>
              <c:numCache>
                <c:formatCode>0.0</c:formatCode>
                <c:ptCount val="2"/>
                <c:pt idx="0">
                  <c:v>0</c:v>
                </c:pt>
              </c:numCache>
            </c:numRef>
          </c:val>
          <c:extLst>
            <c:ext xmlns:c16="http://schemas.microsoft.com/office/drawing/2014/chart" uri="{C3380CC4-5D6E-409C-BE32-E72D297353CC}">
              <c16:uniqueId val="{00000008-28E7-B54C-9317-AFEF4C11525B}"/>
            </c:ext>
          </c:extLst>
        </c:ser>
        <c:ser>
          <c:idx val="9"/>
          <c:order val="9"/>
          <c:tx>
            <c:strRef>
              <c:f>Summary!$B$72</c:f>
              <c:strCache>
                <c:ptCount val="1"/>
                <c:pt idx="0">
                  <c:v>biogas</c:v>
                </c:pt>
              </c:strCache>
            </c:strRef>
          </c:tx>
          <c:spPr>
            <a:solidFill>
              <a:schemeClr val="accent4">
                <a:lumMod val="60000"/>
              </a:schemeClr>
            </a:solidFill>
            <a:ln>
              <a:noFill/>
            </a:ln>
            <a:effectLst/>
          </c:spPr>
          <c:invertIfNegative val="0"/>
          <c:cat>
            <c:strRef>
              <c:f>Summary!$E$40:$F$40</c:f>
              <c:strCache>
                <c:ptCount val="1"/>
                <c:pt idx="0">
                  <c:v>BAU</c:v>
                </c:pt>
              </c:strCache>
            </c:strRef>
          </c:cat>
          <c:val>
            <c:numRef>
              <c:f>Summary!$E$72:$F$72</c:f>
              <c:numCache>
                <c:formatCode>0.0</c:formatCode>
                <c:ptCount val="2"/>
                <c:pt idx="0">
                  <c:v>0</c:v>
                </c:pt>
              </c:numCache>
            </c:numRef>
          </c:val>
          <c:extLst>
            <c:ext xmlns:c16="http://schemas.microsoft.com/office/drawing/2014/chart" uri="{C3380CC4-5D6E-409C-BE32-E72D297353CC}">
              <c16:uniqueId val="{00000009-28E7-B54C-9317-AFEF4C11525B}"/>
            </c:ext>
          </c:extLst>
        </c:ser>
        <c:ser>
          <c:idx val="10"/>
          <c:order val="10"/>
          <c:tx>
            <c:strRef>
              <c:f>Summary!$B$73</c:f>
              <c:strCache>
                <c:ptCount val="1"/>
                <c:pt idx="0">
                  <c:v>other</c:v>
                </c:pt>
              </c:strCache>
            </c:strRef>
          </c:tx>
          <c:spPr>
            <a:solidFill>
              <a:schemeClr val="accent5">
                <a:lumMod val="60000"/>
              </a:schemeClr>
            </a:solidFill>
            <a:ln>
              <a:noFill/>
            </a:ln>
            <a:effectLst/>
          </c:spPr>
          <c:invertIfNegative val="0"/>
          <c:cat>
            <c:strRef>
              <c:f>Summary!$E$40:$F$40</c:f>
              <c:strCache>
                <c:ptCount val="1"/>
                <c:pt idx="0">
                  <c:v>BAU</c:v>
                </c:pt>
              </c:strCache>
            </c:strRef>
          </c:cat>
          <c:val>
            <c:numRef>
              <c:f>Summary!$E$73:$F$73</c:f>
              <c:numCache>
                <c:formatCode>0.0</c:formatCode>
                <c:ptCount val="2"/>
                <c:pt idx="0">
                  <c:v>0</c:v>
                </c:pt>
              </c:numCache>
            </c:numRef>
          </c:val>
          <c:extLst>
            <c:ext xmlns:c16="http://schemas.microsoft.com/office/drawing/2014/chart" uri="{C3380CC4-5D6E-409C-BE32-E72D297353CC}">
              <c16:uniqueId val="{0000000A-28E7-B54C-9317-AFEF4C11525B}"/>
            </c:ext>
          </c:extLst>
        </c:ser>
        <c:dLbls>
          <c:showLegendKey val="0"/>
          <c:showVal val="0"/>
          <c:showCatName val="0"/>
          <c:showSerName val="0"/>
          <c:showPercent val="0"/>
          <c:showBubbleSize val="0"/>
        </c:dLbls>
        <c:gapWidth val="150"/>
        <c:overlap val="100"/>
        <c:axId val="633110688"/>
        <c:axId val="633092992"/>
      </c:barChart>
      <c:catAx>
        <c:axId val="6331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92992"/>
        <c:crosses val="autoZero"/>
        <c:auto val="1"/>
        <c:lblAlgn val="ctr"/>
        <c:lblOffset val="100"/>
        <c:noMultiLvlLbl val="0"/>
      </c:catAx>
      <c:valAx>
        <c:axId val="633092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1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consumption (PJ)</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BAU</c:v>
          </c:tx>
          <c:spPr>
            <a:ln w="28575" cap="rnd">
              <a:solidFill>
                <a:schemeClr val="accent1"/>
              </a:solidFill>
              <a:round/>
            </a:ln>
            <a:effectLst/>
          </c:spPr>
          <c:marker>
            <c:symbol val="none"/>
          </c:marker>
          <c:xVal>
            <c:numRef>
              <c:f>BAU_Fuel_cons!$N$1:$AS$1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BAU_Fuel_cons!$N$73:$AS$73</c:f>
              <c:numCache>
                <c:formatCode>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0"/>
          <c:extLst>
            <c:ext xmlns:c16="http://schemas.microsoft.com/office/drawing/2014/chart" uri="{C3380CC4-5D6E-409C-BE32-E72D297353CC}">
              <c16:uniqueId val="{00000000-6D2B-DC40-B1E3-943CB68D1599}"/>
            </c:ext>
          </c:extLst>
        </c:ser>
        <c:ser>
          <c:idx val="1"/>
          <c:order val="1"/>
          <c:tx>
            <c:v>NICCS</c:v>
          </c:tx>
          <c:spPr>
            <a:ln w="28575" cap="rnd">
              <a:solidFill>
                <a:schemeClr val="accent2"/>
              </a:solidFill>
              <a:round/>
            </a:ln>
            <a:effectLst/>
          </c:spPr>
          <c:marker>
            <c:symbol val="none"/>
          </c:marker>
          <c:xVal>
            <c:numRef>
              <c:f>BAU_Fuel_cons!$N$1:$AS$1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NICCS_Fuel_cons!$E$73:$AJ$73</c:f>
              <c:numCache>
                <c:formatCode>0.0</c:formatCode>
                <c:ptCount val="32"/>
                <c:pt idx="0">
                  <c:v>207.91983077509985</c:v>
                </c:pt>
                <c:pt idx="1">
                  <c:v>212.9815816045849</c:v>
                </c:pt>
                <c:pt idx="2">
                  <c:v>218.07494387051736</c:v>
                </c:pt>
                <c:pt idx="3">
                  <c:v>223.19640042543179</c:v>
                </c:pt>
                <c:pt idx="4">
                  <c:v>228.3447858378189</c:v>
                </c:pt>
                <c:pt idx="5">
                  <c:v>233.52104426497505</c:v>
                </c:pt>
                <c:pt idx="6">
                  <c:v>237.58771640181061</c:v>
                </c:pt>
                <c:pt idx="7">
                  <c:v>233.9062714877607</c:v>
                </c:pt>
                <c:pt idx="8">
                  <c:v>229.73509093259784</c:v>
                </c:pt>
                <c:pt idx="9">
                  <c:v>225.04980966266277</c:v>
                </c:pt>
                <c:pt idx="10">
                  <c:v>219.82614588704024</c:v>
                </c:pt>
                <c:pt idx="11">
                  <c:v>214.04452724755299</c:v>
                </c:pt>
                <c:pt idx="12">
                  <c:v>207.69175636037536</c:v>
                </c:pt>
                <c:pt idx="13">
                  <c:v>200.75895241407829</c:v>
                </c:pt>
                <c:pt idx="14">
                  <c:v>193.23788837385197</c:v>
                </c:pt>
                <c:pt idx="15">
                  <c:v>185.12204382156651</c:v>
                </c:pt>
                <c:pt idx="16">
                  <c:v>176.44020935900113</c:v>
                </c:pt>
                <c:pt idx="17">
                  <c:v>167.18283130031432</c:v>
                </c:pt>
                <c:pt idx="18">
                  <c:v>157.34230382344992</c:v>
                </c:pt>
                <c:pt idx="19">
                  <c:v>146.91289781184199</c:v>
                </c:pt>
                <c:pt idx="20">
                  <c:v>135.88960957120383</c:v>
                </c:pt>
                <c:pt idx="21">
                  <c:v>124.26807717673101</c:v>
                </c:pt>
                <c:pt idx="22">
                  <c:v>127.00280519915965</c:v>
                </c:pt>
                <c:pt idx="23">
                  <c:v>129.74763216436139</c:v>
                </c:pt>
                <c:pt idx="24">
                  <c:v>132.50058045113042</c:v>
                </c:pt>
                <c:pt idx="25">
                  <c:v>135.25952707133547</c:v>
                </c:pt>
                <c:pt idx="26">
                  <c:v>138.02251747433434</c:v>
                </c:pt>
                <c:pt idx="27">
                  <c:v>140.78757257947157</c:v>
                </c:pt>
                <c:pt idx="28">
                  <c:v>143.5529079246092</c:v>
                </c:pt>
                <c:pt idx="29">
                  <c:v>146.31696368734387</c:v>
                </c:pt>
                <c:pt idx="30">
                  <c:v>149.07822073370551</c:v>
                </c:pt>
                <c:pt idx="31">
                  <c:v>151.83499610776977</c:v>
                </c:pt>
              </c:numCache>
            </c:numRef>
          </c:yVal>
          <c:smooth val="0"/>
          <c:extLst>
            <c:ext xmlns:c16="http://schemas.microsoft.com/office/drawing/2014/chart" uri="{C3380CC4-5D6E-409C-BE32-E72D297353CC}">
              <c16:uniqueId val="{00000001-6D2B-DC40-B1E3-943CB68D1599}"/>
            </c:ext>
          </c:extLst>
        </c:ser>
        <c:dLbls>
          <c:showLegendKey val="0"/>
          <c:showVal val="0"/>
          <c:showCatName val="0"/>
          <c:showSerName val="0"/>
          <c:showPercent val="0"/>
          <c:showBubbleSize val="0"/>
        </c:dLbls>
        <c:axId val="1650008928"/>
        <c:axId val="678681040"/>
      </c:scatterChart>
      <c:valAx>
        <c:axId val="165000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81040"/>
        <c:crosses val="autoZero"/>
        <c:crossBetween val="midCat"/>
      </c:valAx>
      <c:valAx>
        <c:axId val="67868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008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GHG emissions (kton CO2e)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BAU_emissions!$AT$50</c:f>
              <c:strCache>
                <c:ptCount val="1"/>
                <c:pt idx="0">
                  <c:v>BAU</c:v>
                </c:pt>
              </c:strCache>
            </c:strRef>
          </c:tx>
          <c:spPr>
            <a:ln w="19050" cap="rnd">
              <a:solidFill>
                <a:schemeClr val="accent1"/>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BAU_emissions!$AU$12:$BA$12</c:f>
              <c:numCache>
                <c:formatCode>0</c:formatCode>
                <c:ptCount val="7"/>
                <c:pt idx="0">
                  <c:v>14369.780260404465</c:v>
                </c:pt>
                <c:pt idx="1">
                  <c:v>17371.934022967085</c:v>
                </c:pt>
                <c:pt idx="2">
                  <c:v>20665.925645406005</c:v>
                </c:pt>
                <c:pt idx="3">
                  <c:v>24219.27922615741</c:v>
                </c:pt>
                <c:pt idx="4">
                  <c:v>28035.39041491333</c:v>
                </c:pt>
                <c:pt idx="5">
                  <c:v>32100.593686253873</c:v>
                </c:pt>
                <c:pt idx="6">
                  <c:v>36364.562507471383</c:v>
                </c:pt>
              </c:numCache>
            </c:numRef>
          </c:yVal>
          <c:smooth val="0"/>
          <c:extLst>
            <c:ext xmlns:c16="http://schemas.microsoft.com/office/drawing/2014/chart" uri="{C3380CC4-5D6E-409C-BE32-E72D297353CC}">
              <c16:uniqueId val="{00000000-C338-E649-8F33-CC86B9D23F0A}"/>
            </c:ext>
          </c:extLst>
        </c:ser>
        <c:ser>
          <c:idx val="1"/>
          <c:order val="1"/>
          <c:tx>
            <c:strRef>
              <c:f>BAU_emissions!$AT$51</c:f>
              <c:strCache>
                <c:ptCount val="1"/>
                <c:pt idx="0">
                  <c:v>NICCS</c:v>
                </c:pt>
              </c:strCache>
            </c:strRef>
          </c:tx>
          <c:spPr>
            <a:ln w="19050" cap="rnd">
              <a:solidFill>
                <a:schemeClr val="accent2"/>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BAU_emissions!$AU$13:$BA$13</c:f>
              <c:numCache>
                <c:formatCode>0</c:formatCode>
                <c:ptCount val="7"/>
                <c:pt idx="0">
                  <c:v>14369.780260404465</c:v>
                </c:pt>
                <c:pt idx="1">
                  <c:v>17371.934022967085</c:v>
                </c:pt>
                <c:pt idx="2">
                  <c:v>15897.029918172531</c:v>
                </c:pt>
                <c:pt idx="3">
                  <c:v>13215.054498730029</c:v>
                </c:pt>
                <c:pt idx="4">
                  <c:v>9196.9373483161471</c:v>
                </c:pt>
                <c:pt idx="5">
                  <c:v>10141.898023822734</c:v>
                </c:pt>
                <c:pt idx="6">
                  <c:v>11073.271149870785</c:v>
                </c:pt>
              </c:numCache>
            </c:numRef>
          </c:yVal>
          <c:smooth val="0"/>
          <c:extLst>
            <c:ext xmlns:c16="http://schemas.microsoft.com/office/drawing/2014/chart" uri="{C3380CC4-5D6E-409C-BE32-E72D297353CC}">
              <c16:uniqueId val="{00000001-C338-E649-8F33-CC86B9D23F0A}"/>
            </c:ext>
          </c:extLst>
        </c:ser>
        <c:dLbls>
          <c:showLegendKey val="0"/>
          <c:showVal val="0"/>
          <c:showCatName val="0"/>
          <c:showSerName val="0"/>
          <c:showPercent val="0"/>
          <c:showBubbleSize val="0"/>
        </c:dLbls>
        <c:axId val="991513039"/>
        <c:axId val="1366350831"/>
      </c:scatterChart>
      <c:valAx>
        <c:axId val="99151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50831"/>
        <c:crosses val="autoZero"/>
        <c:crossBetween val="midCat"/>
      </c:valAx>
      <c:valAx>
        <c:axId val="13663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BC emissions (kton)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BAU_emissions!$AT$50</c:f>
              <c:strCache>
                <c:ptCount val="1"/>
                <c:pt idx="0">
                  <c:v>BAU</c:v>
                </c:pt>
              </c:strCache>
            </c:strRef>
          </c:tx>
          <c:spPr>
            <a:ln w="19050" cap="rnd">
              <a:solidFill>
                <a:schemeClr val="accent1"/>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BAU_emissions!$AU$50:$BA$50</c:f>
              <c:numCache>
                <c:formatCode>0</c:formatCode>
                <c:ptCount val="7"/>
                <c:pt idx="0">
                  <c:v>21.637629535290266</c:v>
                </c:pt>
                <c:pt idx="1">
                  <c:v>25.013323374867472</c:v>
                </c:pt>
                <c:pt idx="2">
                  <c:v>28.276365616094612</c:v>
                </c:pt>
                <c:pt idx="3">
                  <c:v>31.559152588772438</c:v>
                </c:pt>
                <c:pt idx="4">
                  <c:v>34.863033157184326</c:v>
                </c:pt>
                <c:pt idx="5">
                  <c:v>38.171550785476505</c:v>
                </c:pt>
                <c:pt idx="6">
                  <c:v>41.43371628742031</c:v>
                </c:pt>
              </c:numCache>
            </c:numRef>
          </c:yVal>
          <c:smooth val="0"/>
          <c:extLst>
            <c:ext xmlns:c16="http://schemas.microsoft.com/office/drawing/2014/chart" uri="{C3380CC4-5D6E-409C-BE32-E72D297353CC}">
              <c16:uniqueId val="{00000000-452D-344B-A93D-7D0E4AF92617}"/>
            </c:ext>
          </c:extLst>
        </c:ser>
        <c:ser>
          <c:idx val="1"/>
          <c:order val="1"/>
          <c:tx>
            <c:strRef>
              <c:f>BAU_emissions!$AT$51</c:f>
              <c:strCache>
                <c:ptCount val="1"/>
                <c:pt idx="0">
                  <c:v>NICCS</c:v>
                </c:pt>
              </c:strCache>
            </c:strRef>
          </c:tx>
          <c:spPr>
            <a:ln w="19050" cap="rnd">
              <a:solidFill>
                <a:schemeClr val="accent2"/>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BAU_emissions!$AU$51:$BA$51</c:f>
              <c:numCache>
                <c:formatCode>0</c:formatCode>
                <c:ptCount val="7"/>
                <c:pt idx="0">
                  <c:v>21.637629535290266</c:v>
                </c:pt>
                <c:pt idx="1">
                  <c:v>25.013323374867472</c:v>
                </c:pt>
                <c:pt idx="2">
                  <c:v>21.245228989898596</c:v>
                </c:pt>
                <c:pt idx="3">
                  <c:v>15.447140856920131</c:v>
                </c:pt>
                <c:pt idx="4">
                  <c:v>7.4705080492599665</c:v>
                </c:pt>
                <c:pt idx="5">
                  <c:v>8.1442523821205555</c:v>
                </c:pt>
                <c:pt idx="6">
                  <c:v>8.7839707836303056</c:v>
                </c:pt>
              </c:numCache>
            </c:numRef>
          </c:yVal>
          <c:smooth val="0"/>
          <c:extLst>
            <c:ext xmlns:c16="http://schemas.microsoft.com/office/drawing/2014/chart" uri="{C3380CC4-5D6E-409C-BE32-E72D297353CC}">
              <c16:uniqueId val="{00000001-452D-344B-A93D-7D0E4AF92617}"/>
            </c:ext>
          </c:extLst>
        </c:ser>
        <c:dLbls>
          <c:showLegendKey val="0"/>
          <c:showVal val="0"/>
          <c:showCatName val="0"/>
          <c:showSerName val="0"/>
          <c:showPercent val="0"/>
          <c:showBubbleSize val="0"/>
        </c:dLbls>
        <c:axId val="991513039"/>
        <c:axId val="1366350831"/>
      </c:scatterChart>
      <c:valAx>
        <c:axId val="99151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50831"/>
        <c:crosses val="autoZero"/>
        <c:crossBetween val="midCat"/>
      </c:valAx>
      <c:valAx>
        <c:axId val="13663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Summary!$B$79</c:f>
              <c:strCache>
                <c:ptCount val="1"/>
                <c:pt idx="0">
                  <c:v>fuelwood</c:v>
                </c:pt>
              </c:strCache>
            </c:strRef>
          </c:tx>
          <c:spPr>
            <a:solidFill>
              <a:schemeClr val="accent1"/>
            </a:solidFill>
            <a:ln>
              <a:noFill/>
            </a:ln>
            <a:effectLst/>
          </c:spPr>
          <c:invertIfNegative val="0"/>
          <c:cat>
            <c:strRef>
              <c:f>Summary!$E$40:$F$40</c:f>
              <c:strCache>
                <c:ptCount val="1"/>
                <c:pt idx="0">
                  <c:v>BAU</c:v>
                </c:pt>
              </c:strCache>
            </c:strRef>
          </c:cat>
          <c:val>
            <c:numRef>
              <c:f>Summary!$E$79:$F$79</c:f>
              <c:numCache>
                <c:formatCode>0.0</c:formatCode>
                <c:ptCount val="2"/>
                <c:pt idx="0">
                  <c:v>6430.8111831324013</c:v>
                </c:pt>
              </c:numCache>
            </c:numRef>
          </c:val>
          <c:extLst>
            <c:ext xmlns:c16="http://schemas.microsoft.com/office/drawing/2014/chart" uri="{C3380CC4-5D6E-409C-BE32-E72D297353CC}">
              <c16:uniqueId val="{00000000-5259-7E4B-BC84-B74F9EA6F933}"/>
            </c:ext>
          </c:extLst>
        </c:ser>
        <c:ser>
          <c:idx val="1"/>
          <c:order val="1"/>
          <c:tx>
            <c:strRef>
              <c:f>Summary!$B$80</c:f>
              <c:strCache>
                <c:ptCount val="1"/>
                <c:pt idx="0">
                  <c:v>charcoal</c:v>
                </c:pt>
              </c:strCache>
            </c:strRef>
          </c:tx>
          <c:spPr>
            <a:solidFill>
              <a:schemeClr val="accent2"/>
            </a:solidFill>
            <a:ln>
              <a:noFill/>
            </a:ln>
            <a:effectLst/>
          </c:spPr>
          <c:invertIfNegative val="0"/>
          <c:cat>
            <c:strRef>
              <c:f>Summary!$E$40:$F$40</c:f>
              <c:strCache>
                <c:ptCount val="1"/>
                <c:pt idx="0">
                  <c:v>BAU</c:v>
                </c:pt>
              </c:strCache>
            </c:strRef>
          </c:cat>
          <c:val>
            <c:numRef>
              <c:f>Summary!$E$80:$F$80</c:f>
              <c:numCache>
                <c:formatCode>0.0</c:formatCode>
                <c:ptCount val="2"/>
                <c:pt idx="0">
                  <c:v>21118.231810270288</c:v>
                </c:pt>
              </c:numCache>
            </c:numRef>
          </c:val>
          <c:extLst>
            <c:ext xmlns:c16="http://schemas.microsoft.com/office/drawing/2014/chart" uri="{C3380CC4-5D6E-409C-BE32-E72D297353CC}">
              <c16:uniqueId val="{00000001-5259-7E4B-BC84-B74F9EA6F933}"/>
            </c:ext>
          </c:extLst>
        </c:ser>
        <c:ser>
          <c:idx val="2"/>
          <c:order val="2"/>
          <c:tx>
            <c:strRef>
              <c:f>Summary!$B$81</c:f>
              <c:strCache>
                <c:ptCount val="1"/>
                <c:pt idx="0">
                  <c:v>Imp_fuelwood</c:v>
                </c:pt>
              </c:strCache>
            </c:strRef>
          </c:tx>
          <c:spPr>
            <a:solidFill>
              <a:schemeClr val="accent3"/>
            </a:solidFill>
            <a:ln>
              <a:noFill/>
            </a:ln>
            <a:effectLst/>
          </c:spPr>
          <c:invertIfNegative val="0"/>
          <c:cat>
            <c:strRef>
              <c:f>Summary!$E$40:$F$40</c:f>
              <c:strCache>
                <c:ptCount val="1"/>
                <c:pt idx="0">
                  <c:v>BAU</c:v>
                </c:pt>
              </c:strCache>
            </c:strRef>
          </c:cat>
          <c:val>
            <c:numRef>
              <c:f>Summary!$E$81:$F$81</c:f>
              <c:numCache>
                <c:formatCode>0.0</c:formatCode>
                <c:ptCount val="2"/>
                <c:pt idx="0">
                  <c:v>283.74201557003101</c:v>
                </c:pt>
              </c:numCache>
            </c:numRef>
          </c:val>
          <c:extLst>
            <c:ext xmlns:c16="http://schemas.microsoft.com/office/drawing/2014/chart" uri="{C3380CC4-5D6E-409C-BE32-E72D297353CC}">
              <c16:uniqueId val="{00000002-5259-7E4B-BC84-B74F9EA6F933}"/>
            </c:ext>
          </c:extLst>
        </c:ser>
        <c:ser>
          <c:idx val="3"/>
          <c:order val="3"/>
          <c:tx>
            <c:strRef>
              <c:f>Summary!$B$82</c:f>
              <c:strCache>
                <c:ptCount val="1"/>
                <c:pt idx="0">
                  <c:v>Imp_charcoal</c:v>
                </c:pt>
              </c:strCache>
            </c:strRef>
          </c:tx>
          <c:spPr>
            <a:solidFill>
              <a:schemeClr val="accent4"/>
            </a:solidFill>
            <a:ln>
              <a:noFill/>
            </a:ln>
            <a:effectLst/>
          </c:spPr>
          <c:invertIfNegative val="0"/>
          <c:cat>
            <c:strRef>
              <c:f>Summary!$E$40:$F$40</c:f>
              <c:strCache>
                <c:ptCount val="1"/>
                <c:pt idx="0">
                  <c:v>BAU</c:v>
                </c:pt>
              </c:strCache>
            </c:strRef>
          </c:cat>
          <c:val>
            <c:numRef>
              <c:f>Summary!$E$82:$F$82</c:f>
              <c:numCache>
                <c:formatCode>0.0</c:formatCode>
                <c:ptCount val="2"/>
                <c:pt idx="0">
                  <c:v>145.45291769602667</c:v>
                </c:pt>
              </c:numCache>
            </c:numRef>
          </c:val>
          <c:extLst>
            <c:ext xmlns:c16="http://schemas.microsoft.com/office/drawing/2014/chart" uri="{C3380CC4-5D6E-409C-BE32-E72D297353CC}">
              <c16:uniqueId val="{00000003-5259-7E4B-BC84-B74F9EA6F933}"/>
            </c:ext>
          </c:extLst>
        </c:ser>
        <c:ser>
          <c:idx val="4"/>
          <c:order val="4"/>
          <c:tx>
            <c:strRef>
              <c:f>Summary!$B$83</c:f>
              <c:strCache>
                <c:ptCount val="1"/>
                <c:pt idx="0">
                  <c:v>Gas</c:v>
                </c:pt>
              </c:strCache>
            </c:strRef>
          </c:tx>
          <c:spPr>
            <a:solidFill>
              <a:schemeClr val="accent5"/>
            </a:solidFill>
            <a:ln>
              <a:noFill/>
            </a:ln>
            <a:effectLst/>
          </c:spPr>
          <c:invertIfNegative val="0"/>
          <c:cat>
            <c:strRef>
              <c:f>Summary!$E$40:$F$40</c:f>
              <c:strCache>
                <c:ptCount val="1"/>
                <c:pt idx="0">
                  <c:v>BAU</c:v>
                </c:pt>
              </c:strCache>
            </c:strRef>
          </c:cat>
          <c:val>
            <c:numRef>
              <c:f>Summary!$E$83:$F$83</c:f>
              <c:numCache>
                <c:formatCode>0.0</c:formatCode>
                <c:ptCount val="2"/>
                <c:pt idx="0">
                  <c:v>7.9971378794709489</c:v>
                </c:pt>
              </c:numCache>
            </c:numRef>
          </c:val>
          <c:extLst>
            <c:ext xmlns:c16="http://schemas.microsoft.com/office/drawing/2014/chart" uri="{C3380CC4-5D6E-409C-BE32-E72D297353CC}">
              <c16:uniqueId val="{00000004-5259-7E4B-BC84-B74F9EA6F933}"/>
            </c:ext>
          </c:extLst>
        </c:ser>
        <c:ser>
          <c:idx val="5"/>
          <c:order val="5"/>
          <c:tx>
            <c:strRef>
              <c:f>Summary!$B$84</c:f>
              <c:strCache>
                <c:ptCount val="1"/>
                <c:pt idx="0">
                  <c:v>kerosene</c:v>
                </c:pt>
              </c:strCache>
            </c:strRef>
          </c:tx>
          <c:spPr>
            <a:solidFill>
              <a:schemeClr val="accent6"/>
            </a:solidFill>
            <a:ln>
              <a:noFill/>
            </a:ln>
            <a:effectLst/>
          </c:spPr>
          <c:invertIfNegative val="0"/>
          <c:cat>
            <c:strRef>
              <c:f>Summary!$E$40:$F$40</c:f>
              <c:strCache>
                <c:ptCount val="1"/>
                <c:pt idx="0">
                  <c:v>BAU</c:v>
                </c:pt>
              </c:strCache>
            </c:strRef>
          </c:cat>
          <c:val>
            <c:numRef>
              <c:f>Summary!$E$84:$F$84</c:f>
              <c:numCache>
                <c:formatCode>0.0</c:formatCode>
                <c:ptCount val="2"/>
                <c:pt idx="0">
                  <c:v>0</c:v>
                </c:pt>
              </c:numCache>
            </c:numRef>
          </c:val>
          <c:extLst>
            <c:ext xmlns:c16="http://schemas.microsoft.com/office/drawing/2014/chart" uri="{C3380CC4-5D6E-409C-BE32-E72D297353CC}">
              <c16:uniqueId val="{00000005-5259-7E4B-BC84-B74F9EA6F933}"/>
            </c:ext>
          </c:extLst>
        </c:ser>
        <c:ser>
          <c:idx val="6"/>
          <c:order val="6"/>
          <c:tx>
            <c:strRef>
              <c:f>Summary!$B$85</c:f>
              <c:strCache>
                <c:ptCount val="1"/>
                <c:pt idx="0">
                  <c:v>electric</c:v>
                </c:pt>
              </c:strCache>
            </c:strRef>
          </c:tx>
          <c:spPr>
            <a:solidFill>
              <a:schemeClr val="accent1">
                <a:lumMod val="60000"/>
              </a:schemeClr>
            </a:solidFill>
            <a:ln>
              <a:noFill/>
            </a:ln>
            <a:effectLst/>
          </c:spPr>
          <c:invertIfNegative val="0"/>
          <c:cat>
            <c:strRef>
              <c:f>Summary!$E$40:$F$40</c:f>
              <c:strCache>
                <c:ptCount val="1"/>
                <c:pt idx="0">
                  <c:v>BAU</c:v>
                </c:pt>
              </c:strCache>
            </c:strRef>
          </c:cat>
          <c:val>
            <c:numRef>
              <c:f>Summary!$E$85:$F$85</c:f>
              <c:numCache>
                <c:formatCode>0.0</c:formatCode>
                <c:ptCount val="2"/>
                <c:pt idx="0">
                  <c:v>49.155350365109335</c:v>
                </c:pt>
              </c:numCache>
            </c:numRef>
          </c:val>
          <c:extLst>
            <c:ext xmlns:c16="http://schemas.microsoft.com/office/drawing/2014/chart" uri="{C3380CC4-5D6E-409C-BE32-E72D297353CC}">
              <c16:uniqueId val="{00000006-5259-7E4B-BC84-B74F9EA6F933}"/>
            </c:ext>
          </c:extLst>
        </c:ser>
        <c:ser>
          <c:idx val="7"/>
          <c:order val="7"/>
          <c:tx>
            <c:strRef>
              <c:f>Summary!$B$86</c:f>
              <c:strCache>
                <c:ptCount val="1"/>
                <c:pt idx="0">
                  <c:v>pellets</c:v>
                </c:pt>
              </c:strCache>
            </c:strRef>
          </c:tx>
          <c:spPr>
            <a:solidFill>
              <a:schemeClr val="accent2">
                <a:lumMod val="60000"/>
              </a:schemeClr>
            </a:solidFill>
            <a:ln>
              <a:noFill/>
            </a:ln>
            <a:effectLst/>
          </c:spPr>
          <c:invertIfNegative val="0"/>
          <c:cat>
            <c:strRef>
              <c:f>Summary!$E$40:$F$40</c:f>
              <c:strCache>
                <c:ptCount val="1"/>
                <c:pt idx="0">
                  <c:v>BAU</c:v>
                </c:pt>
              </c:strCache>
            </c:strRef>
          </c:cat>
          <c:val>
            <c:numRef>
              <c:f>Summary!$E$86:$F$86</c:f>
              <c:numCache>
                <c:formatCode>0.0</c:formatCode>
                <c:ptCount val="2"/>
                <c:pt idx="0">
                  <c:v>0</c:v>
                </c:pt>
              </c:numCache>
            </c:numRef>
          </c:val>
          <c:extLst>
            <c:ext xmlns:c16="http://schemas.microsoft.com/office/drawing/2014/chart" uri="{C3380CC4-5D6E-409C-BE32-E72D297353CC}">
              <c16:uniqueId val="{00000007-5259-7E4B-BC84-B74F9EA6F933}"/>
            </c:ext>
          </c:extLst>
        </c:ser>
        <c:ser>
          <c:idx val="8"/>
          <c:order val="8"/>
          <c:tx>
            <c:strRef>
              <c:f>Summary!$B$87</c:f>
              <c:strCache>
                <c:ptCount val="1"/>
                <c:pt idx="0">
                  <c:v>ethanol</c:v>
                </c:pt>
              </c:strCache>
            </c:strRef>
          </c:tx>
          <c:spPr>
            <a:solidFill>
              <a:schemeClr val="accent3">
                <a:lumMod val="60000"/>
              </a:schemeClr>
            </a:solidFill>
            <a:ln>
              <a:noFill/>
            </a:ln>
            <a:effectLst/>
          </c:spPr>
          <c:invertIfNegative val="0"/>
          <c:cat>
            <c:strRef>
              <c:f>Summary!$E$40:$F$40</c:f>
              <c:strCache>
                <c:ptCount val="1"/>
                <c:pt idx="0">
                  <c:v>BAU</c:v>
                </c:pt>
              </c:strCache>
            </c:strRef>
          </c:cat>
          <c:val>
            <c:numRef>
              <c:f>Summary!$E$87:$F$87</c:f>
              <c:numCache>
                <c:formatCode>0.0</c:formatCode>
                <c:ptCount val="2"/>
                <c:pt idx="0">
                  <c:v>0</c:v>
                </c:pt>
              </c:numCache>
            </c:numRef>
          </c:val>
          <c:extLst>
            <c:ext xmlns:c16="http://schemas.microsoft.com/office/drawing/2014/chart" uri="{C3380CC4-5D6E-409C-BE32-E72D297353CC}">
              <c16:uniqueId val="{00000008-5259-7E4B-BC84-B74F9EA6F933}"/>
            </c:ext>
          </c:extLst>
        </c:ser>
        <c:ser>
          <c:idx val="9"/>
          <c:order val="9"/>
          <c:tx>
            <c:strRef>
              <c:f>Summary!$B$88</c:f>
              <c:strCache>
                <c:ptCount val="1"/>
                <c:pt idx="0">
                  <c:v>biogas</c:v>
                </c:pt>
              </c:strCache>
            </c:strRef>
          </c:tx>
          <c:spPr>
            <a:solidFill>
              <a:schemeClr val="accent4">
                <a:lumMod val="60000"/>
              </a:schemeClr>
            </a:solidFill>
            <a:ln>
              <a:noFill/>
            </a:ln>
            <a:effectLst/>
          </c:spPr>
          <c:invertIfNegative val="0"/>
          <c:cat>
            <c:strRef>
              <c:f>Summary!$E$40:$F$40</c:f>
              <c:strCache>
                <c:ptCount val="1"/>
                <c:pt idx="0">
                  <c:v>BAU</c:v>
                </c:pt>
              </c:strCache>
            </c:strRef>
          </c:cat>
          <c:val>
            <c:numRef>
              <c:f>Summary!$E$88:$F$88</c:f>
              <c:numCache>
                <c:formatCode>0.0</c:formatCode>
                <c:ptCount val="2"/>
                <c:pt idx="0">
                  <c:v>0</c:v>
                </c:pt>
              </c:numCache>
            </c:numRef>
          </c:val>
          <c:extLst>
            <c:ext xmlns:c16="http://schemas.microsoft.com/office/drawing/2014/chart" uri="{C3380CC4-5D6E-409C-BE32-E72D297353CC}">
              <c16:uniqueId val="{00000009-5259-7E4B-BC84-B74F9EA6F933}"/>
            </c:ext>
          </c:extLst>
        </c:ser>
        <c:ser>
          <c:idx val="10"/>
          <c:order val="10"/>
          <c:tx>
            <c:strRef>
              <c:f>Summary!$B$89</c:f>
              <c:strCache>
                <c:ptCount val="1"/>
                <c:pt idx="0">
                  <c:v>other</c:v>
                </c:pt>
              </c:strCache>
            </c:strRef>
          </c:tx>
          <c:spPr>
            <a:solidFill>
              <a:schemeClr val="accent5">
                <a:lumMod val="60000"/>
              </a:schemeClr>
            </a:solidFill>
            <a:ln>
              <a:noFill/>
            </a:ln>
            <a:effectLst/>
          </c:spPr>
          <c:invertIfNegative val="0"/>
          <c:cat>
            <c:strRef>
              <c:f>Summary!$E$40:$F$40</c:f>
              <c:strCache>
                <c:ptCount val="1"/>
                <c:pt idx="0">
                  <c:v>BAU</c:v>
                </c:pt>
              </c:strCache>
            </c:strRef>
          </c:cat>
          <c:val>
            <c:numRef>
              <c:f>Summary!$E$89:$F$89</c:f>
              <c:numCache>
                <c:formatCode>0.0</c:formatCode>
                <c:ptCount val="2"/>
                <c:pt idx="0">
                  <c:v>0</c:v>
                </c:pt>
              </c:numCache>
            </c:numRef>
          </c:val>
          <c:extLst>
            <c:ext xmlns:c16="http://schemas.microsoft.com/office/drawing/2014/chart" uri="{C3380CC4-5D6E-409C-BE32-E72D297353CC}">
              <c16:uniqueId val="{0000000A-5259-7E4B-BC84-B74F9EA6F933}"/>
            </c:ext>
          </c:extLst>
        </c:ser>
        <c:dLbls>
          <c:showLegendKey val="0"/>
          <c:showVal val="0"/>
          <c:showCatName val="0"/>
          <c:showSerName val="0"/>
          <c:showPercent val="0"/>
          <c:showBubbleSize val="0"/>
        </c:dLbls>
        <c:gapWidth val="150"/>
        <c:overlap val="100"/>
        <c:axId val="633110688"/>
        <c:axId val="633092992"/>
      </c:barChart>
      <c:catAx>
        <c:axId val="63311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092992"/>
        <c:crosses val="autoZero"/>
        <c:auto val="1"/>
        <c:lblAlgn val="ctr"/>
        <c:lblOffset val="100"/>
        <c:noMultiLvlLbl val="0"/>
      </c:catAx>
      <c:valAx>
        <c:axId val="6330929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1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'EED_BAU_KNBS-pop'!$B$38</c:f>
              <c:strCache>
                <c:ptCount val="1"/>
                <c:pt idx="0">
                  <c:v>biomass</c:v>
                </c:pt>
              </c:strCache>
            </c:strRef>
          </c:tx>
          <c:spPr>
            <a:solidFill>
              <a:schemeClr val="accent1"/>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'EED_BAU_KNBS-pop'!$E$38:$AJ$38</c:f>
              <c:numCache>
                <c:formatCode>0%</c:formatCode>
                <c:ptCount val="32"/>
                <c:pt idx="0">
                  <c:v>0</c:v>
                </c:pt>
                <c:pt idx="1">
                  <c:v>0</c:v>
                </c:pt>
                <c:pt idx="2">
                  <c:v>0</c:v>
                </c:pt>
                <c:pt idx="3">
                  <c:v>0</c:v>
                </c:pt>
                <c:pt idx="4">
                  <c:v>0</c:v>
                </c:pt>
                <c:pt idx="5">
                  <c:v>0</c:v>
                </c:pt>
                <c:pt idx="6">
                  <c:v>0</c:v>
                </c:pt>
                <c:pt idx="7">
                  <c:v>0</c:v>
                </c:pt>
                <c:pt idx="8">
                  <c:v>0</c:v>
                </c:pt>
                <c:pt idx="9">
                  <c:v>0</c:v>
                </c:pt>
                <c:pt idx="10">
                  <c:v>0</c:v>
                </c:pt>
                <c:pt idx="11">
                  <c:v>0.2457</c:v>
                </c:pt>
                <c:pt idx="12">
                  <c:v>0.236065</c:v>
                </c:pt>
                <c:pt idx="13">
                  <c:v>0.22642999999999999</c:v>
                </c:pt>
                <c:pt idx="14">
                  <c:v>0.21679499999999999</c:v>
                </c:pt>
                <c:pt idx="15">
                  <c:v>0.20715999999999998</c:v>
                </c:pt>
                <c:pt idx="16">
                  <c:v>0.19752499999999998</c:v>
                </c:pt>
                <c:pt idx="17">
                  <c:v>0.18788999999999997</c:v>
                </c:pt>
                <c:pt idx="18">
                  <c:v>0.17825499999999997</c:v>
                </c:pt>
                <c:pt idx="19">
                  <c:v>0.16861999999999996</c:v>
                </c:pt>
                <c:pt idx="20">
                  <c:v>0.15898499999999996</c:v>
                </c:pt>
                <c:pt idx="21">
                  <c:v>0.14934999999999996</c:v>
                </c:pt>
                <c:pt idx="22">
                  <c:v>0.13971499999999995</c:v>
                </c:pt>
                <c:pt idx="23">
                  <c:v>0.13007999999999995</c:v>
                </c:pt>
                <c:pt idx="24">
                  <c:v>0.12044499999999994</c:v>
                </c:pt>
                <c:pt idx="25">
                  <c:v>0.11080999999999994</c:v>
                </c:pt>
                <c:pt idx="26">
                  <c:v>0.10117499999999993</c:v>
                </c:pt>
                <c:pt idx="27">
                  <c:v>9.1539999999999927E-2</c:v>
                </c:pt>
                <c:pt idx="28">
                  <c:v>8.1904999999999922E-2</c:v>
                </c:pt>
                <c:pt idx="29">
                  <c:v>7.2269999999999918E-2</c:v>
                </c:pt>
                <c:pt idx="30">
                  <c:v>6.2634999999999913E-2</c:v>
                </c:pt>
                <c:pt idx="31">
                  <c:v>5.3000000000000005E-2</c:v>
                </c:pt>
              </c:numCache>
            </c:numRef>
          </c:val>
          <c:extLst>
            <c:ext xmlns:c16="http://schemas.microsoft.com/office/drawing/2014/chart" uri="{C3380CC4-5D6E-409C-BE32-E72D297353CC}">
              <c16:uniqueId val="{00000000-14C8-704D-8682-D8C95BCD37E3}"/>
            </c:ext>
          </c:extLst>
        </c:ser>
        <c:ser>
          <c:idx val="1"/>
          <c:order val="1"/>
          <c:tx>
            <c:strRef>
              <c:f>'EED_BAU_KNBS-pop'!$B$39</c:f>
              <c:strCache>
                <c:ptCount val="1"/>
                <c:pt idx="0">
                  <c:v>charcoal</c:v>
                </c:pt>
              </c:strCache>
            </c:strRef>
          </c:tx>
          <c:spPr>
            <a:solidFill>
              <a:schemeClr val="accent2"/>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'EED_BAU_KNBS-pop'!$E$39:$AJ$39</c:f>
              <c:numCache>
                <c:formatCode>0%</c:formatCode>
                <c:ptCount val="32"/>
                <c:pt idx="0">
                  <c:v>0</c:v>
                </c:pt>
                <c:pt idx="1">
                  <c:v>0</c:v>
                </c:pt>
                <c:pt idx="2">
                  <c:v>0</c:v>
                </c:pt>
                <c:pt idx="3">
                  <c:v>0</c:v>
                </c:pt>
                <c:pt idx="4">
                  <c:v>0</c:v>
                </c:pt>
                <c:pt idx="5">
                  <c:v>0</c:v>
                </c:pt>
                <c:pt idx="6">
                  <c:v>0</c:v>
                </c:pt>
                <c:pt idx="7">
                  <c:v>0</c:v>
                </c:pt>
                <c:pt idx="8">
                  <c:v>0</c:v>
                </c:pt>
                <c:pt idx="9">
                  <c:v>0</c:v>
                </c:pt>
                <c:pt idx="10">
                  <c:v>0</c:v>
                </c:pt>
                <c:pt idx="11">
                  <c:v>0.16770000000000002</c:v>
                </c:pt>
                <c:pt idx="12">
                  <c:v>0.16136500000000001</c:v>
                </c:pt>
                <c:pt idx="13">
                  <c:v>0.15503</c:v>
                </c:pt>
                <c:pt idx="14">
                  <c:v>0.14869499999999999</c:v>
                </c:pt>
                <c:pt idx="15">
                  <c:v>0.14235999999999999</c:v>
                </c:pt>
                <c:pt idx="16">
                  <c:v>0.13602499999999998</c:v>
                </c:pt>
                <c:pt idx="17">
                  <c:v>0.12968999999999997</c:v>
                </c:pt>
                <c:pt idx="18">
                  <c:v>0.12335499999999996</c:v>
                </c:pt>
                <c:pt idx="19">
                  <c:v>0.11701999999999996</c:v>
                </c:pt>
                <c:pt idx="20">
                  <c:v>0.11068499999999995</c:v>
                </c:pt>
                <c:pt idx="21">
                  <c:v>0.10434999999999994</c:v>
                </c:pt>
                <c:pt idx="22">
                  <c:v>9.8014999999999936E-2</c:v>
                </c:pt>
                <c:pt idx="23">
                  <c:v>9.1679999999999928E-2</c:v>
                </c:pt>
                <c:pt idx="24">
                  <c:v>8.5344999999999921E-2</c:v>
                </c:pt>
                <c:pt idx="25">
                  <c:v>7.9009999999999914E-2</c:v>
                </c:pt>
                <c:pt idx="26">
                  <c:v>7.2674999999999906E-2</c:v>
                </c:pt>
                <c:pt idx="27">
                  <c:v>6.6339999999999899E-2</c:v>
                </c:pt>
                <c:pt idx="28">
                  <c:v>6.0004999999999899E-2</c:v>
                </c:pt>
                <c:pt idx="29">
                  <c:v>5.3669999999999898E-2</c:v>
                </c:pt>
                <c:pt idx="30">
                  <c:v>4.7334999999999898E-2</c:v>
                </c:pt>
                <c:pt idx="31">
                  <c:v>4.1000000000000002E-2</c:v>
                </c:pt>
              </c:numCache>
            </c:numRef>
          </c:val>
          <c:extLst>
            <c:ext xmlns:c16="http://schemas.microsoft.com/office/drawing/2014/chart" uri="{C3380CC4-5D6E-409C-BE32-E72D297353CC}">
              <c16:uniqueId val="{00000007-14C8-704D-8682-D8C95BCD37E3}"/>
            </c:ext>
          </c:extLst>
        </c:ser>
        <c:ser>
          <c:idx val="2"/>
          <c:order val="2"/>
          <c:tx>
            <c:strRef>
              <c:f>'EED_BAU_KNBS-pop'!$B$40</c:f>
              <c:strCache>
                <c:ptCount val="1"/>
                <c:pt idx="0">
                  <c:v>Imp_biomass</c:v>
                </c:pt>
              </c:strCache>
            </c:strRef>
          </c:tx>
          <c:spPr>
            <a:solidFill>
              <a:schemeClr val="accent3"/>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'EED_BAU_KNBS-pop'!$E$40:$AJ$40</c:f>
              <c:numCache>
                <c:formatCode>0%</c:formatCode>
                <c:ptCount val="32"/>
                <c:pt idx="0" formatCode="0.0%">
                  <c:v>0</c:v>
                </c:pt>
                <c:pt idx="1">
                  <c:v>0</c:v>
                </c:pt>
                <c:pt idx="2">
                  <c:v>0</c:v>
                </c:pt>
                <c:pt idx="3">
                  <c:v>0</c:v>
                </c:pt>
                <c:pt idx="4">
                  <c:v>0</c:v>
                </c:pt>
                <c:pt idx="5">
                  <c:v>0</c:v>
                </c:pt>
                <c:pt idx="6">
                  <c:v>0</c:v>
                </c:pt>
                <c:pt idx="7">
                  <c:v>0</c:v>
                </c:pt>
                <c:pt idx="8">
                  <c:v>0</c:v>
                </c:pt>
                <c:pt idx="9">
                  <c:v>0</c:v>
                </c:pt>
                <c:pt idx="10">
                  <c:v>0</c:v>
                </c:pt>
                <c:pt idx="11">
                  <c:v>0.38429999999999997</c:v>
                </c:pt>
                <c:pt idx="12">
                  <c:v>0.38893499999999998</c:v>
                </c:pt>
                <c:pt idx="13">
                  <c:v>0.39356999999999998</c:v>
                </c:pt>
                <c:pt idx="14">
                  <c:v>0.39820499999999998</c:v>
                </c:pt>
                <c:pt idx="15">
                  <c:v>0.40283999999999998</c:v>
                </c:pt>
                <c:pt idx="16">
                  <c:v>0.40747499999999998</c:v>
                </c:pt>
                <c:pt idx="17">
                  <c:v>0.41210999999999998</c:v>
                </c:pt>
                <c:pt idx="18">
                  <c:v>0.41674499999999998</c:v>
                </c:pt>
                <c:pt idx="19">
                  <c:v>0.42137999999999998</c:v>
                </c:pt>
                <c:pt idx="20">
                  <c:v>0.42601499999999998</c:v>
                </c:pt>
                <c:pt idx="21">
                  <c:v>0.43064999999999998</c:v>
                </c:pt>
                <c:pt idx="22">
                  <c:v>0.43528499999999998</c:v>
                </c:pt>
                <c:pt idx="23">
                  <c:v>0.43991999999999998</c:v>
                </c:pt>
                <c:pt idx="24">
                  <c:v>0.44455499999999998</c:v>
                </c:pt>
                <c:pt idx="25">
                  <c:v>0.44918999999999998</c:v>
                </c:pt>
                <c:pt idx="26">
                  <c:v>0.45382499999999998</c:v>
                </c:pt>
                <c:pt idx="27">
                  <c:v>0.45845999999999998</c:v>
                </c:pt>
                <c:pt idx="28">
                  <c:v>0.46309499999999998</c:v>
                </c:pt>
                <c:pt idx="29">
                  <c:v>0.46772999999999998</c:v>
                </c:pt>
                <c:pt idx="30">
                  <c:v>0.47236499999999998</c:v>
                </c:pt>
                <c:pt idx="31">
                  <c:v>0.47700000000000004</c:v>
                </c:pt>
              </c:numCache>
            </c:numRef>
          </c:val>
          <c:extLst>
            <c:ext xmlns:c16="http://schemas.microsoft.com/office/drawing/2014/chart" uri="{C3380CC4-5D6E-409C-BE32-E72D297353CC}">
              <c16:uniqueId val="{00000008-14C8-704D-8682-D8C95BCD37E3}"/>
            </c:ext>
          </c:extLst>
        </c:ser>
        <c:ser>
          <c:idx val="3"/>
          <c:order val="3"/>
          <c:tx>
            <c:strRef>
              <c:f>'EED_BAU_KNBS-pop'!$B$41</c:f>
              <c:strCache>
                <c:ptCount val="1"/>
                <c:pt idx="0">
                  <c:v>Imp_charcoal</c:v>
                </c:pt>
              </c:strCache>
            </c:strRef>
          </c:tx>
          <c:spPr>
            <a:solidFill>
              <a:schemeClr val="accent4"/>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'EED_BAU_KNBS-pop'!$E$41:$AJ$41</c:f>
              <c:numCache>
                <c:formatCode>0%</c:formatCode>
                <c:ptCount val="32"/>
                <c:pt idx="0">
                  <c:v>0</c:v>
                </c:pt>
                <c:pt idx="1">
                  <c:v>0</c:v>
                </c:pt>
                <c:pt idx="2">
                  <c:v>0</c:v>
                </c:pt>
                <c:pt idx="3">
                  <c:v>0</c:v>
                </c:pt>
                <c:pt idx="4">
                  <c:v>0</c:v>
                </c:pt>
                <c:pt idx="5">
                  <c:v>0</c:v>
                </c:pt>
                <c:pt idx="6">
                  <c:v>0</c:v>
                </c:pt>
                <c:pt idx="7">
                  <c:v>0</c:v>
                </c:pt>
                <c:pt idx="8">
                  <c:v>0</c:v>
                </c:pt>
                <c:pt idx="9">
                  <c:v>0</c:v>
                </c:pt>
                <c:pt idx="10">
                  <c:v>0</c:v>
                </c:pt>
                <c:pt idx="11">
                  <c:v>0.26229999999999998</c:v>
                </c:pt>
                <c:pt idx="12">
                  <c:v>0.26763499999999996</c:v>
                </c:pt>
                <c:pt idx="13">
                  <c:v>0.27296999999999993</c:v>
                </c:pt>
                <c:pt idx="14">
                  <c:v>0.27830499999999991</c:v>
                </c:pt>
                <c:pt idx="15">
                  <c:v>0.28363999999999989</c:v>
                </c:pt>
                <c:pt idx="16">
                  <c:v>0.28897499999999987</c:v>
                </c:pt>
                <c:pt idx="17">
                  <c:v>0.29430999999999985</c:v>
                </c:pt>
                <c:pt idx="18">
                  <c:v>0.29964499999999983</c:v>
                </c:pt>
                <c:pt idx="19">
                  <c:v>0.30497999999999981</c:v>
                </c:pt>
                <c:pt idx="20">
                  <c:v>0.31031499999999979</c:v>
                </c:pt>
                <c:pt idx="21">
                  <c:v>0.31564999999999976</c:v>
                </c:pt>
                <c:pt idx="22">
                  <c:v>0.32098499999999974</c:v>
                </c:pt>
                <c:pt idx="23">
                  <c:v>0.32631999999999972</c:v>
                </c:pt>
                <c:pt idx="24">
                  <c:v>0.3316549999999997</c:v>
                </c:pt>
                <c:pt idx="25">
                  <c:v>0.33698999999999968</c:v>
                </c:pt>
                <c:pt idx="26">
                  <c:v>0.34232499999999966</c:v>
                </c:pt>
                <c:pt idx="27">
                  <c:v>0.34765999999999964</c:v>
                </c:pt>
                <c:pt idx="28">
                  <c:v>0.35299499999999961</c:v>
                </c:pt>
                <c:pt idx="29">
                  <c:v>0.35832999999999959</c:v>
                </c:pt>
                <c:pt idx="30">
                  <c:v>0.36366499999999957</c:v>
                </c:pt>
                <c:pt idx="31">
                  <c:v>0.36899999999999999</c:v>
                </c:pt>
              </c:numCache>
            </c:numRef>
          </c:val>
          <c:extLst>
            <c:ext xmlns:c16="http://schemas.microsoft.com/office/drawing/2014/chart" uri="{C3380CC4-5D6E-409C-BE32-E72D297353CC}">
              <c16:uniqueId val="{00000009-14C8-704D-8682-D8C95BCD37E3}"/>
            </c:ext>
          </c:extLst>
        </c:ser>
        <c:ser>
          <c:idx val="4"/>
          <c:order val="4"/>
          <c:tx>
            <c:strRef>
              <c:f>'EED_BAU_KNBS-pop'!$B$42</c:f>
              <c:strCache>
                <c:ptCount val="1"/>
                <c:pt idx="0">
                  <c:v>Gas</c:v>
                </c:pt>
              </c:strCache>
            </c:strRef>
          </c:tx>
          <c:spPr>
            <a:solidFill>
              <a:schemeClr val="accent5"/>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'EED_BAU_KNBS-pop'!$E$42:$AJ$42</c:f>
              <c:numCache>
                <c:formatCode>0%</c:formatCode>
                <c:ptCount val="32"/>
                <c:pt idx="0">
                  <c:v>0.17420000000000002</c:v>
                </c:pt>
                <c:pt idx="1">
                  <c:v>0.17674743023037376</c:v>
                </c:pt>
                <c:pt idx="2">
                  <c:v>0.1792948604607475</c:v>
                </c:pt>
                <c:pt idx="3">
                  <c:v>0.18184229069112123</c:v>
                </c:pt>
                <c:pt idx="4">
                  <c:v>0.18438972092149497</c:v>
                </c:pt>
                <c:pt idx="5">
                  <c:v>0.18693715115186871</c:v>
                </c:pt>
                <c:pt idx="6">
                  <c:v>0.18948458138224245</c:v>
                </c:pt>
                <c:pt idx="7">
                  <c:v>0.19203201161261618</c:v>
                </c:pt>
                <c:pt idx="8">
                  <c:v>0.19457944184298992</c:v>
                </c:pt>
                <c:pt idx="9">
                  <c:v>0.19712687207336366</c:v>
                </c:pt>
                <c:pt idx="10">
                  <c:v>0.19967430230373739</c:v>
                </c:pt>
                <c:pt idx="11">
                  <c:v>0.20222173253411124</c:v>
                </c:pt>
                <c:pt idx="12">
                  <c:v>0.20411392708078616</c:v>
                </c:pt>
                <c:pt idx="13">
                  <c:v>0.20600612162746107</c:v>
                </c:pt>
                <c:pt idx="14">
                  <c:v>0.20789831617413598</c:v>
                </c:pt>
                <c:pt idx="15">
                  <c:v>0.2097905107208109</c:v>
                </c:pt>
                <c:pt idx="16">
                  <c:v>0.21168270526748581</c:v>
                </c:pt>
                <c:pt idx="17">
                  <c:v>0.21357489981416072</c:v>
                </c:pt>
                <c:pt idx="18">
                  <c:v>0.21546709436083564</c:v>
                </c:pt>
                <c:pt idx="19">
                  <c:v>0.21735928890751055</c:v>
                </c:pt>
                <c:pt idx="20">
                  <c:v>0.21925148345418546</c:v>
                </c:pt>
                <c:pt idx="21">
                  <c:v>0.22114367800086038</c:v>
                </c:pt>
                <c:pt idx="22">
                  <c:v>0.22303587254753529</c:v>
                </c:pt>
                <c:pt idx="23">
                  <c:v>0.2249280670942102</c:v>
                </c:pt>
                <c:pt idx="24">
                  <c:v>0.22682026164088512</c:v>
                </c:pt>
                <c:pt idx="25">
                  <c:v>0.22871245618756003</c:v>
                </c:pt>
                <c:pt idx="26">
                  <c:v>0.23060465073423494</c:v>
                </c:pt>
                <c:pt idx="27">
                  <c:v>0.23249684528090986</c:v>
                </c:pt>
                <c:pt idx="28">
                  <c:v>0.23438903982758477</c:v>
                </c:pt>
                <c:pt idx="29">
                  <c:v>0.23628123437425969</c:v>
                </c:pt>
                <c:pt idx="30">
                  <c:v>0.2381734289209346</c:v>
                </c:pt>
                <c:pt idx="31">
                  <c:v>0.24006562346760957</c:v>
                </c:pt>
              </c:numCache>
            </c:numRef>
          </c:val>
          <c:extLst>
            <c:ext xmlns:c16="http://schemas.microsoft.com/office/drawing/2014/chart" uri="{C3380CC4-5D6E-409C-BE32-E72D297353CC}">
              <c16:uniqueId val="{0000000A-14C8-704D-8682-D8C95BCD37E3}"/>
            </c:ext>
          </c:extLst>
        </c:ser>
        <c:ser>
          <c:idx val="5"/>
          <c:order val="5"/>
          <c:tx>
            <c:strRef>
              <c:f>'EED_BAU_KNBS-pop'!$B$43</c:f>
              <c:strCache>
                <c:ptCount val="1"/>
                <c:pt idx="0">
                  <c:v>kerosene</c:v>
                </c:pt>
              </c:strCache>
            </c:strRef>
          </c:tx>
          <c:spPr>
            <a:solidFill>
              <a:schemeClr val="accent6"/>
            </a:solidFill>
            <a:ln>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'EED_BAU_KNBS-pop'!$E$43:$AJ$43</c:f>
              <c:numCache>
                <c:formatCode>0%</c:formatCode>
                <c:ptCount val="32"/>
                <c:pt idx="0">
                  <c:v>6.5383999999999998E-2</c:v>
                </c:pt>
                <c:pt idx="1">
                  <c:v>6.3157491611444169E-2</c:v>
                </c:pt>
                <c:pt idx="2">
                  <c:v>6.0930983222888341E-2</c:v>
                </c:pt>
                <c:pt idx="3">
                  <c:v>5.8704474834332512E-2</c:v>
                </c:pt>
                <c:pt idx="4">
                  <c:v>5.6477966445776684E-2</c:v>
                </c:pt>
                <c:pt idx="5">
                  <c:v>5.4251458057220855E-2</c:v>
                </c:pt>
                <c:pt idx="6">
                  <c:v>5.2024949668665027E-2</c:v>
                </c:pt>
                <c:pt idx="7">
                  <c:v>4.9798441280109199E-2</c:v>
                </c:pt>
                <c:pt idx="8">
                  <c:v>4.757193289155337E-2</c:v>
                </c:pt>
                <c:pt idx="9">
                  <c:v>4.5345424502997542E-2</c:v>
                </c:pt>
                <c:pt idx="10">
                  <c:v>4.3118916114441713E-2</c:v>
                </c:pt>
                <c:pt idx="11">
                  <c:v>4.0892407725885871E-2</c:v>
                </c:pt>
                <c:pt idx="12">
                  <c:v>3.8847787339591579E-2</c:v>
                </c:pt>
                <c:pt idx="13">
                  <c:v>3.6803166953297287E-2</c:v>
                </c:pt>
                <c:pt idx="14">
                  <c:v>3.4758546567002994E-2</c:v>
                </c:pt>
                <c:pt idx="15">
                  <c:v>3.2713926180708702E-2</c:v>
                </c:pt>
                <c:pt idx="16">
                  <c:v>3.066930579441441E-2</c:v>
                </c:pt>
                <c:pt idx="17">
                  <c:v>2.8624685408120118E-2</c:v>
                </c:pt>
                <c:pt idx="18">
                  <c:v>2.6580065021825826E-2</c:v>
                </c:pt>
                <c:pt idx="19">
                  <c:v>2.4535444635531534E-2</c:v>
                </c:pt>
                <c:pt idx="20">
                  <c:v>2.2490824249237241E-2</c:v>
                </c:pt>
                <c:pt idx="21">
                  <c:v>2.0446203862942949E-2</c:v>
                </c:pt>
                <c:pt idx="22">
                  <c:v>1.8401583476648657E-2</c:v>
                </c:pt>
                <c:pt idx="23">
                  <c:v>1.6356963090354365E-2</c:v>
                </c:pt>
                <c:pt idx="24">
                  <c:v>1.4312342704060071E-2</c:v>
                </c:pt>
                <c:pt idx="25">
                  <c:v>1.2267722317765777E-2</c:v>
                </c:pt>
                <c:pt idx="26">
                  <c:v>1.0223101931471483E-2</c:v>
                </c:pt>
                <c:pt idx="27">
                  <c:v>8.1784815451771894E-3</c:v>
                </c:pt>
                <c:pt idx="28">
                  <c:v>6.1338611588828956E-3</c:v>
                </c:pt>
                <c:pt idx="29">
                  <c:v>4.0892407725886017E-3</c:v>
                </c:pt>
                <c:pt idx="30">
                  <c:v>2.0446203862943082E-3</c:v>
                </c:pt>
                <c:pt idx="31">
                  <c:v>0</c:v>
                </c:pt>
              </c:numCache>
            </c:numRef>
          </c:val>
          <c:extLst>
            <c:ext xmlns:c16="http://schemas.microsoft.com/office/drawing/2014/chart" uri="{C3380CC4-5D6E-409C-BE32-E72D297353CC}">
              <c16:uniqueId val="{0000000B-14C8-704D-8682-D8C95BCD37E3}"/>
            </c:ext>
          </c:extLst>
        </c:ser>
        <c:ser>
          <c:idx val="6"/>
          <c:order val="6"/>
          <c:tx>
            <c:strRef>
              <c:f>'EED_BAU_KNBS-pop'!$B$44</c:f>
              <c:strCache>
                <c:ptCount val="1"/>
                <c:pt idx="0">
                  <c:v>electric</c:v>
                </c:pt>
              </c:strCache>
            </c:strRef>
          </c:tx>
          <c:spPr>
            <a:solidFill>
              <a:schemeClr val="accent1">
                <a:lumMod val="60000"/>
              </a:schemeClr>
            </a:solidFill>
            <a:ln w="25400">
              <a:noFill/>
            </a:ln>
            <a:effectLst/>
          </c:spPr>
          <c:cat>
            <c:numRef>
              <c:f>'EED_BAU_KNBS-pop'!$E$37:$AJ$37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'EED_BAU_KNBS-pop'!$E$44:$AJ$44</c:f>
              <c:numCache>
                <c:formatCode>0%</c:formatCode>
                <c:ptCount val="32"/>
                <c:pt idx="0">
                  <c:v>3.0000000000000001E-3</c:v>
                </c:pt>
                <c:pt idx="1">
                  <c:v>3.0493986900423826E-3</c:v>
                </c:pt>
                <c:pt idx="2">
                  <c:v>3.0987973800847652E-3</c:v>
                </c:pt>
                <c:pt idx="3">
                  <c:v>3.1481960701271478E-3</c:v>
                </c:pt>
                <c:pt idx="4">
                  <c:v>3.1975947601695304E-3</c:v>
                </c:pt>
                <c:pt idx="5">
                  <c:v>3.246993450211913E-3</c:v>
                </c:pt>
                <c:pt idx="6">
                  <c:v>3.2963921402542956E-3</c:v>
                </c:pt>
                <c:pt idx="7">
                  <c:v>3.3457908302966782E-3</c:v>
                </c:pt>
                <c:pt idx="8">
                  <c:v>3.3951895203390607E-3</c:v>
                </c:pt>
                <c:pt idx="9">
                  <c:v>3.4445882103814433E-3</c:v>
                </c:pt>
                <c:pt idx="10">
                  <c:v>3.4939869004238259E-3</c:v>
                </c:pt>
                <c:pt idx="11">
                  <c:v>3.5433855904662094E-3</c:v>
                </c:pt>
                <c:pt idx="12">
                  <c:v>3.589868845703924E-3</c:v>
                </c:pt>
                <c:pt idx="13">
                  <c:v>3.6363521009416385E-3</c:v>
                </c:pt>
                <c:pt idx="14">
                  <c:v>3.6828353561793531E-3</c:v>
                </c:pt>
                <c:pt idx="15">
                  <c:v>3.7293186114170677E-3</c:v>
                </c:pt>
                <c:pt idx="16">
                  <c:v>3.7758018666547823E-3</c:v>
                </c:pt>
                <c:pt idx="17">
                  <c:v>3.8222851218924969E-3</c:v>
                </c:pt>
                <c:pt idx="18">
                  <c:v>3.8687683771302115E-3</c:v>
                </c:pt>
                <c:pt idx="19">
                  <c:v>3.9152516323679261E-3</c:v>
                </c:pt>
                <c:pt idx="20">
                  <c:v>3.9617348876056406E-3</c:v>
                </c:pt>
                <c:pt idx="21">
                  <c:v>4.0082181428433552E-3</c:v>
                </c:pt>
                <c:pt idx="22">
                  <c:v>4.0547013980810698E-3</c:v>
                </c:pt>
                <c:pt idx="23">
                  <c:v>4.1011846533187844E-3</c:v>
                </c:pt>
                <c:pt idx="24">
                  <c:v>4.147667908556499E-3</c:v>
                </c:pt>
                <c:pt idx="25">
                  <c:v>4.1941511637942136E-3</c:v>
                </c:pt>
                <c:pt idx="26">
                  <c:v>4.2406344190319281E-3</c:v>
                </c:pt>
                <c:pt idx="27">
                  <c:v>4.2871176742696427E-3</c:v>
                </c:pt>
                <c:pt idx="28">
                  <c:v>4.3336009295073573E-3</c:v>
                </c:pt>
                <c:pt idx="29">
                  <c:v>4.3800841847450719E-3</c:v>
                </c:pt>
                <c:pt idx="30">
                  <c:v>4.4265674399827865E-3</c:v>
                </c:pt>
                <c:pt idx="31">
                  <c:v>4.4730506952205019E-3</c:v>
                </c:pt>
              </c:numCache>
            </c:numRef>
          </c:val>
          <c:extLst>
            <c:ext xmlns:c16="http://schemas.microsoft.com/office/drawing/2014/chart" uri="{C3380CC4-5D6E-409C-BE32-E72D297353CC}">
              <c16:uniqueId val="{0000000C-14C8-704D-8682-D8C95BCD37E3}"/>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17777777777777778"/>
          <c:h val="0.84664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'EED_BAU_KNBS-pop'!$B$2</c:f>
              <c:strCache>
                <c:ptCount val="1"/>
                <c:pt idx="0">
                  <c:v>biomass</c:v>
                </c:pt>
              </c:strCache>
            </c:strRef>
          </c:tx>
          <c:spPr>
            <a:solidFill>
              <a:schemeClr val="accent1"/>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'EED_BAU_KNBS-pop'!$F$2:$AJ$2</c:f>
              <c:numCache>
                <c:formatCode>0.00</c:formatCode>
                <c:ptCount val="31"/>
                <c:pt idx="0">
                  <c:v>0</c:v>
                </c:pt>
                <c:pt idx="1">
                  <c:v>0</c:v>
                </c:pt>
                <c:pt idx="2">
                  <c:v>0</c:v>
                </c:pt>
                <c:pt idx="3">
                  <c:v>0</c:v>
                </c:pt>
                <c:pt idx="4">
                  <c:v>0</c:v>
                </c:pt>
                <c:pt idx="5">
                  <c:v>0</c:v>
                </c:pt>
                <c:pt idx="6">
                  <c:v>0</c:v>
                </c:pt>
                <c:pt idx="7">
                  <c:v>0</c:v>
                </c:pt>
                <c:pt idx="8">
                  <c:v>0</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0-CA04-B943-B1D2-7F9E7431A5F6}"/>
            </c:ext>
          </c:extLst>
        </c:ser>
        <c:ser>
          <c:idx val="1"/>
          <c:order val="1"/>
          <c:tx>
            <c:strRef>
              <c:f>'EED_BAU_KNBS-pop'!$B$3</c:f>
              <c:strCache>
                <c:ptCount val="1"/>
                <c:pt idx="0">
                  <c:v>charcoal</c:v>
                </c:pt>
              </c:strCache>
            </c:strRef>
          </c:tx>
          <c:spPr>
            <a:solidFill>
              <a:schemeClr val="accent2"/>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'EED_BAU_KNBS-pop'!$F$3:$AJ$3</c:f>
              <c:numCache>
                <c:formatCode>0.00</c:formatCode>
                <c:ptCount val="31"/>
                <c:pt idx="0">
                  <c:v>0</c:v>
                </c:pt>
                <c:pt idx="1">
                  <c:v>0</c:v>
                </c:pt>
                <c:pt idx="2">
                  <c:v>0</c:v>
                </c:pt>
                <c:pt idx="3">
                  <c:v>0</c:v>
                </c:pt>
                <c:pt idx="4">
                  <c:v>0</c:v>
                </c:pt>
                <c:pt idx="5">
                  <c:v>0</c:v>
                </c:pt>
                <c:pt idx="6">
                  <c:v>0</c:v>
                </c:pt>
                <c:pt idx="7">
                  <c:v>0</c:v>
                </c:pt>
                <c:pt idx="8">
                  <c:v>0</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1-CA04-B943-B1D2-7F9E7431A5F6}"/>
            </c:ext>
          </c:extLst>
        </c:ser>
        <c:ser>
          <c:idx val="2"/>
          <c:order val="2"/>
          <c:tx>
            <c:strRef>
              <c:f>'EED_BAU_KNBS-pop'!$B$4</c:f>
              <c:strCache>
                <c:ptCount val="1"/>
                <c:pt idx="0">
                  <c:v>Imp_biomass</c:v>
                </c:pt>
              </c:strCache>
            </c:strRef>
          </c:tx>
          <c:spPr>
            <a:solidFill>
              <a:schemeClr val="accent3"/>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'EED_BAU_KNBS-pop'!$F$4:$AJ$4</c:f>
              <c:numCache>
                <c:formatCode>0.00</c:formatCode>
                <c:ptCount val="31"/>
                <c:pt idx="0">
                  <c:v>0</c:v>
                </c:pt>
                <c:pt idx="1">
                  <c:v>0</c:v>
                </c:pt>
                <c:pt idx="2">
                  <c:v>0</c:v>
                </c:pt>
                <c:pt idx="3">
                  <c:v>0</c:v>
                </c:pt>
                <c:pt idx="4">
                  <c:v>0</c:v>
                </c:pt>
                <c:pt idx="5">
                  <c:v>0</c:v>
                </c:pt>
                <c:pt idx="6">
                  <c:v>0</c:v>
                </c:pt>
                <c:pt idx="7">
                  <c:v>0</c:v>
                </c:pt>
                <c:pt idx="8">
                  <c:v>0</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2-CA04-B943-B1D2-7F9E7431A5F6}"/>
            </c:ext>
          </c:extLst>
        </c:ser>
        <c:ser>
          <c:idx val="3"/>
          <c:order val="3"/>
          <c:tx>
            <c:strRef>
              <c:f>'EED_BAU_KNBS-pop'!$B$5</c:f>
              <c:strCache>
                <c:ptCount val="1"/>
                <c:pt idx="0">
                  <c:v>Imp_charcoal</c:v>
                </c:pt>
              </c:strCache>
            </c:strRef>
          </c:tx>
          <c:spPr>
            <a:solidFill>
              <a:schemeClr val="accent4"/>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'EED_BAU_KNBS-pop'!$F$5:$AJ$5</c:f>
              <c:numCache>
                <c:formatCode>0.00</c:formatCode>
                <c:ptCount val="31"/>
                <c:pt idx="0">
                  <c:v>0</c:v>
                </c:pt>
                <c:pt idx="1">
                  <c:v>0</c:v>
                </c:pt>
                <c:pt idx="2">
                  <c:v>0</c:v>
                </c:pt>
                <c:pt idx="3">
                  <c:v>0</c:v>
                </c:pt>
                <c:pt idx="4">
                  <c:v>0</c:v>
                </c:pt>
                <c:pt idx="5">
                  <c:v>0</c:v>
                </c:pt>
                <c:pt idx="6">
                  <c:v>0</c:v>
                </c:pt>
                <c:pt idx="7">
                  <c:v>0</c:v>
                </c:pt>
                <c:pt idx="8">
                  <c:v>0</c:v>
                </c:pt>
                <c:pt idx="9">
                  <c:v>0</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3-CA04-B943-B1D2-7F9E7431A5F6}"/>
            </c:ext>
          </c:extLst>
        </c:ser>
        <c:ser>
          <c:idx val="4"/>
          <c:order val="4"/>
          <c:tx>
            <c:strRef>
              <c:f>'EED_BAU_KNBS-pop'!$B$6</c:f>
              <c:strCache>
                <c:ptCount val="1"/>
                <c:pt idx="0">
                  <c:v>Gas</c:v>
                </c:pt>
              </c:strCache>
            </c:strRef>
          </c:tx>
          <c:spPr>
            <a:solidFill>
              <a:schemeClr val="accent5"/>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'EED_BAU_KNBS-pop'!$F$6:$AJ$6</c:f>
              <c:numCache>
                <c:formatCode>0.00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4-CA04-B943-B1D2-7F9E7431A5F6}"/>
            </c:ext>
          </c:extLst>
        </c:ser>
        <c:ser>
          <c:idx val="5"/>
          <c:order val="5"/>
          <c:tx>
            <c:strRef>
              <c:f>'EED_BAU_KNBS-pop'!$B$7</c:f>
              <c:strCache>
                <c:ptCount val="1"/>
                <c:pt idx="0">
                  <c:v>kerosene</c:v>
                </c:pt>
              </c:strCache>
            </c:strRef>
          </c:tx>
          <c:spPr>
            <a:solidFill>
              <a:schemeClr val="accent6"/>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'EED_BAU_KNBS-pop'!$F$7:$AJ$7</c:f>
              <c:numCache>
                <c:formatCode>0.00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5-CA04-B943-B1D2-7F9E7431A5F6}"/>
            </c:ext>
          </c:extLst>
        </c:ser>
        <c:ser>
          <c:idx val="6"/>
          <c:order val="6"/>
          <c:tx>
            <c:strRef>
              <c:f>'EED_BAU_KNBS-pop'!$B$8</c:f>
              <c:strCache>
                <c:ptCount val="1"/>
                <c:pt idx="0">
                  <c:v>electric</c:v>
                </c:pt>
              </c:strCache>
            </c:strRef>
          </c:tx>
          <c:spPr>
            <a:solidFill>
              <a:schemeClr val="accent1">
                <a:lumMod val="60000"/>
              </a:schemeClr>
            </a:solidFill>
            <a:ln w="25400">
              <a:noFill/>
            </a:ln>
            <a:effectLst/>
          </c:spPr>
          <c:cat>
            <c:numRef>
              <c:f>'EED_BAU_KNBS-pop'!$F$1:$AJ$1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'EED_BAU_KNBS-pop'!$F$8:$AJ$8</c:f>
              <c:numCache>
                <c:formatCode>0.00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6-CA04-B943-B1D2-7F9E7431A5F6}"/>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17777777777777778"/>
          <c:h val="0.84664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BAU_Scenario!$B$38</c:f>
              <c:strCache>
                <c:ptCount val="1"/>
                <c:pt idx="0">
                  <c:v>fuelwood</c:v>
                </c:pt>
              </c:strCache>
            </c:strRef>
          </c:tx>
          <c:spPr>
            <a:solidFill>
              <a:schemeClr val="accent1"/>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BAU_Scenario!$N$38:$AS$38</c:f>
              <c:numCache>
                <c:formatCode>0%</c:formatCode>
                <c:ptCount val="32"/>
                <c:pt idx="0">
                  <c:v>0.62311749589296817</c:v>
                </c:pt>
                <c:pt idx="1">
                  <c:v>0.60950734625769798</c:v>
                </c:pt>
                <c:pt idx="2">
                  <c:v>0.59590295806012827</c:v>
                </c:pt>
                <c:pt idx="3">
                  <c:v>0.58230737328025906</c:v>
                </c:pt>
                <c:pt idx="4">
                  <c:v>0.56872946302376448</c:v>
                </c:pt>
                <c:pt idx="5">
                  <c:v>0.55518012722891297</c:v>
                </c:pt>
                <c:pt idx="6">
                  <c:v>0.53709652637830096</c:v>
                </c:pt>
                <c:pt idx="7">
                  <c:v>0.51915423434508223</c:v>
                </c:pt>
                <c:pt idx="8">
                  <c:v>0.5013491335705722</c:v>
                </c:pt>
                <c:pt idx="9">
                  <c:v>0.4836762436460364</c:v>
                </c:pt>
                <c:pt idx="10">
                  <c:v>0.46613001497471712</c:v>
                </c:pt>
                <c:pt idx="11">
                  <c:v>0.44870663751146872</c:v>
                </c:pt>
                <c:pt idx="12">
                  <c:v>0.43140579081211339</c:v>
                </c:pt>
                <c:pt idx="13">
                  <c:v>0.41422903982313586</c:v>
                </c:pt>
                <c:pt idx="14">
                  <c:v>0.39717876212202585</c:v>
                </c:pt>
                <c:pt idx="15">
                  <c:v>0.38026112214859292</c:v>
                </c:pt>
                <c:pt idx="16">
                  <c:v>0.36345597571568466</c:v>
                </c:pt>
                <c:pt idx="17">
                  <c:v>0.34677147019573618</c:v>
                </c:pt>
                <c:pt idx="18">
                  <c:v>0.33020698868388099</c:v>
                </c:pt>
                <c:pt idx="19">
                  <c:v>0.31376188937848809</c:v>
                </c:pt>
                <c:pt idx="20">
                  <c:v>0.29743542252602995</c:v>
                </c:pt>
                <c:pt idx="21">
                  <c:v>0.28122740583955158</c:v>
                </c:pt>
                <c:pt idx="22">
                  <c:v>0.26513819362775498</c:v>
                </c:pt>
                <c:pt idx="23">
                  <c:v>0.24916828334732016</c:v>
                </c:pt>
                <c:pt idx="24">
                  <c:v>0.23331774559522933</c:v>
                </c:pt>
                <c:pt idx="25">
                  <c:v>0.21758665700796362</c:v>
                </c:pt>
                <c:pt idx="26">
                  <c:v>0.2019755915381834</c:v>
                </c:pt>
                <c:pt idx="27">
                  <c:v>0.18648535596446902</c:v>
                </c:pt>
                <c:pt idx="28">
                  <c:v>0.17111722260005582</c:v>
                </c:pt>
                <c:pt idx="29">
                  <c:v>0.15587259686751589</c:v>
                </c:pt>
                <c:pt idx="30">
                  <c:v>0.14075301830714071</c:v>
                </c:pt>
                <c:pt idx="31">
                  <c:v>0.12575973890718373</c:v>
                </c:pt>
              </c:numCache>
            </c:numRef>
          </c:val>
          <c:extLst>
            <c:ext xmlns:c16="http://schemas.microsoft.com/office/drawing/2014/chart" uri="{C3380CC4-5D6E-409C-BE32-E72D297353CC}">
              <c16:uniqueId val="{00000000-84AC-8641-BEE8-1F4878891B54}"/>
            </c:ext>
          </c:extLst>
        </c:ser>
        <c:ser>
          <c:idx val="1"/>
          <c:order val="1"/>
          <c:tx>
            <c:strRef>
              <c:f>BAU_Scenario!$B$39</c:f>
              <c:strCache>
                <c:ptCount val="1"/>
                <c:pt idx="0">
                  <c:v>charcoal</c:v>
                </c:pt>
              </c:strCache>
            </c:strRef>
          </c:tx>
          <c:spPr>
            <a:solidFill>
              <a:schemeClr val="accent2"/>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BAU_Scenario!$N$39:$AS$39</c:f>
              <c:numCache>
                <c:formatCode>0%</c:formatCode>
                <c:ptCount val="32"/>
                <c:pt idx="0">
                  <c:v>0.3359175564603239</c:v>
                </c:pt>
                <c:pt idx="1">
                  <c:v>0.35107208032327203</c:v>
                </c:pt>
                <c:pt idx="2">
                  <c:v>0.3662484092514644</c:v>
                </c:pt>
                <c:pt idx="3">
                  <c:v>0.38144401742155087</c:v>
                </c:pt>
                <c:pt idx="4">
                  <c:v>0.39665106139970824</c:v>
                </c:pt>
                <c:pt idx="5">
                  <c:v>0.41185968732539707</c:v>
                </c:pt>
                <c:pt idx="6">
                  <c:v>0.42943653354001826</c:v>
                </c:pt>
                <c:pt idx="7">
                  <c:v>0.44686887175493445</c:v>
                </c:pt>
                <c:pt idx="8">
                  <c:v>0.46416055325553979</c:v>
                </c:pt>
                <c:pt idx="9">
                  <c:v>0.48131616004946282</c:v>
                </c:pt>
                <c:pt idx="10">
                  <c:v>0.49834072244941907</c:v>
                </c:pt>
                <c:pt idx="11">
                  <c:v>0.51523765187136272</c:v>
                </c:pt>
                <c:pt idx="12">
                  <c:v>0.53200721940907725</c:v>
                </c:pt>
                <c:pt idx="13">
                  <c:v>0.54864803173427812</c:v>
                </c:pt>
                <c:pt idx="14">
                  <c:v>0.56515801040053437</c:v>
                </c:pt>
                <c:pt idx="15">
                  <c:v>0.58153182659115776</c:v>
                </c:pt>
                <c:pt idx="16">
                  <c:v>0.5977870396390903</c:v>
                </c:pt>
                <c:pt idx="17">
                  <c:v>0.61391647235987978</c:v>
                </c:pt>
                <c:pt idx="18">
                  <c:v>0.6299205958689279</c:v>
                </c:pt>
                <c:pt idx="19">
                  <c:v>0.64579988042413661</c:v>
                </c:pt>
                <c:pt idx="20">
                  <c:v>0.66155486087382831</c:v>
                </c:pt>
                <c:pt idx="21">
                  <c:v>0.67718556430946053</c:v>
                </c:pt>
                <c:pt idx="22">
                  <c:v>0.69269155022831908</c:v>
                </c:pt>
                <c:pt idx="23">
                  <c:v>0.70807224985225448</c:v>
                </c:pt>
                <c:pt idx="24">
                  <c:v>0.72332743268539057</c:v>
                </c:pt>
                <c:pt idx="25">
                  <c:v>0.73845683798817452</c:v>
                </c:pt>
                <c:pt idx="26">
                  <c:v>0.75345978035476469</c:v>
                </c:pt>
                <c:pt idx="27">
                  <c:v>0.76833537656992745</c:v>
                </c:pt>
                <c:pt idx="28">
                  <c:v>0.78308237646969059</c:v>
                </c:pt>
                <c:pt idx="29">
                  <c:v>0.79769944260851544</c:v>
                </c:pt>
                <c:pt idx="30">
                  <c:v>0.81218516237269411</c:v>
                </c:pt>
                <c:pt idx="31">
                  <c:v>0.82653837170386635</c:v>
                </c:pt>
              </c:numCache>
            </c:numRef>
          </c:val>
          <c:extLst>
            <c:ext xmlns:c16="http://schemas.microsoft.com/office/drawing/2014/chart" uri="{C3380CC4-5D6E-409C-BE32-E72D297353CC}">
              <c16:uniqueId val="{00000001-84AC-8641-BEE8-1F4878891B54}"/>
            </c:ext>
          </c:extLst>
        </c:ser>
        <c:ser>
          <c:idx val="2"/>
          <c:order val="2"/>
          <c:tx>
            <c:strRef>
              <c:f>BAU_Scenario!$B$40</c:f>
              <c:strCache>
                <c:ptCount val="1"/>
                <c:pt idx="0">
                  <c:v>Imp_fuelwood</c:v>
                </c:pt>
              </c:strCache>
            </c:strRef>
          </c:tx>
          <c:spPr>
            <a:solidFill>
              <a:schemeClr val="accent3"/>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BAU_Scenario!$N$40:$AS$40</c:f>
              <c:numCache>
                <c:formatCode>0%</c:formatCode>
                <c:ptCount val="32"/>
                <c:pt idx="0">
                  <c:v>3.6557947205304981E-3</c:v>
                </c:pt>
                <c:pt idx="1">
                  <c:v>4.3749598201202004E-3</c:v>
                </c:pt>
                <c:pt idx="2">
                  <c:v>5.1099284670255299E-3</c:v>
                </c:pt>
                <c:pt idx="3">
                  <c:v>5.8607515740387176E-3</c:v>
                </c:pt>
                <c:pt idx="4">
                  <c:v>6.6272955019108072E-3</c:v>
                </c:pt>
                <c:pt idx="5">
                  <c:v>7.4092680796475708E-3</c:v>
                </c:pt>
                <c:pt idx="6">
                  <c:v>8.1523031501541752E-3</c:v>
                </c:pt>
                <c:pt idx="7">
                  <c:v>8.9091458395308774E-3</c:v>
                </c:pt>
                <c:pt idx="8">
                  <c:v>9.6797893532639834E-3</c:v>
                </c:pt>
                <c:pt idx="9">
                  <c:v>1.0464309456238314E-2</c:v>
                </c:pt>
                <c:pt idx="10">
                  <c:v>1.1262873479602328E-2</c:v>
                </c:pt>
                <c:pt idx="11">
                  <c:v>1.2075642644598435E-2</c:v>
                </c:pt>
                <c:pt idx="12">
                  <c:v>1.2902647921135442E-2</c:v>
                </c:pt>
                <c:pt idx="13">
                  <c:v>1.3743814413875764E-2</c:v>
                </c:pt>
                <c:pt idx="14">
                  <c:v>1.4598986089735562E-2</c:v>
                </c:pt>
                <c:pt idx="15">
                  <c:v>1.5467692319432156E-2</c:v>
                </c:pt>
                <c:pt idx="16">
                  <c:v>1.635131060835154E-2</c:v>
                </c:pt>
                <c:pt idx="17">
                  <c:v>1.7249366631205486E-2</c:v>
                </c:pt>
                <c:pt idx="18">
                  <c:v>1.8161975884401594E-2</c:v>
                </c:pt>
                <c:pt idx="19">
                  <c:v>1.9089280388596173E-2</c:v>
                </c:pt>
                <c:pt idx="20">
                  <c:v>2.0031462014861692E-2</c:v>
                </c:pt>
                <c:pt idx="21">
                  <c:v>2.0988678250109298E-2</c:v>
                </c:pt>
                <c:pt idx="22">
                  <c:v>2.1961049726090018E-2</c:v>
                </c:pt>
                <c:pt idx="23">
                  <c:v>2.2948691132186932E-2</c:v>
                </c:pt>
                <c:pt idx="24">
                  <c:v>2.3951783540927911E-2</c:v>
                </c:pt>
                <c:pt idx="25">
                  <c:v>2.4970535095805008E-2</c:v>
                </c:pt>
                <c:pt idx="26">
                  <c:v>2.6005110211252944E-2</c:v>
                </c:pt>
                <c:pt idx="27">
                  <c:v>2.7055651724176909E-2</c:v>
                </c:pt>
                <c:pt idx="28">
                  <c:v>2.8122227891867708E-2</c:v>
                </c:pt>
                <c:pt idx="29">
                  <c:v>2.9204866239120584E-2</c:v>
                </c:pt>
                <c:pt idx="30">
                  <c:v>3.0303539194069553E-2</c:v>
                </c:pt>
                <c:pt idx="31">
                  <c:v>3.1418241157458247E-2</c:v>
                </c:pt>
              </c:numCache>
            </c:numRef>
          </c:val>
          <c:extLst>
            <c:ext xmlns:c16="http://schemas.microsoft.com/office/drawing/2014/chart" uri="{C3380CC4-5D6E-409C-BE32-E72D297353CC}">
              <c16:uniqueId val="{00000002-84AC-8641-BEE8-1F4878891B54}"/>
            </c:ext>
          </c:extLst>
        </c:ser>
        <c:ser>
          <c:idx val="3"/>
          <c:order val="3"/>
          <c:tx>
            <c:strRef>
              <c:f>BAU_Scenario!$B$41</c:f>
              <c:strCache>
                <c:ptCount val="1"/>
                <c:pt idx="0">
                  <c:v>Imp_charcoal</c:v>
                </c:pt>
              </c:strCache>
            </c:strRef>
          </c:tx>
          <c:spPr>
            <a:solidFill>
              <a:schemeClr val="accent4"/>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BAU_Scenario!$N$41:$AS$41</c:f>
              <c:numCache>
                <c:formatCode>0%</c:formatCode>
                <c:ptCount val="32"/>
                <c:pt idx="0">
                  <c:v>1.2185982401767758E-3</c:v>
                </c:pt>
                <c:pt idx="1">
                  <c:v>1.4583199400399515E-3</c:v>
                </c:pt>
                <c:pt idx="2">
                  <c:v>1.7033094890084809E-3</c:v>
                </c:pt>
                <c:pt idx="3">
                  <c:v>1.9535838580128175E-3</c:v>
                </c:pt>
                <c:pt idx="4">
                  <c:v>2.2090985006368762E-3</c:v>
                </c:pt>
                <c:pt idx="5">
                  <c:v>2.46975602654916E-3</c:v>
                </c:pt>
                <c:pt idx="6">
                  <c:v>2.7174343833846959E-3</c:v>
                </c:pt>
                <c:pt idx="7">
                  <c:v>2.969715279843597E-3</c:v>
                </c:pt>
                <c:pt idx="8">
                  <c:v>3.2265964510879664E-3</c:v>
                </c:pt>
                <c:pt idx="9">
                  <c:v>3.4881031520794109E-3</c:v>
                </c:pt>
                <c:pt idx="10">
                  <c:v>3.7542911598674165E-3</c:v>
                </c:pt>
                <c:pt idx="11">
                  <c:v>4.0252142148661206E-3</c:v>
                </c:pt>
                <c:pt idx="12">
                  <c:v>4.3008826403784567E-3</c:v>
                </c:pt>
                <c:pt idx="13">
                  <c:v>4.5812714712918992E-3</c:v>
                </c:pt>
                <c:pt idx="14">
                  <c:v>4.8663286965785011E-3</c:v>
                </c:pt>
                <c:pt idx="15">
                  <c:v>5.1558974398107004E-3</c:v>
                </c:pt>
                <c:pt idx="16">
                  <c:v>5.4504368694504963E-3</c:v>
                </c:pt>
                <c:pt idx="17">
                  <c:v>5.7497888770684808E-3</c:v>
                </c:pt>
                <c:pt idx="18">
                  <c:v>6.0539919614671853E-3</c:v>
                </c:pt>
                <c:pt idx="19">
                  <c:v>6.3630934628653791E-3</c:v>
                </c:pt>
                <c:pt idx="20">
                  <c:v>6.6771540049538882E-3</c:v>
                </c:pt>
                <c:pt idx="21">
                  <c:v>6.9962260833697611E-3</c:v>
                </c:pt>
                <c:pt idx="22">
                  <c:v>7.3203499086966677E-3</c:v>
                </c:pt>
                <c:pt idx="23">
                  <c:v>7.6495637107289764E-3</c:v>
                </c:pt>
                <c:pt idx="24">
                  <c:v>7.9839278469759703E-3</c:v>
                </c:pt>
                <c:pt idx="25">
                  <c:v>8.3235116986016718E-3</c:v>
                </c:pt>
                <c:pt idx="26">
                  <c:v>8.6683700704176525E-3</c:v>
                </c:pt>
                <c:pt idx="27">
                  <c:v>9.018550574725644E-3</c:v>
                </c:pt>
                <c:pt idx="28">
                  <c:v>9.3740759639559124E-3</c:v>
                </c:pt>
                <c:pt idx="29">
                  <c:v>9.7349554130402062E-3</c:v>
                </c:pt>
                <c:pt idx="30">
                  <c:v>1.0101179731356533E-2</c:v>
                </c:pt>
                <c:pt idx="31">
                  <c:v>1.0472747052486082E-2</c:v>
                </c:pt>
              </c:numCache>
            </c:numRef>
          </c:val>
          <c:extLst>
            <c:ext xmlns:c16="http://schemas.microsoft.com/office/drawing/2014/chart" uri="{C3380CC4-5D6E-409C-BE32-E72D297353CC}">
              <c16:uniqueId val="{00000003-84AC-8641-BEE8-1F4878891B54}"/>
            </c:ext>
          </c:extLst>
        </c:ser>
        <c:ser>
          <c:idx val="4"/>
          <c:order val="4"/>
          <c:tx>
            <c:strRef>
              <c:f>BAU_Scenario!$B$42</c:f>
              <c:strCache>
                <c:ptCount val="1"/>
                <c:pt idx="0">
                  <c:v>Gas</c:v>
                </c:pt>
              </c:strCache>
            </c:strRef>
          </c:tx>
          <c:spPr>
            <a:solidFill>
              <a:schemeClr val="accent5"/>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BAU_Scenario!$N$42:$AS$42</c:f>
              <c:numCache>
                <c:formatCode>0%</c:formatCode>
                <c:ptCount val="32"/>
                <c:pt idx="0">
                  <c:v>1.4974360835339011E-3</c:v>
                </c:pt>
                <c:pt idx="1">
                  <c:v>1.6916592018668142E-3</c:v>
                </c:pt>
                <c:pt idx="2">
                  <c:v>1.8901993127219754E-3</c:v>
                </c:pt>
                <c:pt idx="3">
                  <c:v>2.0930660600521826E-3</c:v>
                </c:pt>
                <c:pt idx="4">
                  <c:v>2.3002103592131844E-3</c:v>
                </c:pt>
                <c:pt idx="5">
                  <c:v>2.5115368774612195E-3</c:v>
                </c:pt>
                <c:pt idx="6">
                  <c:v>2.4401467427102343E-3</c:v>
                </c:pt>
                <c:pt idx="7">
                  <c:v>2.366599393582539E-3</c:v>
                </c:pt>
                <c:pt idx="8">
                  <c:v>2.2909391082377999E-3</c:v>
                </c:pt>
                <c:pt idx="9">
                  <c:v>2.213215498436759E-3</c:v>
                </c:pt>
                <c:pt idx="10">
                  <c:v>2.1334799513186048E-3</c:v>
                </c:pt>
                <c:pt idx="11">
                  <c:v>2.0517655696055386E-3</c:v>
                </c:pt>
                <c:pt idx="12">
                  <c:v>1.9680743195638318E-3</c:v>
                </c:pt>
                <c:pt idx="13">
                  <c:v>1.8823930120077386E-3</c:v>
                </c:pt>
                <c:pt idx="14">
                  <c:v>1.7947035935069967E-3</c:v>
                </c:pt>
                <c:pt idx="15">
                  <c:v>1.7049623600945913E-3</c:v>
                </c:pt>
                <c:pt idx="16">
                  <c:v>1.6133196634026451E-3</c:v>
                </c:pt>
                <c:pt idx="17">
                  <c:v>1.5197108033239242E-3</c:v>
                </c:pt>
                <c:pt idx="18">
                  <c:v>1.4241369405586272E-3</c:v>
                </c:pt>
                <c:pt idx="19">
                  <c:v>1.326598255645585E-3</c:v>
                </c:pt>
                <c:pt idx="20">
                  <c:v>1.2270942096697425E-3</c:v>
                </c:pt>
                <c:pt idx="21">
                  <c:v>1.1256193508814821E-3</c:v>
                </c:pt>
                <c:pt idx="22">
                  <c:v>1.0221642300908607E-3</c:v>
                </c:pt>
                <c:pt idx="23">
                  <c:v>9.1671814900112509E-4</c:v>
                </c:pt>
                <c:pt idx="24">
                  <c:v>8.0927184815914402E-4</c:v>
                </c:pt>
                <c:pt idx="25">
                  <c:v>6.9981473199376095E-4</c:v>
                </c:pt>
                <c:pt idx="26">
                  <c:v>5.8833294973730204E-4</c:v>
                </c:pt>
                <c:pt idx="27">
                  <c:v>4.7481117856623846E-4</c:v>
                </c:pt>
                <c:pt idx="28">
                  <c:v>3.5923262894385779E-4</c:v>
                </c:pt>
                <c:pt idx="29">
                  <c:v>2.4158100364198563E-4</c:v>
                </c:pt>
                <c:pt idx="30">
                  <c:v>1.2184116172257663E-4</c:v>
                </c:pt>
                <c:pt idx="31">
                  <c:v>0</c:v>
                </c:pt>
              </c:numCache>
            </c:numRef>
          </c:val>
          <c:extLst>
            <c:ext xmlns:c16="http://schemas.microsoft.com/office/drawing/2014/chart" uri="{C3380CC4-5D6E-409C-BE32-E72D297353CC}">
              <c16:uniqueId val="{00000004-84AC-8641-BEE8-1F4878891B54}"/>
            </c:ext>
          </c:extLst>
        </c:ser>
        <c:ser>
          <c:idx val="5"/>
          <c:order val="5"/>
          <c:tx>
            <c:strRef>
              <c:f>BAU_Scenario!$B$43</c:f>
              <c:strCache>
                <c:ptCount val="1"/>
                <c:pt idx="0">
                  <c:v>kerosene</c:v>
                </c:pt>
              </c:strCache>
            </c:strRef>
          </c:tx>
          <c:spPr>
            <a:solidFill>
              <a:schemeClr val="accent6"/>
            </a:solidFill>
            <a:ln>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BAU_Scenario!$N$43:$AS$43</c:f>
              <c:numCache>
                <c:formatCode>0%</c:formatCode>
                <c:ptCount val="32"/>
                <c:pt idx="0">
                  <c:v>1.5610800985271325E-4</c:v>
                </c:pt>
                <c:pt idx="1">
                  <c:v>1.2407805014705433E-4</c:v>
                </c:pt>
                <c:pt idx="2">
                  <c:v>9.1277829076060382E-5</c:v>
                </c:pt>
                <c:pt idx="3">
                  <c:v>5.7700789055242742E-5</c:v>
                </c:pt>
                <c:pt idx="4">
                  <c:v>2.3341418119950032E-5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5-84AC-8641-BEE8-1F4878891B54}"/>
            </c:ext>
          </c:extLst>
        </c:ser>
        <c:ser>
          <c:idx val="6"/>
          <c:order val="6"/>
          <c:tx>
            <c:strRef>
              <c:f>BAU_Scenario!$B$44</c:f>
              <c:strCache>
                <c:ptCount val="1"/>
                <c:pt idx="0">
                  <c:v>electric</c:v>
                </c:pt>
              </c:strCache>
            </c:strRef>
          </c:tx>
          <c:spPr>
            <a:solidFill>
              <a:schemeClr val="accent1">
                <a:lumMod val="60000"/>
              </a:schemeClr>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BAU_Scenario!$N$44:$AS$44</c:f>
              <c:numCache>
                <c:formatCode>0%</c:formatCode>
                <c:ptCount val="32"/>
                <c:pt idx="0">
                  <c:v>3.3056573368826614E-2</c:v>
                </c:pt>
                <c:pt idx="1">
                  <c:v>3.1784034272202735E-2</c:v>
                </c:pt>
                <c:pt idx="2">
                  <c:v>3.0481371355991833E-2</c:v>
                </c:pt>
                <c:pt idx="3">
                  <c:v>2.9148036884459806E-2</c:v>
                </c:pt>
                <c:pt idx="4">
                  <c:v>2.7782955951172032E-2</c:v>
                </c:pt>
                <c:pt idx="5">
                  <c:v>2.6385044788781283E-2</c:v>
                </c:pt>
                <c:pt idx="6">
                  <c:v>2.5628719776543282E-2</c:v>
                </c:pt>
                <c:pt idx="7">
                  <c:v>2.4850274060025133E-2</c:v>
                </c:pt>
                <c:pt idx="8">
                  <c:v>2.4050161680367395E-2</c:v>
                </c:pt>
                <c:pt idx="9">
                  <c:v>2.3228891371008913E-2</c:v>
                </c:pt>
                <c:pt idx="10">
                  <c:v>2.2386990070636017E-2</c:v>
                </c:pt>
                <c:pt idx="11">
                  <c:v>2.1524797224199841E-2</c:v>
                </c:pt>
                <c:pt idx="12">
                  <c:v>2.0642332994367196E-2</c:v>
                </c:pt>
                <c:pt idx="13">
                  <c:v>1.9739462135387482E-2</c:v>
                </c:pt>
                <c:pt idx="14">
                  <c:v>1.8815999522130641E-2</c:v>
                </c:pt>
                <c:pt idx="15">
                  <c:v>1.7871497001394714E-2</c:v>
                </c:pt>
                <c:pt idx="16">
                  <c:v>1.6907496322589564E-2</c:v>
                </c:pt>
                <c:pt idx="17">
                  <c:v>1.5923334031978525E-2</c:v>
                </c:pt>
                <c:pt idx="18">
                  <c:v>1.4919022031719367E-2</c:v>
                </c:pt>
                <c:pt idx="19">
                  <c:v>1.3894562173109823E-2</c:v>
                </c:pt>
                <c:pt idx="20">
                  <c:v>1.2849948929958015E-2</c:v>
                </c:pt>
                <c:pt idx="21">
                  <c:v>1.1785126398436117E-2</c:v>
                </c:pt>
                <c:pt idx="22">
                  <c:v>1.0699997683799376E-2</c:v>
                </c:pt>
                <c:pt idx="23">
                  <c:v>9.594453082598129E-3</c:v>
                </c:pt>
                <c:pt idx="24">
                  <c:v>8.4683976457041264E-3</c:v>
                </c:pt>
                <c:pt idx="25">
                  <c:v>7.3217227230458906E-3</c:v>
                </c:pt>
                <c:pt idx="26">
                  <c:v>6.1542862848191129E-3</c:v>
                </c:pt>
                <c:pt idx="27">
                  <c:v>4.965931206330175E-3</c:v>
                </c:pt>
                <c:pt idx="28">
                  <c:v>3.7564853227814408E-3</c:v>
                </c:pt>
                <c:pt idx="29">
                  <c:v>2.5257815176503622E-3</c:v>
                </c:pt>
                <c:pt idx="30">
                  <c:v>1.2736645313500179E-3</c:v>
                </c:pt>
                <c:pt idx="31">
                  <c:v>0</c:v>
                </c:pt>
              </c:numCache>
            </c:numRef>
          </c:val>
          <c:extLst>
            <c:ext xmlns:c16="http://schemas.microsoft.com/office/drawing/2014/chart" uri="{C3380CC4-5D6E-409C-BE32-E72D297353CC}">
              <c16:uniqueId val="{00000006-84AC-8641-BEE8-1F4878891B54}"/>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17777777777777778"/>
          <c:h val="0.84664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6038836247164021"/>
        </c:manualLayout>
      </c:layout>
      <c:areaChart>
        <c:grouping val="stacked"/>
        <c:varyColors val="0"/>
        <c:ser>
          <c:idx val="0"/>
          <c:order val="0"/>
          <c:tx>
            <c:strRef>
              <c:f>BAU_Scenario!$B$2</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BAU_Scenario!$O$2:$AS$2</c:f>
              <c:numCache>
                <c:formatCode>General</c:formatCode>
                <c:ptCount val="31"/>
                <c:pt idx="0">
                  <c:v>16.712147144325868</c:v>
                </c:pt>
                <c:pt idx="1">
                  <c:v>16.871914269021403</c:v>
                </c:pt>
                <c:pt idx="2">
                  <c:v>17.018109423249676</c:v>
                </c:pt>
                <c:pt idx="3">
                  <c:v>17.150296866846219</c:v>
                </c:pt>
                <c:pt idx="4">
                  <c:v>17.268205534321265</c:v>
                </c:pt>
                <c:pt idx="5">
                  <c:v>17.224711918681901</c:v>
                </c:pt>
                <c:pt idx="6">
                  <c:v>17.159951702836548</c:v>
                </c:pt>
                <c:pt idx="7">
                  <c:v>17.07262955005465</c:v>
                </c:pt>
                <c:pt idx="8">
                  <c:v>16.961210265283782</c:v>
                </c:pt>
                <c:pt idx="9">
                  <c:v>16.824078641874006</c:v>
                </c:pt>
                <c:pt idx="10">
                  <c:v>16.659931374822982</c:v>
                </c:pt>
                <c:pt idx="11">
                  <c:v>16.467968265730015</c:v>
                </c:pt>
                <c:pt idx="12">
                  <c:v>16.247729799519636</c:v>
                </c:pt>
                <c:pt idx="13">
                  <c:v>15.998796640556012</c:v>
                </c:pt>
                <c:pt idx="14">
                  <c:v>15.720957610784112</c:v>
                </c:pt>
                <c:pt idx="15">
                  <c:v>15.416306868519275</c:v>
                </c:pt>
                <c:pt idx="16">
                  <c:v>15.084551671313649</c:v>
                </c:pt>
                <c:pt idx="17">
                  <c:v>14.72529767296837</c:v>
                </c:pt>
                <c:pt idx="18">
                  <c:v>14.33828517310414</c:v>
                </c:pt>
                <c:pt idx="19">
                  <c:v>13.923288230470915</c:v>
                </c:pt>
                <c:pt idx="20">
                  <c:v>13.480129489588395</c:v>
                </c:pt>
                <c:pt idx="21">
                  <c:v>13.008642231020529</c:v>
                </c:pt>
                <c:pt idx="22">
                  <c:v>12.508690097738413</c:v>
                </c:pt>
                <c:pt idx="23">
                  <c:v>11.980156950368418</c:v>
                </c:pt>
                <c:pt idx="24">
                  <c:v>11.422963974292983</c:v>
                </c:pt>
                <c:pt idx="25">
                  <c:v>10.837118721677871</c:v>
                </c:pt>
                <c:pt idx="26">
                  <c:v>10.22268692204676</c:v>
                </c:pt>
                <c:pt idx="27">
                  <c:v>9.5798192320009541</c:v>
                </c:pt>
                <c:pt idx="28">
                  <c:v>8.9087346077361591</c:v>
                </c:pt>
                <c:pt idx="29">
                  <c:v>8.2097043953669981</c:v>
                </c:pt>
                <c:pt idx="30">
                  <c:v>7.4830211279999999</c:v>
                </c:pt>
              </c:numCache>
            </c:numRef>
          </c:val>
          <c:extLst>
            <c:ext xmlns:c16="http://schemas.microsoft.com/office/drawing/2014/chart" uri="{C3380CC4-5D6E-409C-BE32-E72D297353CC}">
              <c16:uniqueId val="{00000000-3426-0944-B748-8A9EE4734049}"/>
            </c:ext>
          </c:extLst>
        </c:ser>
        <c:ser>
          <c:idx val="1"/>
          <c:order val="1"/>
          <c:tx>
            <c:strRef>
              <c:f>BAU_Scenario!$B$3</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BAU_Scenario!$O$3:$AS$3</c:f>
              <c:numCache>
                <c:formatCode>General</c:formatCode>
                <c:ptCount val="31"/>
                <c:pt idx="0">
                  <c:v>9.6260829350963899</c:v>
                </c:pt>
                <c:pt idx="1">
                  <c:v>10.36966116458288</c:v>
                </c:pt>
                <c:pt idx="2">
                  <c:v>11.147816986682104</c:v>
                </c:pt>
                <c:pt idx="3">
                  <c:v>11.961194026043261</c:v>
                </c:pt>
                <c:pt idx="4">
                  <c:v>12.810396812175124</c:v>
                </c:pt>
                <c:pt idx="5">
                  <c:v>13.772050673018528</c:v>
                </c:pt>
                <c:pt idx="6">
                  <c:v>14.770655326522181</c:v>
                </c:pt>
                <c:pt idx="7">
                  <c:v>15.806232916057812</c:v>
                </c:pt>
                <c:pt idx="8">
                  <c:v>16.878448552979329</c:v>
                </c:pt>
                <c:pt idx="9">
                  <c:v>17.986663024461294</c:v>
                </c:pt>
                <c:pt idx="10">
                  <c:v>19.13014696976137</c:v>
                </c:pt>
                <c:pt idx="11">
                  <c:v>20.308206781080482</c:v>
                </c:pt>
                <c:pt idx="12">
                  <c:v>21.520183564298087</c:v>
                </c:pt>
                <c:pt idx="13">
                  <c:v>22.765185202428945</c:v>
                </c:pt>
                <c:pt idx="14">
                  <c:v>24.041998149863389</c:v>
                </c:pt>
                <c:pt idx="15">
                  <c:v>25.3556663278221</c:v>
                </c:pt>
                <c:pt idx="16">
                  <c:v>26.70535365540885</c:v>
                </c:pt>
                <c:pt idx="17">
                  <c:v>28.090769130824182</c:v>
                </c:pt>
                <c:pt idx="18">
                  <c:v>29.511751311224344</c:v>
                </c:pt>
                <c:pt idx="19">
                  <c:v>30.968130594496689</c:v>
                </c:pt>
                <c:pt idx="20">
                  <c:v>32.459671091158235</c:v>
                </c:pt>
                <c:pt idx="21">
                  <c:v>33.985961924528667</c:v>
                </c:pt>
                <c:pt idx="22">
                  <c:v>35.546483770826661</c:v>
                </c:pt>
                <c:pt idx="23">
                  <c:v>37.140664752999442</c:v>
                </c:pt>
                <c:pt idx="24">
                  <c:v>38.767845293934982</c:v>
                </c:pt>
                <c:pt idx="25">
                  <c:v>40.42732604236619</c:v>
                </c:pt>
                <c:pt idx="26">
                  <c:v>42.118331303739339</c:v>
                </c:pt>
                <c:pt idx="27">
                  <c:v>43.84005009173697</c:v>
                </c:pt>
                <c:pt idx="28">
                  <c:v>45.591674057874954</c:v>
                </c:pt>
                <c:pt idx="29">
                  <c:v>47.372341833785704</c:v>
                </c:pt>
                <c:pt idx="30">
                  <c:v>49.181114339999993</c:v>
                </c:pt>
              </c:numCache>
            </c:numRef>
          </c:val>
          <c:extLst>
            <c:ext xmlns:c16="http://schemas.microsoft.com/office/drawing/2014/chart" uri="{C3380CC4-5D6E-409C-BE32-E72D297353CC}">
              <c16:uniqueId val="{00000001-3426-0944-B748-8A9EE4734049}"/>
            </c:ext>
          </c:extLst>
        </c:ser>
        <c:ser>
          <c:idx val="2"/>
          <c:order val="2"/>
          <c:tx>
            <c:strRef>
              <c:f>BAU_Scenario!$B$4</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BAU_Scenario!$O$4:$AS$4</c:f>
              <c:numCache>
                <c:formatCode>General</c:formatCode>
                <c:ptCount val="31"/>
                <c:pt idx="0">
                  <c:v>0.11995749142857652</c:v>
                </c:pt>
                <c:pt idx="1">
                  <c:v>0.14467838068323105</c:v>
                </c:pt>
                <c:pt idx="2">
                  <c:v>0.17128224055900845</c:v>
                </c:pt>
                <c:pt idx="3">
                  <c:v>0.19984912453416476</c:v>
                </c:pt>
                <c:pt idx="4">
                  <c:v>0.23045631099379324</c:v>
                </c:pt>
                <c:pt idx="5">
                  <c:v>0.26144476148829876</c:v>
                </c:pt>
                <c:pt idx="6">
                  <c:v>0.29447994874343492</c:v>
                </c:pt>
                <c:pt idx="7">
                  <c:v>0.32962948708791651</c:v>
                </c:pt>
                <c:pt idx="8">
                  <c:v>0.36695486970855673</c:v>
                </c:pt>
                <c:pt idx="9">
                  <c:v>0.40651205257525519</c:v>
                </c:pt>
                <c:pt idx="10">
                  <c:v>0.44835391533684138</c:v>
                </c:pt>
                <c:pt idx="11">
                  <c:v>0.49253023727186279</c:v>
                </c:pt>
                <c:pt idx="12">
                  <c:v>0.53908770642140891</c:v>
                </c:pt>
                <c:pt idx="13">
                  <c:v>0.588063189381275</c:v>
                </c:pt>
                <c:pt idx="14">
                  <c:v>0.63947356468227812</c:v>
                </c:pt>
                <c:pt idx="15">
                  <c:v>0.69355531036311902</c:v>
                </c:pt>
                <c:pt idx="16">
                  <c:v>0.75034708622073931</c:v>
                </c:pt>
                <c:pt idx="17">
                  <c:v>0.80991774975155617</c:v>
                </c:pt>
                <c:pt idx="18">
                  <c:v>0.87234159159102076</c:v>
                </c:pt>
                <c:pt idx="19">
                  <c:v>0.93769537246775247</c:v>
                </c:pt>
                <c:pt idx="20">
                  <c:v>1.006054512298139</c:v>
                </c:pt>
                <c:pt idx="21">
                  <c:v>1.077488818172482</c:v>
                </c:pt>
                <c:pt idx="22">
                  <c:v>1.1520650287625436</c:v>
                </c:pt>
                <c:pt idx="23">
                  <c:v>1.2298512714046839</c:v>
                </c:pt>
                <c:pt idx="24">
                  <c:v>1.3109145879646451</c:v>
                </c:pt>
                <c:pt idx="25">
                  <c:v>1.3953194273793605</c:v>
                </c:pt>
                <c:pt idx="26">
                  <c:v>1.4831269491256573</c:v>
                </c:pt>
                <c:pt idx="27">
                  <c:v>1.5743935970425225</c:v>
                </c:pt>
                <c:pt idx="28">
                  <c:v>1.6691734647873857</c:v>
                </c:pt>
                <c:pt idx="29">
                  <c:v>1.7675151972503571</c:v>
                </c:pt>
                <c:pt idx="30">
                  <c:v>1.8694644600000001</c:v>
                </c:pt>
              </c:numCache>
            </c:numRef>
          </c:val>
          <c:extLst>
            <c:ext xmlns:c16="http://schemas.microsoft.com/office/drawing/2014/chart" uri="{C3380CC4-5D6E-409C-BE32-E72D297353CC}">
              <c16:uniqueId val="{00000002-3426-0944-B748-8A9EE4734049}"/>
            </c:ext>
          </c:extLst>
        </c:ser>
        <c:ser>
          <c:idx val="3"/>
          <c:order val="3"/>
          <c:tx>
            <c:strRef>
              <c:f>BAU_Scenario!$B$5</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BAU_Scenario!$O$5:$AS$5</c:f>
              <c:numCache>
                <c:formatCode>General</c:formatCode>
                <c:ptCount val="31"/>
                <c:pt idx="0">
                  <c:v>3.9985830476189012E-2</c:v>
                </c:pt>
                <c:pt idx="1">
                  <c:v>4.8226126894409527E-2</c:v>
                </c:pt>
                <c:pt idx="2">
                  <c:v>5.7094080186333565E-2</c:v>
                </c:pt>
                <c:pt idx="3">
                  <c:v>6.6616374844719786E-2</c:v>
                </c:pt>
                <c:pt idx="4">
                  <c:v>7.681877033126347E-2</c:v>
                </c:pt>
                <c:pt idx="5">
                  <c:v>8.7148253829431976E-2</c:v>
                </c:pt>
                <c:pt idx="6">
                  <c:v>9.8159982914477348E-2</c:v>
                </c:pt>
                <c:pt idx="7">
                  <c:v>0.10987649569597122</c:v>
                </c:pt>
                <c:pt idx="8">
                  <c:v>0.12231828990285129</c:v>
                </c:pt>
                <c:pt idx="9">
                  <c:v>0.13550401752508412</c:v>
                </c:pt>
                <c:pt idx="10">
                  <c:v>0.14945130511227955</c:v>
                </c:pt>
                <c:pt idx="11">
                  <c:v>0.16417674575728669</c:v>
                </c:pt>
                <c:pt idx="12">
                  <c:v>0.17969590214046877</c:v>
                </c:pt>
                <c:pt idx="13">
                  <c:v>0.19602106312709086</c:v>
                </c:pt>
                <c:pt idx="14">
                  <c:v>0.21315785489409195</c:v>
                </c:pt>
                <c:pt idx="15">
                  <c:v>0.23118510345437229</c:v>
                </c:pt>
                <c:pt idx="16">
                  <c:v>0.25011569540691247</c:v>
                </c:pt>
                <c:pt idx="17">
                  <c:v>0.26997258325051815</c:v>
                </c:pt>
                <c:pt idx="18">
                  <c:v>0.29078053053033975</c:v>
                </c:pt>
                <c:pt idx="19">
                  <c:v>0.31256512415591708</c:v>
                </c:pt>
                <c:pt idx="20">
                  <c:v>0.33535150409937942</c:v>
                </c:pt>
                <c:pt idx="21">
                  <c:v>0.35916293939082711</c:v>
                </c:pt>
                <c:pt idx="22">
                  <c:v>0.38402167625418115</c:v>
                </c:pt>
                <c:pt idx="23">
                  <c:v>0.40995042380156127</c:v>
                </c:pt>
                <c:pt idx="24">
                  <c:v>0.43697152932154854</c:v>
                </c:pt>
                <c:pt idx="25">
                  <c:v>0.46510647579312042</c:v>
                </c:pt>
                <c:pt idx="26">
                  <c:v>0.49437564970855286</c:v>
                </c:pt>
                <c:pt idx="27">
                  <c:v>0.52479786568084141</c:v>
                </c:pt>
                <c:pt idx="28">
                  <c:v>0.55639115492912927</c:v>
                </c:pt>
                <c:pt idx="29">
                  <c:v>0.58917173241678655</c:v>
                </c:pt>
                <c:pt idx="30">
                  <c:v>0.62315482</c:v>
                </c:pt>
              </c:numCache>
            </c:numRef>
          </c:val>
          <c:extLst>
            <c:ext xmlns:c16="http://schemas.microsoft.com/office/drawing/2014/chart" uri="{C3380CC4-5D6E-409C-BE32-E72D297353CC}">
              <c16:uniqueId val="{00000003-3426-0944-B748-8A9EE4734049}"/>
            </c:ext>
          </c:extLst>
        </c:ser>
        <c:ser>
          <c:idx val="4"/>
          <c:order val="4"/>
          <c:tx>
            <c:strRef>
              <c:f>BAU_Scenario!$B$6</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BAU_Scenario!$O$6:$AS$6</c:f>
              <c:numCache>
                <c:formatCode>General</c:formatCode>
                <c:ptCount val="31"/>
                <c:pt idx="0">
                  <c:v>4.638378466352077E-2</c:v>
                </c:pt>
                <c:pt idx="1">
                  <c:v>5.3517574169166027E-2</c:v>
                </c:pt>
                <c:pt idx="2">
                  <c:v>6.1170489804041238E-2</c:v>
                </c:pt>
                <c:pt idx="3">
                  <c:v>6.9363894578207727E-2</c:v>
                </c:pt>
                <c:pt idx="4">
                  <c:v>7.811831310227263E-2</c:v>
                </c:pt>
                <c:pt idx="5">
                  <c:v>7.8255625605907597E-2</c:v>
                </c:pt>
                <c:pt idx="6">
                  <c:v>7.8224790644478584E-2</c:v>
                </c:pt>
                <c:pt idx="7">
                  <c:v>7.8014206264048272E-2</c:v>
                </c:pt>
                <c:pt idx="8">
                  <c:v>7.7611447584021401E-2</c:v>
                </c:pt>
                <c:pt idx="9">
                  <c:v>7.7003911631377389E-2</c:v>
                </c:pt>
                <c:pt idx="10">
                  <c:v>7.617955860075544E-2</c:v>
                </c:pt>
                <c:pt idx="11">
                  <c:v>7.5126913290069194E-2</c:v>
                </c:pt>
                <c:pt idx="12">
                  <c:v>7.3835028680423825E-2</c:v>
                </c:pt>
                <c:pt idx="13">
                  <c:v>7.2292631331007495E-2</c:v>
                </c:pt>
                <c:pt idx="14">
                  <c:v>7.0487460931006163E-2</c:v>
                </c:pt>
                <c:pt idx="15">
                  <c:v>6.8430381311125305E-2</c:v>
                </c:pt>
                <c:pt idx="16">
                  <c:v>6.6107388030663822E-2</c:v>
                </c:pt>
                <c:pt idx="17">
                  <c:v>6.3508166378853925E-2</c:v>
                </c:pt>
                <c:pt idx="18">
                  <c:v>6.0622863207723338E-2</c:v>
                </c:pt>
                <c:pt idx="19">
                  <c:v>5.7441666571097574E-2</c:v>
                </c:pt>
                <c:pt idx="20">
                  <c:v>5.3954537469672256E-2</c:v>
                </c:pt>
                <c:pt idx="21">
                  <c:v>5.0151087584412862E-2</c:v>
                </c:pt>
                <c:pt idx="22">
                  <c:v>4.6020878254570956E-2</c:v>
                </c:pt>
                <c:pt idx="23">
                  <c:v>4.1553649216553641E-2</c:v>
                </c:pt>
                <c:pt idx="24">
                  <c:v>3.6739194315355717E-2</c:v>
                </c:pt>
                <c:pt idx="25">
                  <c:v>3.1567349181263485E-2</c:v>
                </c:pt>
                <c:pt idx="26">
                  <c:v>2.6028027779808598E-2</c:v>
                </c:pt>
                <c:pt idx="27">
                  <c:v>2.0111264051789892E-2</c:v>
                </c:pt>
                <c:pt idx="28">
                  <c:v>1.3807308603103863E-2</c:v>
                </c:pt>
                <c:pt idx="29">
                  <c:v>7.1066321202982851E-3</c:v>
                </c:pt>
                <c:pt idx="30">
                  <c:v>0</c:v>
                </c:pt>
              </c:numCache>
            </c:numRef>
          </c:val>
          <c:extLst>
            <c:ext xmlns:c16="http://schemas.microsoft.com/office/drawing/2014/chart" uri="{C3380CC4-5D6E-409C-BE32-E72D297353CC}">
              <c16:uniqueId val="{00000004-3426-0944-B748-8A9EE4734049}"/>
            </c:ext>
          </c:extLst>
        </c:ser>
        <c:ser>
          <c:idx val="5"/>
          <c:order val="5"/>
          <c:tx>
            <c:strRef>
              <c:f>BAU_Scenario!$B$7</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BAU_Scenario!$O$7:$AS$7</c:f>
              <c:numCache>
                <c:formatCode>General</c:formatCode>
                <c:ptCount val="31"/>
                <c:pt idx="0">
                  <c:v>3.402109333333448E-3</c:v>
                </c:pt>
                <c:pt idx="1">
                  <c:v>2.5843666086958514E-3</c:v>
                </c:pt>
                <c:pt idx="2">
                  <c:v>1.6863230434785528E-3</c:v>
                </c:pt>
                <c:pt idx="3">
                  <c:v>7.0387113043517396E-4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3426-0944-B748-8A9EE4734049}"/>
            </c:ext>
          </c:extLst>
        </c:ser>
        <c:ser>
          <c:idx val="6"/>
          <c:order val="6"/>
          <c:tx>
            <c:strRef>
              <c:f>BAU_Scenario!$B$8</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BAU_Scenario!$O$8:$AS$8</c:f>
              <c:numCache>
                <c:formatCode>General</c:formatCode>
                <c:ptCount val="31"/>
                <c:pt idx="0">
                  <c:v>0.87148983660119383</c:v>
                </c:pt>
                <c:pt idx="1">
                  <c:v>0.8630248891441259</c:v>
                </c:pt>
                <c:pt idx="2">
                  <c:v>0.85186020980351385</c:v>
                </c:pt>
                <c:pt idx="3">
                  <c:v>0.83780773351846227</c:v>
                </c:pt>
                <c:pt idx="4">
                  <c:v>0.82067486586580263</c:v>
                </c:pt>
                <c:pt idx="5">
                  <c:v>0.8219142990410121</c:v>
                </c:pt>
                <c:pt idx="6">
                  <c:v>0.82139270848908286</c:v>
                </c:pt>
                <c:pt idx="7">
                  <c:v>0.81898915046201926</c:v>
                </c:pt>
                <c:pt idx="8">
                  <c:v>0.81457403779675353</c:v>
                </c:pt>
                <c:pt idx="9">
                  <c:v>0.80801593847944297</c:v>
                </c:pt>
                <c:pt idx="10">
                  <c:v>0.79918952525631826</c:v>
                </c:pt>
                <c:pt idx="11">
                  <c:v>0.78797571085437912</c:v>
                </c:pt>
                <c:pt idx="12">
                  <c:v>0.77426113654552986</c:v>
                </c:pt>
                <c:pt idx="13">
                  <c:v>0.75792912071889751</c:v>
                </c:pt>
                <c:pt idx="14">
                  <c:v>0.73885293666806495</c:v>
                </c:pt>
                <c:pt idx="15">
                  <c:v>0.71714641965688186</c:v>
                </c:pt>
                <c:pt idx="16">
                  <c:v>0.69266469600105107</c:v>
                </c:pt>
                <c:pt idx="17">
                  <c:v>0.66530100190264407</c:v>
                </c:pt>
                <c:pt idx="18">
                  <c:v>0.63495345208465348</c:v>
                </c:pt>
                <c:pt idx="19">
                  <c:v>0.60152062985362553</c:v>
                </c:pt>
                <c:pt idx="20">
                  <c:v>0.56489882068151809</c:v>
                </c:pt>
                <c:pt idx="21">
                  <c:v>0.52498072735878965</c:v>
                </c:pt>
                <c:pt idx="22">
                  <c:v>0.48165857490064767</c:v>
                </c:pt>
                <c:pt idx="23">
                  <c:v>0.434826475178064</c:v>
                </c:pt>
                <c:pt idx="24">
                  <c:v>0.3843791528634703</c:v>
                </c:pt>
                <c:pt idx="25">
                  <c:v>0.33021183702373241</c:v>
                </c:pt>
                <c:pt idx="26">
                  <c:v>0.27222062416744203</c:v>
                </c:pt>
                <c:pt idx="27">
                  <c:v>0.21030291278172733</c:v>
                </c:pt>
                <c:pt idx="28">
                  <c:v>0.1443583905707129</c:v>
                </c:pt>
                <c:pt idx="29">
                  <c:v>7.4289059140672187E-2</c:v>
                </c:pt>
                <c:pt idx="30">
                  <c:v>0</c:v>
                </c:pt>
              </c:numCache>
            </c:numRef>
          </c:val>
          <c:extLst>
            <c:ext xmlns:c16="http://schemas.microsoft.com/office/drawing/2014/chart" uri="{C3380CC4-5D6E-409C-BE32-E72D297353CC}">
              <c16:uniqueId val="{00000006-3426-0944-B748-8A9EE4734049}"/>
            </c:ext>
          </c:extLst>
        </c:ser>
        <c:ser>
          <c:idx val="7"/>
          <c:order val="7"/>
          <c:tx>
            <c:strRef>
              <c:f>BAU_Scenario!$B$9</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BAU_Scenario!$O$9:$AS$9</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A65-0740-91B8-4D6B61CF13F3}"/>
            </c:ext>
          </c:extLst>
        </c:ser>
        <c:ser>
          <c:idx val="8"/>
          <c:order val="8"/>
          <c:tx>
            <c:strRef>
              <c:f>BAU_Scenario!$B$10</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BAU_Scenario!$O$10:$AS$10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6A65-0740-91B8-4D6B61CF13F3}"/>
            </c:ext>
          </c:extLst>
        </c:ser>
        <c:ser>
          <c:idx val="9"/>
          <c:order val="9"/>
          <c:tx>
            <c:strRef>
              <c:f>BAU_Scenario!$B$11</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BAU_Scenario!$O$11:$AS$11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6A65-0740-91B8-4D6B61CF13F3}"/>
            </c:ext>
          </c:extLst>
        </c:ser>
        <c:ser>
          <c:idx val="10"/>
          <c:order val="10"/>
          <c:tx>
            <c:strRef>
              <c:f>BAU_Scenario!$B$12</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BAU_Scenario!$O$12:$AS$12</c:f>
              <c:numCache>
                <c:formatCode>General</c:formatCode>
                <c:ptCount val="31"/>
                <c:pt idx="0">
                  <c:v>0.138041783790573</c:v>
                </c:pt>
                <c:pt idx="1">
                  <c:v>0.13505872737330571</c:v>
                </c:pt>
                <c:pt idx="2">
                  <c:v>0.13168542560568436</c:v>
                </c:pt>
                <c:pt idx="3">
                  <c:v>0.1279106439857936</c:v>
                </c:pt>
                <c:pt idx="4">
                  <c:v>0.12460437753267935</c:v>
                </c:pt>
                <c:pt idx="5">
                  <c:v>0.12260317171612223</c:v>
                </c:pt>
                <c:pt idx="6">
                  <c:v>0.12039339685413628</c:v>
                </c:pt>
                <c:pt idx="7">
                  <c:v>0.11796683344494484</c:v>
                </c:pt>
                <c:pt idx="8">
                  <c:v>0.11531396981986226</c:v>
                </c:pt>
                <c:pt idx="9">
                  <c:v>0.11242529560964665</c:v>
                </c:pt>
                <c:pt idx="10">
                  <c:v>0.10929425797913202</c:v>
                </c:pt>
                <c:pt idx="11">
                  <c:v>0.1059185771841256</c:v>
                </c:pt>
                <c:pt idx="12">
                  <c:v>0.10229878027903036</c:v>
                </c:pt>
                <c:pt idx="13">
                  <c:v>9.843603624348371E-2</c:v>
                </c:pt>
                <c:pt idx="14">
                  <c:v>9.4333465301924518E-2</c:v>
                </c:pt>
                <c:pt idx="15">
                  <c:v>9.0005170057963851E-2</c:v>
                </c:pt>
                <c:pt idx="16">
                  <c:v>8.5453413103136339E-2</c:v>
                </c:pt>
                <c:pt idx="17">
                  <c:v>8.0679207483824053E-2</c:v>
                </c:pt>
                <c:pt idx="18">
                  <c:v>7.5684625552990173E-2</c:v>
                </c:pt>
                <c:pt idx="19">
                  <c:v>7.0472196028258452E-2</c:v>
                </c:pt>
                <c:pt idx="20">
                  <c:v>6.5045041732955416E-2</c:v>
                </c:pt>
                <c:pt idx="21">
                  <c:v>5.9406680521321018E-2</c:v>
                </c:pt>
                <c:pt idx="22">
                  <c:v>5.3561108442911592E-2</c:v>
                </c:pt>
                <c:pt idx="23">
                  <c:v>4.7512744906071602E-2</c:v>
                </c:pt>
                <c:pt idx="24">
                  <c:v>4.1266580554637514E-2</c:v>
                </c:pt>
                <c:pt idx="25">
                  <c:v>3.4828387777832481E-2</c:v>
                </c:pt>
                <c:pt idx="26">
                  <c:v>2.8204550223240477E-2</c:v>
                </c:pt>
                <c:pt idx="27">
                  <c:v>2.1402097362011263E-2</c:v>
                </c:pt>
                <c:pt idx="28">
                  <c:v>1.442854673638375E-2</c:v>
                </c:pt>
                <c:pt idx="29">
                  <c:v>7.2917870097445022E-3</c:v>
                </c:pt>
                <c:pt idx="30">
                  <c:v>0</c:v>
                </c:pt>
              </c:numCache>
            </c:numRef>
          </c:val>
          <c:extLst>
            <c:ext xmlns:c16="http://schemas.microsoft.com/office/drawing/2014/chart" uri="{C3380CC4-5D6E-409C-BE32-E72D297353CC}">
              <c16:uniqueId val="{00000003-6A65-0740-91B8-4D6B61CF13F3}"/>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6038836247164021"/>
        </c:manualLayout>
      </c:layout>
      <c:areaChart>
        <c:grouping val="stacked"/>
        <c:varyColors val="0"/>
        <c:ser>
          <c:idx val="0"/>
          <c:order val="0"/>
          <c:tx>
            <c:strRef>
              <c:f>BAU_Scenario!$B$13</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BAU_Scenario!$O$13:$AS$13</c:f>
              <c:numCache>
                <c:formatCode>General</c:formatCode>
                <c:ptCount val="31"/>
                <c:pt idx="0">
                  <c:v>14.372381492272273</c:v>
                </c:pt>
                <c:pt idx="1">
                  <c:v>14.532470106406739</c:v>
                </c:pt>
                <c:pt idx="2">
                  <c:v>14.684733847387127</c:v>
                </c:pt>
                <c:pt idx="3">
                  <c:v>14.829201636782491</c:v>
                </c:pt>
                <c:pt idx="4">
                  <c:v>14.966082062249647</c:v>
                </c:pt>
                <c:pt idx="5">
                  <c:v>14.917323728556774</c:v>
                </c:pt>
                <c:pt idx="6">
                  <c:v>14.852286771893171</c:v>
                </c:pt>
                <c:pt idx="7">
                  <c:v>14.770023405469212</c:v>
                </c:pt>
                <c:pt idx="8">
                  <c:v>14.669370246803561</c:v>
                </c:pt>
                <c:pt idx="9">
                  <c:v>14.549089306720276</c:v>
                </c:pt>
                <c:pt idx="10">
                  <c:v>14.40823903113831</c:v>
                </c:pt>
                <c:pt idx="11">
                  <c:v>14.246366184260445</c:v>
                </c:pt>
                <c:pt idx="12">
                  <c:v>14.063343725957717</c:v>
                </c:pt>
                <c:pt idx="13">
                  <c:v>13.859095052969742</c:v>
                </c:pt>
                <c:pt idx="14">
                  <c:v>13.633782736627724</c:v>
                </c:pt>
                <c:pt idx="15">
                  <c:v>13.38917901139817</c:v>
                </c:pt>
                <c:pt idx="16">
                  <c:v>13.125417339046985</c:v>
                </c:pt>
                <c:pt idx="17">
                  <c:v>12.842416927665546</c:v>
                </c:pt>
                <c:pt idx="18">
                  <c:v>12.540218206308912</c:v>
                </c:pt>
                <c:pt idx="19">
                  <c:v>12.218894363289317</c:v>
                </c:pt>
                <c:pt idx="20">
                  <c:v>11.878574388548779</c:v>
                </c:pt>
                <c:pt idx="21">
                  <c:v>11.519408724871507</c:v>
                </c:pt>
                <c:pt idx="22">
                  <c:v>11.141579967429641</c:v>
                </c:pt>
                <c:pt idx="23">
                  <c:v>10.745285747895277</c:v>
                </c:pt>
                <c:pt idx="24">
                  <c:v>10.330759694195223</c:v>
                </c:pt>
                <c:pt idx="25">
                  <c:v>9.8983209619861086</c:v>
                </c:pt>
                <c:pt idx="26">
                  <c:v>9.4483448425856515</c:v>
                </c:pt>
                <c:pt idx="27">
                  <c:v>8.9812882680963479</c:v>
                </c:pt>
                <c:pt idx="28">
                  <c:v>8.4976701633296745</c:v>
                </c:pt>
                <c:pt idx="29">
                  <c:v>7.9980553683199078</c:v>
                </c:pt>
                <c:pt idx="30">
                  <c:v>7.4830211279999999</c:v>
                </c:pt>
              </c:numCache>
            </c:numRef>
          </c:val>
          <c:extLst>
            <c:ext xmlns:c16="http://schemas.microsoft.com/office/drawing/2014/chart" uri="{C3380CC4-5D6E-409C-BE32-E72D297353CC}">
              <c16:uniqueId val="{00000000-3635-6945-ACF5-56C55C306FEA}"/>
            </c:ext>
          </c:extLst>
        </c:ser>
        <c:ser>
          <c:idx val="1"/>
          <c:order val="1"/>
          <c:tx>
            <c:strRef>
              <c:f>BAU_Scenario!$B$14</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BAU_Scenario!$O$14:$AS$14</c:f>
              <c:numCache>
                <c:formatCode>General</c:formatCode>
                <c:ptCount val="31"/>
                <c:pt idx="0">
                  <c:v>2.1807246302954901</c:v>
                </c:pt>
                <c:pt idx="1">
                  <c:v>2.4454077980229116</c:v>
                </c:pt>
                <c:pt idx="2">
                  <c:v>2.720709420338665</c:v>
                </c:pt>
                <c:pt idx="3">
                  <c:v>3.0067364663088472</c:v>
                </c:pt>
                <c:pt idx="4">
                  <c:v>3.3036434410936653</c:v>
                </c:pt>
                <c:pt idx="5">
                  <c:v>3.7774966033939301</c:v>
                </c:pt>
                <c:pt idx="6">
                  <c:v>4.2699439366749079</c:v>
                </c:pt>
                <c:pt idx="7">
                  <c:v>4.7808759979398552</c:v>
                </c:pt>
                <c:pt idx="8">
                  <c:v>5.3099829984306322</c:v>
                </c:pt>
                <c:pt idx="9">
                  <c:v>5.8567495862259413</c:v>
                </c:pt>
                <c:pt idx="10">
                  <c:v>6.4205771480699658</c:v>
                </c:pt>
                <c:pt idx="11">
                  <c:v>7.0009118401970163</c:v>
                </c:pt>
                <c:pt idx="12">
                  <c:v>7.5972441904325381</c:v>
                </c:pt>
                <c:pt idx="13">
                  <c:v>8.2090084200047677</c:v>
                </c:pt>
                <c:pt idx="14">
                  <c:v>8.8357037191525105</c:v>
                </c:pt>
                <c:pt idx="15">
                  <c:v>9.4779195572170067</c:v>
                </c:pt>
                <c:pt idx="16">
                  <c:v>10.135335610117551</c:v>
                </c:pt>
                <c:pt idx="17">
                  <c:v>10.807421950660647</c:v>
                </c:pt>
                <c:pt idx="18">
                  <c:v>11.49366020665108</c:v>
                </c:pt>
                <c:pt idx="19">
                  <c:v>12.193483456594571</c:v>
                </c:pt>
                <c:pt idx="20">
                  <c:v>12.906297752403624</c:v>
                </c:pt>
                <c:pt idx="21">
                  <c:v>13.631448136392464</c:v>
                </c:pt>
                <c:pt idx="22">
                  <c:v>14.368222800835282</c:v>
                </c:pt>
                <c:pt idx="23">
                  <c:v>15.115822677851266</c:v>
                </c:pt>
                <c:pt idx="24">
                  <c:v>15.873374155837872</c:v>
                </c:pt>
                <c:pt idx="25">
                  <c:v>16.640001341040172</c:v>
                </c:pt>
                <c:pt idx="26">
                  <c:v>17.414797020956403</c:v>
                </c:pt>
                <c:pt idx="27">
                  <c:v>18.196882302998141</c:v>
                </c:pt>
                <c:pt idx="28">
                  <c:v>18.985400505296976</c:v>
                </c:pt>
                <c:pt idx="29">
                  <c:v>19.779508471388208</c:v>
                </c:pt>
                <c:pt idx="30">
                  <c:v>20.578308101999998</c:v>
                </c:pt>
              </c:numCache>
            </c:numRef>
          </c:val>
          <c:extLst>
            <c:ext xmlns:c16="http://schemas.microsoft.com/office/drawing/2014/chart" uri="{C3380CC4-5D6E-409C-BE32-E72D297353CC}">
              <c16:uniqueId val="{00000001-3635-6945-ACF5-56C55C306FEA}"/>
            </c:ext>
          </c:extLst>
        </c:ser>
        <c:ser>
          <c:idx val="2"/>
          <c:order val="2"/>
          <c:tx>
            <c:strRef>
              <c:f>BAU_Scenario!$B$15</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BAU_Scenario!$O$15:$AS$15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3635-6945-ACF5-56C55C306FEA}"/>
            </c:ext>
          </c:extLst>
        </c:ser>
        <c:ser>
          <c:idx val="3"/>
          <c:order val="3"/>
          <c:tx>
            <c:strRef>
              <c:f>BAU_Scenario!$B$16</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BAU_Scenario!$O$16:$AS$16</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3635-6945-ACF5-56C55C306FEA}"/>
            </c:ext>
          </c:extLst>
        </c:ser>
        <c:ser>
          <c:idx val="4"/>
          <c:order val="4"/>
          <c:tx>
            <c:strRef>
              <c:f>BAU_Scenario!$B$17</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BAU_Scenario!$O$17:$AS$17</c:f>
              <c:numCache>
                <c:formatCode>General</c:formatCode>
                <c:ptCount val="31"/>
                <c:pt idx="0">
                  <c:v>2.4073567421849479E-3</c:v>
                </c:pt>
                <c:pt idx="1">
                  <c:v>2.3750910400654841E-3</c:v>
                </c:pt>
                <c:pt idx="2">
                  <c:v>2.3386132375670795E-3</c:v>
                </c:pt>
                <c:pt idx="3">
                  <c:v>2.2979029681664321E-3</c:v>
                </c:pt>
                <c:pt idx="4">
                  <c:v>2.2529649762153534E-3</c:v>
                </c:pt>
                <c:pt idx="5">
                  <c:v>2.216781282639105E-3</c:v>
                </c:pt>
                <c:pt idx="6">
                  <c:v>2.1768264634910391E-3</c:v>
                </c:pt>
                <c:pt idx="7">
                  <c:v>2.1329519024063754E-3</c:v>
                </c:pt>
                <c:pt idx="8">
                  <c:v>2.0849856194206976E-3</c:v>
                </c:pt>
                <c:pt idx="9">
                  <c:v>2.0327556580647609E-3</c:v>
                </c:pt>
                <c:pt idx="10">
                  <c:v>1.9761435368821668E-3</c:v>
                </c:pt>
                <c:pt idx="11">
                  <c:v>1.9151080359421002E-3</c:v>
                </c:pt>
                <c:pt idx="12">
                  <c:v>1.8496586848865686E-3</c:v>
                </c:pt>
                <c:pt idx="13">
                  <c:v>1.7798166199728461E-3</c:v>
                </c:pt>
                <c:pt idx="14">
                  <c:v>1.7056382578093849E-3</c:v>
                </c:pt>
                <c:pt idx="15">
                  <c:v>1.6273785868054073E-3</c:v>
                </c:pt>
                <c:pt idx="16">
                  <c:v>1.5450785167554482E-3</c:v>
                </c:pt>
                <c:pt idx="17">
                  <c:v>1.458756364496069E-3</c:v>
                </c:pt>
                <c:pt idx="18">
                  <c:v>1.3684496001285362E-3</c:v>
                </c:pt>
                <c:pt idx="19">
                  <c:v>1.2742039452587339E-3</c:v>
                </c:pt>
                <c:pt idx="20">
                  <c:v>1.1760758634854615E-3</c:v>
                </c:pt>
                <c:pt idx="21">
                  <c:v>1.0741289609399879E-3</c:v>
                </c:pt>
                <c:pt idx="22">
                  <c:v>9.6843548997710112E-4</c:v>
                </c:pt>
                <c:pt idx="23">
                  <c:v>8.5907535767882205E-4</c:v>
                </c:pt>
                <c:pt idx="24">
                  <c:v>7.46138799605048E-4</c:v>
                </c:pt>
                <c:pt idx="25">
                  <c:v>6.2973018601151457E-4</c:v>
                </c:pt>
                <c:pt idx="26">
                  <c:v>5.0996493928314899E-4</c:v>
                </c:pt>
                <c:pt idx="27">
                  <c:v>3.8697015890566227E-4</c:v>
                </c:pt>
                <c:pt idx="28">
                  <c:v>2.608817691515946E-4</c:v>
                </c:pt>
                <c:pt idx="29">
                  <c:v>1.3184240451478185E-4</c:v>
                </c:pt>
                <c:pt idx="30">
                  <c:v>0</c:v>
                </c:pt>
              </c:numCache>
            </c:numRef>
          </c:val>
          <c:extLst>
            <c:ext xmlns:c16="http://schemas.microsoft.com/office/drawing/2014/chart" uri="{C3380CC4-5D6E-409C-BE32-E72D297353CC}">
              <c16:uniqueId val="{00000004-3635-6945-ACF5-56C55C306FEA}"/>
            </c:ext>
          </c:extLst>
        </c:ser>
        <c:ser>
          <c:idx val="5"/>
          <c:order val="5"/>
          <c:tx>
            <c:strRef>
              <c:f>BAU_Scenario!$B$18</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BAU_Scenario!$O$18:$AS$18</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3635-6945-ACF5-56C55C306FEA}"/>
            </c:ext>
          </c:extLst>
        </c:ser>
        <c:ser>
          <c:idx val="6"/>
          <c:order val="6"/>
          <c:tx>
            <c:strRef>
              <c:f>BAU_Scenario!$B$19</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BAU_Scenario!$O$19:$AS$19</c:f>
              <c:numCache>
                <c:formatCode>General</c:formatCode>
                <c:ptCount val="31"/>
                <c:pt idx="0">
                  <c:v>4.7352483459328819E-2</c:v>
                </c:pt>
                <c:pt idx="1">
                  <c:v>4.4488809320713613E-2</c:v>
                </c:pt>
                <c:pt idx="2">
                  <c:v>4.1432816564809079E-2</c:v>
                </c:pt>
                <c:pt idx="3">
                  <c:v>3.8183153417387948E-2</c:v>
                </c:pt>
                <c:pt idx="4">
                  <c:v>3.4738774032630815E-2</c:v>
                </c:pt>
                <c:pt idx="5">
                  <c:v>3.4180852729778256E-2</c:v>
                </c:pt>
                <c:pt idx="6">
                  <c:v>3.3564783927754138E-2</c:v>
                </c:pt>
                <c:pt idx="7">
                  <c:v>3.2888276090574473E-2</c:v>
                </c:pt>
                <c:pt idx="8">
                  <c:v>3.2148677435728176E-2</c:v>
                </c:pt>
                <c:pt idx="9">
                  <c:v>3.1343336542979439E-2</c:v>
                </c:pt>
                <c:pt idx="10">
                  <c:v>3.0470426530603782E-2</c:v>
                </c:pt>
                <c:pt idx="11">
                  <c:v>2.9529311822869983E-2</c:v>
                </c:pt>
                <c:pt idx="12">
                  <c:v>2.8520139358626972E-2</c:v>
                </c:pt>
                <c:pt idx="13">
                  <c:v>2.7443235040706396E-2</c:v>
                </c:pt>
                <c:pt idx="14">
                  <c:v>2.6299468764483195E-2</c:v>
                </c:pt>
                <c:pt idx="15">
                  <c:v>2.5092772230992412E-2</c:v>
                </c:pt>
                <c:pt idx="16">
                  <c:v>2.3823776233931723E-2</c:v>
                </c:pt>
                <c:pt idx="17">
                  <c:v>2.2492763203100532E-2</c:v>
                </c:pt>
                <c:pt idx="18">
                  <c:v>2.1100310895097188E-2</c:v>
                </c:pt>
                <c:pt idx="19">
                  <c:v>1.9647124297594389E-2</c:v>
                </c:pt>
                <c:pt idx="20">
                  <c:v>1.8134074030517627E-2</c:v>
                </c:pt>
                <c:pt idx="21">
                  <c:v>1.6562140845474041E-2</c:v>
                </c:pt>
                <c:pt idx="22">
                  <c:v>1.4932438811369634E-2</c:v>
                </c:pt>
                <c:pt idx="23">
                  <c:v>1.3246200026392893E-2</c:v>
                </c:pt>
                <c:pt idx="24">
                  <c:v>1.1504815844940395E-2</c:v>
                </c:pt>
                <c:pt idx="25">
                  <c:v>9.7098955662103057E-3</c:v>
                </c:pt>
                <c:pt idx="26">
                  <c:v>7.8632189036871337E-3</c:v>
                </c:pt>
                <c:pt idx="27">
                  <c:v>5.9667456216638826E-3</c:v>
                </c:pt>
                <c:pt idx="28">
                  <c:v>4.0225715550244404E-3</c:v>
                </c:pt>
                <c:pt idx="29">
                  <c:v>2.0328960044694072E-3</c:v>
                </c:pt>
                <c:pt idx="30">
                  <c:v>0</c:v>
                </c:pt>
              </c:numCache>
            </c:numRef>
          </c:val>
          <c:extLst>
            <c:ext xmlns:c16="http://schemas.microsoft.com/office/drawing/2014/chart" uri="{C3380CC4-5D6E-409C-BE32-E72D297353CC}">
              <c16:uniqueId val="{00000006-3635-6945-ACF5-56C55C306FEA}"/>
            </c:ext>
          </c:extLst>
        </c:ser>
        <c:ser>
          <c:idx val="7"/>
          <c:order val="7"/>
          <c:tx>
            <c:strRef>
              <c:f>BAU_Scenario!$B$20</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BAU_Scenario!$O$20:$AS$20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67DE-AA43-A910-C24ED2E0D9D0}"/>
            </c:ext>
          </c:extLst>
        </c:ser>
        <c:ser>
          <c:idx val="8"/>
          <c:order val="8"/>
          <c:tx>
            <c:strRef>
              <c:f>BAU_Scenario!$B$21</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BAU_Scenario!$O$21:$AS$21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67DE-AA43-A910-C24ED2E0D9D0}"/>
            </c:ext>
          </c:extLst>
        </c:ser>
        <c:ser>
          <c:idx val="9"/>
          <c:order val="9"/>
          <c:tx>
            <c:strRef>
              <c:f>BAU_Scenario!$B$22</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BAU_Scenario!$O$22:$AS$22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67DE-AA43-A910-C24ED2E0D9D0}"/>
            </c:ext>
          </c:extLst>
        </c:ser>
        <c:ser>
          <c:idx val="10"/>
          <c:order val="10"/>
          <c:tx>
            <c:strRef>
              <c:f>BAU_Scenario!$B$23</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BAU_Scenario!$O$23:$AS$23</c:f>
              <c:numCache>
                <c:formatCode>General</c:formatCode>
                <c:ptCount val="31"/>
                <c:pt idx="0">
                  <c:v>0.12929786416610894</c:v>
                </c:pt>
                <c:pt idx="1">
                  <c:v>0.12840251488732257</c:v>
                </c:pt>
                <c:pt idx="2">
                  <c:v>0.12732207176089338</c:v>
                </c:pt>
                <c:pt idx="3">
                  <c:v>0.12605579834392089</c:v>
                </c:pt>
                <c:pt idx="4">
                  <c:v>0.12460437753267935</c:v>
                </c:pt>
                <c:pt idx="5">
                  <c:v>0.12260317171612223</c:v>
                </c:pt>
                <c:pt idx="6">
                  <c:v>0.12039339685413628</c:v>
                </c:pt>
                <c:pt idx="7">
                  <c:v>0.11796683344494484</c:v>
                </c:pt>
                <c:pt idx="8">
                  <c:v>0.11531396981986226</c:v>
                </c:pt>
                <c:pt idx="9">
                  <c:v>0.11242529560964665</c:v>
                </c:pt>
                <c:pt idx="10">
                  <c:v>0.10929425797913202</c:v>
                </c:pt>
                <c:pt idx="11">
                  <c:v>0.1059185771841256</c:v>
                </c:pt>
                <c:pt idx="12">
                  <c:v>0.10229878027903036</c:v>
                </c:pt>
                <c:pt idx="13">
                  <c:v>9.843603624348371E-2</c:v>
                </c:pt>
                <c:pt idx="14">
                  <c:v>9.4333465301924518E-2</c:v>
                </c:pt>
                <c:pt idx="15">
                  <c:v>9.0005170057963851E-2</c:v>
                </c:pt>
                <c:pt idx="16">
                  <c:v>8.5453413103136339E-2</c:v>
                </c:pt>
                <c:pt idx="17">
                  <c:v>8.0679207483824053E-2</c:v>
                </c:pt>
                <c:pt idx="18">
                  <c:v>7.5684625552990173E-2</c:v>
                </c:pt>
                <c:pt idx="19">
                  <c:v>7.0472196028258452E-2</c:v>
                </c:pt>
                <c:pt idx="20">
                  <c:v>6.5045041732955416E-2</c:v>
                </c:pt>
                <c:pt idx="21">
                  <c:v>5.9406680521321018E-2</c:v>
                </c:pt>
                <c:pt idx="22">
                  <c:v>5.3561108442911592E-2</c:v>
                </c:pt>
                <c:pt idx="23">
                  <c:v>4.7512744906071602E-2</c:v>
                </c:pt>
                <c:pt idx="24">
                  <c:v>4.1266580554637514E-2</c:v>
                </c:pt>
                <c:pt idx="25">
                  <c:v>3.4828387777832481E-2</c:v>
                </c:pt>
                <c:pt idx="26">
                  <c:v>2.8204550223240477E-2</c:v>
                </c:pt>
                <c:pt idx="27">
                  <c:v>2.1402097362011263E-2</c:v>
                </c:pt>
                <c:pt idx="28">
                  <c:v>1.442854673638375E-2</c:v>
                </c:pt>
                <c:pt idx="29">
                  <c:v>7.2917870097445022E-3</c:v>
                </c:pt>
                <c:pt idx="30">
                  <c:v>0</c:v>
                </c:pt>
              </c:numCache>
            </c:numRef>
          </c:val>
          <c:extLst>
            <c:ext xmlns:c16="http://schemas.microsoft.com/office/drawing/2014/chart" uri="{C3380CC4-5D6E-409C-BE32-E72D297353CC}">
              <c16:uniqueId val="{00000003-67DE-AA43-A910-C24ED2E0D9D0}"/>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5473864495751586"/>
        </c:manualLayout>
      </c:layout>
      <c:areaChart>
        <c:grouping val="stacked"/>
        <c:varyColors val="0"/>
        <c:ser>
          <c:idx val="0"/>
          <c:order val="0"/>
          <c:tx>
            <c:strRef>
              <c:f>BAU_Scenario!$B$24</c:f>
              <c:strCache>
                <c:ptCount val="1"/>
                <c:pt idx="0">
                  <c:v>fuelwood</c:v>
                </c:pt>
              </c:strCache>
            </c:strRef>
          </c:tx>
          <c:spPr>
            <a:solidFill>
              <a:schemeClr val="accent1"/>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BAU_Scenario!$O$24:$AS$24</c:f>
              <c:numCache>
                <c:formatCode>General</c:formatCode>
                <c:ptCount val="31"/>
                <c:pt idx="0">
                  <c:v>2.3397656520535932</c:v>
                </c:pt>
                <c:pt idx="1">
                  <c:v>2.339444162614662</c:v>
                </c:pt>
                <c:pt idx="2">
                  <c:v>2.3333755758625485</c:v>
                </c:pt>
                <c:pt idx="3">
                  <c:v>2.3210952300637295</c:v>
                </c:pt>
                <c:pt idx="4">
                  <c:v>2.3021234720716186</c:v>
                </c:pt>
                <c:pt idx="5">
                  <c:v>2.3073881901251285</c:v>
                </c:pt>
                <c:pt idx="6">
                  <c:v>2.3076649309433752</c:v>
                </c:pt>
                <c:pt idx="7">
                  <c:v>2.302606144585436</c:v>
                </c:pt>
                <c:pt idx="8">
                  <c:v>2.2918400184802223</c:v>
                </c:pt>
                <c:pt idx="9">
                  <c:v>2.2749893351537298</c:v>
                </c:pt>
                <c:pt idx="10">
                  <c:v>2.2516923436846712</c:v>
                </c:pt>
                <c:pt idx="11">
                  <c:v>2.2216020814695683</c:v>
                </c:pt>
                <c:pt idx="12">
                  <c:v>2.1843860735619192</c:v>
                </c:pt>
                <c:pt idx="13">
                  <c:v>2.1397015875862704</c:v>
                </c:pt>
                <c:pt idx="14">
                  <c:v>2.0871748741563882</c:v>
                </c:pt>
                <c:pt idx="15">
                  <c:v>2.0271278571211049</c:v>
                </c:pt>
                <c:pt idx="16">
                  <c:v>1.9591343322666639</c:v>
                </c:pt>
                <c:pt idx="17">
                  <c:v>1.8828807453028245</c:v>
                </c:pt>
                <c:pt idx="18">
                  <c:v>1.7980669667952283</c:v>
                </c:pt>
                <c:pt idx="19">
                  <c:v>1.7043938671815977</c:v>
                </c:pt>
                <c:pt idx="20">
                  <c:v>1.6015551010396156</c:v>
                </c:pt>
                <c:pt idx="21">
                  <c:v>1.4892335061490225</c:v>
                </c:pt>
                <c:pt idx="22">
                  <c:v>1.3671101303087729</c:v>
                </c:pt>
                <c:pt idx="23">
                  <c:v>1.2348712024731401</c:v>
                </c:pt>
                <c:pt idx="24">
                  <c:v>1.09220428009776</c:v>
                </c:pt>
                <c:pt idx="25">
                  <c:v>0.93879775969176227</c:v>
                </c:pt>
                <c:pt idx="26">
                  <c:v>0.77434207946110822</c:v>
                </c:pt>
                <c:pt idx="27">
                  <c:v>0.59853096390460592</c:v>
                </c:pt>
                <c:pt idx="28">
                  <c:v>0.41106444440648399</c:v>
                </c:pt>
                <c:pt idx="29">
                  <c:v>0.21164902704709032</c:v>
                </c:pt>
                <c:pt idx="30">
                  <c:v>0</c:v>
                </c:pt>
              </c:numCache>
            </c:numRef>
          </c:val>
          <c:extLst>
            <c:ext xmlns:c16="http://schemas.microsoft.com/office/drawing/2014/chart" uri="{C3380CC4-5D6E-409C-BE32-E72D297353CC}">
              <c16:uniqueId val="{00000000-9EA6-264B-9793-0387681C7DD3}"/>
            </c:ext>
          </c:extLst>
        </c:ser>
        <c:ser>
          <c:idx val="1"/>
          <c:order val="1"/>
          <c:tx>
            <c:strRef>
              <c:f>BAU_Scenario!$B$25</c:f>
              <c:strCache>
                <c:ptCount val="1"/>
                <c:pt idx="0">
                  <c:v>charcoal</c:v>
                </c:pt>
              </c:strCache>
            </c:strRef>
          </c:tx>
          <c:spPr>
            <a:solidFill>
              <a:schemeClr val="accent2"/>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BAU_Scenario!$O$25:$AS$25</c:f>
              <c:numCache>
                <c:formatCode>General</c:formatCode>
                <c:ptCount val="31"/>
                <c:pt idx="0">
                  <c:v>7.4453583048008998</c:v>
                </c:pt>
                <c:pt idx="1">
                  <c:v>7.9242533665599675</c:v>
                </c:pt>
                <c:pt idx="2">
                  <c:v>8.4271075663434392</c:v>
                </c:pt>
                <c:pt idx="3">
                  <c:v>8.9544575597344132</c:v>
                </c:pt>
                <c:pt idx="4">
                  <c:v>9.5067533710814587</c:v>
                </c:pt>
                <c:pt idx="5">
                  <c:v>9.9945540696245985</c:v>
                </c:pt>
                <c:pt idx="6">
                  <c:v>10.500711389847273</c:v>
                </c:pt>
                <c:pt idx="7">
                  <c:v>11.025356918117957</c:v>
                </c:pt>
                <c:pt idx="8">
                  <c:v>11.568465554548698</c:v>
                </c:pt>
                <c:pt idx="9">
                  <c:v>12.12991343823535</c:v>
                </c:pt>
                <c:pt idx="10">
                  <c:v>12.709569821691405</c:v>
                </c:pt>
                <c:pt idx="11">
                  <c:v>13.307294940883466</c:v>
                </c:pt>
                <c:pt idx="12">
                  <c:v>13.922939373865548</c:v>
                </c:pt>
                <c:pt idx="13">
                  <c:v>14.556176782424178</c:v>
                </c:pt>
                <c:pt idx="14">
                  <c:v>15.206294430710876</c:v>
                </c:pt>
                <c:pt idx="15">
                  <c:v>15.877746770605093</c:v>
                </c:pt>
                <c:pt idx="16">
                  <c:v>16.570018045291299</c:v>
                </c:pt>
                <c:pt idx="17">
                  <c:v>17.283347180163535</c:v>
                </c:pt>
                <c:pt idx="18">
                  <c:v>18.018091104573262</c:v>
                </c:pt>
                <c:pt idx="19">
                  <c:v>18.774647137902118</c:v>
                </c:pt>
                <c:pt idx="20">
                  <c:v>19.553373338754611</c:v>
                </c:pt>
                <c:pt idx="21">
                  <c:v>20.354513788136206</c:v>
                </c:pt>
                <c:pt idx="22">
                  <c:v>21.178260969991378</c:v>
                </c:pt>
                <c:pt idx="23">
                  <c:v>22.024842075148179</c:v>
                </c:pt>
                <c:pt idx="24">
                  <c:v>22.89447113809711</c:v>
                </c:pt>
                <c:pt idx="25">
                  <c:v>23.787324701326018</c:v>
                </c:pt>
                <c:pt idx="26">
                  <c:v>24.70353428278294</c:v>
                </c:pt>
                <c:pt idx="27">
                  <c:v>25.643167788738833</c:v>
                </c:pt>
                <c:pt idx="28">
                  <c:v>26.606273552577981</c:v>
                </c:pt>
                <c:pt idx="29">
                  <c:v>27.592833362397496</c:v>
                </c:pt>
                <c:pt idx="30">
                  <c:v>28.602806237999999</c:v>
                </c:pt>
              </c:numCache>
            </c:numRef>
          </c:val>
          <c:extLst>
            <c:ext xmlns:c16="http://schemas.microsoft.com/office/drawing/2014/chart" uri="{C3380CC4-5D6E-409C-BE32-E72D297353CC}">
              <c16:uniqueId val="{00000001-9EA6-264B-9793-0387681C7DD3}"/>
            </c:ext>
          </c:extLst>
        </c:ser>
        <c:ser>
          <c:idx val="2"/>
          <c:order val="2"/>
          <c:tx>
            <c:strRef>
              <c:f>BAU_Scenario!$B$26</c:f>
              <c:strCache>
                <c:ptCount val="1"/>
                <c:pt idx="0">
                  <c:v>Imp_fuelwood</c:v>
                </c:pt>
              </c:strCache>
            </c:strRef>
          </c:tx>
          <c:spPr>
            <a:solidFill>
              <a:schemeClr val="accent3"/>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BAU_Scenario!$O$26:$AS$26</c:f>
              <c:numCache>
                <c:formatCode>General</c:formatCode>
                <c:ptCount val="31"/>
                <c:pt idx="0">
                  <c:v>0.11995749142857652</c:v>
                </c:pt>
                <c:pt idx="1">
                  <c:v>0.14467838068323105</c:v>
                </c:pt>
                <c:pt idx="2">
                  <c:v>0.17128224055900845</c:v>
                </c:pt>
                <c:pt idx="3">
                  <c:v>0.19984912453416476</c:v>
                </c:pt>
                <c:pt idx="4">
                  <c:v>0.23045631099379324</c:v>
                </c:pt>
                <c:pt idx="5">
                  <c:v>0.26144476148829876</c:v>
                </c:pt>
                <c:pt idx="6">
                  <c:v>0.29447994874343492</c:v>
                </c:pt>
                <c:pt idx="7">
                  <c:v>0.32962948708791651</c:v>
                </c:pt>
                <c:pt idx="8">
                  <c:v>0.36695486970855673</c:v>
                </c:pt>
                <c:pt idx="9">
                  <c:v>0.40651205257525519</c:v>
                </c:pt>
                <c:pt idx="10">
                  <c:v>0.44835391533684138</c:v>
                </c:pt>
                <c:pt idx="11">
                  <c:v>0.49253023727186279</c:v>
                </c:pt>
                <c:pt idx="12">
                  <c:v>0.53908770642140891</c:v>
                </c:pt>
                <c:pt idx="13">
                  <c:v>0.588063189381275</c:v>
                </c:pt>
                <c:pt idx="14">
                  <c:v>0.63947356468227812</c:v>
                </c:pt>
                <c:pt idx="15">
                  <c:v>0.69355531036311902</c:v>
                </c:pt>
                <c:pt idx="16">
                  <c:v>0.75034708622073931</c:v>
                </c:pt>
                <c:pt idx="17">
                  <c:v>0.80991774975155617</c:v>
                </c:pt>
                <c:pt idx="18">
                  <c:v>0.87234159159102076</c:v>
                </c:pt>
                <c:pt idx="19">
                  <c:v>0.93769537246775247</c:v>
                </c:pt>
                <c:pt idx="20">
                  <c:v>1.006054512298139</c:v>
                </c:pt>
                <c:pt idx="21">
                  <c:v>1.077488818172482</c:v>
                </c:pt>
                <c:pt idx="22">
                  <c:v>1.1520650287625436</c:v>
                </c:pt>
                <c:pt idx="23">
                  <c:v>1.2298512714046839</c:v>
                </c:pt>
                <c:pt idx="24">
                  <c:v>1.3109145879646451</c:v>
                </c:pt>
                <c:pt idx="25">
                  <c:v>1.3953194273793605</c:v>
                </c:pt>
                <c:pt idx="26">
                  <c:v>1.4831269491256573</c:v>
                </c:pt>
                <c:pt idx="27">
                  <c:v>1.5743935970425225</c:v>
                </c:pt>
                <c:pt idx="28">
                  <c:v>1.6691734647873857</c:v>
                </c:pt>
                <c:pt idx="29">
                  <c:v>1.7675151972503571</c:v>
                </c:pt>
                <c:pt idx="30">
                  <c:v>1.8694644600000001</c:v>
                </c:pt>
              </c:numCache>
            </c:numRef>
          </c:val>
          <c:extLst>
            <c:ext xmlns:c16="http://schemas.microsoft.com/office/drawing/2014/chart" uri="{C3380CC4-5D6E-409C-BE32-E72D297353CC}">
              <c16:uniqueId val="{00000002-9EA6-264B-9793-0387681C7DD3}"/>
            </c:ext>
          </c:extLst>
        </c:ser>
        <c:ser>
          <c:idx val="3"/>
          <c:order val="3"/>
          <c:tx>
            <c:strRef>
              <c:f>BAU_Scenario!$B$27</c:f>
              <c:strCache>
                <c:ptCount val="1"/>
                <c:pt idx="0">
                  <c:v>Imp_charcoal</c:v>
                </c:pt>
              </c:strCache>
            </c:strRef>
          </c:tx>
          <c:spPr>
            <a:solidFill>
              <a:schemeClr val="accent4"/>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BAU_Scenario!$O$27:$AS$27</c:f>
              <c:numCache>
                <c:formatCode>General</c:formatCode>
                <c:ptCount val="31"/>
                <c:pt idx="0">
                  <c:v>3.9985830476189012E-2</c:v>
                </c:pt>
                <c:pt idx="1">
                  <c:v>4.8226126894409527E-2</c:v>
                </c:pt>
                <c:pt idx="2">
                  <c:v>5.7094080186333565E-2</c:v>
                </c:pt>
                <c:pt idx="3">
                  <c:v>6.6616374844719786E-2</c:v>
                </c:pt>
                <c:pt idx="4">
                  <c:v>7.681877033126347E-2</c:v>
                </c:pt>
                <c:pt idx="5">
                  <c:v>8.7148253829431976E-2</c:v>
                </c:pt>
                <c:pt idx="6">
                  <c:v>9.8159982914477348E-2</c:v>
                </c:pt>
                <c:pt idx="7">
                  <c:v>0.10987649569597122</c:v>
                </c:pt>
                <c:pt idx="8">
                  <c:v>0.12231828990285129</c:v>
                </c:pt>
                <c:pt idx="9">
                  <c:v>0.13550401752508412</c:v>
                </c:pt>
                <c:pt idx="10">
                  <c:v>0.14945130511227955</c:v>
                </c:pt>
                <c:pt idx="11">
                  <c:v>0.16417674575728669</c:v>
                </c:pt>
                <c:pt idx="12">
                  <c:v>0.17969590214046877</c:v>
                </c:pt>
                <c:pt idx="13">
                  <c:v>0.19602106312709086</c:v>
                </c:pt>
                <c:pt idx="14">
                  <c:v>0.21315785489409195</c:v>
                </c:pt>
                <c:pt idx="15">
                  <c:v>0.23118510345437229</c:v>
                </c:pt>
                <c:pt idx="16">
                  <c:v>0.25011569540691247</c:v>
                </c:pt>
                <c:pt idx="17">
                  <c:v>0.26997258325051815</c:v>
                </c:pt>
                <c:pt idx="18">
                  <c:v>0.29078053053033975</c:v>
                </c:pt>
                <c:pt idx="19">
                  <c:v>0.31256512415591708</c:v>
                </c:pt>
                <c:pt idx="20">
                  <c:v>0.33535150409937942</c:v>
                </c:pt>
                <c:pt idx="21">
                  <c:v>0.35916293939082711</c:v>
                </c:pt>
                <c:pt idx="22">
                  <c:v>0.38402167625418115</c:v>
                </c:pt>
                <c:pt idx="23">
                  <c:v>0.40995042380156127</c:v>
                </c:pt>
                <c:pt idx="24">
                  <c:v>0.43697152932154854</c:v>
                </c:pt>
                <c:pt idx="25">
                  <c:v>0.46510647579312042</c:v>
                </c:pt>
                <c:pt idx="26">
                  <c:v>0.49437564970855286</c:v>
                </c:pt>
                <c:pt idx="27">
                  <c:v>0.52479786568084141</c:v>
                </c:pt>
                <c:pt idx="28">
                  <c:v>0.55639115492912927</c:v>
                </c:pt>
                <c:pt idx="29">
                  <c:v>0.58917173241678655</c:v>
                </c:pt>
                <c:pt idx="30">
                  <c:v>0.62315482</c:v>
                </c:pt>
              </c:numCache>
            </c:numRef>
          </c:val>
          <c:extLst>
            <c:ext xmlns:c16="http://schemas.microsoft.com/office/drawing/2014/chart" uri="{C3380CC4-5D6E-409C-BE32-E72D297353CC}">
              <c16:uniqueId val="{00000003-9EA6-264B-9793-0387681C7DD3}"/>
            </c:ext>
          </c:extLst>
        </c:ser>
        <c:ser>
          <c:idx val="4"/>
          <c:order val="4"/>
          <c:tx>
            <c:strRef>
              <c:f>BAU_Scenario!$B$28</c:f>
              <c:strCache>
                <c:ptCount val="1"/>
                <c:pt idx="0">
                  <c:v>Gas</c:v>
                </c:pt>
              </c:strCache>
            </c:strRef>
          </c:tx>
          <c:spPr>
            <a:solidFill>
              <a:schemeClr val="accent5"/>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BAU_Scenario!$O$28:$AS$28</c:f>
              <c:numCache>
                <c:formatCode>General</c:formatCode>
                <c:ptCount val="31"/>
                <c:pt idx="0">
                  <c:v>4.3976427921335826E-2</c:v>
                </c:pt>
                <c:pt idx="1">
                  <c:v>5.1142483129100545E-2</c:v>
                </c:pt>
                <c:pt idx="2">
                  <c:v>5.8831876566474157E-2</c:v>
                </c:pt>
                <c:pt idx="3">
                  <c:v>6.7065991610041301E-2</c:v>
                </c:pt>
                <c:pt idx="4">
                  <c:v>7.5865348126057275E-2</c:v>
                </c:pt>
                <c:pt idx="5">
                  <c:v>7.603884432326849E-2</c:v>
                </c:pt>
                <c:pt idx="6">
                  <c:v>7.604796418098754E-2</c:v>
                </c:pt>
                <c:pt idx="7">
                  <c:v>7.5881254361641892E-2</c:v>
                </c:pt>
                <c:pt idx="8">
                  <c:v>7.5526461964600708E-2</c:v>
                </c:pt>
                <c:pt idx="9">
                  <c:v>7.4971155973312623E-2</c:v>
                </c:pt>
                <c:pt idx="10">
                  <c:v>7.4203415063873276E-2</c:v>
                </c:pt>
                <c:pt idx="11">
                  <c:v>7.3211805254127099E-2</c:v>
                </c:pt>
                <c:pt idx="12">
                  <c:v>7.1985369995537257E-2</c:v>
                </c:pt>
                <c:pt idx="13">
                  <c:v>7.0512814711034655E-2</c:v>
                </c:pt>
                <c:pt idx="14">
                  <c:v>6.8781822673196782E-2</c:v>
                </c:pt>
                <c:pt idx="15">
                  <c:v>6.6803002724319896E-2</c:v>
                </c:pt>
                <c:pt idx="16">
                  <c:v>6.4562309513908372E-2</c:v>
                </c:pt>
                <c:pt idx="17">
                  <c:v>6.2049410014357861E-2</c:v>
                </c:pt>
                <c:pt idx="18">
                  <c:v>5.92544136075948E-2</c:v>
                </c:pt>
                <c:pt idx="19">
                  <c:v>5.616746262583884E-2</c:v>
                </c:pt>
                <c:pt idx="20">
                  <c:v>5.2778461606186794E-2</c:v>
                </c:pt>
                <c:pt idx="21">
                  <c:v>4.9076958623472874E-2</c:v>
                </c:pt>
                <c:pt idx="22">
                  <c:v>4.5052442764593852E-2</c:v>
                </c:pt>
                <c:pt idx="23">
                  <c:v>4.0694573858874816E-2</c:v>
                </c:pt>
                <c:pt idx="24">
                  <c:v>3.5993055515750667E-2</c:v>
                </c:pt>
                <c:pt idx="25">
                  <c:v>3.0937618995251968E-2</c:v>
                </c:pt>
                <c:pt idx="26">
                  <c:v>2.5518062840525449E-2</c:v>
                </c:pt>
                <c:pt idx="27">
                  <c:v>1.9724293892884229E-2</c:v>
                </c:pt>
                <c:pt idx="28">
                  <c:v>1.3546426833952269E-2</c:v>
                </c:pt>
                <c:pt idx="29">
                  <c:v>6.9747897157835031E-3</c:v>
                </c:pt>
                <c:pt idx="30">
                  <c:v>0</c:v>
                </c:pt>
              </c:numCache>
            </c:numRef>
          </c:val>
          <c:extLst>
            <c:ext xmlns:c16="http://schemas.microsoft.com/office/drawing/2014/chart" uri="{C3380CC4-5D6E-409C-BE32-E72D297353CC}">
              <c16:uniqueId val="{00000004-9EA6-264B-9793-0387681C7DD3}"/>
            </c:ext>
          </c:extLst>
        </c:ser>
        <c:ser>
          <c:idx val="5"/>
          <c:order val="5"/>
          <c:tx>
            <c:strRef>
              <c:f>BAU_Scenario!$B$29</c:f>
              <c:strCache>
                <c:ptCount val="1"/>
                <c:pt idx="0">
                  <c:v>kerosene</c:v>
                </c:pt>
              </c:strCache>
            </c:strRef>
          </c:tx>
          <c:spPr>
            <a:solidFill>
              <a:schemeClr val="accent6"/>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BAU_Scenario!$O$29:$AS$29</c:f>
              <c:numCache>
                <c:formatCode>General</c:formatCode>
                <c:ptCount val="31"/>
                <c:pt idx="0">
                  <c:v>3.402109333333448E-3</c:v>
                </c:pt>
                <c:pt idx="1">
                  <c:v>2.5843666086958514E-3</c:v>
                </c:pt>
                <c:pt idx="2">
                  <c:v>1.6863230434785528E-3</c:v>
                </c:pt>
                <c:pt idx="3">
                  <c:v>7.0387113043517396E-4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9EA6-264B-9793-0387681C7DD3}"/>
            </c:ext>
          </c:extLst>
        </c:ser>
        <c:ser>
          <c:idx val="6"/>
          <c:order val="6"/>
          <c:tx>
            <c:strRef>
              <c:f>BAU_Scenario!$B$30</c:f>
              <c:strCache>
                <c:ptCount val="1"/>
                <c:pt idx="0">
                  <c:v>electric</c:v>
                </c:pt>
              </c:strCache>
            </c:strRef>
          </c:tx>
          <c:spPr>
            <a:solidFill>
              <a:schemeClr val="accent1">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BAU_Scenario!$O$30:$AS$30</c:f>
              <c:numCache>
                <c:formatCode>General</c:formatCode>
                <c:ptCount val="31"/>
                <c:pt idx="0">
                  <c:v>0.82413735314186498</c:v>
                </c:pt>
                <c:pt idx="1">
                  <c:v>0.81853607982341225</c:v>
                </c:pt>
                <c:pt idx="2">
                  <c:v>0.81042739323870472</c:v>
                </c:pt>
                <c:pt idx="3">
                  <c:v>0.79962458010107429</c:v>
                </c:pt>
                <c:pt idx="4">
                  <c:v>0.78593609183317181</c:v>
                </c:pt>
                <c:pt idx="5">
                  <c:v>0.78773344631123388</c:v>
                </c:pt>
                <c:pt idx="6">
                  <c:v>0.78782792456132877</c:v>
                </c:pt>
                <c:pt idx="7">
                  <c:v>0.78610087437144482</c:v>
                </c:pt>
                <c:pt idx="8">
                  <c:v>0.78242536036102539</c:v>
                </c:pt>
                <c:pt idx="9">
                  <c:v>0.77667260193646348</c:v>
                </c:pt>
                <c:pt idx="10">
                  <c:v>0.76871909872571442</c:v>
                </c:pt>
                <c:pt idx="11">
                  <c:v>0.75844639903150912</c:v>
                </c:pt>
                <c:pt idx="12">
                  <c:v>0.7457409971869029</c:v>
                </c:pt>
                <c:pt idx="13">
                  <c:v>0.73048588567819106</c:v>
                </c:pt>
                <c:pt idx="14">
                  <c:v>0.71255346790358176</c:v>
                </c:pt>
                <c:pt idx="15">
                  <c:v>0.69205364742588948</c:v>
                </c:pt>
                <c:pt idx="16">
                  <c:v>0.66884091976711935</c:v>
                </c:pt>
                <c:pt idx="17">
                  <c:v>0.64280823869954351</c:v>
                </c:pt>
                <c:pt idx="18">
                  <c:v>0.61385314118955625</c:v>
                </c:pt>
                <c:pt idx="19">
                  <c:v>0.58187350555603112</c:v>
                </c:pt>
                <c:pt idx="20">
                  <c:v>0.5467647466510005</c:v>
                </c:pt>
                <c:pt idx="21">
                  <c:v>0.50841858651331562</c:v>
                </c:pt>
                <c:pt idx="22">
                  <c:v>0.46672613608927804</c:v>
                </c:pt>
                <c:pt idx="23">
                  <c:v>0.42158027515167112</c:v>
                </c:pt>
                <c:pt idx="24">
                  <c:v>0.3728743370185299</c:v>
                </c:pt>
                <c:pt idx="25">
                  <c:v>0.32050194145752209</c:v>
                </c:pt>
                <c:pt idx="26">
                  <c:v>0.2643574052637549</c:v>
                </c:pt>
                <c:pt idx="27">
                  <c:v>0.20433616716006345</c:v>
                </c:pt>
                <c:pt idx="28">
                  <c:v>0.14033581901568845</c:v>
                </c:pt>
                <c:pt idx="29">
                  <c:v>7.2256163136202783E-2</c:v>
                </c:pt>
                <c:pt idx="30">
                  <c:v>0</c:v>
                </c:pt>
              </c:numCache>
            </c:numRef>
          </c:val>
          <c:extLst>
            <c:ext xmlns:c16="http://schemas.microsoft.com/office/drawing/2014/chart" uri="{C3380CC4-5D6E-409C-BE32-E72D297353CC}">
              <c16:uniqueId val="{00000006-9EA6-264B-9793-0387681C7DD3}"/>
            </c:ext>
          </c:extLst>
        </c:ser>
        <c:ser>
          <c:idx val="7"/>
          <c:order val="7"/>
          <c:tx>
            <c:strRef>
              <c:f>BAU_Scenario!$B$31</c:f>
              <c:strCache>
                <c:ptCount val="1"/>
                <c:pt idx="0">
                  <c:v>pellets</c:v>
                </c:pt>
              </c:strCache>
            </c:strRef>
          </c:tx>
          <c:spPr>
            <a:solidFill>
              <a:schemeClr val="accent2">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BAU_Scenario!$O$31:$AS$31</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6E2-C04E-BBA0-13E297C6D3BB}"/>
            </c:ext>
          </c:extLst>
        </c:ser>
        <c:ser>
          <c:idx val="8"/>
          <c:order val="8"/>
          <c:tx>
            <c:strRef>
              <c:f>BAU_Scenario!$B$32</c:f>
              <c:strCache>
                <c:ptCount val="1"/>
                <c:pt idx="0">
                  <c:v>ethanol</c:v>
                </c:pt>
              </c:strCache>
            </c:strRef>
          </c:tx>
          <c:spPr>
            <a:solidFill>
              <a:schemeClr val="accent3">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BAU_Scenario!$O$32:$AS$32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96E2-C04E-BBA0-13E297C6D3BB}"/>
            </c:ext>
          </c:extLst>
        </c:ser>
        <c:ser>
          <c:idx val="9"/>
          <c:order val="9"/>
          <c:tx>
            <c:strRef>
              <c:f>BAU_Scenario!$B$33</c:f>
              <c:strCache>
                <c:ptCount val="1"/>
                <c:pt idx="0">
                  <c:v>biogas</c:v>
                </c:pt>
              </c:strCache>
            </c:strRef>
          </c:tx>
          <c:spPr>
            <a:solidFill>
              <a:schemeClr val="accent4">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BAU_Scenario!$O$33:$AS$33</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96E2-C04E-BBA0-13E297C6D3BB}"/>
            </c:ext>
          </c:extLst>
        </c:ser>
        <c:ser>
          <c:idx val="10"/>
          <c:order val="10"/>
          <c:tx>
            <c:strRef>
              <c:f>BAU_Scenario!$B$34</c:f>
              <c:strCache>
                <c:ptCount val="1"/>
                <c:pt idx="0">
                  <c:v>other</c:v>
                </c:pt>
              </c:strCache>
            </c:strRef>
          </c:tx>
          <c:spPr>
            <a:solidFill>
              <a:schemeClr val="accent5">
                <a:lumMod val="60000"/>
              </a:schemeClr>
            </a:solidFill>
            <a:ln w="25400">
              <a:noFill/>
            </a:ln>
            <a:effectLst/>
          </c:spPr>
          <c:cat>
            <c:numRef>
              <c:f>BAU_Scenario!$O$1:$AS$1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BAU_Scenario!$O$34:$AS$34</c:f>
              <c:numCache>
                <c:formatCode>General</c:formatCode>
                <c:ptCount val="31"/>
                <c:pt idx="0">
                  <c:v>8.7439196244640492E-3</c:v>
                </c:pt>
                <c:pt idx="1">
                  <c:v>6.6562124859831399E-3</c:v>
                </c:pt>
                <c:pt idx="2">
                  <c:v>4.3633538447909606E-3</c:v>
                </c:pt>
                <c:pt idx="3">
                  <c:v>1.8548456418727103E-3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96E2-C04E-BBA0-13E297C6D3BB}"/>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BAU_Scenario!$B$49</c:f>
              <c:strCache>
                <c:ptCount val="1"/>
                <c:pt idx="0">
                  <c:v>fuelwood</c:v>
                </c:pt>
              </c:strCache>
            </c:strRef>
          </c:tx>
          <c:spPr>
            <a:solidFill>
              <a:schemeClr val="accent1"/>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BAU_Scenario!$N$49:$AS$49</c:f>
              <c:numCache>
                <c:formatCode>0%</c:formatCode>
                <c:ptCount val="32"/>
                <c:pt idx="0">
                  <c:v>0.86974208413277054</c:v>
                </c:pt>
                <c:pt idx="1">
                  <c:v>0.85811128535486603</c:v>
                </c:pt>
                <c:pt idx="2">
                  <c:v>0.84648048657695796</c:v>
                </c:pt>
                <c:pt idx="3">
                  <c:v>0.83484968779905344</c:v>
                </c:pt>
                <c:pt idx="4">
                  <c:v>0.82321888902114893</c:v>
                </c:pt>
                <c:pt idx="5">
                  <c:v>0.81158809024324441</c:v>
                </c:pt>
                <c:pt idx="6">
                  <c:v>0.79052700984927349</c:v>
                </c:pt>
                <c:pt idx="7">
                  <c:v>0.76946592945530257</c:v>
                </c:pt>
                <c:pt idx="8">
                  <c:v>0.74840484906133165</c:v>
                </c:pt>
                <c:pt idx="9">
                  <c:v>0.72734376866736072</c:v>
                </c:pt>
                <c:pt idx="10">
                  <c:v>0.7062826882733898</c:v>
                </c:pt>
                <c:pt idx="11">
                  <c:v>0.68522160787941888</c:v>
                </c:pt>
                <c:pt idx="12">
                  <c:v>0.66416052748544796</c:v>
                </c:pt>
                <c:pt idx="13">
                  <c:v>0.64309944709147704</c:v>
                </c:pt>
                <c:pt idx="14">
                  <c:v>0.62203836669750612</c:v>
                </c:pt>
                <c:pt idx="15">
                  <c:v>0.6009772863035352</c:v>
                </c:pt>
                <c:pt idx="16">
                  <c:v>0.57991620590956428</c:v>
                </c:pt>
                <c:pt idx="17">
                  <c:v>0.55885512551559335</c:v>
                </c:pt>
                <c:pt idx="18">
                  <c:v>0.53779404512162243</c:v>
                </c:pt>
                <c:pt idx="19">
                  <c:v>0.51673296472765151</c:v>
                </c:pt>
                <c:pt idx="20">
                  <c:v>0.49567188433368059</c:v>
                </c:pt>
                <c:pt idx="21">
                  <c:v>0.47461080393970967</c:v>
                </c:pt>
                <c:pt idx="22">
                  <c:v>0.45354972354573875</c:v>
                </c:pt>
                <c:pt idx="23">
                  <c:v>0.43248864315176783</c:v>
                </c:pt>
                <c:pt idx="24">
                  <c:v>0.41142756275779691</c:v>
                </c:pt>
                <c:pt idx="25">
                  <c:v>0.39036648236382598</c:v>
                </c:pt>
                <c:pt idx="26">
                  <c:v>0.36930540196985506</c:v>
                </c:pt>
                <c:pt idx="27">
                  <c:v>0.34824432157588414</c:v>
                </c:pt>
                <c:pt idx="28">
                  <c:v>0.32718324118191322</c:v>
                </c:pt>
                <c:pt idx="29">
                  <c:v>0.3061221607879423</c:v>
                </c:pt>
                <c:pt idx="30">
                  <c:v>0.28506108039397138</c:v>
                </c:pt>
                <c:pt idx="31">
                  <c:v>0.26400000000000001</c:v>
                </c:pt>
              </c:numCache>
            </c:numRef>
          </c:val>
          <c:extLst>
            <c:ext xmlns:c16="http://schemas.microsoft.com/office/drawing/2014/chart" uri="{C3380CC4-5D6E-409C-BE32-E72D297353CC}">
              <c16:uniqueId val="{00000000-74B1-164D-8150-D0E7F41287E5}"/>
            </c:ext>
          </c:extLst>
        </c:ser>
        <c:ser>
          <c:idx val="1"/>
          <c:order val="1"/>
          <c:tx>
            <c:strRef>
              <c:f>BAU_Scenario!$B$50</c:f>
              <c:strCache>
                <c:ptCount val="1"/>
                <c:pt idx="0">
                  <c:v>charcoal</c:v>
                </c:pt>
              </c:strCache>
            </c:strRef>
          </c:tx>
          <c:spPr>
            <a:solidFill>
              <a:schemeClr val="accent2"/>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BAU_Scenario!$N$50:$AS$50</c:f>
              <c:numCache>
                <c:formatCode>0%</c:formatCode>
                <c:ptCount val="32"/>
                <c:pt idx="0">
                  <c:v>0.11796386739970899</c:v>
                </c:pt>
                <c:pt idx="1">
                  <c:v>0.13020141557709408</c:v>
                </c:pt>
                <c:pt idx="2">
                  <c:v>0.14243896375447918</c:v>
                </c:pt>
                <c:pt idx="3">
                  <c:v>0.15467651193186782</c:v>
                </c:pt>
                <c:pt idx="4">
                  <c:v>0.16691406010925292</c:v>
                </c:pt>
                <c:pt idx="5">
                  <c:v>0.17915160828663801</c:v>
                </c:pt>
                <c:pt idx="6">
                  <c:v>0.20018423873715194</c:v>
                </c:pt>
                <c:pt idx="7">
                  <c:v>0.22121686918766587</c:v>
                </c:pt>
                <c:pt idx="8">
                  <c:v>0.24224949963817979</c:v>
                </c:pt>
                <c:pt idx="9">
                  <c:v>0.26328213008869372</c:v>
                </c:pt>
                <c:pt idx="10">
                  <c:v>0.28431476053920762</c:v>
                </c:pt>
                <c:pt idx="11">
                  <c:v>0.30534739098972152</c:v>
                </c:pt>
                <c:pt idx="12">
                  <c:v>0.32638002144023542</c:v>
                </c:pt>
                <c:pt idx="13">
                  <c:v>0.34741265189074932</c:v>
                </c:pt>
                <c:pt idx="14">
                  <c:v>0.36844528234126322</c:v>
                </c:pt>
                <c:pt idx="15">
                  <c:v>0.38947791279177713</c:v>
                </c:pt>
                <c:pt idx="16">
                  <c:v>0.41051054324229103</c:v>
                </c:pt>
                <c:pt idx="17">
                  <c:v>0.43154317369280493</c:v>
                </c:pt>
                <c:pt idx="18">
                  <c:v>0.45257580414331883</c:v>
                </c:pt>
                <c:pt idx="19">
                  <c:v>0.47360843459383273</c:v>
                </c:pt>
                <c:pt idx="20">
                  <c:v>0.49464106504434663</c:v>
                </c:pt>
                <c:pt idx="21">
                  <c:v>0.51567369549486053</c:v>
                </c:pt>
                <c:pt idx="22">
                  <c:v>0.53670632594537449</c:v>
                </c:pt>
                <c:pt idx="23">
                  <c:v>0.55773895639588844</c:v>
                </c:pt>
                <c:pt idx="24">
                  <c:v>0.5787715868464024</c:v>
                </c:pt>
                <c:pt idx="25">
                  <c:v>0.59980421729691635</c:v>
                </c:pt>
                <c:pt idx="26">
                  <c:v>0.62083684774743031</c:v>
                </c:pt>
                <c:pt idx="27">
                  <c:v>0.64186947819794427</c:v>
                </c:pt>
                <c:pt idx="28">
                  <c:v>0.66290210864845822</c:v>
                </c:pt>
                <c:pt idx="29">
                  <c:v>0.68393473909897218</c:v>
                </c:pt>
                <c:pt idx="30">
                  <c:v>0.70496736954948613</c:v>
                </c:pt>
                <c:pt idx="31">
                  <c:v>0.72599999999999998</c:v>
                </c:pt>
              </c:numCache>
            </c:numRef>
          </c:val>
          <c:extLst>
            <c:ext xmlns:c16="http://schemas.microsoft.com/office/drawing/2014/chart" uri="{C3380CC4-5D6E-409C-BE32-E72D297353CC}">
              <c16:uniqueId val="{00000001-74B1-164D-8150-D0E7F41287E5}"/>
            </c:ext>
          </c:extLst>
        </c:ser>
        <c:ser>
          <c:idx val="2"/>
          <c:order val="2"/>
          <c:tx>
            <c:strRef>
              <c:f>BAU_Scenario!$B$51</c:f>
              <c:strCache>
                <c:ptCount val="1"/>
                <c:pt idx="0">
                  <c:v>Imp_fuelwood</c:v>
                </c:pt>
              </c:strCache>
            </c:strRef>
          </c:tx>
          <c:spPr>
            <a:solidFill>
              <a:schemeClr val="accent3"/>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BAU_Scenario!$N$51:$AS$51</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2-74B1-164D-8150-D0E7F41287E5}"/>
            </c:ext>
          </c:extLst>
        </c:ser>
        <c:ser>
          <c:idx val="3"/>
          <c:order val="3"/>
          <c:tx>
            <c:strRef>
              <c:f>BAU_Scenario!$B$52</c:f>
              <c:strCache>
                <c:ptCount val="1"/>
                <c:pt idx="0">
                  <c:v>Imp_charcoal</c:v>
                </c:pt>
              </c:strCache>
            </c:strRef>
          </c:tx>
          <c:spPr>
            <a:solidFill>
              <a:schemeClr val="accent4"/>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BAU_Scenario!$N$52:$AS$52</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3-74B1-164D-8150-D0E7F41287E5}"/>
            </c:ext>
          </c:extLst>
        </c:ser>
        <c:ser>
          <c:idx val="4"/>
          <c:order val="4"/>
          <c:tx>
            <c:strRef>
              <c:f>BAU_Scenario!$B$53</c:f>
              <c:strCache>
                <c:ptCount val="1"/>
                <c:pt idx="0">
                  <c:v>Gas</c:v>
                </c:pt>
              </c:strCache>
            </c:strRef>
          </c:tx>
          <c:spPr>
            <a:solidFill>
              <a:schemeClr val="accent5"/>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BAU_Scenario!$N$53:$AS$53</c:f>
              <c:numCache>
                <c:formatCode>0%</c:formatCode>
                <c:ptCount val="32"/>
                <c:pt idx="0">
                  <c:v>1.4912204546964868E-4</c:v>
                </c:pt>
                <c:pt idx="1">
                  <c:v>1.4373261588239601E-4</c:v>
                </c:pt>
                <c:pt idx="2">
                  <c:v>1.3834318629514161E-4</c:v>
                </c:pt>
                <c:pt idx="3">
                  <c:v>1.3295375670788895E-4</c:v>
                </c:pt>
                <c:pt idx="4">
                  <c:v>1.2756432712063455E-4</c:v>
                </c:pt>
                <c:pt idx="5">
                  <c:v>1.2217489753338188E-4</c:v>
                </c:pt>
                <c:pt idx="6">
                  <c:v>1.1747586301286719E-4</c:v>
                </c:pt>
                <c:pt idx="7">
                  <c:v>1.127768284923525E-4</c:v>
                </c:pt>
                <c:pt idx="8">
                  <c:v>1.0807779397183781E-4</c:v>
                </c:pt>
                <c:pt idx="9">
                  <c:v>1.0337875945132312E-4</c:v>
                </c:pt>
                <c:pt idx="10">
                  <c:v>9.8679724930808425E-5</c:v>
                </c:pt>
                <c:pt idx="11">
                  <c:v>9.3980690410293733E-5</c:v>
                </c:pt>
                <c:pt idx="12">
                  <c:v>8.9281655889779041E-5</c:v>
                </c:pt>
                <c:pt idx="13">
                  <c:v>8.4582621369264348E-5</c:v>
                </c:pt>
                <c:pt idx="14">
                  <c:v>7.9883586848749656E-5</c:v>
                </c:pt>
                <c:pt idx="15">
                  <c:v>7.5184552328234964E-5</c:v>
                </c:pt>
                <c:pt idx="16">
                  <c:v>7.0485517807720272E-5</c:v>
                </c:pt>
                <c:pt idx="17">
                  <c:v>6.578648328720558E-5</c:v>
                </c:pt>
                <c:pt idx="18">
                  <c:v>6.1087448766690888E-5</c:v>
                </c:pt>
                <c:pt idx="19">
                  <c:v>5.6388414246176203E-5</c:v>
                </c:pt>
                <c:pt idx="20">
                  <c:v>5.1689379725661518E-5</c:v>
                </c:pt>
                <c:pt idx="21">
                  <c:v>4.6990345205146832E-5</c:v>
                </c:pt>
                <c:pt idx="22">
                  <c:v>4.2291310684632147E-5</c:v>
                </c:pt>
                <c:pt idx="23">
                  <c:v>3.7592276164117462E-5</c:v>
                </c:pt>
                <c:pt idx="24">
                  <c:v>3.2893241643602777E-5</c:v>
                </c:pt>
                <c:pt idx="25">
                  <c:v>2.8194207123088088E-5</c:v>
                </c:pt>
                <c:pt idx="26">
                  <c:v>2.3495172602573399E-5</c:v>
                </c:pt>
                <c:pt idx="27">
                  <c:v>1.8796138082058711E-5</c:v>
                </c:pt>
                <c:pt idx="28">
                  <c:v>1.4097103561544022E-5</c:v>
                </c:pt>
                <c:pt idx="29">
                  <c:v>9.3980690410293333E-6</c:v>
                </c:pt>
                <c:pt idx="30">
                  <c:v>4.6990345205146455E-6</c:v>
                </c:pt>
                <c:pt idx="31">
                  <c:v>0</c:v>
                </c:pt>
              </c:numCache>
            </c:numRef>
          </c:val>
          <c:extLst>
            <c:ext xmlns:c16="http://schemas.microsoft.com/office/drawing/2014/chart" uri="{C3380CC4-5D6E-409C-BE32-E72D297353CC}">
              <c16:uniqueId val="{00000004-74B1-164D-8150-D0E7F41287E5}"/>
            </c:ext>
          </c:extLst>
        </c:ser>
        <c:ser>
          <c:idx val="5"/>
          <c:order val="5"/>
          <c:tx>
            <c:strRef>
              <c:f>BAU_Scenario!$B$54</c:f>
              <c:strCache>
                <c:ptCount val="1"/>
                <c:pt idx="0">
                  <c:v>kerosene</c:v>
                </c:pt>
              </c:strCache>
            </c:strRef>
          </c:tx>
          <c:spPr>
            <a:solidFill>
              <a:schemeClr val="accent6"/>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BAU_Scenario!$N$54:$AS$54</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extLst>
            <c:ext xmlns:c16="http://schemas.microsoft.com/office/drawing/2014/chart" uri="{C3380CC4-5D6E-409C-BE32-E72D297353CC}">
              <c16:uniqueId val="{00000005-74B1-164D-8150-D0E7F41287E5}"/>
            </c:ext>
          </c:extLst>
        </c:ser>
        <c:ser>
          <c:idx val="6"/>
          <c:order val="6"/>
          <c:tx>
            <c:strRef>
              <c:f>BAU_Scenario!$B$55</c:f>
              <c:strCache>
                <c:ptCount val="1"/>
                <c:pt idx="0">
                  <c:v>electric</c:v>
                </c:pt>
              </c:strCache>
            </c:strRef>
          </c:tx>
          <c:spPr>
            <a:solidFill>
              <a:schemeClr val="accent1">
                <a:lumMod val="60000"/>
              </a:schemeClr>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BAU_Scenario!$N$55:$AS$55</c:f>
              <c:numCache>
                <c:formatCode>0%</c:formatCode>
                <c:ptCount val="32"/>
                <c:pt idx="0">
                  <c:v>3.0630511516873682E-3</c:v>
                </c:pt>
                <c:pt idx="1">
                  <c:v>2.8272072006909621E-3</c:v>
                </c:pt>
                <c:pt idx="2">
                  <c:v>2.591363249694556E-3</c:v>
                </c:pt>
                <c:pt idx="3">
                  <c:v>2.3555192986981499E-3</c:v>
                </c:pt>
                <c:pt idx="4">
                  <c:v>2.1196753477017438E-3</c:v>
                </c:pt>
                <c:pt idx="5">
                  <c:v>1.8838313967053377E-3</c:v>
                </c:pt>
                <c:pt idx="6">
                  <c:v>1.8113763429859016E-3</c:v>
                </c:pt>
                <c:pt idx="7">
                  <c:v>1.7389212892664654E-3</c:v>
                </c:pt>
                <c:pt idx="8">
                  <c:v>1.6664662355470293E-3</c:v>
                </c:pt>
                <c:pt idx="9">
                  <c:v>1.5940111818275931E-3</c:v>
                </c:pt>
                <c:pt idx="10">
                  <c:v>1.521556128108157E-3</c:v>
                </c:pt>
                <c:pt idx="11">
                  <c:v>1.4491010743887208E-3</c:v>
                </c:pt>
                <c:pt idx="12">
                  <c:v>1.3766460206692847E-3</c:v>
                </c:pt>
                <c:pt idx="13">
                  <c:v>1.3041909669498485E-3</c:v>
                </c:pt>
                <c:pt idx="14">
                  <c:v>1.2317359132304124E-3</c:v>
                </c:pt>
                <c:pt idx="15">
                  <c:v>1.1592808595109762E-3</c:v>
                </c:pt>
                <c:pt idx="16">
                  <c:v>1.0868258057915401E-3</c:v>
                </c:pt>
                <c:pt idx="17">
                  <c:v>1.0143707520721039E-3</c:v>
                </c:pt>
                <c:pt idx="18">
                  <c:v>9.4191569835266789E-4</c:v>
                </c:pt>
                <c:pt idx="19">
                  <c:v>8.6946064463323184E-4</c:v>
                </c:pt>
                <c:pt idx="20">
                  <c:v>7.970055909137958E-4</c:v>
                </c:pt>
                <c:pt idx="21">
                  <c:v>7.2455053719435976E-4</c:v>
                </c:pt>
                <c:pt idx="22">
                  <c:v>6.5209548347492372E-4</c:v>
                </c:pt>
                <c:pt idx="23">
                  <c:v>5.7964042975548768E-4</c:v>
                </c:pt>
                <c:pt idx="24">
                  <c:v>5.0718537603605164E-4</c:v>
                </c:pt>
                <c:pt idx="25">
                  <c:v>4.347303223166156E-4</c:v>
                </c:pt>
                <c:pt idx="26">
                  <c:v>3.6227526859717956E-4</c:v>
                </c:pt>
                <c:pt idx="27">
                  <c:v>2.8982021487774351E-4</c:v>
                </c:pt>
                <c:pt idx="28">
                  <c:v>2.1736516115830745E-4</c:v>
                </c:pt>
                <c:pt idx="29">
                  <c:v>1.4491010743887138E-4</c:v>
                </c:pt>
                <c:pt idx="30">
                  <c:v>7.2455053719435309E-5</c:v>
                </c:pt>
                <c:pt idx="31">
                  <c:v>0</c:v>
                </c:pt>
              </c:numCache>
            </c:numRef>
          </c:val>
          <c:extLst>
            <c:ext xmlns:c16="http://schemas.microsoft.com/office/drawing/2014/chart" uri="{C3380CC4-5D6E-409C-BE32-E72D297353CC}">
              <c16:uniqueId val="{00000006-74B1-164D-8150-D0E7F41287E5}"/>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17777777777777778"/>
          <c:h val="0.84664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805586176727909"/>
        </c:manualLayout>
      </c:layout>
      <c:areaChart>
        <c:grouping val="stacked"/>
        <c:varyColors val="0"/>
        <c:ser>
          <c:idx val="0"/>
          <c:order val="0"/>
          <c:tx>
            <c:strRef>
              <c:f>BAU_Scenario!$B$60</c:f>
              <c:strCache>
                <c:ptCount val="1"/>
                <c:pt idx="0">
                  <c:v>fuelwood</c:v>
                </c:pt>
              </c:strCache>
            </c:strRef>
          </c:tx>
          <c:spPr>
            <a:solidFill>
              <a:schemeClr val="accent1"/>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BAU_Scenario!$N$60:$AS$60</c:f>
              <c:numCache>
                <c:formatCode>0%</c:formatCode>
                <c:ptCount val="32"/>
                <c:pt idx="0">
                  <c:v>0.22865042491388721</c:v>
                </c:pt>
                <c:pt idx="1">
                  <c:v>0.21927932461703747</c:v>
                </c:pt>
                <c:pt idx="2">
                  <c:v>0.20990822432018774</c:v>
                </c:pt>
                <c:pt idx="3">
                  <c:v>0.20053712402333801</c:v>
                </c:pt>
                <c:pt idx="4">
                  <c:v>0.19116602372648828</c:v>
                </c:pt>
                <c:pt idx="5">
                  <c:v>0.18179492342963854</c:v>
                </c:pt>
                <c:pt idx="6">
                  <c:v>0.17480281099003706</c:v>
                </c:pt>
                <c:pt idx="7">
                  <c:v>0.16781069855043557</c:v>
                </c:pt>
                <c:pt idx="8">
                  <c:v>0.16081858611083408</c:v>
                </c:pt>
                <c:pt idx="9">
                  <c:v>0.15382647367123259</c:v>
                </c:pt>
                <c:pt idx="10">
                  <c:v>0.1468343612316311</c:v>
                </c:pt>
                <c:pt idx="11">
                  <c:v>0.13984224879202961</c:v>
                </c:pt>
                <c:pt idx="12">
                  <c:v>0.13285013635242812</c:v>
                </c:pt>
                <c:pt idx="13">
                  <c:v>0.12585802391282663</c:v>
                </c:pt>
                <c:pt idx="14">
                  <c:v>0.11886591147322514</c:v>
                </c:pt>
                <c:pt idx="15">
                  <c:v>0.11187379903362366</c:v>
                </c:pt>
                <c:pt idx="16">
                  <c:v>0.10488168659402217</c:v>
                </c:pt>
                <c:pt idx="17">
                  <c:v>9.7889574154420678E-2</c:v>
                </c:pt>
                <c:pt idx="18">
                  <c:v>9.0897461714819189E-2</c:v>
                </c:pt>
                <c:pt idx="19">
                  <c:v>8.39053492752177E-2</c:v>
                </c:pt>
                <c:pt idx="20">
                  <c:v>7.6913236835616211E-2</c:v>
                </c:pt>
                <c:pt idx="21">
                  <c:v>6.9921124396014722E-2</c:v>
                </c:pt>
                <c:pt idx="22">
                  <c:v>6.2929011956413233E-2</c:v>
                </c:pt>
                <c:pt idx="23">
                  <c:v>5.5936899516811751E-2</c:v>
                </c:pt>
                <c:pt idx="24">
                  <c:v>4.8944787077210269E-2</c:v>
                </c:pt>
                <c:pt idx="25">
                  <c:v>4.1952674637608788E-2</c:v>
                </c:pt>
                <c:pt idx="26">
                  <c:v>3.4960562198007306E-2</c:v>
                </c:pt>
                <c:pt idx="27">
                  <c:v>2.7968449758405824E-2</c:v>
                </c:pt>
                <c:pt idx="28">
                  <c:v>2.0976337318804342E-2</c:v>
                </c:pt>
                <c:pt idx="29">
                  <c:v>1.398422487920286E-2</c:v>
                </c:pt>
                <c:pt idx="30">
                  <c:v>6.992112439601377E-3</c:v>
                </c:pt>
                <c:pt idx="31">
                  <c:v>0</c:v>
                </c:pt>
              </c:numCache>
            </c:numRef>
          </c:val>
          <c:extLst>
            <c:ext xmlns:c16="http://schemas.microsoft.com/office/drawing/2014/chart" uri="{C3380CC4-5D6E-409C-BE32-E72D297353CC}">
              <c16:uniqueId val="{00000000-481C-4B48-96A4-915FD5572E87}"/>
            </c:ext>
          </c:extLst>
        </c:ser>
        <c:ser>
          <c:idx val="1"/>
          <c:order val="1"/>
          <c:tx>
            <c:strRef>
              <c:f>BAU_Scenario!$B$61</c:f>
              <c:strCache>
                <c:ptCount val="1"/>
                <c:pt idx="0">
                  <c:v>charcoal</c:v>
                </c:pt>
              </c:strCache>
            </c:strRef>
          </c:tx>
          <c:spPr>
            <a:solidFill>
              <a:schemeClr val="accent2"/>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BAU_Scenario!$N$61:$AS$61</c:f>
              <c:numCache>
                <c:formatCode>0%</c:formatCode>
                <c:ptCount val="32"/>
                <c:pt idx="0">
                  <c:v>0.68452656558811142</c:v>
                </c:pt>
                <c:pt idx="1">
                  <c:v>0.69776780387200787</c:v>
                </c:pt>
                <c:pt idx="2">
                  <c:v>0.71100904215590432</c:v>
                </c:pt>
                <c:pt idx="3">
                  <c:v>0.72425028043979722</c:v>
                </c:pt>
                <c:pt idx="4">
                  <c:v>0.73749151872369367</c:v>
                </c:pt>
                <c:pt idx="5">
                  <c:v>0.75073275700759012</c:v>
                </c:pt>
                <c:pt idx="6">
                  <c:v>0.75716611250729815</c:v>
                </c:pt>
                <c:pt idx="7">
                  <c:v>0.76359946800700618</c:v>
                </c:pt>
                <c:pt idx="8">
                  <c:v>0.7700328235067142</c:v>
                </c:pt>
                <c:pt idx="9">
                  <c:v>0.77646617900642223</c:v>
                </c:pt>
                <c:pt idx="10">
                  <c:v>0.78289953450613026</c:v>
                </c:pt>
                <c:pt idx="11">
                  <c:v>0.78933289000583828</c:v>
                </c:pt>
                <c:pt idx="12">
                  <c:v>0.79576624550554631</c:v>
                </c:pt>
                <c:pt idx="13">
                  <c:v>0.80219960100525434</c:v>
                </c:pt>
                <c:pt idx="14">
                  <c:v>0.80863295650496236</c:v>
                </c:pt>
                <c:pt idx="15">
                  <c:v>0.81506631200467039</c:v>
                </c:pt>
                <c:pt idx="16">
                  <c:v>0.82149966750437842</c:v>
                </c:pt>
                <c:pt idx="17">
                  <c:v>0.82793302300408644</c:v>
                </c:pt>
                <c:pt idx="18">
                  <c:v>0.83436637850379447</c:v>
                </c:pt>
                <c:pt idx="19">
                  <c:v>0.8407997340035025</c:v>
                </c:pt>
                <c:pt idx="20">
                  <c:v>0.84723308950321052</c:v>
                </c:pt>
                <c:pt idx="21">
                  <c:v>0.85366644500291855</c:v>
                </c:pt>
                <c:pt idx="22">
                  <c:v>0.86009980050262658</c:v>
                </c:pt>
                <c:pt idx="23">
                  <c:v>0.8665331560023346</c:v>
                </c:pt>
                <c:pt idx="24">
                  <c:v>0.87296651150204263</c:v>
                </c:pt>
                <c:pt idx="25">
                  <c:v>0.87939986700175066</c:v>
                </c:pt>
                <c:pt idx="26">
                  <c:v>0.88583322250145868</c:v>
                </c:pt>
                <c:pt idx="27">
                  <c:v>0.89226657800116671</c:v>
                </c:pt>
                <c:pt idx="28">
                  <c:v>0.89869993350087474</c:v>
                </c:pt>
                <c:pt idx="29">
                  <c:v>0.90513328900058276</c:v>
                </c:pt>
                <c:pt idx="30">
                  <c:v>0.91156664450029079</c:v>
                </c:pt>
                <c:pt idx="31">
                  <c:v>0.91799999999999993</c:v>
                </c:pt>
              </c:numCache>
            </c:numRef>
          </c:val>
          <c:extLst>
            <c:ext xmlns:c16="http://schemas.microsoft.com/office/drawing/2014/chart" uri="{C3380CC4-5D6E-409C-BE32-E72D297353CC}">
              <c16:uniqueId val="{00000001-481C-4B48-96A4-915FD5572E87}"/>
            </c:ext>
          </c:extLst>
        </c:ser>
        <c:ser>
          <c:idx val="2"/>
          <c:order val="2"/>
          <c:tx>
            <c:strRef>
              <c:f>BAU_Scenario!$B$62</c:f>
              <c:strCache>
                <c:ptCount val="1"/>
                <c:pt idx="0">
                  <c:v>Imp_fuelwood</c:v>
                </c:pt>
              </c:strCache>
            </c:strRef>
          </c:tx>
          <c:spPr>
            <a:solidFill>
              <a:schemeClr val="accent3"/>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BAU_Scenario!$N$62:$AS$62</c:f>
              <c:numCache>
                <c:formatCode>0.0%</c:formatCode>
                <c:ptCount val="32"/>
                <c:pt idx="0">
                  <c:v>9.5031055900625105E-3</c:v>
                </c:pt>
                <c:pt idx="1">
                  <c:v>1.1242236024845198E-2</c:v>
                </c:pt>
                <c:pt idx="2">
                  <c:v>1.2981366459627441E-2</c:v>
                </c:pt>
                <c:pt idx="3">
                  <c:v>1.4720496894410129E-2</c:v>
                </c:pt>
                <c:pt idx="4">
                  <c:v>1.6459627329192816E-2</c:v>
                </c:pt>
                <c:pt idx="5">
                  <c:v>1.8198757763975504E-2</c:v>
                </c:pt>
                <c:pt idx="6" formatCode="0%">
                  <c:v>1.9806497849976446E-2</c:v>
                </c:pt>
                <c:pt idx="7" formatCode="0%">
                  <c:v>2.1414237935977389E-2</c:v>
                </c:pt>
                <c:pt idx="8" formatCode="0%">
                  <c:v>2.3021978021978331E-2</c:v>
                </c:pt>
                <c:pt idx="9" formatCode="0%">
                  <c:v>2.4629718107979273E-2</c:v>
                </c:pt>
                <c:pt idx="10" formatCode="0%">
                  <c:v>2.6237458193980216E-2</c:v>
                </c:pt>
                <c:pt idx="11" formatCode="0%">
                  <c:v>2.7845198279981158E-2</c:v>
                </c:pt>
                <c:pt idx="12" formatCode="0%">
                  <c:v>2.94529383659821E-2</c:v>
                </c:pt>
                <c:pt idx="13" formatCode="0%">
                  <c:v>3.1060678451983043E-2</c:v>
                </c:pt>
                <c:pt idx="14" formatCode="0%">
                  <c:v>3.2668418537983981E-2</c:v>
                </c:pt>
                <c:pt idx="15" formatCode="0%">
                  <c:v>3.427615862398492E-2</c:v>
                </c:pt>
                <c:pt idx="16" formatCode="0%">
                  <c:v>3.5883898709985859E-2</c:v>
                </c:pt>
                <c:pt idx="17" formatCode="0%">
                  <c:v>3.7491638795986798E-2</c:v>
                </c:pt>
                <c:pt idx="18" formatCode="0%">
                  <c:v>3.9099378881987737E-2</c:v>
                </c:pt>
                <c:pt idx="19" formatCode="0%">
                  <c:v>4.0707118967988676E-2</c:v>
                </c:pt>
                <c:pt idx="20" formatCode="0%">
                  <c:v>4.2314859053989615E-2</c:v>
                </c:pt>
                <c:pt idx="21" formatCode="0%">
                  <c:v>4.3922599139990554E-2</c:v>
                </c:pt>
                <c:pt idx="22" formatCode="0%">
                  <c:v>4.5530339225991492E-2</c:v>
                </c:pt>
                <c:pt idx="23" formatCode="0%">
                  <c:v>4.7138079311992431E-2</c:v>
                </c:pt>
                <c:pt idx="24" formatCode="0%">
                  <c:v>4.874581939799337E-2</c:v>
                </c:pt>
                <c:pt idx="25" formatCode="0%">
                  <c:v>5.0353559483994309E-2</c:v>
                </c:pt>
                <c:pt idx="26" formatCode="0%">
                  <c:v>5.1961299569995248E-2</c:v>
                </c:pt>
                <c:pt idx="27" formatCode="0%">
                  <c:v>5.3569039655996187E-2</c:v>
                </c:pt>
                <c:pt idx="28" formatCode="0%">
                  <c:v>5.5176779741997126E-2</c:v>
                </c:pt>
                <c:pt idx="29" formatCode="0%">
                  <c:v>5.6784519827998065E-2</c:v>
                </c:pt>
                <c:pt idx="30" formatCode="0%">
                  <c:v>5.8392259913999003E-2</c:v>
                </c:pt>
                <c:pt idx="31" formatCode="0%">
                  <c:v>0.06</c:v>
                </c:pt>
              </c:numCache>
            </c:numRef>
          </c:val>
          <c:extLst>
            <c:ext xmlns:c16="http://schemas.microsoft.com/office/drawing/2014/chart" uri="{C3380CC4-5D6E-409C-BE32-E72D297353CC}">
              <c16:uniqueId val="{00000002-481C-4B48-96A4-915FD5572E87}"/>
            </c:ext>
          </c:extLst>
        </c:ser>
        <c:ser>
          <c:idx val="3"/>
          <c:order val="3"/>
          <c:tx>
            <c:strRef>
              <c:f>BAU_Scenario!$B$63</c:f>
              <c:strCache>
                <c:ptCount val="1"/>
                <c:pt idx="0">
                  <c:v>Imp_charcoal</c:v>
                </c:pt>
              </c:strCache>
            </c:strRef>
          </c:tx>
          <c:spPr>
            <a:solidFill>
              <a:schemeClr val="accent4"/>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BAU_Scenario!$N$63:$AS$63</c:f>
              <c:numCache>
                <c:formatCode>0.0%</c:formatCode>
                <c:ptCount val="32"/>
                <c:pt idx="0">
                  <c:v>3.1677018633540222E-3</c:v>
                </c:pt>
                <c:pt idx="1">
                  <c:v>3.7474120082814366E-3</c:v>
                </c:pt>
                <c:pt idx="2">
                  <c:v>4.3271221532090731E-3</c:v>
                </c:pt>
                <c:pt idx="3">
                  <c:v>4.9068322981364876E-3</c:v>
                </c:pt>
                <c:pt idx="4">
                  <c:v>5.4865424430641241E-3</c:v>
                </c:pt>
                <c:pt idx="5">
                  <c:v>6.0662525879917606E-3</c:v>
                </c:pt>
                <c:pt idx="6" formatCode="0%">
                  <c:v>6.6021659499920773E-3</c:v>
                </c:pt>
                <c:pt idx="7" formatCode="0%">
                  <c:v>7.138079311992394E-3</c:v>
                </c:pt>
                <c:pt idx="8" formatCode="0%">
                  <c:v>7.6739926739927107E-3</c:v>
                </c:pt>
                <c:pt idx="9" formatCode="0%">
                  <c:v>8.2099060359930275E-3</c:v>
                </c:pt>
                <c:pt idx="10" formatCode="0%">
                  <c:v>8.745819397993345E-3</c:v>
                </c:pt>
                <c:pt idx="11" formatCode="0%">
                  <c:v>9.2817327599936626E-3</c:v>
                </c:pt>
                <c:pt idx="12" formatCode="0%">
                  <c:v>9.8176461219939802E-3</c:v>
                </c:pt>
                <c:pt idx="13" formatCode="0%">
                  <c:v>1.0353559483994298E-2</c:v>
                </c:pt>
                <c:pt idx="14" formatCode="0%">
                  <c:v>1.0889472845994615E-2</c:v>
                </c:pt>
                <c:pt idx="15" formatCode="0%">
                  <c:v>1.1425386207994933E-2</c:v>
                </c:pt>
                <c:pt idx="16" formatCode="0%">
                  <c:v>1.1961299569995251E-2</c:v>
                </c:pt>
                <c:pt idx="17" formatCode="0%">
                  <c:v>1.2497212931995568E-2</c:v>
                </c:pt>
                <c:pt idx="18" formatCode="0%">
                  <c:v>1.3033126293995886E-2</c:v>
                </c:pt>
                <c:pt idx="19" formatCode="0%">
                  <c:v>1.3569039655996203E-2</c:v>
                </c:pt>
                <c:pt idx="20" formatCode="0%">
                  <c:v>1.4104953017996521E-2</c:v>
                </c:pt>
                <c:pt idx="21" formatCode="0%">
                  <c:v>1.4640866379996838E-2</c:v>
                </c:pt>
                <c:pt idx="22" formatCode="0%">
                  <c:v>1.5176779741997156E-2</c:v>
                </c:pt>
                <c:pt idx="23" formatCode="0%">
                  <c:v>1.5712693103997474E-2</c:v>
                </c:pt>
                <c:pt idx="24" formatCode="0%">
                  <c:v>1.6248606465997791E-2</c:v>
                </c:pt>
                <c:pt idx="25" formatCode="0%">
                  <c:v>1.6784519827998109E-2</c:v>
                </c:pt>
                <c:pt idx="26" formatCode="0%">
                  <c:v>1.7320433189998426E-2</c:v>
                </c:pt>
                <c:pt idx="27" formatCode="0%">
                  <c:v>1.7856346551998744E-2</c:v>
                </c:pt>
                <c:pt idx="28" formatCode="0%">
                  <c:v>1.8392259913999062E-2</c:v>
                </c:pt>
                <c:pt idx="29" formatCode="0%">
                  <c:v>1.8928173275999379E-2</c:v>
                </c:pt>
                <c:pt idx="30" formatCode="0%">
                  <c:v>1.9464086637999697E-2</c:v>
                </c:pt>
                <c:pt idx="31" formatCode="0%">
                  <c:v>0.02</c:v>
                </c:pt>
              </c:numCache>
            </c:numRef>
          </c:val>
          <c:extLst>
            <c:ext xmlns:c16="http://schemas.microsoft.com/office/drawing/2014/chart" uri="{C3380CC4-5D6E-409C-BE32-E72D297353CC}">
              <c16:uniqueId val="{00000003-481C-4B48-96A4-915FD5572E87}"/>
            </c:ext>
          </c:extLst>
        </c:ser>
        <c:ser>
          <c:idx val="4"/>
          <c:order val="4"/>
          <c:tx>
            <c:strRef>
              <c:f>BAU_Scenario!$B$64</c:f>
              <c:strCache>
                <c:ptCount val="1"/>
                <c:pt idx="0">
                  <c:v>Gas</c:v>
                </c:pt>
              </c:strCache>
            </c:strRef>
          </c:tx>
          <c:spPr>
            <a:solidFill>
              <a:schemeClr val="accent5"/>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BAU_Scenario!$N$64:$AS$64</c:f>
              <c:numCache>
                <c:formatCode>0.0%</c:formatCode>
                <c:ptCount val="32"/>
                <c:pt idx="0">
                  <c:v>3.654015413888545E-3</c:v>
                </c:pt>
                <c:pt idx="1">
                  <c:v>4.1214048104333267E-3</c:v>
                </c:pt>
                <c:pt idx="2">
                  <c:v>4.5887942069779974E-3</c:v>
                </c:pt>
                <c:pt idx="3">
                  <c:v>5.0561836035227792E-3</c:v>
                </c:pt>
                <c:pt idx="4">
                  <c:v>5.5235730000675609E-3</c:v>
                </c:pt>
                <c:pt idx="5">
                  <c:v>5.9909623966122316E-3</c:v>
                </c:pt>
                <c:pt idx="6" formatCode="0%">
                  <c:v>5.7605407659732993E-3</c:v>
                </c:pt>
                <c:pt idx="7" formatCode="0%">
                  <c:v>5.530119135334367E-3</c:v>
                </c:pt>
                <c:pt idx="8" formatCode="0%">
                  <c:v>5.2996975046954347E-3</c:v>
                </c:pt>
                <c:pt idx="9" formatCode="0%">
                  <c:v>5.0692758740565023E-3</c:v>
                </c:pt>
                <c:pt idx="10" formatCode="0%">
                  <c:v>4.83885424341757E-3</c:v>
                </c:pt>
                <c:pt idx="11" formatCode="0%">
                  <c:v>4.6084326127786377E-3</c:v>
                </c:pt>
                <c:pt idx="12" formatCode="0%">
                  <c:v>4.3780109821397054E-3</c:v>
                </c:pt>
                <c:pt idx="13" formatCode="0%">
                  <c:v>4.1475893515007731E-3</c:v>
                </c:pt>
                <c:pt idx="14" formatCode="0%">
                  <c:v>3.9171677208618408E-3</c:v>
                </c:pt>
                <c:pt idx="15" formatCode="0%">
                  <c:v>3.6867460902229089E-3</c:v>
                </c:pt>
                <c:pt idx="16" formatCode="0%">
                  <c:v>3.456324459583977E-3</c:v>
                </c:pt>
                <c:pt idx="17" formatCode="0%">
                  <c:v>3.2259028289450451E-3</c:v>
                </c:pt>
                <c:pt idx="18" formatCode="0%">
                  <c:v>2.9954811983061132E-3</c:v>
                </c:pt>
                <c:pt idx="19" formatCode="0%">
                  <c:v>2.7650595676671813E-3</c:v>
                </c:pt>
                <c:pt idx="20" formatCode="0%">
                  <c:v>2.5346379370282494E-3</c:v>
                </c:pt>
                <c:pt idx="21" formatCode="0%">
                  <c:v>2.3042163063893176E-3</c:v>
                </c:pt>
                <c:pt idx="22" formatCode="0%">
                  <c:v>2.0737946757503857E-3</c:v>
                </c:pt>
                <c:pt idx="23" formatCode="0%">
                  <c:v>1.8433730451114538E-3</c:v>
                </c:pt>
                <c:pt idx="24" formatCode="0%">
                  <c:v>1.6129514144725219E-3</c:v>
                </c:pt>
                <c:pt idx="25" formatCode="0%">
                  <c:v>1.38252978383359E-3</c:v>
                </c:pt>
                <c:pt idx="26" formatCode="0%">
                  <c:v>1.1521081531946581E-3</c:v>
                </c:pt>
                <c:pt idx="27" formatCode="0%">
                  <c:v>9.2168652255572613E-4</c:v>
                </c:pt>
                <c:pt idx="28" formatCode="0%">
                  <c:v>6.9126489191679414E-4</c:v>
                </c:pt>
                <c:pt idx="29" formatCode="0%">
                  <c:v>4.6084326127786214E-4</c:v>
                </c:pt>
                <c:pt idx="30" formatCode="0%">
                  <c:v>2.3042163063893015E-4</c:v>
                </c:pt>
                <c:pt idx="31" formatCode="0%">
                  <c:v>0</c:v>
                </c:pt>
              </c:numCache>
            </c:numRef>
          </c:val>
          <c:extLst>
            <c:ext xmlns:c16="http://schemas.microsoft.com/office/drawing/2014/chart" uri="{C3380CC4-5D6E-409C-BE32-E72D297353CC}">
              <c16:uniqueId val="{00000004-481C-4B48-96A4-915FD5572E87}"/>
            </c:ext>
          </c:extLst>
        </c:ser>
        <c:ser>
          <c:idx val="5"/>
          <c:order val="5"/>
          <c:tx>
            <c:strRef>
              <c:f>BAU_Scenario!$B$65</c:f>
              <c:strCache>
                <c:ptCount val="1"/>
                <c:pt idx="0">
                  <c:v>kerosene</c:v>
                </c:pt>
              </c:strCache>
            </c:strRef>
          </c:tx>
          <c:spPr>
            <a:solidFill>
              <a:schemeClr val="accent6"/>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BAU_Scenario!$N$65:$AS$65</c:f>
              <c:numCache>
                <c:formatCode>0.0%</c:formatCode>
                <c:ptCount val="32"/>
                <c:pt idx="0">
                  <c:v>4.0579710144927894E-4</c:v>
                </c:pt>
                <c:pt idx="1">
                  <c:v>3.1884057971015567E-4</c:v>
                </c:pt>
                <c:pt idx="2">
                  <c:v>2.318840579710324E-4</c:v>
                </c:pt>
                <c:pt idx="3">
                  <c:v>1.4492753623190913E-4</c:v>
                </c:pt>
                <c:pt idx="4">
                  <c:v>5.7971014492785855E-5</c:v>
                </c:pt>
                <c:pt idx="5">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pt idx="15" formatCode="0%">
                  <c:v>0</c:v>
                </c:pt>
                <c:pt idx="16" formatCode="0%">
                  <c:v>0</c:v>
                </c:pt>
                <c:pt idx="17" formatCode="0%">
                  <c:v>0</c:v>
                </c:pt>
                <c:pt idx="18" formatCode="0%">
                  <c:v>0</c:v>
                </c:pt>
                <c:pt idx="19" formatCode="0%">
                  <c:v>0</c:v>
                </c:pt>
                <c:pt idx="20" formatCode="0%">
                  <c:v>0</c:v>
                </c:pt>
                <c:pt idx="21" formatCode="0%">
                  <c:v>0</c:v>
                </c:pt>
                <c:pt idx="22" formatCode="0%">
                  <c:v>0</c:v>
                </c:pt>
                <c:pt idx="23" formatCode="0%">
                  <c:v>0</c:v>
                </c:pt>
                <c:pt idx="24" formatCode="0%">
                  <c:v>0</c:v>
                </c:pt>
                <c:pt idx="25" formatCode="0%">
                  <c:v>0</c:v>
                </c:pt>
                <c:pt idx="26" formatCode="0%">
                  <c:v>0</c:v>
                </c:pt>
                <c:pt idx="27" formatCode="0%">
                  <c:v>0</c:v>
                </c:pt>
                <c:pt idx="28" formatCode="0%">
                  <c:v>0</c:v>
                </c:pt>
                <c:pt idx="29" formatCode="0%">
                  <c:v>0</c:v>
                </c:pt>
                <c:pt idx="30" formatCode="0%">
                  <c:v>0</c:v>
                </c:pt>
                <c:pt idx="31" formatCode="0%">
                  <c:v>0</c:v>
                </c:pt>
              </c:numCache>
            </c:numRef>
          </c:val>
          <c:extLst>
            <c:ext xmlns:c16="http://schemas.microsoft.com/office/drawing/2014/chart" uri="{C3380CC4-5D6E-409C-BE32-E72D297353CC}">
              <c16:uniqueId val="{00000005-481C-4B48-96A4-915FD5572E87}"/>
            </c:ext>
          </c:extLst>
        </c:ser>
        <c:ser>
          <c:idx val="6"/>
          <c:order val="6"/>
          <c:tx>
            <c:strRef>
              <c:f>BAU_Scenario!$B$66</c:f>
              <c:strCache>
                <c:ptCount val="1"/>
                <c:pt idx="0">
                  <c:v>electric</c:v>
                </c:pt>
              </c:strCache>
            </c:strRef>
          </c:tx>
          <c:spPr>
            <a:solidFill>
              <a:schemeClr val="accent1">
                <a:lumMod val="60000"/>
              </a:schemeClr>
            </a:solidFill>
            <a:ln w="25400">
              <a:noFill/>
            </a:ln>
            <a:effectLst/>
          </c:spPr>
          <c:cat>
            <c:numRef>
              <c:f>BAU_Scenario!$N$37:$AS$37</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cat>
          <c:val>
            <c:numRef>
              <c:f>BAU_Scenario!$N$66:$AS$66</c:f>
              <c:numCache>
                <c:formatCode>0%</c:formatCode>
                <c:ptCount val="32"/>
                <c:pt idx="0">
                  <c:v>8.1030122728944498E-2</c:v>
                </c:pt>
                <c:pt idx="1">
                  <c:v>7.7236915598794198E-2</c:v>
                </c:pt>
                <c:pt idx="2">
                  <c:v>7.344370846864301E-2</c:v>
                </c:pt>
                <c:pt idx="3">
                  <c:v>6.965050133849271E-2</c:v>
                </c:pt>
                <c:pt idx="4">
                  <c:v>6.5857294208341521E-2</c:v>
                </c:pt>
                <c:pt idx="5">
                  <c:v>6.2064087078191221E-2</c:v>
                </c:pt>
                <c:pt idx="6">
                  <c:v>5.9677006805953101E-2</c:v>
                </c:pt>
                <c:pt idx="7">
                  <c:v>5.728992653371498E-2</c:v>
                </c:pt>
                <c:pt idx="8">
                  <c:v>5.4902846261476859E-2</c:v>
                </c:pt>
                <c:pt idx="9">
                  <c:v>5.2515765989238739E-2</c:v>
                </c:pt>
                <c:pt idx="10">
                  <c:v>5.0128685717000618E-2</c:v>
                </c:pt>
                <c:pt idx="11">
                  <c:v>4.7741605444762497E-2</c:v>
                </c:pt>
                <c:pt idx="12">
                  <c:v>4.5354525172524376E-2</c:v>
                </c:pt>
                <c:pt idx="13">
                  <c:v>4.2967444900286256E-2</c:v>
                </c:pt>
                <c:pt idx="14">
                  <c:v>4.0580364628048135E-2</c:v>
                </c:pt>
                <c:pt idx="15">
                  <c:v>3.8193284355810014E-2</c:v>
                </c:pt>
                <c:pt idx="16">
                  <c:v>3.5806204083571894E-2</c:v>
                </c:pt>
                <c:pt idx="17">
                  <c:v>3.3419123811333773E-2</c:v>
                </c:pt>
                <c:pt idx="18">
                  <c:v>3.1032043539095649E-2</c:v>
                </c:pt>
                <c:pt idx="19">
                  <c:v>2.8644963266857525E-2</c:v>
                </c:pt>
                <c:pt idx="20">
                  <c:v>2.62578829946194E-2</c:v>
                </c:pt>
                <c:pt idx="21">
                  <c:v>2.3870802722381276E-2</c:v>
                </c:pt>
                <c:pt idx="22">
                  <c:v>2.1483722450143152E-2</c:v>
                </c:pt>
                <c:pt idx="23">
                  <c:v>1.9096642177905028E-2</c:v>
                </c:pt>
                <c:pt idx="24">
                  <c:v>1.6709561905666904E-2</c:v>
                </c:pt>
                <c:pt idx="25">
                  <c:v>1.432248163342878E-2</c:v>
                </c:pt>
                <c:pt idx="26">
                  <c:v>1.1935401361190656E-2</c:v>
                </c:pt>
                <c:pt idx="27">
                  <c:v>9.5483210889525313E-3</c:v>
                </c:pt>
                <c:pt idx="28">
                  <c:v>7.1612408167144072E-3</c:v>
                </c:pt>
                <c:pt idx="29">
                  <c:v>4.774160544476283E-3</c:v>
                </c:pt>
                <c:pt idx="30">
                  <c:v>2.3870802722381593E-3</c:v>
                </c:pt>
                <c:pt idx="31">
                  <c:v>0</c:v>
                </c:pt>
              </c:numCache>
            </c:numRef>
          </c:val>
          <c:extLst>
            <c:ext xmlns:c16="http://schemas.microsoft.com/office/drawing/2014/chart" uri="{C3380CC4-5D6E-409C-BE32-E72D297353CC}">
              <c16:uniqueId val="{00000006-481C-4B48-96A4-915FD5572E87}"/>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17777777777777778"/>
          <c:h val="0.84664406532516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6038836247164021"/>
        </c:manualLayout>
      </c:layout>
      <c:areaChart>
        <c:grouping val="stacked"/>
        <c:varyColors val="0"/>
        <c:ser>
          <c:idx val="1"/>
          <c:order val="0"/>
          <c:tx>
            <c:strRef>
              <c:f>BAU_Fuel_cons!$B$2</c:f>
              <c:strCache>
                <c:ptCount val="1"/>
                <c:pt idx="0">
                  <c:v>fuelwood</c:v>
                </c:pt>
              </c:strCache>
            </c:strRef>
          </c:tx>
          <c:spPr>
            <a:solidFill>
              <a:schemeClr val="accent2"/>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BAU_Fuel_cons!$O$2:$AS$2</c:f>
              <c:numCache>
                <c:formatCode>0.00</c:formatCode>
                <c:ptCount val="31"/>
                <c:pt idx="0">
                  <c:v>9.3353150588899254</c:v>
                </c:pt>
                <c:pt idx="1">
                  <c:v>9.4245601111387725</c:v>
                </c:pt>
                <c:pt idx="2">
                  <c:v>9.5062239340466093</c:v>
                </c:pt>
                <c:pt idx="3">
                  <c:v>9.5800631255129165</c:v>
                </c:pt>
                <c:pt idx="4">
                  <c:v>9.645926269820329</c:v>
                </c:pt>
                <c:pt idx="5">
                  <c:v>9.6216309712248069</c:v>
                </c:pt>
                <c:pt idx="6">
                  <c:v>9.585456264708812</c:v>
                </c:pt>
                <c:pt idx="7">
                  <c:v>9.5366785821764797</c:v>
                </c:pt>
                <c:pt idx="8">
                  <c:v>9.4744403719698784</c:v>
                </c:pt>
                <c:pt idx="9">
                  <c:v>9.3978393883851954</c:v>
                </c:pt>
                <c:pt idx="10">
                  <c:v>9.3061476122930173</c:v>
                </c:pt>
                <c:pt idx="11">
                  <c:v>9.1989180571921132</c:v>
                </c:pt>
                <c:pt idx="12">
                  <c:v>9.075894040445192</c:v>
                </c:pt>
                <c:pt idx="13">
                  <c:v>8.9368413234327555</c:v>
                </c:pt>
                <c:pt idx="14">
                  <c:v>8.7816419432347654</c:v>
                </c:pt>
                <c:pt idx="15">
                  <c:v>8.6114656853663956</c:v>
                </c:pt>
                <c:pt idx="16">
                  <c:v>8.4261490254786686</c:v>
                </c:pt>
                <c:pt idx="17">
                  <c:v>8.225471683916501</c:v>
                </c:pt>
                <c:pt idx="18">
                  <c:v>8.0092885934518012</c:v>
                </c:pt>
                <c:pt idx="19">
                  <c:v>7.7774735445235974</c:v>
                </c:pt>
                <c:pt idx="20">
                  <c:v>7.5299274673192746</c:v>
                </c:pt>
                <c:pt idx="21">
                  <c:v>7.2665572332630415</c:v>
                </c:pt>
                <c:pt idx="22">
                  <c:v>6.9872866740556141</c:v>
                </c:pt>
                <c:pt idx="23">
                  <c:v>6.6920509148706664</c:v>
                </c:pt>
                <c:pt idx="24">
                  <c:v>6.3808059302888527</c:v>
                </c:pt>
                <c:pt idx="25">
                  <c:v>6.0535559389091462</c:v>
                </c:pt>
                <c:pt idx="26">
                  <c:v>5.7103376568881785</c:v>
                </c:pt>
                <c:pt idx="27">
                  <c:v>5.3512352401890775</c:v>
                </c:pt>
                <c:pt idx="28">
                  <c:v>4.9763709965592176</c:v>
                </c:pt>
                <c:pt idx="29">
                  <c:v>4.5858964984714934</c:v>
                </c:pt>
                <c:pt idx="30">
                  <c:v>4.1799751533379492</c:v>
                </c:pt>
              </c:numCache>
            </c:numRef>
          </c:val>
          <c:extLst>
            <c:ext xmlns:c16="http://schemas.microsoft.com/office/drawing/2014/chart" uri="{C3380CC4-5D6E-409C-BE32-E72D297353CC}">
              <c16:uniqueId val="{00000001-D454-9D46-8578-739E9F42C265}"/>
            </c:ext>
          </c:extLst>
        </c:ser>
        <c:ser>
          <c:idx val="2"/>
          <c:order val="1"/>
          <c:tx>
            <c:strRef>
              <c:f>BAU_Fuel_cons!$B$3</c:f>
              <c:strCache>
                <c:ptCount val="1"/>
                <c:pt idx="0">
                  <c:v>charcoal</c:v>
                </c:pt>
              </c:strCache>
            </c:strRef>
          </c:tx>
          <c:spPr>
            <a:solidFill>
              <a:schemeClr val="accent3"/>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BAU_Fuel_cons!$O$3:$AS$3</c:f>
              <c:numCache>
                <c:formatCode>0.00</c:formatCode>
                <c:ptCount val="31"/>
                <c:pt idx="0">
                  <c:v>1.5894496465450823</c:v>
                </c:pt>
                <c:pt idx="1">
                  <c:v>1.712228575628149</c:v>
                </c:pt>
                <c:pt idx="2">
                  <c:v>1.8407169238723902</c:v>
                </c:pt>
                <c:pt idx="3">
                  <c:v>1.9750209659669049</c:v>
                </c:pt>
                <c:pt idx="4">
                  <c:v>2.11524052124844</c:v>
                </c:pt>
                <c:pt idx="5">
                  <c:v>2.2740278908900833</c:v>
                </c:pt>
                <c:pt idx="6">
                  <c:v>2.4389165402245556</c:v>
                </c:pt>
                <c:pt idx="7">
                  <c:v>2.6099101255443076</c:v>
                </c:pt>
                <c:pt idx="8">
                  <c:v>2.7869533503550392</c:v>
                </c:pt>
                <c:pt idx="9">
                  <c:v>2.9699406684437868</c:v>
                </c:pt>
                <c:pt idx="10">
                  <c:v>3.1587516484594067</c:v>
                </c:pt>
                <c:pt idx="11">
                  <c:v>3.3532717625426938</c:v>
                </c:pt>
                <c:pt idx="12">
                  <c:v>3.5533922147239814</c:v>
                </c:pt>
                <c:pt idx="13">
                  <c:v>3.7589656994963025</c:v>
                </c:pt>
                <c:pt idx="14">
                  <c:v>3.9697918373643475</c:v>
                </c:pt>
                <c:pt idx="15">
                  <c:v>4.1867034757963388</c:v>
                </c:pt>
                <c:pt idx="16">
                  <c:v>4.4095625619109615</c:v>
                </c:pt>
                <c:pt idx="17">
                  <c:v>4.6383210457682305</c:v>
                </c:pt>
                <c:pt idx="18">
                  <c:v>4.8729522700795425</c:v>
                </c:pt>
                <c:pt idx="19">
                  <c:v>5.1134282303055834</c:v>
                </c:pt>
                <c:pt idx="20">
                  <c:v>5.3597099765995804</c:v>
                </c:pt>
                <c:pt idx="21">
                  <c:v>5.611729665395389</c:v>
                </c:pt>
                <c:pt idx="22">
                  <c:v>5.8694015464448306</c:v>
                </c:pt>
                <c:pt idx="23">
                  <c:v>6.1326311919535987</c:v>
                </c:pt>
                <c:pt idx="24">
                  <c:v>6.4013096931771205</c:v>
                </c:pt>
                <c:pt idx="25">
                  <c:v>6.6753215739002272</c:v>
                </c:pt>
                <c:pt idx="26">
                  <c:v>6.9545387521769602</c:v>
                </c:pt>
                <c:pt idx="27">
                  <c:v>7.2388273187189496</c:v>
                </c:pt>
                <c:pt idx="28">
                  <c:v>7.5280537997943524</c:v>
                </c:pt>
                <c:pt idx="29">
                  <c:v>7.8220759670786624</c:v>
                </c:pt>
                <c:pt idx="30">
                  <c:v>8.1207387606642847</c:v>
                </c:pt>
              </c:numCache>
            </c:numRef>
          </c:val>
          <c:extLst>
            <c:ext xmlns:c16="http://schemas.microsoft.com/office/drawing/2014/chart" uri="{C3380CC4-5D6E-409C-BE32-E72D297353CC}">
              <c16:uniqueId val="{00000002-D454-9D46-8578-739E9F42C265}"/>
            </c:ext>
          </c:extLst>
        </c:ser>
        <c:ser>
          <c:idx val="3"/>
          <c:order val="2"/>
          <c:tx>
            <c:strRef>
              <c:f>BAU_Fuel_cons!$B$4</c:f>
              <c:strCache>
                <c:ptCount val="1"/>
                <c:pt idx="0">
                  <c:v>Imp_fuelwood</c:v>
                </c:pt>
              </c:strCache>
            </c:strRef>
          </c:tx>
          <c:spPr>
            <a:solidFill>
              <a:schemeClr val="accent4"/>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BAU_Fuel_cons!$O$4:$AS$4</c:f>
              <c:numCache>
                <c:formatCode>0.00</c:formatCode>
                <c:ptCount val="31"/>
                <c:pt idx="0">
                  <c:v>3.961453347891325E-2</c:v>
                </c:pt>
                <c:pt idx="1">
                  <c:v>4.7778312858962259E-2</c:v>
                </c:pt>
                <c:pt idx="2">
                  <c:v>5.6563920870320181E-2</c:v>
                </c:pt>
                <c:pt idx="3">
                  <c:v>6.5997794221163461E-2</c:v>
                </c:pt>
                <c:pt idx="4">
                  <c:v>7.6105453178188398E-2</c:v>
                </c:pt>
                <c:pt idx="5">
                  <c:v>8.6339020043873907E-2</c:v>
                </c:pt>
                <c:pt idx="6">
                  <c:v>9.7248497358843874E-2</c:v>
                </c:pt>
                <c:pt idx="7">
                  <c:v>0.10885621395022387</c:v>
                </c:pt>
                <c:pt idx="8">
                  <c:v>0.1211824772108972</c:v>
                </c:pt>
                <c:pt idx="9">
                  <c:v>0.13424576593378071</c:v>
                </c:pt>
                <c:pt idx="10">
                  <c:v>0.14806354299338073</c:v>
                </c:pt>
                <c:pt idx="11">
                  <c:v>0.16265224740382708</c:v>
                </c:pt>
                <c:pt idx="12">
                  <c:v>0.17802729733487957</c:v>
                </c:pt>
                <c:pt idx="13">
                  <c:v>0.19420086754091154</c:v>
                </c:pt>
                <c:pt idx="14">
                  <c:v>0.21117853195579045</c:v>
                </c:pt>
                <c:pt idx="15">
                  <c:v>0.22903838463658244</c:v>
                </c:pt>
                <c:pt idx="16">
                  <c:v>0.2477931925209918</c:v>
                </c:pt>
                <c:pt idx="17">
                  <c:v>0.26746569497747824</c:v>
                </c:pt>
                <c:pt idx="18">
                  <c:v>0.28808042560398711</c:v>
                </c:pt>
                <c:pt idx="19">
                  <c:v>0.30966273371732689</c:v>
                </c:pt>
                <c:pt idx="20">
                  <c:v>0.33223752584702831</c:v>
                </c:pt>
                <c:pt idx="21">
                  <c:v>0.35582785495362684</c:v>
                </c:pt>
                <c:pt idx="22">
                  <c:v>0.38045576068896386</c:v>
                </c:pt>
                <c:pt idx="23">
                  <c:v>0.40614374129483255</c:v>
                </c:pt>
                <c:pt idx="24">
                  <c:v>0.4329139365492769</c:v>
                </c:pt>
                <c:pt idx="25">
                  <c:v>0.46078762994646982</c:v>
                </c:pt>
                <c:pt idx="26">
                  <c:v>0.48978501867554453</c:v>
                </c:pt>
                <c:pt idx="27">
                  <c:v>0.51992474264237598</c:v>
                </c:pt>
                <c:pt idx="28">
                  <c:v>0.55122466563335815</c:v>
                </c:pt>
                <c:pt idx="29">
                  <c:v>0.58370085204434419</c:v>
                </c:pt>
                <c:pt idx="30">
                  <c:v>0.61736838238571434</c:v>
                </c:pt>
              </c:numCache>
            </c:numRef>
          </c:val>
          <c:extLst>
            <c:ext xmlns:c16="http://schemas.microsoft.com/office/drawing/2014/chart" uri="{C3380CC4-5D6E-409C-BE32-E72D297353CC}">
              <c16:uniqueId val="{00000003-D454-9D46-8578-739E9F42C265}"/>
            </c:ext>
          </c:extLst>
        </c:ser>
        <c:ser>
          <c:idx val="4"/>
          <c:order val="3"/>
          <c:tx>
            <c:strRef>
              <c:f>BAU_Fuel_cons!$B$5</c:f>
              <c:strCache>
                <c:ptCount val="1"/>
                <c:pt idx="0">
                  <c:v>Imp_charcoal</c:v>
                </c:pt>
              </c:strCache>
            </c:strRef>
          </c:tx>
          <c:spPr>
            <a:solidFill>
              <a:schemeClr val="accent5"/>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BAU_Fuel_cons!$O$5:$AS$5</c:f>
              <c:numCache>
                <c:formatCode>0.00</c:formatCode>
                <c:ptCount val="31"/>
                <c:pt idx="0">
                  <c:v>4.4016148309900128E-3</c:v>
                </c:pt>
                <c:pt idx="1">
                  <c:v>5.3087014287734931E-3</c:v>
                </c:pt>
                <c:pt idx="2">
                  <c:v>6.2848800967019568E-3</c:v>
                </c:pt>
                <c:pt idx="3">
                  <c:v>7.3330882467957416E-3</c:v>
                </c:pt>
                <c:pt idx="4">
                  <c:v>8.4561614642430505E-3</c:v>
                </c:pt>
                <c:pt idx="5">
                  <c:v>9.5932244493192181E-3</c:v>
                </c:pt>
                <c:pt idx="6">
                  <c:v>1.0805388595426992E-2</c:v>
                </c:pt>
                <c:pt idx="7">
                  <c:v>1.2095134883358102E-2</c:v>
                </c:pt>
                <c:pt idx="8">
                  <c:v>1.3464719690099583E-2</c:v>
                </c:pt>
                <c:pt idx="9">
                  <c:v>1.4916196214864419E-2</c:v>
                </c:pt>
                <c:pt idx="10">
                  <c:v>1.6451504777042204E-2</c:v>
                </c:pt>
                <c:pt idx="11">
                  <c:v>1.8072471933758463E-2</c:v>
                </c:pt>
                <c:pt idx="12">
                  <c:v>1.9780810814986522E-2</c:v>
                </c:pt>
                <c:pt idx="13">
                  <c:v>2.1577874171212305E-2</c:v>
                </c:pt>
                <c:pt idx="14">
                  <c:v>2.3464281328421075E-2</c:v>
                </c:pt>
                <c:pt idx="15">
                  <c:v>2.5448709404064632E-2</c:v>
                </c:pt>
                <c:pt idx="16">
                  <c:v>2.7532576946776795E-2</c:v>
                </c:pt>
                <c:pt idx="17">
                  <c:v>2.9718410553053069E-2</c:v>
                </c:pt>
                <c:pt idx="18">
                  <c:v>3.2008936178220732E-2</c:v>
                </c:pt>
                <c:pt idx="19">
                  <c:v>3.4406970413036274E-2</c:v>
                </c:pt>
                <c:pt idx="20">
                  <c:v>3.6915280649669785E-2</c:v>
                </c:pt>
                <c:pt idx="21">
                  <c:v>3.9536428328180731E-2</c:v>
                </c:pt>
                <c:pt idx="22">
                  <c:v>4.227286229877375E-2</c:v>
                </c:pt>
                <c:pt idx="23">
                  <c:v>4.5127082366092502E-2</c:v>
                </c:pt>
                <c:pt idx="24">
                  <c:v>4.8101548505475225E-2</c:v>
                </c:pt>
                <c:pt idx="25">
                  <c:v>5.1198625549607781E-2</c:v>
                </c:pt>
                <c:pt idx="26">
                  <c:v>5.4420557630616095E-2</c:v>
                </c:pt>
                <c:pt idx="27">
                  <c:v>5.776941584915294E-2</c:v>
                </c:pt>
                <c:pt idx="28">
                  <c:v>6.1247185070373203E-2</c:v>
                </c:pt>
                <c:pt idx="29">
                  <c:v>6.4855650227149439E-2</c:v>
                </c:pt>
                <c:pt idx="30">
                  <c:v>6.859648693174604E-2</c:v>
                </c:pt>
              </c:numCache>
            </c:numRef>
          </c:val>
          <c:extLst>
            <c:ext xmlns:c16="http://schemas.microsoft.com/office/drawing/2014/chart" uri="{C3380CC4-5D6E-409C-BE32-E72D297353CC}">
              <c16:uniqueId val="{00000004-D454-9D46-8578-739E9F42C265}"/>
            </c:ext>
          </c:extLst>
        </c:ser>
        <c:ser>
          <c:idx val="5"/>
          <c:order val="4"/>
          <c:tx>
            <c:strRef>
              <c:f>BAU_Fuel_cons!$B$6</c:f>
              <c:strCache>
                <c:ptCount val="1"/>
                <c:pt idx="0">
                  <c:v>Gas</c:v>
                </c:pt>
              </c:strCache>
            </c:strRef>
          </c:tx>
          <c:spPr>
            <a:solidFill>
              <a:schemeClr val="accent6"/>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BAU_Fuel_cons!$O$6:$AS$6</c:f>
              <c:numCache>
                <c:formatCode>0.00</c:formatCode>
                <c:ptCount val="31"/>
                <c:pt idx="0">
                  <c:v>1.838123123665809E-3</c:v>
                </c:pt>
                <c:pt idx="1">
                  <c:v>2.1208250106466652E-3</c:v>
                </c:pt>
                <c:pt idx="2">
                  <c:v>2.4240991245201488E-3</c:v>
                </c:pt>
                <c:pt idx="3">
                  <c:v>2.7487920508564036E-3</c:v>
                </c:pt>
                <c:pt idx="4">
                  <c:v>3.0957171506529185E-3</c:v>
                </c:pt>
                <c:pt idx="5">
                  <c:v>3.1011586490112524E-3</c:v>
                </c:pt>
                <c:pt idx="6">
                  <c:v>3.0999367035397657E-3</c:v>
                </c:pt>
                <c:pt idx="7">
                  <c:v>3.0915915453781414E-3</c:v>
                </c:pt>
                <c:pt idx="8">
                  <c:v>3.0756307942582197E-3</c:v>
                </c:pt>
                <c:pt idx="9">
                  <c:v>3.0515550123634411E-3</c:v>
                </c:pt>
                <c:pt idx="10">
                  <c:v>3.0188870794070799E-3</c:v>
                </c:pt>
                <c:pt idx="11">
                  <c:v>2.9771722495235994E-3</c:v>
                </c:pt>
                <c:pt idx="12">
                  <c:v>2.9259767079927957E-3</c:v>
                </c:pt>
                <c:pt idx="13">
                  <c:v>2.8648537044602116E-3</c:v>
                </c:pt>
                <c:pt idx="14">
                  <c:v>2.7933173803230162E-3</c:v>
                </c:pt>
                <c:pt idx="15">
                  <c:v>2.7117982536723085E-3</c:v>
                </c:pt>
                <c:pt idx="16">
                  <c:v>2.6197413485294493E-3</c:v>
                </c:pt>
                <c:pt idx="17">
                  <c:v>2.5167379076420113E-3</c:v>
                </c:pt>
                <c:pt idx="18">
                  <c:v>2.4023974648317791E-3</c:v>
                </c:pt>
                <c:pt idx="19">
                  <c:v>2.2763311866889238E-3</c:v>
                </c:pt>
                <c:pt idx="20">
                  <c:v>2.1381412420124406E-3</c:v>
                </c:pt>
                <c:pt idx="21">
                  <c:v>1.9874159565594469E-3</c:v>
                </c:pt>
                <c:pt idx="22">
                  <c:v>1.8237416611168547E-3</c:v>
                </c:pt>
                <c:pt idx="23">
                  <c:v>1.6467117560959971E-3</c:v>
                </c:pt>
                <c:pt idx="24">
                  <c:v>1.4559217861542394E-3</c:v>
                </c:pt>
                <c:pt idx="25">
                  <c:v>1.2509689518403558E-3</c:v>
                </c:pt>
                <c:pt idx="26">
                  <c:v>1.0314535580169865E-3</c:v>
                </c:pt>
                <c:pt idx="27">
                  <c:v>7.9698066399521653E-4</c:v>
                </c:pt>
                <c:pt idx="28">
                  <c:v>5.4716391521443032E-4</c:v>
                </c:pt>
                <c:pt idx="29">
                  <c:v>2.8162567859582062E-4</c:v>
                </c:pt>
                <c:pt idx="30">
                  <c:v>0</c:v>
                </c:pt>
              </c:numCache>
            </c:numRef>
          </c:val>
          <c:extLst>
            <c:ext xmlns:c16="http://schemas.microsoft.com/office/drawing/2014/chart" uri="{C3380CC4-5D6E-409C-BE32-E72D297353CC}">
              <c16:uniqueId val="{00000005-D454-9D46-8578-739E9F42C265}"/>
            </c:ext>
          </c:extLst>
        </c:ser>
        <c:ser>
          <c:idx val="6"/>
          <c:order val="5"/>
          <c:tx>
            <c:strRef>
              <c:f>BAU_Fuel_cons!$B$7</c:f>
              <c:strCache>
                <c:ptCount val="1"/>
                <c:pt idx="0">
                  <c:v>kerosene</c:v>
                </c:pt>
              </c:strCache>
            </c:strRef>
          </c:tx>
          <c:spPr>
            <a:solidFill>
              <a:schemeClr val="accent1">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BAU_Fuel_cons!$O$7:$AS$7</c:f>
              <c:numCache>
                <c:formatCode>0.00</c:formatCode>
                <c:ptCount val="31"/>
                <c:pt idx="0">
                  <c:v>1.4109146447841009E-4</c:v>
                </c:pt>
                <c:pt idx="1">
                  <c:v>1.0717823380847281E-4</c:v>
                </c:pt>
                <c:pt idx="2">
                  <c:v>6.993478588618863E-5</c:v>
                </c:pt>
                <c:pt idx="3">
                  <c:v>2.9190775153562381E-5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6-D454-9D46-8578-739E9F42C265}"/>
            </c:ext>
          </c:extLst>
        </c:ser>
        <c:ser>
          <c:idx val="7"/>
          <c:order val="6"/>
          <c:tx>
            <c:strRef>
              <c:f>BAU_Fuel_cons!$B$8</c:f>
              <c:strCache>
                <c:ptCount val="1"/>
                <c:pt idx="0">
                  <c:v>electric</c:v>
                </c:pt>
              </c:strCache>
            </c:strRef>
          </c:tx>
          <c:spPr>
            <a:solidFill>
              <a:schemeClr val="accent2">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BAU_Fuel_cons!$O$8:$AS$8</c:f>
              <c:numCache>
                <c:formatCode>0.00</c:formatCode>
                <c:ptCount val="31"/>
                <c:pt idx="0">
                  <c:v>0.3083562253484326</c:v>
                </c:pt>
                <c:pt idx="1">
                  <c:v>0.30536110235788327</c:v>
                </c:pt>
                <c:pt idx="2">
                  <c:v>0.30141074260139633</c:v>
                </c:pt>
                <c:pt idx="3">
                  <c:v>0.29643860367094571</c:v>
                </c:pt>
                <c:pt idx="4">
                  <c:v>0.29037654054996637</c:v>
                </c:pt>
                <c:pt idx="5">
                  <c:v>0.29081508489027647</c:v>
                </c:pt>
                <c:pt idx="6">
                  <c:v>0.29063053231488722</c:v>
                </c:pt>
                <c:pt idx="7">
                  <c:v>0.28978008971704616</c:v>
                </c:pt>
                <c:pt idx="8">
                  <c:v>0.28821790572043293</c:v>
                </c:pt>
                <c:pt idx="9">
                  <c:v>0.2858974761915784</c:v>
                </c:pt>
                <c:pt idx="10">
                  <c:v>0.28277445702309012</c:v>
                </c:pt>
                <c:pt idx="11">
                  <c:v>0.27880671197832241</c:v>
                </c:pt>
                <c:pt idx="12">
                  <c:v>0.27395413173179844</c:v>
                </c:pt>
                <c:pt idx="13">
                  <c:v>0.26817543123395687</c:v>
                </c:pt>
                <c:pt idx="14">
                  <c:v>0.26142577121393012</c:v>
                </c:pt>
                <c:pt idx="15">
                  <c:v>0.25374542960818758</c:v>
                </c:pt>
                <c:pt idx="16">
                  <c:v>0.2450831462636372</c:v>
                </c:pt>
                <c:pt idx="17">
                  <c:v>0.2354011453160631</c:v>
                </c:pt>
                <c:pt idx="18">
                  <c:v>0.2246633770513812</c:v>
                </c:pt>
                <c:pt idx="19">
                  <c:v>0.21283395755280066</c:v>
                </c:pt>
                <c:pt idx="20">
                  <c:v>0.19987618986869021</c:v>
                </c:pt>
                <c:pt idx="21">
                  <c:v>0.18575210939965336</c:v>
                </c:pt>
                <c:pt idx="22">
                  <c:v>0.17042358249673425</c:v>
                </c:pt>
                <c:pt idx="23">
                  <c:v>0.15385314313060583</c:v>
                </c:pt>
                <c:pt idx="24">
                  <c:v>0.13600354209735543</c:v>
                </c:pt>
                <c:pt idx="25">
                  <c:v>0.11683770866120327</c:v>
                </c:pt>
                <c:pt idx="26">
                  <c:v>9.631887901026584E-2</c:v>
                </c:pt>
                <c:pt idx="27">
                  <c:v>7.4410750007208107E-2</c:v>
                </c:pt>
                <c:pt idx="28">
                  <c:v>5.1077828500402753E-2</c:v>
                </c:pt>
                <c:pt idx="29">
                  <c:v>2.628544005819192E-2</c:v>
                </c:pt>
                <c:pt idx="30">
                  <c:v>0</c:v>
                </c:pt>
              </c:numCache>
            </c:numRef>
          </c:val>
          <c:extLst>
            <c:ext xmlns:c16="http://schemas.microsoft.com/office/drawing/2014/chart" uri="{C3380CC4-5D6E-409C-BE32-E72D297353CC}">
              <c16:uniqueId val="{00000007-D454-9D46-8578-739E9F42C265}"/>
            </c:ext>
          </c:extLst>
        </c:ser>
        <c:ser>
          <c:idx val="8"/>
          <c:order val="7"/>
          <c:tx>
            <c:strRef>
              <c:f>BAU_Fuel_cons!$B$9</c:f>
              <c:strCache>
                <c:ptCount val="1"/>
                <c:pt idx="0">
                  <c:v>pellets</c:v>
                </c:pt>
              </c:strCache>
            </c:strRef>
          </c:tx>
          <c:spPr>
            <a:solidFill>
              <a:schemeClr val="accent3">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BAU_Fuel_cons!$O$9:$AS$9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D454-9D46-8578-739E9F42C265}"/>
            </c:ext>
          </c:extLst>
        </c:ser>
        <c:ser>
          <c:idx val="9"/>
          <c:order val="8"/>
          <c:tx>
            <c:strRef>
              <c:f>BAU_Fuel_cons!$B$10</c:f>
              <c:strCache>
                <c:ptCount val="1"/>
                <c:pt idx="0">
                  <c:v>ethanol</c:v>
                </c:pt>
              </c:strCache>
            </c:strRef>
          </c:tx>
          <c:spPr>
            <a:solidFill>
              <a:schemeClr val="accent4">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BAU_Fuel_cons!$O$10:$AS$10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D454-9D46-8578-739E9F42C265}"/>
            </c:ext>
          </c:extLst>
        </c:ser>
        <c:ser>
          <c:idx val="10"/>
          <c:order val="9"/>
          <c:tx>
            <c:strRef>
              <c:f>BAU_Fuel_cons!$B$11</c:f>
              <c:strCache>
                <c:ptCount val="1"/>
                <c:pt idx="0">
                  <c:v>biogas</c:v>
                </c:pt>
              </c:strCache>
            </c:strRef>
          </c:tx>
          <c:spPr>
            <a:solidFill>
              <a:schemeClr val="accent5">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BAU_Fuel_cons!$O$11:$AS$11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D454-9D46-8578-739E9F42C265}"/>
            </c:ext>
          </c:extLst>
        </c:ser>
        <c:ser>
          <c:idx val="11"/>
          <c:order val="10"/>
          <c:tx>
            <c:strRef>
              <c:f>BAU_Fuel_cons!$B$12</c:f>
              <c:strCache>
                <c:ptCount val="1"/>
                <c:pt idx="0">
                  <c:v>other</c:v>
                </c:pt>
              </c:strCache>
            </c:strRef>
          </c:tx>
          <c:spPr>
            <a:solidFill>
              <a:schemeClr val="accent6">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BAU_Fuel_cons!$O$12:$AS$12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B-D454-9D46-8578-739E9F42C265}"/>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6038836247164021"/>
        </c:manualLayout>
      </c:layout>
      <c:areaChart>
        <c:grouping val="stacked"/>
        <c:varyColors val="0"/>
        <c:ser>
          <c:idx val="1"/>
          <c:order val="0"/>
          <c:tx>
            <c:strRef>
              <c:f>BAU_Fuel_cons!$B$13</c:f>
              <c:strCache>
                <c:ptCount val="1"/>
                <c:pt idx="0">
                  <c:v>fuelwood</c:v>
                </c:pt>
              </c:strCache>
            </c:strRef>
          </c:tx>
          <c:spPr>
            <a:solidFill>
              <a:schemeClr val="accent2"/>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BAU_Fuel_cons!$O$13:$AS$13</c:f>
              <c:numCache>
                <c:formatCode>0.00</c:formatCode>
                <c:ptCount val="31"/>
                <c:pt idx="0">
                  <c:v>8.0283346130346906</c:v>
                </c:pt>
                <c:pt idx="1">
                  <c:v>8.1177592475463438</c:v>
                </c:pt>
                <c:pt idx="2">
                  <c:v>8.2028129502107401</c:v>
                </c:pt>
                <c:pt idx="3">
                  <c:v>8.28351187646002</c:v>
                </c:pt>
                <c:pt idx="4">
                  <c:v>8.3599725422317821</c:v>
                </c:pt>
                <c:pt idx="5">
                  <c:v>8.3327364005895035</c:v>
                </c:pt>
                <c:pt idx="6">
                  <c:v>8.2964071081483333</c:v>
                </c:pt>
                <c:pt idx="7">
                  <c:v>8.2504552363307546</c:v>
                </c:pt>
                <c:pt idx="8">
                  <c:v>8.1942309259712491</c:v>
                </c:pt>
                <c:pt idx="9">
                  <c:v>8.1270426430079699</c:v>
                </c:pt>
                <c:pt idx="10">
                  <c:v>8.0483644404207251</c:v>
                </c:pt>
                <c:pt idx="11">
                  <c:v>7.9579431431431109</c:v>
                </c:pt>
                <c:pt idx="12">
                  <c:v>7.8557077872457928</c:v>
                </c:pt>
                <c:pt idx="13">
                  <c:v>7.7416155825615904</c:v>
                </c:pt>
                <c:pt idx="14">
                  <c:v>7.6157573405573524</c:v>
                </c:pt>
                <c:pt idx="15">
                  <c:v>7.4791230218264211</c:v>
                </c:pt>
                <c:pt idx="16">
                  <c:v>7.3317871773898187</c:v>
                </c:pt>
                <c:pt idx="17">
                  <c:v>7.1737046773241007</c:v>
                </c:pt>
                <c:pt idx="18">
                  <c:v>7.0048981050808869</c:v>
                </c:pt>
                <c:pt idx="19">
                  <c:v>6.8254083432557788</c:v>
                </c:pt>
                <c:pt idx="20">
                  <c:v>6.6353074449331446</c:v>
                </c:pt>
                <c:pt idx="21">
                  <c:v>6.4346794466390405</c:v>
                </c:pt>
                <c:pt idx="22">
                  <c:v>6.2236263450496212</c:v>
                </c:pt>
                <c:pt idx="23">
                  <c:v>6.0022585361486422</c:v>
                </c:pt>
                <c:pt idx="24">
                  <c:v>5.7707065232331631</c:v>
                </c:pt>
                <c:pt idx="25">
                  <c:v>5.5291485849278121</c:v>
                </c:pt>
                <c:pt idx="26">
                  <c:v>5.2777943569340646</c:v>
                </c:pt>
                <c:pt idx="27">
                  <c:v>5.0168990790544719</c:v>
                </c:pt>
                <c:pt idx="28">
                  <c:v>4.7467526198837255</c:v>
                </c:pt>
                <c:pt idx="29">
                  <c:v>4.4676704960117837</c:v>
                </c:pt>
                <c:pt idx="30">
                  <c:v>4.1799751533379492</c:v>
                </c:pt>
              </c:numCache>
            </c:numRef>
          </c:val>
          <c:extLst>
            <c:ext xmlns:c16="http://schemas.microsoft.com/office/drawing/2014/chart" uri="{C3380CC4-5D6E-409C-BE32-E72D297353CC}">
              <c16:uniqueId val="{00000000-B067-6749-921D-37F50EBAEE52}"/>
            </c:ext>
          </c:extLst>
        </c:ser>
        <c:ser>
          <c:idx val="2"/>
          <c:order val="1"/>
          <c:tx>
            <c:strRef>
              <c:f>BAU_Fuel_cons!$B$14</c:f>
              <c:strCache>
                <c:ptCount val="1"/>
                <c:pt idx="0">
                  <c:v>charcoal</c:v>
                </c:pt>
              </c:strCache>
            </c:strRef>
          </c:tx>
          <c:spPr>
            <a:solidFill>
              <a:schemeClr val="accent3"/>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BAU_Fuel_cons!$O$14:$AS$14</c:f>
              <c:numCache>
                <c:formatCode>0.00</c:formatCode>
                <c:ptCount val="31"/>
                <c:pt idx="0">
                  <c:v>0.36007917407379103</c:v>
                </c:pt>
                <c:pt idx="1">
                  <c:v>0.4037834066497355</c:v>
                </c:pt>
                <c:pt idx="2">
                  <c:v>0.44924094833449146</c:v>
                </c:pt>
                <c:pt idx="3">
                  <c:v>0.49646946175837747</c:v>
                </c:pt>
                <c:pt idx="4">
                  <c:v>0.5454944586662992</c:v>
                </c:pt>
                <c:pt idx="5">
                  <c:v>0.62373664153659292</c:v>
                </c:pt>
                <c:pt idx="6">
                  <c:v>0.70504907621048774</c:v>
                </c:pt>
                <c:pt idx="7">
                  <c:v>0.78941369156459273</c:v>
                </c:pt>
                <c:pt idx="8">
                  <c:v>0.87677933557420074</c:v>
                </c:pt>
                <c:pt idx="9">
                  <c:v>0.96706091382087855</c:v>
                </c:pt>
                <c:pt idx="10">
                  <c:v>1.0601595838539335</c:v>
                </c:pt>
                <c:pt idx="11">
                  <c:v>1.1559838955182453</c:v>
                </c:pt>
                <c:pt idx="12">
                  <c:v>1.2544497252535631</c:v>
                </c:pt>
                <c:pt idx="13">
                  <c:v>1.35546365220793</c:v>
                </c:pt>
                <c:pt idx="14">
                  <c:v>1.4589429831505394</c:v>
                </c:pt>
                <c:pt idx="15">
                  <c:v>1.5649850506976175</c:v>
                </c:pt>
                <c:pt idx="16">
                  <c:v>1.6735369632420287</c:v>
                </c:pt>
                <c:pt idx="17">
                  <c:v>1.7845112197102757</c:v>
                </c:pt>
                <c:pt idx="18">
                  <c:v>1.8978222269791722</c:v>
                </c:pt>
                <c:pt idx="19">
                  <c:v>2.0133763755115082</c:v>
                </c:pt>
                <c:pt idx="20">
                  <c:v>2.1310755931647414</c:v>
                </c:pt>
                <c:pt idx="21">
                  <c:v>2.2508117339495652</c:v>
                </c:pt>
                <c:pt idx="22">
                  <c:v>2.3724672648522067</c:v>
                </c:pt>
                <c:pt idx="23">
                  <c:v>2.495910244545203</c:v>
                </c:pt>
                <c:pt idx="24">
                  <c:v>2.6209964231127532</c:v>
                </c:pt>
                <c:pt idx="25">
                  <c:v>2.7475811738122284</c:v>
                </c:pt>
                <c:pt idx="26">
                  <c:v>2.8755146985793489</c:v>
                </c:pt>
                <c:pt idx="27">
                  <c:v>3.0046518755069549</c:v>
                </c:pt>
                <c:pt idx="28">
                  <c:v>3.1348512501008221</c:v>
                </c:pt>
                <c:pt idx="29">
                  <c:v>3.265973601168505</c:v>
                </c:pt>
                <c:pt idx="30">
                  <c:v>3.3978706354135708</c:v>
                </c:pt>
              </c:numCache>
            </c:numRef>
          </c:val>
          <c:extLst>
            <c:ext xmlns:c16="http://schemas.microsoft.com/office/drawing/2014/chart" uri="{C3380CC4-5D6E-409C-BE32-E72D297353CC}">
              <c16:uniqueId val="{00000001-B067-6749-921D-37F50EBAEE52}"/>
            </c:ext>
          </c:extLst>
        </c:ser>
        <c:ser>
          <c:idx val="3"/>
          <c:order val="2"/>
          <c:tx>
            <c:strRef>
              <c:f>BAU_Fuel_cons!$B$15</c:f>
              <c:strCache>
                <c:ptCount val="1"/>
                <c:pt idx="0">
                  <c:v>Imp_fuelwood</c:v>
                </c:pt>
              </c:strCache>
            </c:strRef>
          </c:tx>
          <c:spPr>
            <a:solidFill>
              <a:schemeClr val="accent4"/>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BAU_Fuel_cons!$O$15:$AS$15</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B067-6749-921D-37F50EBAEE52}"/>
            </c:ext>
          </c:extLst>
        </c:ser>
        <c:ser>
          <c:idx val="4"/>
          <c:order val="3"/>
          <c:tx>
            <c:strRef>
              <c:f>BAU_Fuel_cons!$B$16</c:f>
              <c:strCache>
                <c:ptCount val="1"/>
                <c:pt idx="0">
                  <c:v>Imp_charcoal</c:v>
                </c:pt>
              </c:strCache>
            </c:strRef>
          </c:tx>
          <c:spPr>
            <a:solidFill>
              <a:schemeClr val="accent5"/>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BAU_Fuel_cons!$O$16:$AS$16</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B067-6749-921D-37F50EBAEE52}"/>
            </c:ext>
          </c:extLst>
        </c:ser>
        <c:ser>
          <c:idx val="5"/>
          <c:order val="4"/>
          <c:tx>
            <c:strRef>
              <c:f>BAU_Fuel_cons!$B$17</c:f>
              <c:strCache>
                <c:ptCount val="1"/>
                <c:pt idx="0">
                  <c:v>Gas</c:v>
                </c:pt>
              </c:strCache>
            </c:strRef>
          </c:tx>
          <c:spPr>
            <a:solidFill>
              <a:schemeClr val="accent6"/>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BAU_Fuel_cons!$O$17:$AS$17</c:f>
              <c:numCache>
                <c:formatCode>0.00</c:formatCode>
                <c:ptCount val="31"/>
                <c:pt idx="0">
                  <c:v>9.5400108611729217E-5</c:v>
                </c:pt>
                <c:pt idx="1">
                  <c:v>9.4121464930595043E-5</c:v>
                </c:pt>
                <c:pt idx="2">
                  <c:v>9.2675901728729693E-5</c:v>
                </c:pt>
                <c:pt idx="3">
                  <c:v>9.1062611909909749E-5</c:v>
                </c:pt>
                <c:pt idx="4">
                  <c:v>8.9281783486019865E-5</c:v>
                </c:pt>
                <c:pt idx="5">
                  <c:v>8.7847875400583959E-5</c:v>
                </c:pt>
                <c:pt idx="6">
                  <c:v>8.6264522996059179E-5</c:v>
                </c:pt>
                <c:pt idx="7">
                  <c:v>8.4525836818218365E-5</c:v>
                </c:pt>
                <c:pt idx="8">
                  <c:v>8.2625001546757367E-5</c:v>
                </c:pt>
                <c:pt idx="9">
                  <c:v>8.0555202792452105E-5</c:v>
                </c:pt>
                <c:pt idx="10">
                  <c:v>7.8311745304444723E-5</c:v>
                </c:pt>
                <c:pt idx="11">
                  <c:v>7.5892995595762663E-5</c:v>
                </c:pt>
                <c:pt idx="12">
                  <c:v>7.3299331312504874E-5</c:v>
                </c:pt>
                <c:pt idx="13">
                  <c:v>7.0531590054352498E-5</c:v>
                </c:pt>
                <c:pt idx="14">
                  <c:v>6.7592007530903336E-5</c:v>
                </c:pt>
                <c:pt idx="15">
                  <c:v>6.4490688568545715E-5</c:v>
                </c:pt>
                <c:pt idx="16">
                  <c:v>6.1229254363994473E-5</c:v>
                </c:pt>
                <c:pt idx="17">
                  <c:v>5.780843078731565E-5</c:v>
                </c:pt>
                <c:pt idx="18">
                  <c:v>5.4229702725093704E-5</c:v>
                </c:pt>
                <c:pt idx="19">
                  <c:v>5.0494882059253255E-5</c:v>
                </c:pt>
                <c:pt idx="20">
                  <c:v>4.6606206361552433E-5</c:v>
                </c:pt>
                <c:pt idx="21">
                  <c:v>4.256619625210752E-5</c:v>
                </c:pt>
                <c:pt idx="22">
                  <c:v>3.8377714988521123E-5</c:v>
                </c:pt>
                <c:pt idx="23">
                  <c:v>3.4043929174300746E-5</c:v>
                </c:pt>
                <c:pt idx="24">
                  <c:v>2.9568414715777187E-5</c:v>
                </c:pt>
                <c:pt idx="25">
                  <c:v>2.4955307657084878E-5</c:v>
                </c:pt>
                <c:pt idx="26">
                  <c:v>2.0209182022449362E-5</c:v>
                </c:pt>
                <c:pt idx="27">
                  <c:v>1.5335074582918673E-5</c:v>
                </c:pt>
                <c:pt idx="28">
                  <c:v>1.0338371823236049E-5</c:v>
                </c:pt>
                <c:pt idx="29">
                  <c:v>5.2247261446286409E-6</c:v>
                </c:pt>
                <c:pt idx="30">
                  <c:v>0</c:v>
                </c:pt>
              </c:numCache>
            </c:numRef>
          </c:val>
          <c:extLst>
            <c:ext xmlns:c16="http://schemas.microsoft.com/office/drawing/2014/chart" uri="{C3380CC4-5D6E-409C-BE32-E72D297353CC}">
              <c16:uniqueId val="{00000004-B067-6749-921D-37F50EBAEE52}"/>
            </c:ext>
          </c:extLst>
        </c:ser>
        <c:ser>
          <c:idx val="6"/>
          <c:order val="5"/>
          <c:tx>
            <c:strRef>
              <c:f>BAU_Fuel_cons!$B$18</c:f>
              <c:strCache>
                <c:ptCount val="1"/>
                <c:pt idx="0">
                  <c:v>kerosene</c:v>
                </c:pt>
              </c:strCache>
            </c:strRef>
          </c:tx>
          <c:spPr>
            <a:solidFill>
              <a:schemeClr val="accent1">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BAU_Fuel_cons!$O$18:$AS$18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B067-6749-921D-37F50EBAEE52}"/>
            </c:ext>
          </c:extLst>
        </c:ser>
        <c:ser>
          <c:idx val="7"/>
          <c:order val="6"/>
          <c:tx>
            <c:strRef>
              <c:f>BAU_Fuel_cons!$B$19</c:f>
              <c:strCache>
                <c:ptCount val="1"/>
                <c:pt idx="0">
                  <c:v>electric</c:v>
                </c:pt>
              </c:strCache>
            </c:strRef>
          </c:tx>
          <c:spPr>
            <a:solidFill>
              <a:schemeClr val="accent2">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BAU_Fuel_cons!$O$19:$AS$19</c:f>
              <c:numCache>
                <c:formatCode>0.00</c:formatCode>
                <c:ptCount val="31"/>
                <c:pt idx="0">
                  <c:v>1.6754564938288027E-2</c:v>
                </c:pt>
                <c:pt idx="1">
                  <c:v>1.5741321053017801E-2</c:v>
                </c:pt>
                <c:pt idx="2">
                  <c:v>1.4660029738619946E-2</c:v>
                </c:pt>
                <c:pt idx="3">
                  <c:v>1.3510212701509461E-2</c:v>
                </c:pt>
                <c:pt idx="4">
                  <c:v>1.2291499893688504E-2</c:v>
                </c:pt>
                <c:pt idx="5">
                  <c:v>1.2094092534745521E-2</c:v>
                </c:pt>
                <c:pt idx="6">
                  <c:v>1.1876111047906885E-2</c:v>
                </c:pt>
                <c:pt idx="7">
                  <c:v>1.1636744626945611E-2</c:v>
                </c:pt>
                <c:pt idx="8">
                  <c:v>1.1375055000855862E-2</c:v>
                </c:pt>
                <c:pt idx="9">
                  <c:v>1.1090104026814408E-2</c:v>
                </c:pt>
                <c:pt idx="10">
                  <c:v>1.0781245305598838E-2</c:v>
                </c:pt>
                <c:pt idx="11">
                  <c:v>1.044825395365323E-2</c:v>
                </c:pt>
                <c:pt idx="12">
                  <c:v>1.0091181961840716E-2</c:v>
                </c:pt>
                <c:pt idx="13">
                  <c:v>9.7101446432295343E-3</c:v>
                </c:pt>
                <c:pt idx="14">
                  <c:v>9.3054497898821913E-3</c:v>
                </c:pt>
                <c:pt idx="15">
                  <c:v>8.8784885419353251E-3</c:v>
                </c:pt>
                <c:pt idx="16">
                  <c:v>8.4294840909345144E-3</c:v>
                </c:pt>
                <c:pt idx="17">
                  <c:v>7.9585363680358262E-3</c:v>
                </c:pt>
                <c:pt idx="18">
                  <c:v>7.4658497988519899E-3</c:v>
                </c:pt>
                <c:pt idx="19">
                  <c:v>6.9516738267253611E-3</c:v>
                </c:pt>
                <c:pt idx="20">
                  <c:v>6.4163165000836603E-3</c:v>
                </c:pt>
                <c:pt idx="21">
                  <c:v>5.8601248348654324E-3</c:v>
                </c:pt>
                <c:pt idx="22">
                  <c:v>5.2834930182065519E-3</c:v>
                </c:pt>
                <c:pt idx="23">
                  <c:v>4.6868569991344242E-3</c:v>
                </c:pt>
                <c:pt idx="24">
                  <c:v>4.0707090757480429E-3</c:v>
                </c:pt>
                <c:pt idx="25">
                  <c:v>3.4356186607994118E-3</c:v>
                </c:pt>
                <c:pt idx="26">
                  <c:v>2.7822154641362383E-3</c:v>
                </c:pt>
                <c:pt idx="27">
                  <c:v>2.111192902359134E-3</c:v>
                </c:pt>
                <c:pt idx="28">
                  <c:v>1.4232925374538007E-3</c:v>
                </c:pt>
                <c:pt idx="29">
                  <c:v>7.1929254035690501E-4</c:v>
                </c:pt>
                <c:pt idx="30">
                  <c:v>0</c:v>
                </c:pt>
              </c:numCache>
            </c:numRef>
          </c:val>
          <c:extLst>
            <c:ext xmlns:c16="http://schemas.microsoft.com/office/drawing/2014/chart" uri="{C3380CC4-5D6E-409C-BE32-E72D297353CC}">
              <c16:uniqueId val="{00000006-B067-6749-921D-37F50EBAEE52}"/>
            </c:ext>
          </c:extLst>
        </c:ser>
        <c:ser>
          <c:idx val="8"/>
          <c:order val="7"/>
          <c:tx>
            <c:strRef>
              <c:f>BAU_Fuel_cons!$B$20</c:f>
              <c:strCache>
                <c:ptCount val="1"/>
                <c:pt idx="0">
                  <c:v>pellets</c:v>
                </c:pt>
              </c:strCache>
            </c:strRef>
          </c:tx>
          <c:spPr>
            <a:solidFill>
              <a:schemeClr val="accent3">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BAU_Fuel_cons!$O$20:$AS$20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B067-6749-921D-37F50EBAEE52}"/>
            </c:ext>
          </c:extLst>
        </c:ser>
        <c:ser>
          <c:idx val="9"/>
          <c:order val="8"/>
          <c:tx>
            <c:strRef>
              <c:f>BAU_Fuel_cons!$B$21</c:f>
              <c:strCache>
                <c:ptCount val="1"/>
                <c:pt idx="0">
                  <c:v>ethanol</c:v>
                </c:pt>
              </c:strCache>
            </c:strRef>
          </c:tx>
          <c:spPr>
            <a:solidFill>
              <a:schemeClr val="accent4">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BAU_Fuel_cons!$O$21:$AS$21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B067-6749-921D-37F50EBAEE52}"/>
            </c:ext>
          </c:extLst>
        </c:ser>
        <c:ser>
          <c:idx val="10"/>
          <c:order val="9"/>
          <c:tx>
            <c:strRef>
              <c:f>BAU_Fuel_cons!$B$22</c:f>
              <c:strCache>
                <c:ptCount val="1"/>
                <c:pt idx="0">
                  <c:v>biogas</c:v>
                </c:pt>
              </c:strCache>
            </c:strRef>
          </c:tx>
          <c:spPr>
            <a:solidFill>
              <a:schemeClr val="accent5">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BAU_Fuel_cons!$O$22:$AS$22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B067-6749-921D-37F50EBAEE52}"/>
            </c:ext>
          </c:extLst>
        </c:ser>
        <c:ser>
          <c:idx val="11"/>
          <c:order val="10"/>
          <c:tx>
            <c:strRef>
              <c:f>BAU_Fuel_cons!$B$23</c:f>
              <c:strCache>
                <c:ptCount val="1"/>
                <c:pt idx="0">
                  <c:v>other</c:v>
                </c:pt>
              </c:strCache>
            </c:strRef>
          </c:tx>
          <c:spPr>
            <a:solidFill>
              <a:schemeClr val="accent6">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BAU_Fuel_cons!$O$23:$AS$23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B067-6749-921D-37F50EBAEE52}"/>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6038836247164021"/>
        </c:manualLayout>
      </c:layout>
      <c:areaChart>
        <c:grouping val="stacked"/>
        <c:varyColors val="0"/>
        <c:ser>
          <c:idx val="1"/>
          <c:order val="0"/>
          <c:tx>
            <c:strRef>
              <c:f>BAU_Fuel_cons!$B$24</c:f>
              <c:strCache>
                <c:ptCount val="1"/>
                <c:pt idx="0">
                  <c:v>fuelwood</c:v>
                </c:pt>
              </c:strCache>
            </c:strRef>
          </c:tx>
          <c:spPr>
            <a:solidFill>
              <a:schemeClr val="accent2"/>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BAU_Fuel_cons!$O$24:$AS$24</c:f>
              <c:numCache>
                <c:formatCode>0.00</c:formatCode>
                <c:ptCount val="31"/>
                <c:pt idx="0">
                  <c:v>1.3069804458552352</c:v>
                </c:pt>
                <c:pt idx="1">
                  <c:v>1.3068008635924291</c:v>
                </c:pt>
                <c:pt idx="2">
                  <c:v>1.3034109838358701</c:v>
                </c:pt>
                <c:pt idx="3">
                  <c:v>1.2965512490528972</c:v>
                </c:pt>
                <c:pt idx="4">
                  <c:v>1.2859537275885473</c:v>
                </c:pt>
                <c:pt idx="5">
                  <c:v>1.2888945706353025</c:v>
                </c:pt>
                <c:pt idx="6">
                  <c:v>1.2890491565604789</c:v>
                </c:pt>
                <c:pt idx="7">
                  <c:v>1.2862233458457251</c:v>
                </c:pt>
                <c:pt idx="8">
                  <c:v>1.2802094459986291</c:v>
                </c:pt>
                <c:pt idx="9">
                  <c:v>1.2707967453772251</c:v>
                </c:pt>
                <c:pt idx="10">
                  <c:v>1.2577831718722925</c:v>
                </c:pt>
                <c:pt idx="11">
                  <c:v>1.2409749140490021</c:v>
                </c:pt>
                <c:pt idx="12">
                  <c:v>1.2201862531993994</c:v>
                </c:pt>
                <c:pt idx="13">
                  <c:v>1.1952257408711642</c:v>
                </c:pt>
                <c:pt idx="14">
                  <c:v>1.1658846026774126</c:v>
                </c:pt>
                <c:pt idx="15">
                  <c:v>1.1323426635399738</c:v>
                </c:pt>
                <c:pt idx="16">
                  <c:v>1.0943618480888497</c:v>
                </c:pt>
                <c:pt idx="17">
                  <c:v>1.0517670065924001</c:v>
                </c:pt>
                <c:pt idx="18">
                  <c:v>1.0043904883709136</c:v>
                </c:pt>
                <c:pt idx="19">
                  <c:v>0.95206520126781857</c:v>
                </c:pt>
                <c:pt idx="20">
                  <c:v>0.89462002238612981</c:v>
                </c:pt>
                <c:pt idx="21">
                  <c:v>0.83187778662400058</c:v>
                </c:pt>
                <c:pt idx="22">
                  <c:v>0.76366032900599301</c:v>
                </c:pt>
                <c:pt idx="23">
                  <c:v>0.68979237872202381</c:v>
                </c:pt>
                <c:pt idx="24">
                  <c:v>0.61009940705568977</c:v>
                </c:pt>
                <c:pt idx="25">
                  <c:v>0.52440735398133398</c:v>
                </c:pt>
                <c:pt idx="26">
                  <c:v>0.43254329995411345</c:v>
                </c:pt>
                <c:pt idx="27">
                  <c:v>0.33433616113460551</c:v>
                </c:pt>
                <c:pt idx="28">
                  <c:v>0.22961837667549237</c:v>
                </c:pt>
                <c:pt idx="29">
                  <c:v>0.11822600245970989</c:v>
                </c:pt>
                <c:pt idx="30">
                  <c:v>0</c:v>
                </c:pt>
              </c:numCache>
            </c:numRef>
          </c:val>
          <c:extLst>
            <c:ext xmlns:c16="http://schemas.microsoft.com/office/drawing/2014/chart" uri="{C3380CC4-5D6E-409C-BE32-E72D297353CC}">
              <c16:uniqueId val="{00000000-F064-8749-A6D2-9D6DCC815C46}"/>
            </c:ext>
          </c:extLst>
        </c:ser>
        <c:ser>
          <c:idx val="2"/>
          <c:order val="1"/>
          <c:tx>
            <c:strRef>
              <c:f>BAU_Fuel_cons!$B$25</c:f>
              <c:strCache>
                <c:ptCount val="1"/>
                <c:pt idx="0">
                  <c:v>charcoal</c:v>
                </c:pt>
              </c:strCache>
            </c:strRef>
          </c:tx>
          <c:spPr>
            <a:solidFill>
              <a:schemeClr val="accent3"/>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BAU_Fuel_cons!$O$25:$AS$25</c:f>
              <c:numCache>
                <c:formatCode>0.00</c:formatCode>
                <c:ptCount val="31"/>
                <c:pt idx="0">
                  <c:v>1.2293704724712913</c:v>
                </c:pt>
                <c:pt idx="1">
                  <c:v>1.3084451689784136</c:v>
                </c:pt>
                <c:pt idx="2">
                  <c:v>1.3914759755378987</c:v>
                </c:pt>
                <c:pt idx="3">
                  <c:v>1.4785515042085273</c:v>
                </c:pt>
                <c:pt idx="4">
                  <c:v>1.5697460625821407</c:v>
                </c:pt>
                <c:pt idx="5">
                  <c:v>1.6502912493534903</c:v>
                </c:pt>
                <c:pt idx="6">
                  <c:v>1.7338674640140677</c:v>
                </c:pt>
                <c:pt idx="7">
                  <c:v>1.8204964339797149</c:v>
                </c:pt>
                <c:pt idx="8">
                  <c:v>1.9101740147808386</c:v>
                </c:pt>
                <c:pt idx="9">
                  <c:v>2.0028797546229082</c:v>
                </c:pt>
                <c:pt idx="10">
                  <c:v>2.0985920646054734</c:v>
                </c:pt>
                <c:pt idx="11">
                  <c:v>2.1972878670244484</c:v>
                </c:pt>
                <c:pt idx="12">
                  <c:v>2.2989424894704182</c:v>
                </c:pt>
                <c:pt idx="13">
                  <c:v>2.4035020472883728</c:v>
                </c:pt>
                <c:pt idx="14">
                  <c:v>2.5108488542138079</c:v>
                </c:pt>
                <c:pt idx="15">
                  <c:v>2.6217184250987215</c:v>
                </c:pt>
                <c:pt idx="16">
                  <c:v>2.7360255986689324</c:v>
                </c:pt>
                <c:pt idx="17">
                  <c:v>2.853809826057955</c:v>
                </c:pt>
                <c:pt idx="18">
                  <c:v>2.9751300431003704</c:v>
                </c:pt>
                <c:pt idx="19">
                  <c:v>3.1000518547940756</c:v>
                </c:pt>
                <c:pt idx="20">
                  <c:v>3.2286343834348386</c:v>
                </c:pt>
                <c:pt idx="21">
                  <c:v>3.3609179314458233</c:v>
                </c:pt>
                <c:pt idx="22">
                  <c:v>3.4969342815926239</c:v>
                </c:pt>
                <c:pt idx="23">
                  <c:v>3.6367209474083957</c:v>
                </c:pt>
                <c:pt idx="24">
                  <c:v>3.7803132700643678</c:v>
                </c:pt>
                <c:pt idx="25">
                  <c:v>3.9277404000879983</c:v>
                </c:pt>
                <c:pt idx="26">
                  <c:v>4.0790240535976112</c:v>
                </c:pt>
                <c:pt idx="27">
                  <c:v>4.2341754432119947</c:v>
                </c:pt>
                <c:pt idx="28">
                  <c:v>4.3932025496935303</c:v>
                </c:pt>
                <c:pt idx="29">
                  <c:v>4.5561023659101574</c:v>
                </c:pt>
                <c:pt idx="30">
                  <c:v>4.7228681252507139</c:v>
                </c:pt>
              </c:numCache>
            </c:numRef>
          </c:val>
          <c:extLst>
            <c:ext xmlns:c16="http://schemas.microsoft.com/office/drawing/2014/chart" uri="{C3380CC4-5D6E-409C-BE32-E72D297353CC}">
              <c16:uniqueId val="{00000001-F064-8749-A6D2-9D6DCC815C46}"/>
            </c:ext>
          </c:extLst>
        </c:ser>
        <c:ser>
          <c:idx val="3"/>
          <c:order val="2"/>
          <c:tx>
            <c:strRef>
              <c:f>BAU_Fuel_cons!$B$26</c:f>
              <c:strCache>
                <c:ptCount val="1"/>
                <c:pt idx="0">
                  <c:v>Imp_fuelwood</c:v>
                </c:pt>
              </c:strCache>
            </c:strRef>
          </c:tx>
          <c:spPr>
            <a:solidFill>
              <a:schemeClr val="accent4"/>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BAU_Fuel_cons!$O$26:$AS$26</c:f>
              <c:numCache>
                <c:formatCode>0.00</c:formatCode>
                <c:ptCount val="31"/>
                <c:pt idx="0">
                  <c:v>3.961453347891325E-2</c:v>
                </c:pt>
                <c:pt idx="1">
                  <c:v>4.7778312858962259E-2</c:v>
                </c:pt>
                <c:pt idx="2">
                  <c:v>5.6563920870320181E-2</c:v>
                </c:pt>
                <c:pt idx="3">
                  <c:v>6.5997794221163461E-2</c:v>
                </c:pt>
                <c:pt idx="4">
                  <c:v>7.6105453178188398E-2</c:v>
                </c:pt>
                <c:pt idx="5">
                  <c:v>8.6339020043873907E-2</c:v>
                </c:pt>
                <c:pt idx="6">
                  <c:v>9.7248497358843874E-2</c:v>
                </c:pt>
                <c:pt idx="7">
                  <c:v>0.10885621395022387</c:v>
                </c:pt>
                <c:pt idx="8">
                  <c:v>0.1211824772108972</c:v>
                </c:pt>
                <c:pt idx="9">
                  <c:v>0.13424576593378071</c:v>
                </c:pt>
                <c:pt idx="10">
                  <c:v>0.14806354299338073</c:v>
                </c:pt>
                <c:pt idx="11">
                  <c:v>0.16265224740382708</c:v>
                </c:pt>
                <c:pt idx="12">
                  <c:v>0.17802729733487957</c:v>
                </c:pt>
                <c:pt idx="13">
                  <c:v>0.19420086754091154</c:v>
                </c:pt>
                <c:pt idx="14">
                  <c:v>0.21117853195579045</c:v>
                </c:pt>
                <c:pt idx="15">
                  <c:v>0.22903838463658244</c:v>
                </c:pt>
                <c:pt idx="16">
                  <c:v>0.2477931925209918</c:v>
                </c:pt>
                <c:pt idx="17">
                  <c:v>0.26746569497747824</c:v>
                </c:pt>
                <c:pt idx="18">
                  <c:v>0.28808042560398711</c:v>
                </c:pt>
                <c:pt idx="19">
                  <c:v>0.30966273371732689</c:v>
                </c:pt>
                <c:pt idx="20">
                  <c:v>0.33223752584702831</c:v>
                </c:pt>
                <c:pt idx="21">
                  <c:v>0.35582785495362684</c:v>
                </c:pt>
                <c:pt idx="22">
                  <c:v>0.38045576068896386</c:v>
                </c:pt>
                <c:pt idx="23">
                  <c:v>0.40614374129483255</c:v>
                </c:pt>
                <c:pt idx="24">
                  <c:v>0.4329139365492769</c:v>
                </c:pt>
                <c:pt idx="25">
                  <c:v>0.46078762994646982</c:v>
                </c:pt>
                <c:pt idx="26">
                  <c:v>0.48978501867554453</c:v>
                </c:pt>
                <c:pt idx="27">
                  <c:v>0.51992474264237598</c:v>
                </c:pt>
                <c:pt idx="28">
                  <c:v>0.55122466563335815</c:v>
                </c:pt>
                <c:pt idx="29">
                  <c:v>0.58370085204434419</c:v>
                </c:pt>
                <c:pt idx="30">
                  <c:v>0.61736838238571434</c:v>
                </c:pt>
              </c:numCache>
            </c:numRef>
          </c:val>
          <c:extLst>
            <c:ext xmlns:c16="http://schemas.microsoft.com/office/drawing/2014/chart" uri="{C3380CC4-5D6E-409C-BE32-E72D297353CC}">
              <c16:uniqueId val="{00000002-F064-8749-A6D2-9D6DCC815C46}"/>
            </c:ext>
          </c:extLst>
        </c:ser>
        <c:ser>
          <c:idx val="4"/>
          <c:order val="3"/>
          <c:tx>
            <c:strRef>
              <c:f>BAU_Fuel_cons!$B$27</c:f>
              <c:strCache>
                <c:ptCount val="1"/>
                <c:pt idx="0">
                  <c:v>Imp_charcoal</c:v>
                </c:pt>
              </c:strCache>
            </c:strRef>
          </c:tx>
          <c:spPr>
            <a:solidFill>
              <a:schemeClr val="accent5"/>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BAU_Fuel_cons!$O$27:$AS$27</c:f>
              <c:numCache>
                <c:formatCode>0.00</c:formatCode>
                <c:ptCount val="31"/>
                <c:pt idx="0">
                  <c:v>4.4016148309900128E-3</c:v>
                </c:pt>
                <c:pt idx="1">
                  <c:v>5.3087014287734931E-3</c:v>
                </c:pt>
                <c:pt idx="2">
                  <c:v>6.2848800967019568E-3</c:v>
                </c:pt>
                <c:pt idx="3">
                  <c:v>7.3330882467957416E-3</c:v>
                </c:pt>
                <c:pt idx="4">
                  <c:v>8.4561614642430505E-3</c:v>
                </c:pt>
                <c:pt idx="5">
                  <c:v>9.5932244493192181E-3</c:v>
                </c:pt>
                <c:pt idx="6">
                  <c:v>1.0805388595426992E-2</c:v>
                </c:pt>
                <c:pt idx="7">
                  <c:v>1.2095134883358102E-2</c:v>
                </c:pt>
                <c:pt idx="8">
                  <c:v>1.3464719690099583E-2</c:v>
                </c:pt>
                <c:pt idx="9">
                  <c:v>1.4916196214864419E-2</c:v>
                </c:pt>
                <c:pt idx="10">
                  <c:v>1.6451504777042204E-2</c:v>
                </c:pt>
                <c:pt idx="11">
                  <c:v>1.8072471933758463E-2</c:v>
                </c:pt>
                <c:pt idx="12">
                  <c:v>1.9780810814986522E-2</c:v>
                </c:pt>
                <c:pt idx="13">
                  <c:v>2.1577874171212305E-2</c:v>
                </c:pt>
                <c:pt idx="14">
                  <c:v>2.3464281328421075E-2</c:v>
                </c:pt>
                <c:pt idx="15">
                  <c:v>2.5448709404064632E-2</c:v>
                </c:pt>
                <c:pt idx="16">
                  <c:v>2.7532576946776795E-2</c:v>
                </c:pt>
                <c:pt idx="17">
                  <c:v>2.9718410553053069E-2</c:v>
                </c:pt>
                <c:pt idx="18">
                  <c:v>3.2008936178220732E-2</c:v>
                </c:pt>
                <c:pt idx="19">
                  <c:v>3.4406970413036274E-2</c:v>
                </c:pt>
                <c:pt idx="20">
                  <c:v>3.6915280649669785E-2</c:v>
                </c:pt>
                <c:pt idx="21">
                  <c:v>3.9536428328180731E-2</c:v>
                </c:pt>
                <c:pt idx="22">
                  <c:v>4.227286229877375E-2</c:v>
                </c:pt>
                <c:pt idx="23">
                  <c:v>4.5127082366092502E-2</c:v>
                </c:pt>
                <c:pt idx="24">
                  <c:v>4.8101548505475225E-2</c:v>
                </c:pt>
                <c:pt idx="25">
                  <c:v>5.1198625549607781E-2</c:v>
                </c:pt>
                <c:pt idx="26">
                  <c:v>5.4420557630616095E-2</c:v>
                </c:pt>
                <c:pt idx="27">
                  <c:v>5.776941584915294E-2</c:v>
                </c:pt>
                <c:pt idx="28">
                  <c:v>6.1247185070373203E-2</c:v>
                </c:pt>
                <c:pt idx="29">
                  <c:v>6.4855650227149439E-2</c:v>
                </c:pt>
                <c:pt idx="30">
                  <c:v>6.859648693174604E-2</c:v>
                </c:pt>
              </c:numCache>
            </c:numRef>
          </c:val>
          <c:extLst>
            <c:ext xmlns:c16="http://schemas.microsoft.com/office/drawing/2014/chart" uri="{C3380CC4-5D6E-409C-BE32-E72D297353CC}">
              <c16:uniqueId val="{00000003-F064-8749-A6D2-9D6DCC815C46}"/>
            </c:ext>
          </c:extLst>
        </c:ser>
        <c:ser>
          <c:idx val="5"/>
          <c:order val="4"/>
          <c:tx>
            <c:strRef>
              <c:f>BAU_Fuel_cons!$B$28</c:f>
              <c:strCache>
                <c:ptCount val="1"/>
                <c:pt idx="0">
                  <c:v>Gas</c:v>
                </c:pt>
              </c:strCache>
            </c:strRef>
          </c:tx>
          <c:spPr>
            <a:solidFill>
              <a:schemeClr val="accent6"/>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BAU_Fuel_cons!$O$28:$AS$28</c:f>
              <c:numCache>
                <c:formatCode>0.00</c:formatCode>
                <c:ptCount val="31"/>
                <c:pt idx="0">
                  <c:v>1.7427230150540798E-3</c:v>
                </c:pt>
                <c:pt idx="1">
                  <c:v>2.0267035457160703E-3</c:v>
                </c:pt>
                <c:pt idx="2">
                  <c:v>2.331423222791419E-3</c:v>
                </c:pt>
                <c:pt idx="3">
                  <c:v>2.6577294389464939E-3</c:v>
                </c:pt>
                <c:pt idx="4">
                  <c:v>3.0064353671668985E-3</c:v>
                </c:pt>
                <c:pt idx="5">
                  <c:v>3.0133107736106685E-3</c:v>
                </c:pt>
                <c:pt idx="6">
                  <c:v>3.0136721805437065E-3</c:v>
                </c:pt>
                <c:pt idx="7">
                  <c:v>3.0070657085599231E-3</c:v>
                </c:pt>
                <c:pt idx="8">
                  <c:v>2.9930057927114624E-3</c:v>
                </c:pt>
                <c:pt idx="9">
                  <c:v>2.970999809570989E-3</c:v>
                </c:pt>
                <c:pt idx="10">
                  <c:v>2.9405753341026353E-3</c:v>
                </c:pt>
                <c:pt idx="11">
                  <c:v>2.9012792539278368E-3</c:v>
                </c:pt>
                <c:pt idx="12">
                  <c:v>2.8526773766802908E-3</c:v>
                </c:pt>
                <c:pt idx="13">
                  <c:v>2.794322114405859E-3</c:v>
                </c:pt>
                <c:pt idx="14">
                  <c:v>2.7257253727921127E-3</c:v>
                </c:pt>
                <c:pt idx="15">
                  <c:v>2.6473075651037626E-3</c:v>
                </c:pt>
                <c:pt idx="16">
                  <c:v>2.5585120941654547E-3</c:v>
                </c:pt>
                <c:pt idx="17">
                  <c:v>2.4589294768546958E-3</c:v>
                </c:pt>
                <c:pt idx="18">
                  <c:v>2.3481677621066854E-3</c:v>
                </c:pt>
                <c:pt idx="19">
                  <c:v>2.2258363046296706E-3</c:v>
                </c:pt>
                <c:pt idx="20">
                  <c:v>2.0915350356508883E-3</c:v>
                </c:pt>
                <c:pt idx="21">
                  <c:v>1.9448497603073395E-3</c:v>
                </c:pt>
                <c:pt idx="22">
                  <c:v>1.7853639461283335E-3</c:v>
                </c:pt>
                <c:pt idx="23">
                  <c:v>1.6126678269216964E-3</c:v>
                </c:pt>
                <c:pt idx="24">
                  <c:v>1.4263533714384622E-3</c:v>
                </c:pt>
                <c:pt idx="25">
                  <c:v>1.2260136441832709E-3</c:v>
                </c:pt>
                <c:pt idx="26">
                  <c:v>1.0112443759945371E-3</c:v>
                </c:pt>
                <c:pt idx="27">
                  <c:v>7.8164558941229791E-4</c:v>
                </c:pt>
                <c:pt idx="28">
                  <c:v>5.3682554339119423E-4</c:v>
                </c:pt>
                <c:pt idx="29">
                  <c:v>2.7640095245119197E-4</c:v>
                </c:pt>
                <c:pt idx="30">
                  <c:v>0</c:v>
                </c:pt>
              </c:numCache>
            </c:numRef>
          </c:val>
          <c:extLst>
            <c:ext xmlns:c16="http://schemas.microsoft.com/office/drawing/2014/chart" uri="{C3380CC4-5D6E-409C-BE32-E72D297353CC}">
              <c16:uniqueId val="{00000004-F064-8749-A6D2-9D6DCC815C46}"/>
            </c:ext>
          </c:extLst>
        </c:ser>
        <c:ser>
          <c:idx val="6"/>
          <c:order val="5"/>
          <c:tx>
            <c:strRef>
              <c:f>BAU_Fuel_cons!$B$29</c:f>
              <c:strCache>
                <c:ptCount val="1"/>
                <c:pt idx="0">
                  <c:v>kerosene</c:v>
                </c:pt>
              </c:strCache>
            </c:strRef>
          </c:tx>
          <c:spPr>
            <a:solidFill>
              <a:schemeClr val="accent1">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BAU_Fuel_cons!$O$29:$AS$29</c:f>
              <c:numCache>
                <c:formatCode>0.00</c:formatCode>
                <c:ptCount val="31"/>
                <c:pt idx="0">
                  <c:v>1.4109146447841009E-4</c:v>
                </c:pt>
                <c:pt idx="1">
                  <c:v>1.0717823380847281E-4</c:v>
                </c:pt>
                <c:pt idx="2">
                  <c:v>6.993478588618863E-5</c:v>
                </c:pt>
                <c:pt idx="3">
                  <c:v>2.9190775153562381E-5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F064-8749-A6D2-9D6DCC815C46}"/>
            </c:ext>
          </c:extLst>
        </c:ser>
        <c:ser>
          <c:idx val="7"/>
          <c:order val="6"/>
          <c:tx>
            <c:strRef>
              <c:f>BAU_Fuel_cons!$B$30</c:f>
              <c:strCache>
                <c:ptCount val="1"/>
                <c:pt idx="0">
                  <c:v>electric</c:v>
                </c:pt>
              </c:strCache>
            </c:strRef>
          </c:tx>
          <c:spPr>
            <a:solidFill>
              <a:schemeClr val="accent2">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BAU_Fuel_cons!$O$30:$AS$30</c:f>
              <c:numCache>
                <c:formatCode>0.00</c:formatCode>
                <c:ptCount val="31"/>
                <c:pt idx="0">
                  <c:v>0.29160166041014457</c:v>
                </c:pt>
                <c:pt idx="1">
                  <c:v>0.28961978130486549</c:v>
                </c:pt>
                <c:pt idx="2">
                  <c:v>0.28675071286277637</c:v>
                </c:pt>
                <c:pt idx="3">
                  <c:v>0.28292839096943623</c:v>
                </c:pt>
                <c:pt idx="4">
                  <c:v>0.27808504065627787</c:v>
                </c:pt>
                <c:pt idx="5">
                  <c:v>0.27872099235553094</c:v>
                </c:pt>
                <c:pt idx="6">
                  <c:v>0.27875442126698036</c:v>
                </c:pt>
                <c:pt idx="7">
                  <c:v>0.27814334509010052</c:v>
                </c:pt>
                <c:pt idx="8">
                  <c:v>0.27684285071957709</c:v>
                </c:pt>
                <c:pt idx="9">
                  <c:v>0.27480737216476397</c:v>
                </c:pt>
                <c:pt idx="10">
                  <c:v>0.2719932117174913</c:v>
                </c:pt>
                <c:pt idx="11">
                  <c:v>0.26835845802466918</c:v>
                </c:pt>
                <c:pt idx="12">
                  <c:v>0.26386294976995772</c:v>
                </c:pt>
                <c:pt idx="13">
                  <c:v>0.25846528659072732</c:v>
                </c:pt>
                <c:pt idx="14">
                  <c:v>0.25212032142404794</c:v>
                </c:pt>
                <c:pt idx="15">
                  <c:v>0.24486694106625223</c:v>
                </c:pt>
                <c:pt idx="16">
                  <c:v>0.23665366217270267</c:v>
                </c:pt>
                <c:pt idx="17">
                  <c:v>0.22744260894802726</c:v>
                </c:pt>
                <c:pt idx="18">
                  <c:v>0.21719752725252922</c:v>
                </c:pt>
                <c:pt idx="19">
                  <c:v>0.20588228372607528</c:v>
                </c:pt>
                <c:pt idx="20">
                  <c:v>0.19345987336860654</c:v>
                </c:pt>
                <c:pt idx="21">
                  <c:v>0.17989198456478794</c:v>
                </c:pt>
                <c:pt idx="22">
                  <c:v>0.16514008947852771</c:v>
                </c:pt>
                <c:pt idx="23">
                  <c:v>0.1491662861314714</c:v>
                </c:pt>
                <c:pt idx="24">
                  <c:v>0.13193283302160738</c:v>
                </c:pt>
                <c:pt idx="25">
                  <c:v>0.11340209000040385</c:v>
                </c:pt>
                <c:pt idx="26">
                  <c:v>9.3536663546129606E-2</c:v>
                </c:pt>
                <c:pt idx="27">
                  <c:v>7.2299557104848977E-2</c:v>
                </c:pt>
                <c:pt idx="28">
                  <c:v>4.9654535962948949E-2</c:v>
                </c:pt>
                <c:pt idx="29">
                  <c:v>2.5566147517835015E-2</c:v>
                </c:pt>
                <c:pt idx="30">
                  <c:v>0</c:v>
                </c:pt>
              </c:numCache>
            </c:numRef>
          </c:val>
          <c:extLst>
            <c:ext xmlns:c16="http://schemas.microsoft.com/office/drawing/2014/chart" uri="{C3380CC4-5D6E-409C-BE32-E72D297353CC}">
              <c16:uniqueId val="{00000006-F064-8749-A6D2-9D6DCC815C46}"/>
            </c:ext>
          </c:extLst>
        </c:ser>
        <c:ser>
          <c:idx val="8"/>
          <c:order val="7"/>
          <c:tx>
            <c:strRef>
              <c:f>BAU_Fuel_cons!$B$31</c:f>
              <c:strCache>
                <c:ptCount val="1"/>
                <c:pt idx="0">
                  <c:v>pellets</c:v>
                </c:pt>
              </c:strCache>
            </c:strRef>
          </c:tx>
          <c:spPr>
            <a:solidFill>
              <a:schemeClr val="accent3">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BAU_Fuel_cons!$O$31:$AS$31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F064-8749-A6D2-9D6DCC815C46}"/>
            </c:ext>
          </c:extLst>
        </c:ser>
        <c:ser>
          <c:idx val="9"/>
          <c:order val="8"/>
          <c:tx>
            <c:strRef>
              <c:f>BAU_Fuel_cons!$B$32</c:f>
              <c:strCache>
                <c:ptCount val="1"/>
                <c:pt idx="0">
                  <c:v>ethanol</c:v>
                </c:pt>
              </c:strCache>
            </c:strRef>
          </c:tx>
          <c:spPr>
            <a:solidFill>
              <a:schemeClr val="accent4">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BAU_Fuel_cons!$O$32:$AS$32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8-F064-8749-A6D2-9D6DCC815C46}"/>
            </c:ext>
          </c:extLst>
        </c:ser>
        <c:ser>
          <c:idx val="10"/>
          <c:order val="9"/>
          <c:tx>
            <c:strRef>
              <c:f>BAU_Fuel_cons!$B$33</c:f>
              <c:strCache>
                <c:ptCount val="1"/>
                <c:pt idx="0">
                  <c:v>biogas</c:v>
                </c:pt>
              </c:strCache>
            </c:strRef>
          </c:tx>
          <c:spPr>
            <a:solidFill>
              <a:schemeClr val="accent5">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BAU_Fuel_cons!$O$33:$AS$33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F064-8749-A6D2-9D6DCC815C46}"/>
            </c:ext>
          </c:extLst>
        </c:ser>
        <c:ser>
          <c:idx val="11"/>
          <c:order val="10"/>
          <c:tx>
            <c:strRef>
              <c:f>BAU_Fuel_cons!$B$34</c:f>
              <c:strCache>
                <c:ptCount val="1"/>
                <c:pt idx="0">
                  <c:v>other</c:v>
                </c:pt>
              </c:strCache>
            </c:strRef>
          </c:tx>
          <c:spPr>
            <a:solidFill>
              <a:schemeClr val="accent6">
                <a:lumMod val="60000"/>
              </a:schemeClr>
            </a:solidFill>
            <a:ln w="25400">
              <a:noFill/>
            </a:ln>
            <a:effectLst/>
          </c:spPr>
          <c:cat>
            <c:numRef>
              <c:f>BAU_Fuel_cons!$O$1:$AS$1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BAU_Fuel_cons!$O$34:$AS$34</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F064-8749-A6D2-9D6DCC815C46}"/>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8"/>
          <c:y val="5.1504082822980461E-2"/>
          <c:w val="0.2"/>
          <c:h val="0.27754437474976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BAU_emissions!$AT$12</c:f>
              <c:strCache>
                <c:ptCount val="1"/>
                <c:pt idx="0">
                  <c:v>BAU</c:v>
                </c:pt>
              </c:strCache>
            </c:strRef>
          </c:tx>
          <c:spPr>
            <a:ln w="19050" cap="rnd">
              <a:solidFill>
                <a:schemeClr val="accent1"/>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BAU_emissions!$AU$12:$BA$12</c:f>
              <c:numCache>
                <c:formatCode>0</c:formatCode>
                <c:ptCount val="7"/>
                <c:pt idx="0">
                  <c:v>14369.780260404465</c:v>
                </c:pt>
                <c:pt idx="1">
                  <c:v>17371.934022967085</c:v>
                </c:pt>
                <c:pt idx="2">
                  <c:v>20665.925645406005</c:v>
                </c:pt>
                <c:pt idx="3">
                  <c:v>24219.27922615741</c:v>
                </c:pt>
                <c:pt idx="4">
                  <c:v>28035.39041491333</c:v>
                </c:pt>
                <c:pt idx="5">
                  <c:v>32100.593686253873</c:v>
                </c:pt>
                <c:pt idx="6">
                  <c:v>36364.562507471383</c:v>
                </c:pt>
              </c:numCache>
            </c:numRef>
          </c:yVal>
          <c:smooth val="0"/>
          <c:extLst>
            <c:ext xmlns:c16="http://schemas.microsoft.com/office/drawing/2014/chart" uri="{C3380CC4-5D6E-409C-BE32-E72D297353CC}">
              <c16:uniqueId val="{00000000-C601-6D46-86E8-005914BCB1A4}"/>
            </c:ext>
          </c:extLst>
        </c:ser>
        <c:ser>
          <c:idx val="1"/>
          <c:order val="1"/>
          <c:tx>
            <c:strRef>
              <c:f>BAU_emissions!$AT$13</c:f>
              <c:strCache>
                <c:ptCount val="1"/>
                <c:pt idx="0">
                  <c:v>NICCS</c:v>
                </c:pt>
              </c:strCache>
            </c:strRef>
          </c:tx>
          <c:spPr>
            <a:ln w="19050" cap="rnd">
              <a:solidFill>
                <a:schemeClr val="accent2"/>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BAU_emissions!$AU$13:$BA$13</c:f>
              <c:numCache>
                <c:formatCode>0</c:formatCode>
                <c:ptCount val="7"/>
                <c:pt idx="0">
                  <c:v>14369.780260404465</c:v>
                </c:pt>
                <c:pt idx="1">
                  <c:v>17371.934022967085</c:v>
                </c:pt>
                <c:pt idx="2">
                  <c:v>15897.029918172531</c:v>
                </c:pt>
                <c:pt idx="3">
                  <c:v>13215.054498730029</c:v>
                </c:pt>
                <c:pt idx="4">
                  <c:v>9196.9373483161471</c:v>
                </c:pt>
                <c:pt idx="5">
                  <c:v>10141.898023822734</c:v>
                </c:pt>
                <c:pt idx="6">
                  <c:v>11073.271149870785</c:v>
                </c:pt>
              </c:numCache>
            </c:numRef>
          </c:yVal>
          <c:smooth val="0"/>
          <c:extLst>
            <c:ext xmlns:c16="http://schemas.microsoft.com/office/drawing/2014/chart" uri="{C3380CC4-5D6E-409C-BE32-E72D297353CC}">
              <c16:uniqueId val="{00000001-C601-6D46-86E8-005914BCB1A4}"/>
            </c:ext>
          </c:extLst>
        </c:ser>
        <c:dLbls>
          <c:showLegendKey val="0"/>
          <c:showVal val="0"/>
          <c:showCatName val="0"/>
          <c:showSerName val="0"/>
          <c:showPercent val="0"/>
          <c:showBubbleSize val="0"/>
        </c:dLbls>
        <c:axId val="991513039"/>
        <c:axId val="1366350831"/>
      </c:scatterChart>
      <c:valAx>
        <c:axId val="99151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50831"/>
        <c:crosses val="autoZero"/>
        <c:crossBetween val="midCat"/>
      </c:valAx>
      <c:valAx>
        <c:axId val="13663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BAU_emissions!$AT$50</c:f>
              <c:strCache>
                <c:ptCount val="1"/>
                <c:pt idx="0">
                  <c:v>BAU</c:v>
                </c:pt>
              </c:strCache>
            </c:strRef>
          </c:tx>
          <c:spPr>
            <a:ln w="19050" cap="rnd">
              <a:solidFill>
                <a:schemeClr val="accent1"/>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BAU_emissions!$AU$50:$BA$50</c:f>
              <c:numCache>
                <c:formatCode>0</c:formatCode>
                <c:ptCount val="7"/>
                <c:pt idx="0">
                  <c:v>21.637629535290266</c:v>
                </c:pt>
                <c:pt idx="1">
                  <c:v>25.013323374867472</c:v>
                </c:pt>
                <c:pt idx="2">
                  <c:v>28.276365616094612</c:v>
                </c:pt>
                <c:pt idx="3">
                  <c:v>31.559152588772438</c:v>
                </c:pt>
                <c:pt idx="4">
                  <c:v>34.863033157184326</c:v>
                </c:pt>
                <c:pt idx="5">
                  <c:v>38.171550785476505</c:v>
                </c:pt>
                <c:pt idx="6">
                  <c:v>41.43371628742031</c:v>
                </c:pt>
              </c:numCache>
            </c:numRef>
          </c:yVal>
          <c:smooth val="0"/>
          <c:extLst>
            <c:ext xmlns:c16="http://schemas.microsoft.com/office/drawing/2014/chart" uri="{C3380CC4-5D6E-409C-BE32-E72D297353CC}">
              <c16:uniqueId val="{00000000-5B38-0040-B3FC-5AF56676B80F}"/>
            </c:ext>
          </c:extLst>
        </c:ser>
        <c:ser>
          <c:idx val="1"/>
          <c:order val="1"/>
          <c:tx>
            <c:strRef>
              <c:f>BAU_emissions!$AT$51</c:f>
              <c:strCache>
                <c:ptCount val="1"/>
                <c:pt idx="0">
                  <c:v>NICCS</c:v>
                </c:pt>
              </c:strCache>
            </c:strRef>
          </c:tx>
          <c:spPr>
            <a:ln w="19050" cap="rnd">
              <a:solidFill>
                <a:schemeClr val="accent2"/>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BAU_emissions!$AU$51:$BA$51</c:f>
              <c:numCache>
                <c:formatCode>0</c:formatCode>
                <c:ptCount val="7"/>
                <c:pt idx="0">
                  <c:v>21.637629535290266</c:v>
                </c:pt>
                <c:pt idx="1">
                  <c:v>25.013323374867472</c:v>
                </c:pt>
                <c:pt idx="2">
                  <c:v>21.245228989898596</c:v>
                </c:pt>
                <c:pt idx="3">
                  <c:v>15.447140856920131</c:v>
                </c:pt>
                <c:pt idx="4">
                  <c:v>7.4705080492599665</c:v>
                </c:pt>
                <c:pt idx="5">
                  <c:v>8.1442523821205555</c:v>
                </c:pt>
                <c:pt idx="6">
                  <c:v>8.7839707836303056</c:v>
                </c:pt>
              </c:numCache>
            </c:numRef>
          </c:yVal>
          <c:smooth val="0"/>
          <c:extLst>
            <c:ext xmlns:c16="http://schemas.microsoft.com/office/drawing/2014/chart" uri="{C3380CC4-5D6E-409C-BE32-E72D297353CC}">
              <c16:uniqueId val="{00000001-5B38-0040-B3FC-5AF56676B80F}"/>
            </c:ext>
          </c:extLst>
        </c:ser>
        <c:dLbls>
          <c:showLegendKey val="0"/>
          <c:showVal val="0"/>
          <c:showCatName val="0"/>
          <c:showSerName val="0"/>
          <c:showPercent val="0"/>
          <c:showBubbleSize val="0"/>
        </c:dLbls>
        <c:axId val="991513039"/>
        <c:axId val="1366350831"/>
      </c:scatterChart>
      <c:valAx>
        <c:axId val="99151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50831"/>
        <c:crosses val="autoZero"/>
        <c:crossBetween val="midCat"/>
      </c:valAx>
      <c:valAx>
        <c:axId val="1366350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BAU_emissions!$AT$88</c:f>
              <c:strCache>
                <c:ptCount val="1"/>
                <c:pt idx="0">
                  <c:v>BAU</c:v>
                </c:pt>
              </c:strCache>
            </c:strRef>
          </c:tx>
          <c:spPr>
            <a:ln w="19050" cap="rnd">
              <a:solidFill>
                <a:schemeClr val="accent1"/>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BAU_emissions!$AU$88:$BA$88</c:f>
              <c:numCache>
                <c:formatCode>0.0</c:formatCode>
                <c:ptCount val="7"/>
                <c:pt idx="0">
                  <c:v>5248.0507155361984</c:v>
                </c:pt>
                <c:pt idx="1">
                  <c:v>6547.5942476976452</c:v>
                </c:pt>
                <c:pt idx="2">
                  <c:v>8048.5819871308458</c:v>
                </c:pt>
                <c:pt idx="3">
                  <c:v>9711.1414619943025</c:v>
                </c:pt>
                <c:pt idx="4">
                  <c:v>11537.835673445303</c:v>
                </c:pt>
                <c:pt idx="5">
                  <c:v>13523.696541767376</c:v>
                </c:pt>
                <c:pt idx="6">
                  <c:v>15646.819994521793</c:v>
                </c:pt>
              </c:numCache>
            </c:numRef>
          </c:yVal>
          <c:smooth val="0"/>
          <c:extLst>
            <c:ext xmlns:c16="http://schemas.microsoft.com/office/drawing/2014/chart" uri="{C3380CC4-5D6E-409C-BE32-E72D297353CC}">
              <c16:uniqueId val="{00000000-70D9-6B49-8F2F-FFB796C9B6D0}"/>
            </c:ext>
          </c:extLst>
        </c:ser>
        <c:ser>
          <c:idx val="1"/>
          <c:order val="1"/>
          <c:tx>
            <c:strRef>
              <c:f>BAU_emissions!$AT$89</c:f>
              <c:strCache>
                <c:ptCount val="1"/>
                <c:pt idx="0">
                  <c:v>NICCS</c:v>
                </c:pt>
              </c:strCache>
            </c:strRef>
          </c:tx>
          <c:spPr>
            <a:ln w="19050" cap="rnd">
              <a:solidFill>
                <a:schemeClr val="accent2"/>
              </a:solidFill>
              <a:round/>
            </a:ln>
            <a:effectLst/>
          </c:spPr>
          <c:marker>
            <c:symbol val="none"/>
          </c:marker>
          <c:xVal>
            <c:numRef>
              <c:f>BAU_emissions!$AU$1:$BA$1</c:f>
              <c:numCache>
                <c:formatCode>General</c:formatCode>
                <c:ptCount val="7"/>
                <c:pt idx="0">
                  <c:v>2020</c:v>
                </c:pt>
                <c:pt idx="1">
                  <c:v>2025</c:v>
                </c:pt>
                <c:pt idx="2">
                  <c:v>2030</c:v>
                </c:pt>
                <c:pt idx="3">
                  <c:v>2035</c:v>
                </c:pt>
                <c:pt idx="4">
                  <c:v>2040</c:v>
                </c:pt>
                <c:pt idx="5">
                  <c:v>2045</c:v>
                </c:pt>
                <c:pt idx="6">
                  <c:v>2050</c:v>
                </c:pt>
              </c:numCache>
            </c:numRef>
          </c:xVal>
          <c:yVal>
            <c:numRef>
              <c:f>BAU_emissions!$AU$89:$BA$89</c:f>
              <c:numCache>
                <c:formatCode>0.0</c:formatCode>
                <c:ptCount val="7"/>
                <c:pt idx="0">
                  <c:v>5248.0507155361984</c:v>
                </c:pt>
                <c:pt idx="1">
                  <c:v>6547.5942476976461</c:v>
                </c:pt>
                <c:pt idx="2">
                  <c:v>5858.0258883839197</c:v>
                </c:pt>
                <c:pt idx="3">
                  <c:v>4641.8518068051289</c:v>
                </c:pt>
                <c:pt idx="4">
                  <c:v>2834.893517851106</c:v>
                </c:pt>
                <c:pt idx="5">
                  <c:v>3103.4151711804998</c:v>
                </c:pt>
                <c:pt idx="6">
                  <c:v>3362.1731813205843</c:v>
                </c:pt>
              </c:numCache>
            </c:numRef>
          </c:yVal>
          <c:smooth val="0"/>
          <c:extLst>
            <c:ext xmlns:c16="http://schemas.microsoft.com/office/drawing/2014/chart" uri="{C3380CC4-5D6E-409C-BE32-E72D297353CC}">
              <c16:uniqueId val="{00000001-70D9-6B49-8F2F-FFB796C9B6D0}"/>
            </c:ext>
          </c:extLst>
        </c:ser>
        <c:dLbls>
          <c:showLegendKey val="0"/>
          <c:showVal val="0"/>
          <c:showCatName val="0"/>
          <c:showSerName val="0"/>
          <c:showPercent val="0"/>
          <c:showBubbleSize val="0"/>
        </c:dLbls>
        <c:axId val="991513039"/>
        <c:axId val="1366350831"/>
      </c:scatterChart>
      <c:valAx>
        <c:axId val="991513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350831"/>
        <c:crosses val="autoZero"/>
        <c:crossBetween val="midCat"/>
      </c:valAx>
      <c:valAx>
        <c:axId val="13663508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5130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BAU_for_CSV!$P$3</c:f>
              <c:strCache>
                <c:ptCount val="1"/>
                <c:pt idx="0">
                  <c:v>fuelwood</c:v>
                </c:pt>
              </c:strCache>
            </c:strRef>
          </c:tx>
          <c:spPr>
            <a:solidFill>
              <a:schemeClr val="accent1"/>
            </a:solidFill>
            <a:ln w="25400">
              <a:noFill/>
            </a:ln>
            <a:effectLst/>
          </c:spPr>
          <c:val>
            <c:numRef>
              <c:f>BAU_for_CSV!$Q$3:$Y$3</c:f>
              <c:numCache>
                <c:formatCode>0.0</c:formatCode>
                <c:ptCount val="9"/>
                <c:pt idx="0">
                  <c:v>8.153354210745297</c:v>
                </c:pt>
                <c:pt idx="1">
                  <c:v>8.7952043296904723</c:v>
                </c:pt>
                <c:pt idx="2">
                  <c:v>9.3353150588899254</c:v>
                </c:pt>
                <c:pt idx="3">
                  <c:v>9.6216309712248052</c:v>
                </c:pt>
                <c:pt idx="4">
                  <c:v>9.3061476122930173</c:v>
                </c:pt>
                <c:pt idx="5">
                  <c:v>8.6114656853663938</c:v>
                </c:pt>
                <c:pt idx="6">
                  <c:v>7.5299274673192746</c:v>
                </c:pt>
                <c:pt idx="7">
                  <c:v>6.0535559389091462</c:v>
                </c:pt>
                <c:pt idx="8">
                  <c:v>4.1799751533379492</c:v>
                </c:pt>
              </c:numCache>
            </c:numRef>
          </c:val>
          <c:extLst>
            <c:ext xmlns:c16="http://schemas.microsoft.com/office/drawing/2014/chart" uri="{C3380CC4-5D6E-409C-BE32-E72D297353CC}">
              <c16:uniqueId val="{00000000-60D1-D546-9DCD-B483820B9B1D}"/>
            </c:ext>
          </c:extLst>
        </c:ser>
        <c:ser>
          <c:idx val="1"/>
          <c:order val="1"/>
          <c:tx>
            <c:strRef>
              <c:f>BAU_for_CSV!$P$4</c:f>
              <c:strCache>
                <c:ptCount val="1"/>
                <c:pt idx="0">
                  <c:v>Charcoal</c:v>
                </c:pt>
              </c:strCache>
            </c:strRef>
          </c:tx>
          <c:spPr>
            <a:solidFill>
              <a:schemeClr val="accent2"/>
            </a:solidFill>
            <a:ln w="25400">
              <a:noFill/>
            </a:ln>
            <a:effectLst/>
          </c:spPr>
          <c:val>
            <c:numRef>
              <c:f>BAU_for_CSV!$Q$4:$Y$4</c:f>
              <c:numCache>
                <c:formatCode>0.0</c:formatCode>
                <c:ptCount val="9"/>
                <c:pt idx="0">
                  <c:v>4.0771691677701707</c:v>
                </c:pt>
                <c:pt idx="1">
                  <c:v>6.6590937519290012</c:v>
                </c:pt>
                <c:pt idx="2">
                  <c:v>10.013532773234017</c:v>
                </c:pt>
                <c:pt idx="3">
                  <c:v>14.326375712607522</c:v>
                </c:pt>
                <c:pt idx="4">
                  <c:v>19.900135385294263</c:v>
                </c:pt>
                <c:pt idx="5">
                  <c:v>26.376231897516934</c:v>
                </c:pt>
                <c:pt idx="6">
                  <c:v>33.766172852577348</c:v>
                </c:pt>
                <c:pt idx="7">
                  <c:v>42.054525915571425</c:v>
                </c:pt>
                <c:pt idx="8">
                  <c:v>51.160654192184992</c:v>
                </c:pt>
              </c:numCache>
            </c:numRef>
          </c:val>
          <c:extLst>
            <c:ext xmlns:c16="http://schemas.microsoft.com/office/drawing/2014/chart" uri="{C3380CC4-5D6E-409C-BE32-E72D297353CC}">
              <c16:uniqueId val="{00000001-60D1-D546-9DCD-B483820B9B1D}"/>
            </c:ext>
          </c:extLst>
        </c:ser>
        <c:ser>
          <c:idx val="2"/>
          <c:order val="2"/>
          <c:tx>
            <c:strRef>
              <c:f>BAU_for_CSV!$P$5</c:f>
              <c:strCache>
                <c:ptCount val="1"/>
                <c:pt idx="0">
                  <c:v>Imp_fuelwood</c:v>
                </c:pt>
              </c:strCache>
            </c:strRef>
          </c:tx>
          <c:spPr>
            <a:solidFill>
              <a:schemeClr val="accent3"/>
            </a:solidFill>
            <a:ln w="25400">
              <a:noFill/>
            </a:ln>
            <a:effectLst/>
          </c:spPr>
          <c:val>
            <c:numRef>
              <c:f>BAU_for_CSV!$Q$5:$Y$5</c:f>
              <c:numCache>
                <c:formatCode>0.0</c:formatCode>
                <c:ptCount val="9"/>
                <c:pt idx="0">
                  <c:v>0</c:v>
                </c:pt>
                <c:pt idx="1">
                  <c:v>7.1725358108698017E-3</c:v>
                </c:pt>
                <c:pt idx="2">
                  <c:v>3.961453347891325E-2</c:v>
                </c:pt>
                <c:pt idx="3">
                  <c:v>8.6339020043873907E-2</c:v>
                </c:pt>
                <c:pt idx="4">
                  <c:v>0.1480635429933807</c:v>
                </c:pt>
                <c:pt idx="5">
                  <c:v>0.22903838463658244</c:v>
                </c:pt>
                <c:pt idx="6">
                  <c:v>0.33223752584702831</c:v>
                </c:pt>
                <c:pt idx="7">
                  <c:v>0.46078762994646977</c:v>
                </c:pt>
                <c:pt idx="8">
                  <c:v>0.61736838238571434</c:v>
                </c:pt>
              </c:numCache>
            </c:numRef>
          </c:val>
          <c:extLst>
            <c:ext xmlns:c16="http://schemas.microsoft.com/office/drawing/2014/chart" uri="{C3380CC4-5D6E-409C-BE32-E72D297353CC}">
              <c16:uniqueId val="{00000002-60D1-D546-9DCD-B483820B9B1D}"/>
            </c:ext>
          </c:extLst>
        </c:ser>
        <c:ser>
          <c:idx val="3"/>
          <c:order val="3"/>
          <c:tx>
            <c:strRef>
              <c:f>BAU_for_CSV!$P$6</c:f>
              <c:strCache>
                <c:ptCount val="1"/>
                <c:pt idx="0">
                  <c:v>Imp_charcoal</c:v>
                </c:pt>
              </c:strCache>
            </c:strRef>
          </c:tx>
          <c:spPr>
            <a:solidFill>
              <a:schemeClr val="accent4"/>
            </a:solidFill>
            <a:ln w="25400">
              <a:noFill/>
            </a:ln>
            <a:effectLst/>
          </c:spPr>
          <c:val>
            <c:numRef>
              <c:f>BAU_for_CSV!$Q$6:$Y$6</c:f>
              <c:numCache>
                <c:formatCode>0.0</c:formatCode>
                <c:ptCount val="9"/>
                <c:pt idx="0">
                  <c:v>0</c:v>
                </c:pt>
                <c:pt idx="1">
                  <c:v>7.9694842342997794E-4</c:v>
                </c:pt>
                <c:pt idx="2">
                  <c:v>4.4016148309900128E-3</c:v>
                </c:pt>
                <c:pt idx="3">
                  <c:v>9.5932244493192181E-3</c:v>
                </c:pt>
                <c:pt idx="4">
                  <c:v>1.6451504777042204E-2</c:v>
                </c:pt>
                <c:pt idx="5">
                  <c:v>2.5448709404064632E-2</c:v>
                </c:pt>
                <c:pt idx="6">
                  <c:v>3.6915280649669792E-2</c:v>
                </c:pt>
                <c:pt idx="7">
                  <c:v>5.1198625549607781E-2</c:v>
                </c:pt>
                <c:pt idx="8">
                  <c:v>6.859648693174604E-2</c:v>
                </c:pt>
              </c:numCache>
            </c:numRef>
          </c:val>
          <c:extLst>
            <c:ext xmlns:c16="http://schemas.microsoft.com/office/drawing/2014/chart" uri="{C3380CC4-5D6E-409C-BE32-E72D297353CC}">
              <c16:uniqueId val="{00000003-60D1-D546-9DCD-B483820B9B1D}"/>
            </c:ext>
          </c:extLst>
        </c:ser>
        <c:ser>
          <c:idx val="4"/>
          <c:order val="4"/>
          <c:tx>
            <c:strRef>
              <c:f>BAU_for_CSV!$P$7</c:f>
              <c:strCache>
                <c:ptCount val="1"/>
                <c:pt idx="0">
                  <c:v>Kerosene</c:v>
                </c:pt>
              </c:strCache>
            </c:strRef>
          </c:tx>
          <c:spPr>
            <a:solidFill>
              <a:schemeClr val="accent5"/>
            </a:solidFill>
            <a:ln w="25400">
              <a:noFill/>
            </a:ln>
            <a:effectLst/>
          </c:spPr>
          <c:val>
            <c:numRef>
              <c:f>BAU_for_CSV!$Q$7:$Y$7</c:f>
              <c:numCache>
                <c:formatCode>0.0</c:formatCode>
                <c:ptCount val="9"/>
                <c:pt idx="0">
                  <c:v>3.3293868194047898E-4</c:v>
                </c:pt>
                <c:pt idx="1">
                  <c:v>2.6655958385035492E-4</c:v>
                </c:pt>
                <c:pt idx="2">
                  <c:v>1.4109146447841009E-4</c:v>
                </c:pt>
                <c:pt idx="3">
                  <c:v>0</c:v>
                </c:pt>
                <c:pt idx="4">
                  <c:v>0</c:v>
                </c:pt>
                <c:pt idx="5">
                  <c:v>0</c:v>
                </c:pt>
                <c:pt idx="6">
                  <c:v>0</c:v>
                </c:pt>
                <c:pt idx="7">
                  <c:v>0</c:v>
                </c:pt>
                <c:pt idx="8">
                  <c:v>0</c:v>
                </c:pt>
              </c:numCache>
            </c:numRef>
          </c:val>
          <c:extLst>
            <c:ext xmlns:c16="http://schemas.microsoft.com/office/drawing/2014/chart" uri="{C3380CC4-5D6E-409C-BE32-E72D297353CC}">
              <c16:uniqueId val="{00000004-60D1-D546-9DCD-B483820B9B1D}"/>
            </c:ext>
          </c:extLst>
        </c:ser>
        <c:ser>
          <c:idx val="5"/>
          <c:order val="5"/>
          <c:tx>
            <c:strRef>
              <c:f>BAU_for_CSV!$P$8</c:f>
              <c:strCache>
                <c:ptCount val="1"/>
                <c:pt idx="0">
                  <c:v>gas</c:v>
                </c:pt>
              </c:strCache>
            </c:strRef>
          </c:tx>
          <c:spPr>
            <a:solidFill>
              <a:schemeClr val="accent6"/>
            </a:solidFill>
            <a:ln w="25400">
              <a:noFill/>
            </a:ln>
            <a:effectLst/>
          </c:spPr>
          <c:val>
            <c:numRef>
              <c:f>BAU_for_CSV!$Q$8:$Y$8</c:f>
              <c:numCache>
                <c:formatCode>0.0</c:formatCode>
                <c:ptCount val="9"/>
                <c:pt idx="0">
                  <c:v>1.0031991454441227E-4</c:v>
                </c:pt>
                <c:pt idx="1">
                  <c:v>7.0259249209371857E-4</c:v>
                </c:pt>
                <c:pt idx="2">
                  <c:v>1.8381231236658088E-3</c:v>
                </c:pt>
                <c:pt idx="3">
                  <c:v>3.1011586490112529E-3</c:v>
                </c:pt>
                <c:pt idx="4">
                  <c:v>3.0188870794070799E-3</c:v>
                </c:pt>
                <c:pt idx="5">
                  <c:v>2.7117982536723085E-3</c:v>
                </c:pt>
                <c:pt idx="6">
                  <c:v>2.1381412420124406E-3</c:v>
                </c:pt>
                <c:pt idx="7">
                  <c:v>1.250968951840356E-3</c:v>
                </c:pt>
                <c:pt idx="8">
                  <c:v>0</c:v>
                </c:pt>
              </c:numCache>
            </c:numRef>
          </c:val>
          <c:extLst>
            <c:ext xmlns:c16="http://schemas.microsoft.com/office/drawing/2014/chart" uri="{C3380CC4-5D6E-409C-BE32-E72D297353CC}">
              <c16:uniqueId val="{00000005-60D1-D546-9DCD-B483820B9B1D}"/>
            </c:ext>
          </c:extLst>
        </c:ser>
        <c:ser>
          <c:idx val="6"/>
          <c:order val="6"/>
          <c:tx>
            <c:strRef>
              <c:f>BAU_for_CSV!$P$9</c:f>
              <c:strCache>
                <c:ptCount val="1"/>
                <c:pt idx="0">
                  <c:v>biogas</c:v>
                </c:pt>
              </c:strCache>
            </c:strRef>
          </c:tx>
          <c:spPr>
            <a:solidFill>
              <a:schemeClr val="accent1">
                <a:lumMod val="60000"/>
              </a:schemeClr>
            </a:solidFill>
            <a:ln w="25400">
              <a:noFill/>
            </a:ln>
            <a:effectLst/>
          </c:spPr>
          <c:val>
            <c:numRef>
              <c:f>BAU_for_CSV!$Q$9:$Y$9</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60D1-D546-9DCD-B483820B9B1D}"/>
            </c:ext>
          </c:extLst>
        </c:ser>
        <c:ser>
          <c:idx val="7"/>
          <c:order val="7"/>
          <c:tx>
            <c:strRef>
              <c:f>BAU_for_CSV!$P$10</c:f>
              <c:strCache>
                <c:ptCount val="1"/>
                <c:pt idx="0">
                  <c:v>electric</c:v>
                </c:pt>
              </c:strCache>
            </c:strRef>
          </c:tx>
          <c:spPr>
            <a:solidFill>
              <a:schemeClr val="accent2">
                <a:lumMod val="60000"/>
              </a:schemeClr>
            </a:solidFill>
            <a:ln w="25400">
              <a:noFill/>
            </a:ln>
            <a:effectLst/>
          </c:spPr>
          <c:val>
            <c:numRef>
              <c:f>BAU_for_CSV!$Q$10:$Y$10</c:f>
              <c:numCache>
                <c:formatCode>0.0</c:formatCode>
                <c:ptCount val="9"/>
                <c:pt idx="0">
                  <c:v>0.29878206722327511</c:v>
                </c:pt>
                <c:pt idx="1">
                  <c:v>0.3111611389016159</c:v>
                </c:pt>
                <c:pt idx="2">
                  <c:v>0.30835622534843254</c:v>
                </c:pt>
                <c:pt idx="3">
                  <c:v>0.29081508489027647</c:v>
                </c:pt>
                <c:pt idx="4">
                  <c:v>0.28277445702309018</c:v>
                </c:pt>
                <c:pt idx="5">
                  <c:v>0.25374542960818758</c:v>
                </c:pt>
                <c:pt idx="6">
                  <c:v>0.19987618986869019</c:v>
                </c:pt>
                <c:pt idx="7">
                  <c:v>0.11683770866120327</c:v>
                </c:pt>
                <c:pt idx="8">
                  <c:v>0</c:v>
                </c:pt>
              </c:numCache>
            </c:numRef>
          </c:val>
          <c:extLst>
            <c:ext xmlns:c16="http://schemas.microsoft.com/office/drawing/2014/chart" uri="{C3380CC4-5D6E-409C-BE32-E72D297353CC}">
              <c16:uniqueId val="{00000007-60D1-D546-9DCD-B483820B9B1D}"/>
            </c:ext>
          </c:extLst>
        </c:ser>
        <c:ser>
          <c:idx val="8"/>
          <c:order val="8"/>
          <c:tx>
            <c:strRef>
              <c:f>BAU_for_CSV!$P$11</c:f>
              <c:strCache>
                <c:ptCount val="1"/>
                <c:pt idx="0">
                  <c:v>pellets</c:v>
                </c:pt>
              </c:strCache>
            </c:strRef>
          </c:tx>
          <c:spPr>
            <a:solidFill>
              <a:schemeClr val="accent3">
                <a:lumMod val="60000"/>
              </a:schemeClr>
            </a:solidFill>
            <a:ln w="25400">
              <a:noFill/>
            </a:ln>
            <a:effectLst/>
          </c:spPr>
          <c:val>
            <c:numRef>
              <c:f>BAU_for_CSV!$Q$11:$Y$11</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8-60D1-D546-9DCD-B483820B9B1D}"/>
            </c:ext>
          </c:extLst>
        </c:ser>
        <c:ser>
          <c:idx val="9"/>
          <c:order val="9"/>
          <c:tx>
            <c:strRef>
              <c:f>BAU_for_CSV!$P$12</c:f>
              <c:strCache>
                <c:ptCount val="1"/>
                <c:pt idx="0">
                  <c:v>ethanol</c:v>
                </c:pt>
              </c:strCache>
            </c:strRef>
          </c:tx>
          <c:spPr>
            <a:solidFill>
              <a:schemeClr val="accent4">
                <a:lumMod val="60000"/>
              </a:schemeClr>
            </a:solidFill>
            <a:ln w="25400">
              <a:noFill/>
            </a:ln>
            <a:effectLst/>
          </c:spPr>
          <c:val>
            <c:numRef>
              <c:f>BAU_for_CSV!$Q$12:$Y$12</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9-60D1-D546-9DCD-B483820B9B1D}"/>
            </c:ext>
          </c:extLst>
        </c:ser>
        <c:dLbls>
          <c:showLegendKey val="0"/>
          <c:showVal val="0"/>
          <c:showCatName val="0"/>
          <c:showSerName val="0"/>
          <c:showPercent val="0"/>
          <c:showBubbleSize val="0"/>
        </c:dLbls>
        <c:axId val="2085911856"/>
        <c:axId val="1200368704"/>
      </c:areaChart>
      <c:catAx>
        <c:axId val="208591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68704"/>
        <c:crosses val="autoZero"/>
        <c:auto val="1"/>
        <c:lblAlgn val="ctr"/>
        <c:lblOffset val="100"/>
        <c:noMultiLvlLbl val="0"/>
      </c:catAx>
      <c:valAx>
        <c:axId val="1200368704"/>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11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BAU_for_CSV!$P$32</c:f>
              <c:strCache>
                <c:ptCount val="1"/>
                <c:pt idx="0">
                  <c:v>fuelwood</c:v>
                </c:pt>
              </c:strCache>
            </c:strRef>
          </c:tx>
          <c:spPr>
            <a:solidFill>
              <a:schemeClr val="accent1"/>
            </a:solidFill>
            <a:ln w="25400">
              <a:noFill/>
            </a:ln>
            <a:effectLst/>
          </c:spPr>
          <c:val>
            <c:numRef>
              <c:f>BAU_for_CSV!$Q$32:$Y$32</c:f>
              <c:numCache>
                <c:formatCode>0.0</c:formatCode>
                <c:ptCount val="9"/>
                <c:pt idx="0">
                  <c:v>9.8573992393287728</c:v>
                </c:pt>
                <c:pt idx="1">
                  <c:v>10.676246777682627</c:v>
                </c:pt>
                <c:pt idx="2">
                  <c:v>11.400528741957219</c:v>
                </c:pt>
                <c:pt idx="3">
                  <c:v>11.864019556443059</c:v>
                </c:pt>
                <c:pt idx="4">
                  <c:v>11.689891148255995</c:v>
                </c:pt>
                <c:pt idx="5">
                  <c:v>11.11024605381321</c:v>
                </c:pt>
                <c:pt idx="6">
                  <c:v>10.116268362674456</c:v>
                </c:pt>
                <c:pt idx="7">
                  <c:v>8.6978010041781797</c:v>
                </c:pt>
                <c:pt idx="8">
                  <c:v>6.8488727257099118</c:v>
                </c:pt>
              </c:numCache>
            </c:numRef>
          </c:val>
          <c:extLst>
            <c:ext xmlns:c16="http://schemas.microsoft.com/office/drawing/2014/chart" uri="{C3380CC4-5D6E-409C-BE32-E72D297353CC}">
              <c16:uniqueId val="{00000000-D0B9-CC49-806B-A9DA0099245C}"/>
            </c:ext>
          </c:extLst>
        </c:ser>
        <c:ser>
          <c:idx val="1"/>
          <c:order val="1"/>
          <c:tx>
            <c:strRef>
              <c:f>BAU_for_CSV!$P$33</c:f>
              <c:strCache>
                <c:ptCount val="1"/>
                <c:pt idx="0">
                  <c:v>Charcoal</c:v>
                </c:pt>
              </c:strCache>
            </c:strRef>
          </c:tx>
          <c:spPr>
            <a:solidFill>
              <a:schemeClr val="accent2"/>
            </a:solidFill>
            <a:ln w="25400">
              <a:noFill/>
            </a:ln>
            <a:effectLst/>
          </c:spPr>
          <c:val>
            <c:numRef>
              <c:f>BAU_for_CSV!$Q$33:$Y$33</c:f>
              <c:numCache>
                <c:formatCode>0.0</c:formatCode>
                <c:ptCount val="9"/>
                <c:pt idx="0">
                  <c:v>4.5026648972219796</c:v>
                </c:pt>
                <c:pt idx="1">
                  <c:v>7.3319028321906421</c:v>
                </c:pt>
                <c:pt idx="2">
                  <c:v>11.008241244506968</c:v>
                </c:pt>
                <c:pt idx="3">
                  <c:v>15.7324066413893</c:v>
                </c:pt>
                <c:pt idx="4">
                  <c:v>21.822674466293165</c:v>
                </c:pt>
                <c:pt idx="5">
                  <c:v>28.899251101271339</c:v>
                </c:pt>
                <c:pt idx="6">
                  <c:v>36.975976596174526</c:v>
                </c:pt>
                <c:pt idx="7">
                  <c:v>46.037507101831004</c:v>
                </c:pt>
                <c:pt idx="8">
                  <c:v>55.997358257286777</c:v>
                </c:pt>
              </c:numCache>
            </c:numRef>
          </c:val>
          <c:extLst>
            <c:ext xmlns:c16="http://schemas.microsoft.com/office/drawing/2014/chart" uri="{C3380CC4-5D6E-409C-BE32-E72D297353CC}">
              <c16:uniqueId val="{00000001-D0B9-CC49-806B-A9DA0099245C}"/>
            </c:ext>
          </c:extLst>
        </c:ser>
        <c:ser>
          <c:idx val="2"/>
          <c:order val="2"/>
          <c:tx>
            <c:strRef>
              <c:f>BAU_for_CSV!$P$34</c:f>
              <c:strCache>
                <c:ptCount val="1"/>
                <c:pt idx="0">
                  <c:v>Imp_fuelwood</c:v>
                </c:pt>
              </c:strCache>
            </c:strRef>
          </c:tx>
          <c:spPr>
            <a:solidFill>
              <a:schemeClr val="accent3"/>
            </a:solidFill>
            <a:ln w="25400">
              <a:noFill/>
            </a:ln>
            <a:effectLst/>
          </c:spPr>
          <c:val>
            <c:numRef>
              <c:f>BAU_for_CSV!$Q$34:$Y$34</c:f>
              <c:numCache>
                <c:formatCode>0.0</c:formatCode>
                <c:ptCount val="9"/>
                <c:pt idx="0">
                  <c:v>0</c:v>
                </c:pt>
                <c:pt idx="1">
                  <c:v>7.1725358108698017E-3</c:v>
                </c:pt>
                <c:pt idx="2">
                  <c:v>3.961453347891325E-2</c:v>
                </c:pt>
                <c:pt idx="3">
                  <c:v>8.6339020043873907E-2</c:v>
                </c:pt>
                <c:pt idx="4">
                  <c:v>0.1480635429933807</c:v>
                </c:pt>
                <c:pt idx="5">
                  <c:v>0.22903838463658244</c:v>
                </c:pt>
                <c:pt idx="6">
                  <c:v>0.33223752584702831</c:v>
                </c:pt>
                <c:pt idx="7">
                  <c:v>0.46078762994646977</c:v>
                </c:pt>
                <c:pt idx="8">
                  <c:v>0.61736838238571434</c:v>
                </c:pt>
              </c:numCache>
            </c:numRef>
          </c:val>
          <c:extLst>
            <c:ext xmlns:c16="http://schemas.microsoft.com/office/drawing/2014/chart" uri="{C3380CC4-5D6E-409C-BE32-E72D297353CC}">
              <c16:uniqueId val="{00000002-D0B9-CC49-806B-A9DA0099245C}"/>
            </c:ext>
          </c:extLst>
        </c:ser>
        <c:ser>
          <c:idx val="3"/>
          <c:order val="3"/>
          <c:tx>
            <c:strRef>
              <c:f>BAU_for_CSV!$P$35</c:f>
              <c:strCache>
                <c:ptCount val="1"/>
                <c:pt idx="0">
                  <c:v>Imp_charcoal</c:v>
                </c:pt>
              </c:strCache>
            </c:strRef>
          </c:tx>
          <c:spPr>
            <a:solidFill>
              <a:schemeClr val="accent4"/>
            </a:solidFill>
            <a:ln w="25400">
              <a:noFill/>
            </a:ln>
            <a:effectLst/>
          </c:spPr>
          <c:val>
            <c:numRef>
              <c:f>BAU_for_CSV!$Q$35:$Y$35</c:f>
              <c:numCache>
                <c:formatCode>0.0</c:formatCode>
                <c:ptCount val="9"/>
                <c:pt idx="0">
                  <c:v>0</c:v>
                </c:pt>
                <c:pt idx="1">
                  <c:v>7.9694842342997794E-4</c:v>
                </c:pt>
                <c:pt idx="2">
                  <c:v>4.4016148309900128E-3</c:v>
                </c:pt>
                <c:pt idx="3">
                  <c:v>9.5932244493192181E-3</c:v>
                </c:pt>
                <c:pt idx="4">
                  <c:v>1.6451504777042204E-2</c:v>
                </c:pt>
                <c:pt idx="5">
                  <c:v>2.5448709404064632E-2</c:v>
                </c:pt>
                <c:pt idx="6">
                  <c:v>3.6915280649669792E-2</c:v>
                </c:pt>
                <c:pt idx="7">
                  <c:v>5.1198625549607781E-2</c:v>
                </c:pt>
                <c:pt idx="8">
                  <c:v>6.859648693174604E-2</c:v>
                </c:pt>
              </c:numCache>
            </c:numRef>
          </c:val>
          <c:extLst>
            <c:ext xmlns:c16="http://schemas.microsoft.com/office/drawing/2014/chart" uri="{C3380CC4-5D6E-409C-BE32-E72D297353CC}">
              <c16:uniqueId val="{00000003-D0B9-CC49-806B-A9DA0099245C}"/>
            </c:ext>
          </c:extLst>
        </c:ser>
        <c:ser>
          <c:idx val="4"/>
          <c:order val="4"/>
          <c:tx>
            <c:strRef>
              <c:f>BAU_for_CSV!$P$36</c:f>
              <c:strCache>
                <c:ptCount val="1"/>
                <c:pt idx="0">
                  <c:v>Kerosene</c:v>
                </c:pt>
              </c:strCache>
            </c:strRef>
          </c:tx>
          <c:spPr>
            <a:solidFill>
              <a:schemeClr val="accent5"/>
            </a:solidFill>
            <a:ln w="25400">
              <a:noFill/>
            </a:ln>
            <a:effectLst/>
          </c:spPr>
          <c:val>
            <c:numRef>
              <c:f>BAU_for_CSV!$Q$36:$Y$36</c:f>
              <c:numCache>
                <c:formatCode>0.0</c:formatCode>
                <c:ptCount val="9"/>
                <c:pt idx="0">
                  <c:v>3.3293868194047898E-4</c:v>
                </c:pt>
                <c:pt idx="1">
                  <c:v>2.6655958385035492E-4</c:v>
                </c:pt>
                <c:pt idx="2">
                  <c:v>1.4109146447841009E-4</c:v>
                </c:pt>
                <c:pt idx="3">
                  <c:v>0</c:v>
                </c:pt>
                <c:pt idx="4">
                  <c:v>0</c:v>
                </c:pt>
                <c:pt idx="5">
                  <c:v>0</c:v>
                </c:pt>
                <c:pt idx="6">
                  <c:v>0</c:v>
                </c:pt>
                <c:pt idx="7">
                  <c:v>0</c:v>
                </c:pt>
                <c:pt idx="8">
                  <c:v>0</c:v>
                </c:pt>
              </c:numCache>
            </c:numRef>
          </c:val>
          <c:extLst>
            <c:ext xmlns:c16="http://schemas.microsoft.com/office/drawing/2014/chart" uri="{C3380CC4-5D6E-409C-BE32-E72D297353CC}">
              <c16:uniqueId val="{00000004-D0B9-CC49-806B-A9DA0099245C}"/>
            </c:ext>
          </c:extLst>
        </c:ser>
        <c:ser>
          <c:idx val="5"/>
          <c:order val="5"/>
          <c:tx>
            <c:strRef>
              <c:f>BAU_for_CSV!$P$37</c:f>
              <c:strCache>
                <c:ptCount val="1"/>
                <c:pt idx="0">
                  <c:v>gas</c:v>
                </c:pt>
              </c:strCache>
            </c:strRef>
          </c:tx>
          <c:spPr>
            <a:solidFill>
              <a:schemeClr val="accent6"/>
            </a:solidFill>
            <a:ln w="25400">
              <a:noFill/>
            </a:ln>
            <a:effectLst/>
          </c:spPr>
          <c:val>
            <c:numRef>
              <c:f>BAU_for_CSV!$Q$37:$Y$37</c:f>
              <c:numCache>
                <c:formatCode>0.0</c:formatCode>
                <c:ptCount val="9"/>
                <c:pt idx="0">
                  <c:v>1.0031991454441227E-4</c:v>
                </c:pt>
                <c:pt idx="1">
                  <c:v>7.0259249209371857E-4</c:v>
                </c:pt>
                <c:pt idx="2">
                  <c:v>1.8381231236658088E-3</c:v>
                </c:pt>
                <c:pt idx="3">
                  <c:v>3.1011586490112529E-3</c:v>
                </c:pt>
                <c:pt idx="4">
                  <c:v>3.0188870794070799E-3</c:v>
                </c:pt>
                <c:pt idx="5">
                  <c:v>2.7117982536723085E-3</c:v>
                </c:pt>
                <c:pt idx="6">
                  <c:v>2.1381412420124406E-3</c:v>
                </c:pt>
                <c:pt idx="7">
                  <c:v>1.250968951840356E-3</c:v>
                </c:pt>
                <c:pt idx="8">
                  <c:v>0</c:v>
                </c:pt>
              </c:numCache>
            </c:numRef>
          </c:val>
          <c:extLst>
            <c:ext xmlns:c16="http://schemas.microsoft.com/office/drawing/2014/chart" uri="{C3380CC4-5D6E-409C-BE32-E72D297353CC}">
              <c16:uniqueId val="{00000005-D0B9-CC49-806B-A9DA0099245C}"/>
            </c:ext>
          </c:extLst>
        </c:ser>
        <c:ser>
          <c:idx val="6"/>
          <c:order val="6"/>
          <c:tx>
            <c:strRef>
              <c:f>BAU_for_CSV!$P$38</c:f>
              <c:strCache>
                <c:ptCount val="1"/>
                <c:pt idx="0">
                  <c:v>biogas</c:v>
                </c:pt>
              </c:strCache>
            </c:strRef>
          </c:tx>
          <c:spPr>
            <a:solidFill>
              <a:schemeClr val="accent1">
                <a:lumMod val="60000"/>
              </a:schemeClr>
            </a:solidFill>
            <a:ln w="25400">
              <a:noFill/>
            </a:ln>
            <a:effectLst/>
          </c:spPr>
          <c:val>
            <c:numRef>
              <c:f>BAU_for_CSV!$Q$38:$Y$38</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D0B9-CC49-806B-A9DA0099245C}"/>
            </c:ext>
          </c:extLst>
        </c:ser>
        <c:ser>
          <c:idx val="7"/>
          <c:order val="7"/>
          <c:tx>
            <c:strRef>
              <c:f>BAU_for_CSV!$P$39</c:f>
              <c:strCache>
                <c:ptCount val="1"/>
                <c:pt idx="0">
                  <c:v>electric</c:v>
                </c:pt>
              </c:strCache>
            </c:strRef>
          </c:tx>
          <c:spPr>
            <a:solidFill>
              <a:schemeClr val="accent2">
                <a:lumMod val="60000"/>
              </a:schemeClr>
            </a:solidFill>
            <a:ln w="25400">
              <a:noFill/>
            </a:ln>
            <a:effectLst/>
          </c:spPr>
          <c:val>
            <c:numRef>
              <c:f>BAU_for_CSV!$Q$39:$Y$39</c:f>
              <c:numCache>
                <c:formatCode>0.0</c:formatCode>
                <c:ptCount val="9"/>
                <c:pt idx="0">
                  <c:v>0.29878206722327511</c:v>
                </c:pt>
                <c:pt idx="1">
                  <c:v>0.3111611389016159</c:v>
                </c:pt>
                <c:pt idx="2">
                  <c:v>0.30835622534843254</c:v>
                </c:pt>
                <c:pt idx="3">
                  <c:v>0.29081508489027647</c:v>
                </c:pt>
                <c:pt idx="4">
                  <c:v>0.28277445702309018</c:v>
                </c:pt>
                <c:pt idx="5">
                  <c:v>0.25374542960818758</c:v>
                </c:pt>
                <c:pt idx="6">
                  <c:v>0.19987618986869019</c:v>
                </c:pt>
                <c:pt idx="7">
                  <c:v>0.11683770866120327</c:v>
                </c:pt>
                <c:pt idx="8">
                  <c:v>0</c:v>
                </c:pt>
              </c:numCache>
            </c:numRef>
          </c:val>
          <c:extLst>
            <c:ext xmlns:c16="http://schemas.microsoft.com/office/drawing/2014/chart" uri="{C3380CC4-5D6E-409C-BE32-E72D297353CC}">
              <c16:uniqueId val="{00000007-D0B9-CC49-806B-A9DA0099245C}"/>
            </c:ext>
          </c:extLst>
        </c:ser>
        <c:ser>
          <c:idx val="8"/>
          <c:order val="8"/>
          <c:tx>
            <c:strRef>
              <c:f>BAU_for_CSV!$P$40</c:f>
              <c:strCache>
                <c:ptCount val="1"/>
                <c:pt idx="0">
                  <c:v>pellets</c:v>
                </c:pt>
              </c:strCache>
            </c:strRef>
          </c:tx>
          <c:spPr>
            <a:solidFill>
              <a:schemeClr val="accent3">
                <a:lumMod val="60000"/>
              </a:schemeClr>
            </a:solidFill>
            <a:ln w="25400">
              <a:noFill/>
            </a:ln>
            <a:effectLst/>
          </c:spPr>
          <c:val>
            <c:numRef>
              <c:f>BAU_for_CSV!$Q$40:$Y$40</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8-D0B9-CC49-806B-A9DA0099245C}"/>
            </c:ext>
          </c:extLst>
        </c:ser>
        <c:ser>
          <c:idx val="9"/>
          <c:order val="9"/>
          <c:tx>
            <c:strRef>
              <c:f>BAU_for_CSV!$P$41</c:f>
              <c:strCache>
                <c:ptCount val="1"/>
                <c:pt idx="0">
                  <c:v>ethanol</c:v>
                </c:pt>
              </c:strCache>
            </c:strRef>
          </c:tx>
          <c:spPr>
            <a:solidFill>
              <a:schemeClr val="accent4">
                <a:lumMod val="60000"/>
              </a:schemeClr>
            </a:solidFill>
            <a:ln w="25400">
              <a:noFill/>
            </a:ln>
            <a:effectLst/>
          </c:spPr>
          <c:val>
            <c:numRef>
              <c:f>BAU_for_CSV!$Q$41:$Y$41</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9-D0B9-CC49-806B-A9DA0099245C}"/>
            </c:ext>
          </c:extLst>
        </c:ser>
        <c:dLbls>
          <c:showLegendKey val="0"/>
          <c:showVal val="0"/>
          <c:showCatName val="0"/>
          <c:showSerName val="0"/>
          <c:showPercent val="0"/>
          <c:showBubbleSize val="0"/>
        </c:dLbls>
        <c:axId val="2085911856"/>
        <c:axId val="1200368704"/>
      </c:areaChart>
      <c:catAx>
        <c:axId val="208591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68704"/>
        <c:crosses val="autoZero"/>
        <c:auto val="1"/>
        <c:lblAlgn val="ctr"/>
        <c:lblOffset val="100"/>
        <c:noMultiLvlLbl val="0"/>
      </c:catAx>
      <c:valAx>
        <c:axId val="1200368704"/>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11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BAU_for_CSV!$AF$3</c:f>
              <c:strCache>
                <c:ptCount val="1"/>
                <c:pt idx="0">
                  <c:v>Residential wood</c:v>
                </c:pt>
              </c:strCache>
            </c:strRef>
          </c:tx>
          <c:spPr>
            <a:solidFill>
              <a:schemeClr val="accent1"/>
            </a:solidFill>
            <a:ln w="25400">
              <a:noFill/>
            </a:ln>
            <a:effectLst/>
          </c:spPr>
          <c:invertIfNegative val="0"/>
          <c:cat>
            <c:numRef>
              <c:f>BAU_for_CSV!$AG$2:$AO$2</c:f>
              <c:numCache>
                <c:formatCode>General</c:formatCode>
                <c:ptCount val="9"/>
                <c:pt idx="0">
                  <c:v>2010</c:v>
                </c:pt>
                <c:pt idx="1">
                  <c:v>2015</c:v>
                </c:pt>
                <c:pt idx="2">
                  <c:v>2020</c:v>
                </c:pt>
                <c:pt idx="3">
                  <c:v>2025</c:v>
                </c:pt>
                <c:pt idx="4">
                  <c:v>2030</c:v>
                </c:pt>
                <c:pt idx="5">
                  <c:v>2035</c:v>
                </c:pt>
                <c:pt idx="6">
                  <c:v>2040</c:v>
                </c:pt>
                <c:pt idx="7">
                  <c:v>2045</c:v>
                </c:pt>
                <c:pt idx="8">
                  <c:v>2050</c:v>
                </c:pt>
              </c:numCache>
            </c:numRef>
          </c:cat>
          <c:val>
            <c:numRef>
              <c:f>BAU_for_CSV!$AG$3:$AO$3</c:f>
              <c:numCache>
                <c:formatCode>0.0</c:formatCode>
                <c:ptCount val="9"/>
                <c:pt idx="0">
                  <c:v>8.153354210745297</c:v>
                </c:pt>
                <c:pt idx="1">
                  <c:v>8.7952043296904723</c:v>
                </c:pt>
                <c:pt idx="2">
                  <c:v>9.3353150588899254</c:v>
                </c:pt>
                <c:pt idx="3">
                  <c:v>9.6216309712248052</c:v>
                </c:pt>
                <c:pt idx="4">
                  <c:v>9.3061476122930173</c:v>
                </c:pt>
                <c:pt idx="5">
                  <c:v>8.6114656853663938</c:v>
                </c:pt>
                <c:pt idx="6">
                  <c:v>7.5299274673192746</c:v>
                </c:pt>
                <c:pt idx="7">
                  <c:v>6.0535559389091462</c:v>
                </c:pt>
                <c:pt idx="8">
                  <c:v>4.1799751533379492</c:v>
                </c:pt>
              </c:numCache>
            </c:numRef>
          </c:val>
          <c:extLst>
            <c:ext xmlns:c16="http://schemas.microsoft.com/office/drawing/2014/chart" uri="{C3380CC4-5D6E-409C-BE32-E72D297353CC}">
              <c16:uniqueId val="{00000000-909E-F045-A1D1-6D9F52C64990}"/>
            </c:ext>
          </c:extLst>
        </c:ser>
        <c:ser>
          <c:idx val="1"/>
          <c:order val="1"/>
          <c:tx>
            <c:strRef>
              <c:f>BAU_for_CSV!$AF$4</c:f>
              <c:strCache>
                <c:ptCount val="1"/>
                <c:pt idx="0">
                  <c:v>Residential charcoal (wood-eq)</c:v>
                </c:pt>
              </c:strCache>
            </c:strRef>
          </c:tx>
          <c:spPr>
            <a:solidFill>
              <a:schemeClr val="accent2"/>
            </a:solidFill>
            <a:ln w="25400">
              <a:noFill/>
            </a:ln>
            <a:effectLst/>
          </c:spPr>
          <c:invertIfNegative val="0"/>
          <c:cat>
            <c:numRef>
              <c:f>BAU_for_CSV!$AG$2:$AO$2</c:f>
              <c:numCache>
                <c:formatCode>General</c:formatCode>
                <c:ptCount val="9"/>
                <c:pt idx="0">
                  <c:v>2010</c:v>
                </c:pt>
                <c:pt idx="1">
                  <c:v>2015</c:v>
                </c:pt>
                <c:pt idx="2">
                  <c:v>2020</c:v>
                </c:pt>
                <c:pt idx="3">
                  <c:v>2025</c:v>
                </c:pt>
                <c:pt idx="4">
                  <c:v>2030</c:v>
                </c:pt>
                <c:pt idx="5">
                  <c:v>2035</c:v>
                </c:pt>
                <c:pt idx="6">
                  <c:v>2040</c:v>
                </c:pt>
                <c:pt idx="7">
                  <c:v>2045</c:v>
                </c:pt>
                <c:pt idx="8">
                  <c:v>2050</c:v>
                </c:pt>
              </c:numCache>
            </c:numRef>
          </c:cat>
          <c:val>
            <c:numRef>
              <c:f>BAU_for_CSV!$AG$4:$AO$4</c:f>
              <c:numCache>
                <c:formatCode>0.0</c:formatCode>
                <c:ptCount val="9"/>
                <c:pt idx="0">
                  <c:v>4.0771691677701707</c:v>
                </c:pt>
                <c:pt idx="1">
                  <c:v>6.6590937519290012</c:v>
                </c:pt>
                <c:pt idx="2">
                  <c:v>10.013532773234017</c:v>
                </c:pt>
                <c:pt idx="3">
                  <c:v>14.326375712607522</c:v>
                </c:pt>
                <c:pt idx="4">
                  <c:v>19.900135385294263</c:v>
                </c:pt>
                <c:pt idx="5">
                  <c:v>26.376231897516934</c:v>
                </c:pt>
                <c:pt idx="6">
                  <c:v>33.766172852577348</c:v>
                </c:pt>
                <c:pt idx="7">
                  <c:v>42.054525915571425</c:v>
                </c:pt>
                <c:pt idx="8">
                  <c:v>51.160654192184992</c:v>
                </c:pt>
              </c:numCache>
            </c:numRef>
          </c:val>
          <c:extLst>
            <c:ext xmlns:c16="http://schemas.microsoft.com/office/drawing/2014/chart" uri="{C3380CC4-5D6E-409C-BE32-E72D297353CC}">
              <c16:uniqueId val="{0000000A-909E-F045-A1D1-6D9F52C64990}"/>
            </c:ext>
          </c:extLst>
        </c:ser>
        <c:ser>
          <c:idx val="2"/>
          <c:order val="2"/>
          <c:tx>
            <c:strRef>
              <c:f>BAU_for_CSV!$AF$5</c:f>
              <c:strCache>
                <c:ptCount val="1"/>
                <c:pt idx="0">
                  <c:v>Non-residential wood</c:v>
                </c:pt>
              </c:strCache>
            </c:strRef>
          </c:tx>
          <c:spPr>
            <a:solidFill>
              <a:schemeClr val="accent3"/>
            </a:solidFill>
            <a:ln w="25400">
              <a:noFill/>
            </a:ln>
            <a:effectLst/>
          </c:spPr>
          <c:invertIfNegative val="0"/>
          <c:cat>
            <c:numRef>
              <c:f>BAU_for_CSV!$AG$2:$AO$2</c:f>
              <c:numCache>
                <c:formatCode>General</c:formatCode>
                <c:ptCount val="9"/>
                <c:pt idx="0">
                  <c:v>2010</c:v>
                </c:pt>
                <c:pt idx="1">
                  <c:v>2015</c:v>
                </c:pt>
                <c:pt idx="2">
                  <c:v>2020</c:v>
                </c:pt>
                <c:pt idx="3">
                  <c:v>2025</c:v>
                </c:pt>
                <c:pt idx="4">
                  <c:v>2030</c:v>
                </c:pt>
                <c:pt idx="5">
                  <c:v>2035</c:v>
                </c:pt>
                <c:pt idx="6">
                  <c:v>2040</c:v>
                </c:pt>
                <c:pt idx="7">
                  <c:v>2045</c:v>
                </c:pt>
                <c:pt idx="8">
                  <c:v>2050</c:v>
                </c:pt>
              </c:numCache>
            </c:numRef>
          </c:cat>
          <c:val>
            <c:numRef>
              <c:f>BAU_for_CSV!$AG$5:$AO$5</c:f>
              <c:numCache>
                <c:formatCode>0.0</c:formatCode>
                <c:ptCount val="9"/>
                <c:pt idx="0">
                  <c:v>1.7040450285834758</c:v>
                </c:pt>
                <c:pt idx="1">
                  <c:v>1.8810424479921544</c:v>
                </c:pt>
                <c:pt idx="2">
                  <c:v>2.0652136830672934</c:v>
                </c:pt>
                <c:pt idx="3">
                  <c:v>2.2423885852182543</c:v>
                </c:pt>
                <c:pt idx="4">
                  <c:v>2.3837435359629779</c:v>
                </c:pt>
                <c:pt idx="5">
                  <c:v>2.4987803684468162</c:v>
                </c:pt>
                <c:pt idx="6">
                  <c:v>2.586340895355181</c:v>
                </c:pt>
                <c:pt idx="7">
                  <c:v>2.6442450652690335</c:v>
                </c:pt>
                <c:pt idx="8">
                  <c:v>2.6688975723719626</c:v>
                </c:pt>
              </c:numCache>
            </c:numRef>
          </c:val>
          <c:extLst>
            <c:ext xmlns:c16="http://schemas.microsoft.com/office/drawing/2014/chart" uri="{C3380CC4-5D6E-409C-BE32-E72D297353CC}">
              <c16:uniqueId val="{0000000B-909E-F045-A1D1-6D9F52C64990}"/>
            </c:ext>
          </c:extLst>
        </c:ser>
        <c:ser>
          <c:idx val="3"/>
          <c:order val="3"/>
          <c:tx>
            <c:strRef>
              <c:f>BAU_for_CSV!$AF$6</c:f>
              <c:strCache>
                <c:ptCount val="1"/>
                <c:pt idx="0">
                  <c:v>Non-residential charcoal (wood-eq)</c:v>
                </c:pt>
              </c:strCache>
            </c:strRef>
          </c:tx>
          <c:spPr>
            <a:solidFill>
              <a:schemeClr val="accent4"/>
            </a:solidFill>
            <a:ln w="25400">
              <a:noFill/>
            </a:ln>
            <a:effectLst/>
          </c:spPr>
          <c:invertIfNegative val="0"/>
          <c:cat>
            <c:numRef>
              <c:f>BAU_for_CSV!$AG$2:$AO$2</c:f>
              <c:numCache>
                <c:formatCode>General</c:formatCode>
                <c:ptCount val="9"/>
                <c:pt idx="0">
                  <c:v>2010</c:v>
                </c:pt>
                <c:pt idx="1">
                  <c:v>2015</c:v>
                </c:pt>
                <c:pt idx="2">
                  <c:v>2020</c:v>
                </c:pt>
                <c:pt idx="3">
                  <c:v>2025</c:v>
                </c:pt>
                <c:pt idx="4">
                  <c:v>2030</c:v>
                </c:pt>
                <c:pt idx="5">
                  <c:v>2035</c:v>
                </c:pt>
                <c:pt idx="6">
                  <c:v>2040</c:v>
                </c:pt>
                <c:pt idx="7">
                  <c:v>2045</c:v>
                </c:pt>
                <c:pt idx="8">
                  <c:v>2050</c:v>
                </c:pt>
              </c:numCache>
            </c:numRef>
          </c:cat>
          <c:val>
            <c:numRef>
              <c:f>BAU_for_CSV!$AG$6:$AO$6</c:f>
              <c:numCache>
                <c:formatCode>0.0</c:formatCode>
                <c:ptCount val="9"/>
                <c:pt idx="0">
                  <c:v>0.42549572945180891</c:v>
                </c:pt>
                <c:pt idx="1">
                  <c:v>0.67280908026164088</c:v>
                </c:pt>
                <c:pt idx="2">
                  <c:v>0.99470847127295059</c:v>
                </c:pt>
                <c:pt idx="3">
                  <c:v>1.406030928781778</c:v>
                </c:pt>
                <c:pt idx="4">
                  <c:v>1.9225390809989023</c:v>
                </c:pt>
                <c:pt idx="5">
                  <c:v>2.523019203754405</c:v>
                </c:pt>
                <c:pt idx="6">
                  <c:v>3.2098037435971776</c:v>
                </c:pt>
                <c:pt idx="7">
                  <c:v>3.982981186259579</c:v>
                </c:pt>
                <c:pt idx="8">
                  <c:v>4.8367040651017845</c:v>
                </c:pt>
              </c:numCache>
            </c:numRef>
          </c:val>
          <c:extLst>
            <c:ext xmlns:c16="http://schemas.microsoft.com/office/drawing/2014/chart" uri="{C3380CC4-5D6E-409C-BE32-E72D297353CC}">
              <c16:uniqueId val="{0000000C-909E-F045-A1D1-6D9F52C64990}"/>
            </c:ext>
          </c:extLst>
        </c:ser>
        <c:dLbls>
          <c:showLegendKey val="0"/>
          <c:showVal val="0"/>
          <c:showCatName val="0"/>
          <c:showSerName val="0"/>
          <c:showPercent val="0"/>
          <c:showBubbleSize val="0"/>
        </c:dLbls>
        <c:gapWidth val="150"/>
        <c:overlap val="100"/>
        <c:axId val="2085911856"/>
        <c:axId val="1200368704"/>
      </c:barChart>
      <c:catAx>
        <c:axId val="2085911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68704"/>
        <c:crosses val="autoZero"/>
        <c:auto val="1"/>
        <c:lblAlgn val="ctr"/>
        <c:lblOffset val="100"/>
        <c:noMultiLvlLbl val="0"/>
      </c:catAx>
      <c:valAx>
        <c:axId val="1200368704"/>
        <c:scaling>
          <c:orientation val="minMax"/>
          <c:max val="6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911856"/>
        <c:crosses val="autoZero"/>
        <c:crossBetween val="between"/>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4908892744339162"/>
        </c:manualLayout>
      </c:layout>
      <c:areaChart>
        <c:grouping val="stacked"/>
        <c:varyColors val="0"/>
        <c:ser>
          <c:idx val="0"/>
          <c:order val="0"/>
          <c:tx>
            <c:strRef>
              <c:f>NICCS_scenario!$B$24</c:f>
              <c:strCache>
                <c:ptCount val="1"/>
                <c:pt idx="0">
                  <c:v>fuelwood</c:v>
                </c:pt>
              </c:strCache>
            </c:strRef>
          </c:tx>
          <c:spPr>
            <a:solidFill>
              <a:schemeClr val="accent1"/>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NICCS_scenario!$F$24:$AJ$24</c:f>
              <c:numCache>
                <c:formatCode>0.00</c:formatCode>
                <c:ptCount val="31"/>
                <c:pt idx="0">
                  <c:v>0.56721591564935581</c:v>
                </c:pt>
                <c:pt idx="1">
                  <c:v>0.57234107953875513</c:v>
                </c:pt>
                <c:pt idx="2">
                  <c:v>0.57614211749692534</c:v>
                </c:pt>
                <c:pt idx="3">
                  <c:v>0.57846610095046191</c:v>
                </c:pt>
                <c:pt idx="4">
                  <c:v>0.57915055901172763</c:v>
                </c:pt>
                <c:pt idx="5">
                  <c:v>0.58600334987304825</c:v>
                </c:pt>
                <c:pt idx="6">
                  <c:v>0.57527259674514319</c:v>
                </c:pt>
                <c:pt idx="7">
                  <c:v>0.56158491402111821</c:v>
                </c:pt>
                <c:pt idx="8">
                  <c:v>0.54470351003689155</c:v>
                </c:pt>
                <c:pt idx="9">
                  <c:v>0.52438331367155988</c:v>
                </c:pt>
                <c:pt idx="10">
                  <c:v>0.50037607637437109</c:v>
                </c:pt>
                <c:pt idx="11">
                  <c:v>0.47243000137577207</c:v>
                </c:pt>
                <c:pt idx="12">
                  <c:v>0.4402894580119765</c:v>
                </c:pt>
                <c:pt idx="13">
                  <c:v>0.40369007784122057</c:v>
                </c:pt>
                <c:pt idx="14">
                  <c:v>0.36235674898548398</c:v>
                </c:pt>
                <c:pt idx="15">
                  <c:v>0.31612130325475313</c:v>
                </c:pt>
                <c:pt idx="16">
                  <c:v>0.26465847109309881</c:v>
                </c:pt>
                <c:pt idx="17">
                  <c:v>0.20765158481420729</c:v>
                </c:pt>
                <c:pt idx="18">
                  <c:v>0.14477189748753849</c:v>
                </c:pt>
                <c:pt idx="19">
                  <c:v>7.5675163378026253E-2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3F0-9945-9FB3-CF300D963EA3}"/>
            </c:ext>
          </c:extLst>
        </c:ser>
        <c:ser>
          <c:idx val="1"/>
          <c:order val="1"/>
          <c:tx>
            <c:strRef>
              <c:f>NICCS_scenario!$B$25</c:f>
              <c:strCache>
                <c:ptCount val="1"/>
                <c:pt idx="0">
                  <c:v>charcoal</c:v>
                </c:pt>
              </c:strCache>
            </c:strRef>
          </c:tx>
          <c:spPr>
            <a:solidFill>
              <a:schemeClr val="accent2"/>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NICCS_scenario!$F$25:$AJ$25</c:f>
              <c:numCache>
                <c:formatCode>0.00</c:formatCode>
                <c:ptCount val="31"/>
                <c:pt idx="0">
                  <c:v>1.8049353466183995</c:v>
                </c:pt>
                <c:pt idx="1">
                  <c:v>1.938655257873998</c:v>
                </c:pt>
                <c:pt idx="2">
                  <c:v>2.0807673003317122</c:v>
                </c:pt>
                <c:pt idx="3">
                  <c:v>2.2316405133294475</c:v>
                </c:pt>
                <c:pt idx="4">
                  <c:v>2.3916360681965925</c:v>
                </c:pt>
                <c:pt idx="5">
                  <c:v>2.5382994462538648</c:v>
                </c:pt>
                <c:pt idx="6">
                  <c:v>2.4918187141414139</c:v>
                </c:pt>
                <c:pt idx="7">
                  <c:v>2.4325299106108234</c:v>
                </c:pt>
                <c:pt idx="8">
                  <c:v>2.3594073620888172</c:v>
                </c:pt>
                <c:pt idx="9">
                  <c:v>2.2713895321684503</c:v>
                </c:pt>
                <c:pt idx="10">
                  <c:v>2.1674011212647573</c:v>
                </c:pt>
                <c:pt idx="11">
                  <c:v>2.0463514605259912</c:v>
                </c:pt>
                <c:pt idx="12">
                  <c:v>1.9071332744178493</c:v>
                </c:pt>
                <c:pt idx="13">
                  <c:v>1.7486014393339877</c:v>
                </c:pt>
                <c:pt idx="14">
                  <c:v>1.5695642959984177</c:v>
                </c:pt>
                <c:pt idx="15">
                  <c:v>1.369293416453037</c:v>
                </c:pt>
                <c:pt idx="16">
                  <c:v>1.1463798812200354</c:v>
                </c:pt>
                <c:pt idx="17">
                  <c:v>0.89945203020055686</c:v>
                </c:pt>
                <c:pt idx="18">
                  <c:v>0.62708588151475697</c:v>
                </c:pt>
                <c:pt idx="19">
                  <c:v>0.32779031952501497</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B3F0-9945-9FB3-CF300D963EA3}"/>
            </c:ext>
          </c:extLst>
        </c:ser>
        <c:ser>
          <c:idx val="2"/>
          <c:order val="2"/>
          <c:tx>
            <c:strRef>
              <c:f>NICCS_scenario!$B$26</c:f>
              <c:strCache>
                <c:ptCount val="1"/>
                <c:pt idx="0">
                  <c:v>Imp_fuelwood</c:v>
                </c:pt>
              </c:strCache>
            </c:strRef>
          </c:tx>
          <c:spPr>
            <a:solidFill>
              <a:schemeClr val="accent3"/>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NICCS_scenario!$F$26:$AJ$26</c:f>
              <c:numCache>
                <c:formatCode>0.00</c:formatCode>
                <c:ptCount val="31"/>
                <c:pt idx="0">
                  <c:v>2.9080603982685211E-2</c:v>
                </c:pt>
                <c:pt idx="1">
                  <c:v>3.5395322491310346E-2</c:v>
                </c:pt>
                <c:pt idx="2">
                  <c:v>4.2291911249137865E-2</c:v>
                </c:pt>
                <c:pt idx="3">
                  <c:v>4.9806635397922655E-2</c:v>
                </c:pt>
                <c:pt idx="4">
                  <c:v>5.7976430438690094E-2</c:v>
                </c:pt>
                <c:pt idx="5">
                  <c:v>6.6398669584329814E-2</c:v>
                </c:pt>
                <c:pt idx="6">
                  <c:v>6.518279303433204E-2</c:v>
                </c:pt>
                <c:pt idx="7">
                  <c:v>6.3631873704665123E-2</c:v>
                </c:pt>
                <c:pt idx="8">
                  <c:v>6.1719081285456119E-2</c:v>
                </c:pt>
                <c:pt idx="9">
                  <c:v>5.9416647340935741E-2</c:v>
                </c:pt>
                <c:pt idx="10">
                  <c:v>5.6696443408186949E-2</c:v>
                </c:pt>
                <c:pt idx="11">
                  <c:v>5.3529938983915532E-2</c:v>
                </c:pt>
                <c:pt idx="12">
                  <c:v>4.9888169155234842E-2</c:v>
                </c:pt>
                <c:pt idx="13">
                  <c:v>4.5741178952063193E-2</c:v>
                </c:pt>
                <c:pt idx="14">
                  <c:v>4.1057796090673303E-2</c:v>
                </c:pt>
                <c:pt idx="15">
                  <c:v>3.5818965826607263E-2</c:v>
                </c:pt>
                <c:pt idx="16">
                  <c:v>2.9987832626915182E-2</c:v>
                </c:pt>
                <c:pt idx="17">
                  <c:v>2.3528515616383406E-2</c:v>
                </c:pt>
                <c:pt idx="18">
                  <c:v>1.6403765248874502E-2</c:v>
                </c:pt>
                <c:pt idx="19">
                  <c:v>8.5745758449440931E-3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B3F0-9945-9FB3-CF300D963EA3}"/>
            </c:ext>
          </c:extLst>
        </c:ser>
        <c:ser>
          <c:idx val="3"/>
          <c:order val="3"/>
          <c:tx>
            <c:strRef>
              <c:f>NICCS_scenario!$B$27</c:f>
              <c:strCache>
                <c:ptCount val="1"/>
                <c:pt idx="0">
                  <c:v>Imp_charcoal</c:v>
                </c:pt>
              </c:strCache>
            </c:strRef>
          </c:tx>
          <c:spPr>
            <a:solidFill>
              <a:schemeClr val="accent4"/>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NICCS_scenario!$F$27:$AJ$27</c:f>
              <c:numCache>
                <c:formatCode>0.00</c:formatCode>
                <c:ptCount val="31"/>
                <c:pt idx="0">
                  <c:v>9.6935346608943047E-3</c:v>
                </c:pt>
                <c:pt idx="1">
                  <c:v>1.1798440830436579E-2</c:v>
                </c:pt>
                <c:pt idx="2">
                  <c:v>1.4097303749711985E-2</c:v>
                </c:pt>
                <c:pt idx="3">
                  <c:v>1.6602211799307105E-2</c:v>
                </c:pt>
                <c:pt idx="4">
                  <c:v>1.9325476812896463E-2</c:v>
                </c:pt>
                <c:pt idx="5">
                  <c:v>2.2132889861443031E-2</c:v>
                </c:pt>
                <c:pt idx="6">
                  <c:v>4.758529955845231E-2</c:v>
                </c:pt>
                <c:pt idx="7">
                  <c:v>7.557899910975327E-2</c:v>
                </c:pt>
                <c:pt idx="8">
                  <c:v>0.10626585114743936</c:v>
                </c:pt>
                <c:pt idx="9">
                  <c:v>0.1397998010828419</c:v>
                </c:pt>
                <c:pt idx="10">
                  <c:v>0.17633726780272871</c:v>
                </c:pt>
                <c:pt idx="11">
                  <c:v>0.21603730410574939</c:v>
                </c:pt>
                <c:pt idx="12">
                  <c:v>0.25906176305174472</c:v>
                </c:pt>
                <c:pt idx="13">
                  <c:v>0.30557196631735417</c:v>
                </c:pt>
                <c:pt idx="14">
                  <c:v>0.35572198536355754</c:v>
                </c:pt>
                <c:pt idx="15">
                  <c:v>0.4097975977316759</c:v>
                </c:pt>
                <c:pt idx="16">
                  <c:v>0.46799308425625291</c:v>
                </c:pt>
                <c:pt idx="17">
                  <c:v>0.53052720957822086</c:v>
                </c:pt>
                <c:pt idx="18">
                  <c:v>0.5976317783679822</c:v>
                </c:pt>
                <c:pt idx="19">
                  <c:v>0.66955085519617796</c:v>
                </c:pt>
                <c:pt idx="20">
                  <c:v>0.74653880888888891</c:v>
                </c:pt>
                <c:pt idx="21">
                  <c:v>0.77997969438202241</c:v>
                </c:pt>
                <c:pt idx="22">
                  <c:v>0.81467400000000001</c:v>
                </c:pt>
                <c:pt idx="23">
                  <c:v>0.85066268812260526</c:v>
                </c:pt>
                <c:pt idx="24">
                  <c:v>0.88798818294573645</c:v>
                </c:pt>
                <c:pt idx="25">
                  <c:v>0.92669352470588229</c:v>
                </c:pt>
                <c:pt idx="26">
                  <c:v>0.966822161904762</c:v>
                </c:pt>
                <c:pt idx="27">
                  <c:v>1.008417304417671</c:v>
                </c:pt>
                <c:pt idx="28">
                  <c:v>1.0515237333333334</c:v>
                </c:pt>
                <c:pt idx="29">
                  <c:v>1.0961860510288066</c:v>
                </c:pt>
                <c:pt idx="30">
                  <c:v>1.1424505033333334</c:v>
                </c:pt>
              </c:numCache>
            </c:numRef>
          </c:val>
          <c:extLst>
            <c:ext xmlns:c16="http://schemas.microsoft.com/office/drawing/2014/chart" uri="{C3380CC4-5D6E-409C-BE32-E72D297353CC}">
              <c16:uniqueId val="{00000003-B3F0-9945-9FB3-CF300D963EA3}"/>
            </c:ext>
          </c:extLst>
        </c:ser>
        <c:ser>
          <c:idx val="4"/>
          <c:order val="4"/>
          <c:tx>
            <c:strRef>
              <c:f>NICCS_scenario!$B$28</c:f>
              <c:strCache>
                <c:ptCount val="1"/>
                <c:pt idx="0">
                  <c:v>Gas</c:v>
                </c:pt>
              </c:strCache>
            </c:strRef>
          </c:tx>
          <c:spPr>
            <a:solidFill>
              <a:schemeClr val="accent5"/>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NICCS_scenario!$F$28:$AJ$28</c:f>
              <c:numCache>
                <c:formatCode>0.00</c:formatCode>
                <c:ptCount val="31"/>
                <c:pt idx="0">
                  <c:v>1.0660952223354137E-2</c:v>
                </c:pt>
                <c:pt idx="1">
                  <c:v>1.2511922478067409E-2</c:v>
                </c:pt>
                <c:pt idx="2">
                  <c:v>1.4526389275672624E-2</c:v>
                </c:pt>
                <c:pt idx="3">
                  <c:v>1.6714265821817141E-2</c:v>
                </c:pt>
                <c:pt idx="4">
                  <c:v>1.9085622170077293E-2</c:v>
                </c:pt>
                <c:pt idx="5">
                  <c:v>1.9311452526544367E-2</c:v>
                </c:pt>
                <c:pt idx="6">
                  <c:v>0.1012323318114997</c:v>
                </c:pt>
                <c:pt idx="7">
                  <c:v>0.1914970376005129</c:v>
                </c:pt>
                <c:pt idx="8">
                  <c:v>0.2906094222138087</c:v>
                </c:pt>
                <c:pt idx="9">
                  <c:v>0.39908068713303846</c:v>
                </c:pt>
                <c:pt idx="10">
                  <c:v>0.51743018112530481</c:v>
                </c:pt>
                <c:pt idx="11">
                  <c:v>0.64618594306307831</c:v>
                </c:pt>
                <c:pt idx="12">
                  <c:v>0.78588525613414673</c:v>
                </c:pt>
                <c:pt idx="13">
                  <c:v>0.93706447487304689</c:v>
                </c:pt>
                <c:pt idx="14">
                  <c:v>1.1002378219918738</c:v>
                </c:pt>
                <c:pt idx="15">
                  <c:v>1.2763292573449225</c:v>
                </c:pt>
                <c:pt idx="16">
                  <c:v>1.4659853173271065</c:v>
                </c:pt>
                <c:pt idx="17">
                  <c:v>1.6699296910961516</c:v>
                </c:pt>
                <c:pt idx="18">
                  <c:v>1.8889286123677609</c:v>
                </c:pt>
                <c:pt idx="19">
                  <c:v>2.1237886754412627</c:v>
                </c:pt>
                <c:pt idx="20">
                  <c:v>2.3753507555555551</c:v>
                </c:pt>
                <c:pt idx="21">
                  <c:v>2.4817535730337075</c:v>
                </c:pt>
                <c:pt idx="22">
                  <c:v>2.5921445454545453</c:v>
                </c:pt>
                <c:pt idx="23">
                  <c:v>2.7066540076628347</c:v>
                </c:pt>
                <c:pt idx="24">
                  <c:v>2.8254169457364338</c:v>
                </c:pt>
                <c:pt idx="25">
                  <c:v>2.9485703058823525</c:v>
                </c:pt>
                <c:pt idx="26">
                  <c:v>3.0762523333333336</c:v>
                </c:pt>
                <c:pt idx="27">
                  <c:v>3.2086005140562253</c:v>
                </c:pt>
                <c:pt idx="28">
                  <c:v>3.3457573333333337</c:v>
                </c:pt>
                <c:pt idx="29">
                  <c:v>3.4878647078189298</c:v>
                </c:pt>
                <c:pt idx="30">
                  <c:v>3.6350697833333334</c:v>
                </c:pt>
              </c:numCache>
            </c:numRef>
          </c:val>
          <c:extLst>
            <c:ext xmlns:c16="http://schemas.microsoft.com/office/drawing/2014/chart" uri="{C3380CC4-5D6E-409C-BE32-E72D297353CC}">
              <c16:uniqueId val="{00000004-B3F0-9945-9FB3-CF300D963EA3}"/>
            </c:ext>
          </c:extLst>
        </c:ser>
        <c:ser>
          <c:idx val="5"/>
          <c:order val="5"/>
          <c:tx>
            <c:strRef>
              <c:f>NICCS_scenario!$B$29</c:f>
              <c:strCache>
                <c:ptCount val="1"/>
                <c:pt idx="0">
                  <c:v>kerosene</c:v>
                </c:pt>
              </c:strCache>
            </c:strRef>
          </c:tx>
          <c:spPr>
            <a:solidFill>
              <a:schemeClr val="accent6"/>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NICCS_scenario!$F$29:$AJ$29</c:f>
              <c:numCache>
                <c:formatCode>0.00</c:formatCode>
                <c:ptCount val="31"/>
                <c:pt idx="0">
                  <c:v>8.2475377777780539E-4</c:v>
                </c:pt>
                <c:pt idx="1">
                  <c:v>6.3226094402344985E-4</c:v>
                </c:pt>
                <c:pt idx="2">
                  <c:v>4.1637606011816098E-4</c:v>
                </c:pt>
                <c:pt idx="3">
                  <c:v>1.7541959637013671E-4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B3F0-9945-9FB3-CF300D963EA3}"/>
            </c:ext>
          </c:extLst>
        </c:ser>
        <c:ser>
          <c:idx val="6"/>
          <c:order val="6"/>
          <c:tx>
            <c:strRef>
              <c:f>NICCS_scenario!$B$30</c:f>
              <c:strCache>
                <c:ptCount val="1"/>
                <c:pt idx="0">
                  <c:v>electric</c:v>
                </c:pt>
              </c:strCache>
            </c:strRef>
          </c:tx>
          <c:spPr>
            <a:solidFill>
              <a:schemeClr val="accent1">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NICCS_scenario!$F$30:$AJ$30</c:f>
              <c:numCache>
                <c:formatCode>0.00</c:formatCode>
                <c:ptCount val="31"/>
                <c:pt idx="0">
                  <c:v>0.19979087348893693</c:v>
                </c:pt>
                <c:pt idx="1">
                  <c:v>0.20025347518615588</c:v>
                </c:pt>
                <c:pt idx="2">
                  <c:v>0.20010552919474178</c:v>
                </c:pt>
                <c:pt idx="3">
                  <c:v>0.19928338444886576</c:v>
                </c:pt>
                <c:pt idx="4">
                  <c:v>0.19771977153035758</c:v>
                </c:pt>
                <c:pt idx="5">
                  <c:v>0.20005928795205929</c:v>
                </c:pt>
                <c:pt idx="6">
                  <c:v>0.24340985355873571</c:v>
                </c:pt>
                <c:pt idx="7">
                  <c:v>0.29057451802127054</c:v>
                </c:pt>
                <c:pt idx="8">
                  <c:v>0.34176481624742122</c:v>
                </c:pt>
                <c:pt idx="9">
                  <c:v>0.39719381200274695</c:v>
                </c:pt>
                <c:pt idx="10">
                  <c:v>0.45707819971682523</c:v>
                </c:pt>
                <c:pt idx="11">
                  <c:v>0.5216384950625218</c:v>
                </c:pt>
                <c:pt idx="12">
                  <c:v>0.59109925949849373</c:v>
                </c:pt>
                <c:pt idx="13">
                  <c:v>0.6656817053230194</c:v>
                </c:pt>
                <c:pt idx="14">
                  <c:v>0.74559093262214937</c:v>
                </c:pt>
                <c:pt idx="15">
                  <c:v>0.83130067328278956</c:v>
                </c:pt>
                <c:pt idx="16">
                  <c:v>0.92307545609822617</c:v>
                </c:pt>
                <c:pt idx="17">
                  <c:v>1.0212266718168781</c:v>
                </c:pt>
                <c:pt idx="18">
                  <c:v>1.1260861260217032</c:v>
                </c:pt>
                <c:pt idx="19">
                  <c:v>1.2380036881143761</c:v>
                </c:pt>
                <c:pt idx="20">
                  <c:v>1.357343288888889</c:v>
                </c:pt>
                <c:pt idx="21">
                  <c:v>1.4181448988764045</c:v>
                </c:pt>
                <c:pt idx="22">
                  <c:v>1.4812254545454546</c:v>
                </c:pt>
                <c:pt idx="23">
                  <c:v>1.5466594329501915</c:v>
                </c:pt>
                <c:pt idx="24">
                  <c:v>1.6145239689922481</c:v>
                </c:pt>
                <c:pt idx="25">
                  <c:v>1.6848973176470587</c:v>
                </c:pt>
                <c:pt idx="26">
                  <c:v>1.7578584761904765</c:v>
                </c:pt>
                <c:pt idx="27">
                  <c:v>1.8334860080321289</c:v>
                </c:pt>
                <c:pt idx="28">
                  <c:v>1.9118613333333336</c:v>
                </c:pt>
                <c:pt idx="29">
                  <c:v>1.9930655473251031</c:v>
                </c:pt>
                <c:pt idx="30">
                  <c:v>2.0771827333333337</c:v>
                </c:pt>
              </c:numCache>
            </c:numRef>
          </c:val>
          <c:extLst>
            <c:ext xmlns:c16="http://schemas.microsoft.com/office/drawing/2014/chart" uri="{C3380CC4-5D6E-409C-BE32-E72D297353CC}">
              <c16:uniqueId val="{00000006-B3F0-9945-9FB3-CF300D963EA3}"/>
            </c:ext>
          </c:extLst>
        </c:ser>
        <c:ser>
          <c:idx val="7"/>
          <c:order val="7"/>
          <c:tx>
            <c:strRef>
              <c:f>NICCS_scenario!$B$31</c:f>
              <c:strCache>
                <c:ptCount val="1"/>
                <c:pt idx="0">
                  <c:v>pellets</c:v>
                </c:pt>
              </c:strCache>
            </c:strRef>
          </c:tx>
          <c:spPr>
            <a:solidFill>
              <a:schemeClr val="accent2">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NICCS_scenario!$F$31:$AJ$31</c:f>
              <c:numCache>
                <c:formatCode>0.00</c:formatCode>
                <c:ptCount val="31"/>
                <c:pt idx="0">
                  <c:v>0</c:v>
                </c:pt>
                <c:pt idx="1">
                  <c:v>0</c:v>
                </c:pt>
                <c:pt idx="2">
                  <c:v>0</c:v>
                </c:pt>
                <c:pt idx="3">
                  <c:v>0</c:v>
                </c:pt>
                <c:pt idx="4">
                  <c:v>0</c:v>
                </c:pt>
                <c:pt idx="5">
                  <c:v>0</c:v>
                </c:pt>
                <c:pt idx="6">
                  <c:v>8.6212804991887881E-2</c:v>
                </c:pt>
                <c:pt idx="7">
                  <c:v>0.18127094564573235</c:v>
                </c:pt>
                <c:pt idx="8">
                  <c:v>0.28571056946249973</c:v>
                </c:pt>
                <c:pt idx="9">
                  <c:v>0.40007581079866072</c:v>
                </c:pt>
                <c:pt idx="10">
                  <c:v>0.52491945101161663</c:v>
                </c:pt>
                <c:pt idx="11">
                  <c:v>0.66080350006727928</c:v>
                </c:pt>
                <c:pt idx="12">
                  <c:v>0.80829978714376327</c:v>
                </c:pt>
                <c:pt idx="13">
                  <c:v>0.96797947004602281</c:v>
                </c:pt>
                <c:pt idx="14">
                  <c:v>1.1403908863470797</c:v>
                </c:pt>
                <c:pt idx="15">
                  <c:v>1.3265080309987498</c:v>
                </c:pt>
                <c:pt idx="16">
                  <c:v>1.5270196208641795</c:v>
                </c:pt>
                <c:pt idx="17">
                  <c:v>1.7426949216623062</c:v>
                </c:pt>
                <c:pt idx="18">
                  <c:v>1.9743481973042118</c:v>
                </c:pt>
                <c:pt idx="19">
                  <c:v>2.222836539460888</c:v>
                </c:pt>
                <c:pt idx="20">
                  <c:v>2.4890535534615381</c:v>
                </c:pt>
                <c:pt idx="21">
                  <c:v>2.6005496389650755</c:v>
                </c:pt>
                <c:pt idx="22">
                  <c:v>2.7162247835859366</c:v>
                </c:pt>
                <c:pt idx="23">
                  <c:v>2.8362155610102384</c:v>
                </c:pt>
                <c:pt idx="24">
                  <c:v>2.9606634188014498</c:v>
                </c:pt>
                <c:pt idx="25">
                  <c:v>3.0897118584792493</c:v>
                </c:pt>
                <c:pt idx="26">
                  <c:v>3.2235057427705436</c:v>
                </c:pt>
                <c:pt idx="27">
                  <c:v>3.3621891387919609</c:v>
                </c:pt>
                <c:pt idx="28">
                  <c:v>3.505911352281784</c:v>
                </c:pt>
                <c:pt idx="29">
                  <c:v>3.654821093131293</c:v>
                </c:pt>
                <c:pt idx="30">
                  <c:v>3.809072550706452</c:v>
                </c:pt>
              </c:numCache>
            </c:numRef>
          </c:val>
          <c:extLst>
            <c:ext xmlns:c16="http://schemas.microsoft.com/office/drawing/2014/chart" uri="{C3380CC4-5D6E-409C-BE32-E72D297353CC}">
              <c16:uniqueId val="{00000007-B3F0-9945-9FB3-CF300D963EA3}"/>
            </c:ext>
          </c:extLst>
        </c:ser>
        <c:ser>
          <c:idx val="8"/>
          <c:order val="8"/>
          <c:tx>
            <c:strRef>
              <c:f>NICCS_scenario!$B$32</c:f>
              <c:strCache>
                <c:ptCount val="1"/>
                <c:pt idx="0">
                  <c:v>ethanol</c:v>
                </c:pt>
              </c:strCache>
            </c:strRef>
          </c:tx>
          <c:spPr>
            <a:solidFill>
              <a:schemeClr val="accent3">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NICCS_scenario!$F$32:$AJ$32</c:f>
              <c:numCache>
                <c:formatCode>0.00</c:formatCode>
                <c:ptCount val="31"/>
                <c:pt idx="0">
                  <c:v>0</c:v>
                </c:pt>
                <c:pt idx="1">
                  <c:v>0</c:v>
                </c:pt>
                <c:pt idx="2">
                  <c:v>0</c:v>
                </c:pt>
                <c:pt idx="3">
                  <c:v>0</c:v>
                </c:pt>
                <c:pt idx="4">
                  <c:v>0</c:v>
                </c:pt>
                <c:pt idx="5">
                  <c:v>0</c:v>
                </c:pt>
                <c:pt idx="6">
                  <c:v>3.5260502564102549E-2</c:v>
                </c:pt>
                <c:pt idx="7">
                  <c:v>7.4138692556634272E-2</c:v>
                </c:pt>
                <c:pt idx="8">
                  <c:v>0.1168538509803921</c:v>
                </c:pt>
                <c:pt idx="9">
                  <c:v>0.16362852541254116</c:v>
                </c:pt>
                <c:pt idx="10">
                  <c:v>0.2146887999999999</c:v>
                </c:pt>
                <c:pt idx="11">
                  <c:v>0.27026453333333328</c:v>
                </c:pt>
                <c:pt idx="12">
                  <c:v>0.33058959999999993</c:v>
                </c:pt>
                <c:pt idx="13">
                  <c:v>0.39589759999999985</c:v>
                </c:pt>
                <c:pt idx="14">
                  <c:v>0.46641279999999985</c:v>
                </c:pt>
                <c:pt idx="15">
                  <c:v>0.54253355789473667</c:v>
                </c:pt>
                <c:pt idx="16">
                  <c:v>0.62454155460992888</c:v>
                </c:pt>
                <c:pt idx="17">
                  <c:v>0.71275141505376316</c:v>
                </c:pt>
                <c:pt idx="18">
                  <c:v>0.80749616811594171</c:v>
                </c:pt>
                <c:pt idx="19">
                  <c:v>0.90912635897435878</c:v>
                </c:pt>
                <c:pt idx="20">
                  <c:v>1.0180074666666665</c:v>
                </c:pt>
                <c:pt idx="21">
                  <c:v>1.0636086741573032</c:v>
                </c:pt>
                <c:pt idx="22">
                  <c:v>1.1109190909090909</c:v>
                </c:pt>
                <c:pt idx="23">
                  <c:v>1.1599945747126434</c:v>
                </c:pt>
                <c:pt idx="24">
                  <c:v>1.2108929767441861</c:v>
                </c:pt>
                <c:pt idx="25">
                  <c:v>1.2636729882352939</c:v>
                </c:pt>
                <c:pt idx="26">
                  <c:v>1.3183938571428573</c:v>
                </c:pt>
                <c:pt idx="27">
                  <c:v>1.3751145060240966</c:v>
                </c:pt>
                <c:pt idx="28">
                  <c:v>1.4338960000000001</c:v>
                </c:pt>
                <c:pt idx="29">
                  <c:v>1.4947991604938271</c:v>
                </c:pt>
                <c:pt idx="30">
                  <c:v>1.5578870499999999</c:v>
                </c:pt>
              </c:numCache>
            </c:numRef>
          </c:val>
          <c:extLst>
            <c:ext xmlns:c16="http://schemas.microsoft.com/office/drawing/2014/chart" uri="{C3380CC4-5D6E-409C-BE32-E72D297353CC}">
              <c16:uniqueId val="{00000008-B3F0-9945-9FB3-CF300D963EA3}"/>
            </c:ext>
          </c:extLst>
        </c:ser>
        <c:ser>
          <c:idx val="9"/>
          <c:order val="9"/>
          <c:tx>
            <c:strRef>
              <c:f>NICCS_scenario!$B$33</c:f>
              <c:strCache>
                <c:ptCount val="1"/>
                <c:pt idx="0">
                  <c:v>biogas</c:v>
                </c:pt>
              </c:strCache>
            </c:strRef>
          </c:tx>
          <c:spPr>
            <a:solidFill>
              <a:schemeClr val="accent4">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NICCS_scenario!$F$33:$AJ$33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B3F0-9945-9FB3-CF300D963EA3}"/>
            </c:ext>
          </c:extLst>
        </c:ser>
        <c:ser>
          <c:idx val="10"/>
          <c:order val="10"/>
          <c:tx>
            <c:strRef>
              <c:f>NICCS_scenario!$B$34</c:f>
              <c:strCache>
                <c:ptCount val="1"/>
                <c:pt idx="0">
                  <c:v>other</c:v>
                </c:pt>
              </c:strCache>
            </c:strRef>
          </c:tx>
          <c:spPr>
            <a:solidFill>
              <a:schemeClr val="accent5">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NICCS_scenario!$F$34:$AJ$34</c:f>
              <c:numCache>
                <c:formatCode>0.00</c:formatCode>
                <c:ptCount val="31"/>
                <c:pt idx="0">
                  <c:v>2.1197380907791628E-3</c:v>
                </c:pt>
                <c:pt idx="1">
                  <c:v>1.628431189231349E-3</c:v>
                </c:pt>
                <c:pt idx="2">
                  <c:v>1.0773713197014714E-3</c:v>
                </c:pt>
                <c:pt idx="3">
                  <c:v>4.6226682663494319E-4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B3F0-9945-9FB3-CF300D963EA3}"/>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8611111111111109"/>
          <c:y val="5.1504082822980461E-2"/>
          <c:w val="0.21111111111111111"/>
          <c:h val="0.9484959295342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5377259189751544"/>
        </c:manualLayout>
      </c:layout>
      <c:areaChart>
        <c:grouping val="stacked"/>
        <c:varyColors val="0"/>
        <c:ser>
          <c:idx val="0"/>
          <c:order val="0"/>
          <c:tx>
            <c:strRef>
              <c:f>NICCS_scenario!$B$60</c:f>
              <c:strCache>
                <c:ptCount val="1"/>
                <c:pt idx="0">
                  <c:v>fuelwood</c:v>
                </c:pt>
              </c:strCache>
            </c:strRef>
          </c:tx>
          <c:spPr>
            <a:solidFill>
              <a:schemeClr val="accent1"/>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NICCS_scenario!$F$60:$AJ$60</c:f>
              <c:numCache>
                <c:formatCode>0%</c:formatCode>
                <c:ptCount val="31"/>
                <c:pt idx="0">
                  <c:v>0.21927932461703747</c:v>
                </c:pt>
                <c:pt idx="1">
                  <c:v>0.20990822432018774</c:v>
                </c:pt>
                <c:pt idx="2">
                  <c:v>0.20053712402333801</c:v>
                </c:pt>
                <c:pt idx="3">
                  <c:v>0.19116602372648828</c:v>
                </c:pt>
                <c:pt idx="4">
                  <c:v>0.18179492342963854</c:v>
                </c:pt>
                <c:pt idx="5">
                  <c:v>0.17480281099003706</c:v>
                </c:pt>
                <c:pt idx="6">
                  <c:v>0.16314929025736791</c:v>
                </c:pt>
                <c:pt idx="7">
                  <c:v>0.15149576952469876</c:v>
                </c:pt>
                <c:pt idx="8">
                  <c:v>0.13984224879202961</c:v>
                </c:pt>
                <c:pt idx="9">
                  <c:v>0.12818872805936046</c:v>
                </c:pt>
                <c:pt idx="10">
                  <c:v>0.11653520732669133</c:v>
                </c:pt>
                <c:pt idx="11">
                  <c:v>0.10488168659402219</c:v>
                </c:pt>
                <c:pt idx="12">
                  <c:v>9.322816586135306E-2</c:v>
                </c:pt>
                <c:pt idx="13">
                  <c:v>8.1574645128683926E-2</c:v>
                </c:pt>
                <c:pt idx="14">
                  <c:v>6.9921124396014792E-2</c:v>
                </c:pt>
                <c:pt idx="15">
                  <c:v>5.8267603663345657E-2</c:v>
                </c:pt>
                <c:pt idx="16">
                  <c:v>4.6614082930676523E-2</c:v>
                </c:pt>
                <c:pt idx="17">
                  <c:v>3.4960562198007389E-2</c:v>
                </c:pt>
                <c:pt idx="18">
                  <c:v>2.3307041465338251E-2</c:v>
                </c:pt>
                <c:pt idx="19">
                  <c:v>1.1653520732669113E-2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3E6-3A41-AFD9-11CAFF971E2E}"/>
            </c:ext>
          </c:extLst>
        </c:ser>
        <c:ser>
          <c:idx val="1"/>
          <c:order val="1"/>
          <c:tx>
            <c:strRef>
              <c:f>NICCS_scenario!$B$61</c:f>
              <c:strCache>
                <c:ptCount val="1"/>
                <c:pt idx="0">
                  <c:v>charcoal</c:v>
                </c:pt>
              </c:strCache>
            </c:strRef>
          </c:tx>
          <c:spPr>
            <a:solidFill>
              <a:schemeClr val="accent2"/>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NICCS_scenario!$F$61:$AJ$61</c:f>
              <c:numCache>
                <c:formatCode>0%</c:formatCode>
                <c:ptCount val="31"/>
                <c:pt idx="0">
                  <c:v>0.69776780387200787</c:v>
                </c:pt>
                <c:pt idx="1">
                  <c:v>0.71100904215590432</c:v>
                </c:pt>
                <c:pt idx="2">
                  <c:v>0.72425028043979722</c:v>
                </c:pt>
                <c:pt idx="3">
                  <c:v>0.73749151872369367</c:v>
                </c:pt>
                <c:pt idx="4">
                  <c:v>0.75073275700759012</c:v>
                </c:pt>
                <c:pt idx="5">
                  <c:v>0.75716611250729815</c:v>
                </c:pt>
                <c:pt idx="6">
                  <c:v>0.70668837167347831</c:v>
                </c:pt>
                <c:pt idx="7">
                  <c:v>0.65621063083965847</c:v>
                </c:pt>
                <c:pt idx="8">
                  <c:v>0.60573289000583863</c:v>
                </c:pt>
                <c:pt idx="9">
                  <c:v>0.55525514917201879</c:v>
                </c:pt>
                <c:pt idx="10">
                  <c:v>0.50477740833819895</c:v>
                </c:pt>
                <c:pt idx="11">
                  <c:v>0.45429966750437906</c:v>
                </c:pt>
                <c:pt idx="12">
                  <c:v>0.40382192667055916</c:v>
                </c:pt>
                <c:pt idx="13">
                  <c:v>0.35334418583673927</c:v>
                </c:pt>
                <c:pt idx="14">
                  <c:v>0.30286644500291937</c:v>
                </c:pt>
                <c:pt idx="15">
                  <c:v>0.25238870416909948</c:v>
                </c:pt>
                <c:pt idx="16">
                  <c:v>0.20191096333527961</c:v>
                </c:pt>
                <c:pt idx="17">
                  <c:v>0.15143322250145974</c:v>
                </c:pt>
                <c:pt idx="18">
                  <c:v>0.10095548166763987</c:v>
                </c:pt>
                <c:pt idx="19">
                  <c:v>5.0477740833819999E-2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A3E6-3A41-AFD9-11CAFF971E2E}"/>
            </c:ext>
          </c:extLst>
        </c:ser>
        <c:ser>
          <c:idx val="2"/>
          <c:order val="2"/>
          <c:tx>
            <c:strRef>
              <c:f>NICCS_scenario!$B$62</c:f>
              <c:strCache>
                <c:ptCount val="1"/>
                <c:pt idx="0">
                  <c:v>Imp_fuelwood</c:v>
                </c:pt>
              </c:strCache>
            </c:strRef>
          </c:tx>
          <c:spPr>
            <a:solidFill>
              <a:schemeClr val="accent3"/>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NICCS_scenario!$F$62:$AJ$62</c:f>
              <c:numCache>
                <c:formatCode>0%</c:formatCode>
                <c:ptCount val="31"/>
                <c:pt idx="0">
                  <c:v>1.1242236024845198E-2</c:v>
                </c:pt>
                <c:pt idx="1">
                  <c:v>1.2981366459627441E-2</c:v>
                </c:pt>
                <c:pt idx="2">
                  <c:v>1.4720496894410129E-2</c:v>
                </c:pt>
                <c:pt idx="3">
                  <c:v>1.6459627329192816E-2</c:v>
                </c:pt>
                <c:pt idx="4">
                  <c:v>1.8198757763975504E-2</c:v>
                </c:pt>
                <c:pt idx="5">
                  <c:v>1.9806497849976446E-2</c:v>
                </c:pt>
                <c:pt idx="6">
                  <c:v>1.8486064659978017E-2</c:v>
                </c:pt>
                <c:pt idx="7">
                  <c:v>1.7165631469979587E-2</c:v>
                </c:pt>
                <c:pt idx="8">
                  <c:v>1.5845198279981158E-2</c:v>
                </c:pt>
                <c:pt idx="9">
                  <c:v>1.4524765089982728E-2</c:v>
                </c:pt>
                <c:pt idx="10">
                  <c:v>1.3204331899984299E-2</c:v>
                </c:pt>
                <c:pt idx="11">
                  <c:v>1.1883898709985869E-2</c:v>
                </c:pt>
                <c:pt idx="12">
                  <c:v>1.056346551998744E-2</c:v>
                </c:pt>
                <c:pt idx="13">
                  <c:v>9.2430323299890101E-3</c:v>
                </c:pt>
                <c:pt idx="14">
                  <c:v>7.9225991399905805E-3</c:v>
                </c:pt>
                <c:pt idx="15">
                  <c:v>6.602165949992151E-3</c:v>
                </c:pt>
                <c:pt idx="16">
                  <c:v>5.2817327599937215E-3</c:v>
                </c:pt>
                <c:pt idx="17">
                  <c:v>3.961299569995292E-3</c:v>
                </c:pt>
                <c:pt idx="18">
                  <c:v>2.6408663799968625E-3</c:v>
                </c:pt>
                <c:pt idx="19">
                  <c:v>1.3204331899984328E-3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A3E6-3A41-AFD9-11CAFF971E2E}"/>
            </c:ext>
          </c:extLst>
        </c:ser>
        <c:ser>
          <c:idx val="3"/>
          <c:order val="3"/>
          <c:tx>
            <c:strRef>
              <c:f>NICCS_scenario!$B$63</c:f>
              <c:strCache>
                <c:ptCount val="1"/>
                <c:pt idx="0">
                  <c:v>Imp_charcoal</c:v>
                </c:pt>
              </c:strCache>
            </c:strRef>
          </c:tx>
          <c:spPr>
            <a:solidFill>
              <a:schemeClr val="accent4"/>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NICCS_scenario!$F$63:$AJ$63</c:f>
              <c:numCache>
                <c:formatCode>0%</c:formatCode>
                <c:ptCount val="31"/>
                <c:pt idx="0">
                  <c:v>3.7474120082814366E-3</c:v>
                </c:pt>
                <c:pt idx="1">
                  <c:v>4.3271221532090731E-3</c:v>
                </c:pt>
                <c:pt idx="2">
                  <c:v>4.9068322981364876E-3</c:v>
                </c:pt>
                <c:pt idx="3">
                  <c:v>5.4865424430641241E-3</c:v>
                </c:pt>
                <c:pt idx="4">
                  <c:v>6.0662525879917606E-3</c:v>
                </c:pt>
                <c:pt idx="5">
                  <c:v>6.6021659499920773E-3</c:v>
                </c:pt>
                <c:pt idx="6">
                  <c:v>1.3495354886659271E-2</c:v>
                </c:pt>
                <c:pt idx="7">
                  <c:v>2.0388543823326465E-2</c:v>
                </c:pt>
                <c:pt idx="8">
                  <c:v>2.7281732759993661E-2</c:v>
                </c:pt>
                <c:pt idx="9">
                  <c:v>3.4174921696660858E-2</c:v>
                </c:pt>
                <c:pt idx="10">
                  <c:v>4.1068110633328055E-2</c:v>
                </c:pt>
                <c:pt idx="11">
                  <c:v>4.7961299569995251E-2</c:v>
                </c:pt>
                <c:pt idx="12">
                  <c:v>5.4854488506662448E-2</c:v>
                </c:pt>
                <c:pt idx="13">
                  <c:v>6.1747677443329645E-2</c:v>
                </c:pt>
                <c:pt idx="14">
                  <c:v>6.8640866379996834E-2</c:v>
                </c:pt>
                <c:pt idx="15">
                  <c:v>7.5534055316664031E-2</c:v>
                </c:pt>
                <c:pt idx="16">
                  <c:v>8.2427244253331228E-2</c:v>
                </c:pt>
                <c:pt idx="17">
                  <c:v>8.9320433189998424E-2</c:v>
                </c:pt>
                <c:pt idx="18">
                  <c:v>9.6213622126665621E-2</c:v>
                </c:pt>
                <c:pt idx="19">
                  <c:v>0.10310681106333282</c:v>
                </c:pt>
                <c:pt idx="20">
                  <c:v>0.11</c:v>
                </c:pt>
                <c:pt idx="21">
                  <c:v>0.11</c:v>
                </c:pt>
                <c:pt idx="22">
                  <c:v>0.11</c:v>
                </c:pt>
                <c:pt idx="23">
                  <c:v>0.11</c:v>
                </c:pt>
                <c:pt idx="24">
                  <c:v>0.11</c:v>
                </c:pt>
                <c:pt idx="25">
                  <c:v>0.11</c:v>
                </c:pt>
                <c:pt idx="26">
                  <c:v>0.11</c:v>
                </c:pt>
                <c:pt idx="27">
                  <c:v>0.11</c:v>
                </c:pt>
                <c:pt idx="28">
                  <c:v>0.11</c:v>
                </c:pt>
                <c:pt idx="29">
                  <c:v>0.11</c:v>
                </c:pt>
                <c:pt idx="30">
                  <c:v>0.11</c:v>
                </c:pt>
              </c:numCache>
            </c:numRef>
          </c:val>
          <c:extLst>
            <c:ext xmlns:c16="http://schemas.microsoft.com/office/drawing/2014/chart" uri="{C3380CC4-5D6E-409C-BE32-E72D297353CC}">
              <c16:uniqueId val="{00000003-A3E6-3A41-AFD9-11CAFF971E2E}"/>
            </c:ext>
          </c:extLst>
        </c:ser>
        <c:ser>
          <c:idx val="4"/>
          <c:order val="4"/>
          <c:tx>
            <c:strRef>
              <c:f>NICCS_scenario!$B$64</c:f>
              <c:strCache>
                <c:ptCount val="1"/>
                <c:pt idx="0">
                  <c:v>Gas</c:v>
                </c:pt>
              </c:strCache>
            </c:strRef>
          </c:tx>
          <c:spPr>
            <a:solidFill>
              <a:schemeClr val="accent5"/>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NICCS_scenario!$F$64:$AJ$64</c:f>
              <c:numCache>
                <c:formatCode>0%</c:formatCode>
                <c:ptCount val="31"/>
                <c:pt idx="0">
                  <c:v>4.1214048104333267E-3</c:v>
                </c:pt>
                <c:pt idx="1">
                  <c:v>4.5887942069779974E-3</c:v>
                </c:pt>
                <c:pt idx="2">
                  <c:v>5.0561836035227792E-3</c:v>
                </c:pt>
                <c:pt idx="3">
                  <c:v>5.5235730000675609E-3</c:v>
                </c:pt>
                <c:pt idx="4">
                  <c:v>5.9909623966122316E-3</c:v>
                </c:pt>
                <c:pt idx="5">
                  <c:v>5.7605407659732993E-3</c:v>
                </c:pt>
                <c:pt idx="6">
                  <c:v>2.8709838048241745E-2</c:v>
                </c:pt>
                <c:pt idx="7">
                  <c:v>5.1659135330510191E-2</c:v>
                </c:pt>
                <c:pt idx="8">
                  <c:v>7.4608432612778636E-2</c:v>
                </c:pt>
                <c:pt idx="9">
                  <c:v>9.7557729895047074E-2</c:v>
                </c:pt>
                <c:pt idx="10">
                  <c:v>0.12050702717731551</c:v>
                </c:pt>
                <c:pt idx="11">
                  <c:v>0.14345632445958395</c:v>
                </c:pt>
                <c:pt idx="12">
                  <c:v>0.16640562174185239</c:v>
                </c:pt>
                <c:pt idx="13">
                  <c:v>0.18935491902412083</c:v>
                </c:pt>
                <c:pt idx="14">
                  <c:v>0.21230421630638927</c:v>
                </c:pt>
                <c:pt idx="15">
                  <c:v>0.2352535135886577</c:v>
                </c:pt>
                <c:pt idx="16">
                  <c:v>0.25820281087092617</c:v>
                </c:pt>
                <c:pt idx="17">
                  <c:v>0.28115210815319464</c:v>
                </c:pt>
                <c:pt idx="18">
                  <c:v>0.3041014054354631</c:v>
                </c:pt>
                <c:pt idx="19">
                  <c:v>0.32705070271773157</c:v>
                </c:pt>
                <c:pt idx="20">
                  <c:v>0.35</c:v>
                </c:pt>
                <c:pt idx="21">
                  <c:v>0.35</c:v>
                </c:pt>
                <c:pt idx="22">
                  <c:v>0.35</c:v>
                </c:pt>
                <c:pt idx="23">
                  <c:v>0.35</c:v>
                </c:pt>
                <c:pt idx="24">
                  <c:v>0.35</c:v>
                </c:pt>
                <c:pt idx="25">
                  <c:v>0.35</c:v>
                </c:pt>
                <c:pt idx="26">
                  <c:v>0.35</c:v>
                </c:pt>
                <c:pt idx="27">
                  <c:v>0.35</c:v>
                </c:pt>
                <c:pt idx="28">
                  <c:v>0.35</c:v>
                </c:pt>
                <c:pt idx="29">
                  <c:v>0.35</c:v>
                </c:pt>
                <c:pt idx="30">
                  <c:v>0.35</c:v>
                </c:pt>
              </c:numCache>
            </c:numRef>
          </c:val>
          <c:extLst>
            <c:ext xmlns:c16="http://schemas.microsoft.com/office/drawing/2014/chart" uri="{C3380CC4-5D6E-409C-BE32-E72D297353CC}">
              <c16:uniqueId val="{00000004-A3E6-3A41-AFD9-11CAFF971E2E}"/>
            </c:ext>
          </c:extLst>
        </c:ser>
        <c:ser>
          <c:idx val="5"/>
          <c:order val="5"/>
          <c:tx>
            <c:strRef>
              <c:f>NICCS_scenario!$B$65</c:f>
              <c:strCache>
                <c:ptCount val="1"/>
                <c:pt idx="0">
                  <c:v>kerosene</c:v>
                </c:pt>
              </c:strCache>
            </c:strRef>
          </c:tx>
          <c:spPr>
            <a:solidFill>
              <a:schemeClr val="accent6"/>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NICCS_scenario!$F$65:$AJ$65</c:f>
              <c:numCache>
                <c:formatCode>0%</c:formatCode>
                <c:ptCount val="31"/>
                <c:pt idx="0">
                  <c:v>3.1884057971015567E-4</c:v>
                </c:pt>
                <c:pt idx="1">
                  <c:v>2.318840579710324E-4</c:v>
                </c:pt>
                <c:pt idx="2">
                  <c:v>1.4492753623190913E-4</c:v>
                </c:pt>
                <c:pt idx="3">
                  <c:v>5.7971014492785855E-5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A3E6-3A41-AFD9-11CAFF971E2E}"/>
            </c:ext>
          </c:extLst>
        </c:ser>
        <c:ser>
          <c:idx val="6"/>
          <c:order val="6"/>
          <c:tx>
            <c:strRef>
              <c:f>NICCS_scenario!$B$66</c:f>
              <c:strCache>
                <c:ptCount val="1"/>
                <c:pt idx="0">
                  <c:v>electric</c:v>
                </c:pt>
              </c:strCache>
            </c:strRef>
          </c:tx>
          <c:spPr>
            <a:solidFill>
              <a:schemeClr val="accent1">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NICCS_scenario!$F$66:$AJ$66</c:f>
              <c:numCache>
                <c:formatCode>0%</c:formatCode>
                <c:ptCount val="31"/>
                <c:pt idx="0">
                  <c:v>7.7236915598794198E-2</c:v>
                </c:pt>
                <c:pt idx="1">
                  <c:v>7.344370846864301E-2</c:v>
                </c:pt>
                <c:pt idx="2">
                  <c:v>6.965050133849271E-2</c:v>
                </c:pt>
                <c:pt idx="3">
                  <c:v>6.5857294208341521E-2</c:v>
                </c:pt>
                <c:pt idx="4">
                  <c:v>6.2064087078191221E-2</c:v>
                </c:pt>
                <c:pt idx="5">
                  <c:v>5.9677006805953101E-2</c:v>
                </c:pt>
                <c:pt idx="6">
                  <c:v>6.9031873018889564E-2</c:v>
                </c:pt>
                <c:pt idx="7">
                  <c:v>7.8386739231826028E-2</c:v>
                </c:pt>
                <c:pt idx="8">
                  <c:v>8.7741605444762491E-2</c:v>
                </c:pt>
                <c:pt idx="9">
                  <c:v>9.7096471657698954E-2</c:v>
                </c:pt>
                <c:pt idx="10">
                  <c:v>0.10645133787063542</c:v>
                </c:pt>
                <c:pt idx="11">
                  <c:v>0.11580620408357188</c:v>
                </c:pt>
                <c:pt idx="12">
                  <c:v>0.12516107029650833</c:v>
                </c:pt>
                <c:pt idx="13">
                  <c:v>0.13451593650944479</c:v>
                </c:pt>
                <c:pt idx="14">
                  <c:v>0.14387080272238126</c:v>
                </c:pt>
                <c:pt idx="15">
                  <c:v>0.15322566893531772</c:v>
                </c:pt>
                <c:pt idx="16">
                  <c:v>0.16258053514825418</c:v>
                </c:pt>
                <c:pt idx="17">
                  <c:v>0.17193540136119065</c:v>
                </c:pt>
                <c:pt idx="18">
                  <c:v>0.18129026757412711</c:v>
                </c:pt>
                <c:pt idx="19">
                  <c:v>0.19064513378706358</c:v>
                </c:pt>
                <c:pt idx="20">
                  <c:v>0.2</c:v>
                </c:pt>
                <c:pt idx="21">
                  <c:v>0.2</c:v>
                </c:pt>
                <c:pt idx="22">
                  <c:v>0.2</c:v>
                </c:pt>
                <c:pt idx="23">
                  <c:v>0.2</c:v>
                </c:pt>
                <c:pt idx="24">
                  <c:v>0.2</c:v>
                </c:pt>
                <c:pt idx="25">
                  <c:v>0.2</c:v>
                </c:pt>
                <c:pt idx="26">
                  <c:v>0.2</c:v>
                </c:pt>
                <c:pt idx="27">
                  <c:v>0.2</c:v>
                </c:pt>
                <c:pt idx="28">
                  <c:v>0.2</c:v>
                </c:pt>
                <c:pt idx="29">
                  <c:v>0.2</c:v>
                </c:pt>
                <c:pt idx="30">
                  <c:v>0.2</c:v>
                </c:pt>
              </c:numCache>
            </c:numRef>
          </c:val>
          <c:extLst>
            <c:ext xmlns:c16="http://schemas.microsoft.com/office/drawing/2014/chart" uri="{C3380CC4-5D6E-409C-BE32-E72D297353CC}">
              <c16:uniqueId val="{00000006-A3E6-3A41-AFD9-11CAFF971E2E}"/>
            </c:ext>
          </c:extLst>
        </c:ser>
        <c:ser>
          <c:idx val="7"/>
          <c:order val="7"/>
          <c:tx>
            <c:strRef>
              <c:f>NICCS_scenario!$B$67</c:f>
              <c:strCache>
                <c:ptCount val="1"/>
                <c:pt idx="0">
                  <c:v>pellets</c:v>
                </c:pt>
              </c:strCache>
            </c:strRef>
          </c:tx>
          <c:spPr>
            <a:solidFill>
              <a:schemeClr val="accent2">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NICCS_scenario!$F$67:$AJ$67</c:f>
              <c:numCache>
                <c:formatCode>0%</c:formatCode>
                <c:ptCount val="31"/>
                <c:pt idx="0">
                  <c:v>0</c:v>
                </c:pt>
                <c:pt idx="1">
                  <c:v>0</c:v>
                </c:pt>
                <c:pt idx="2">
                  <c:v>0</c:v>
                </c:pt>
                <c:pt idx="3">
                  <c:v>0</c:v>
                </c:pt>
                <c:pt idx="4">
                  <c:v>0</c:v>
                </c:pt>
                <c:pt idx="5">
                  <c:v>0</c:v>
                </c:pt>
                <c:pt idx="6">
                  <c:v>2.4450248499764165E-2</c:v>
                </c:pt>
                <c:pt idx="7">
                  <c:v>4.890049699952833E-2</c:v>
                </c:pt>
                <c:pt idx="8">
                  <c:v>7.3350745499292491E-2</c:v>
                </c:pt>
                <c:pt idx="9">
                  <c:v>9.780099399905666E-2</c:v>
                </c:pt>
                <c:pt idx="10">
                  <c:v>0.12225124249882083</c:v>
                </c:pt>
                <c:pt idx="11">
                  <c:v>0.14670149099858498</c:v>
                </c:pt>
                <c:pt idx="12">
                  <c:v>0.17115173949834914</c:v>
                </c:pt>
                <c:pt idx="13">
                  <c:v>0.19560198799811329</c:v>
                </c:pt>
                <c:pt idx="14">
                  <c:v>0.22005223649787745</c:v>
                </c:pt>
                <c:pt idx="15">
                  <c:v>0.2445024849976416</c:v>
                </c:pt>
                <c:pt idx="16">
                  <c:v>0.26895273349740578</c:v>
                </c:pt>
                <c:pt idx="17">
                  <c:v>0.29340298199716996</c:v>
                </c:pt>
                <c:pt idx="18">
                  <c:v>0.31785323049693415</c:v>
                </c:pt>
                <c:pt idx="19">
                  <c:v>0.34230347899669833</c:v>
                </c:pt>
                <c:pt idx="20">
                  <c:v>0.36675372749646246</c:v>
                </c:pt>
                <c:pt idx="21">
                  <c:v>0.36675372749646246</c:v>
                </c:pt>
                <c:pt idx="22">
                  <c:v>0.36675372749646246</c:v>
                </c:pt>
                <c:pt idx="23">
                  <c:v>0.36675372749646246</c:v>
                </c:pt>
                <c:pt idx="24">
                  <c:v>0.36675372749646246</c:v>
                </c:pt>
                <c:pt idx="25">
                  <c:v>0.36675372749646246</c:v>
                </c:pt>
                <c:pt idx="26">
                  <c:v>0.36675372749646246</c:v>
                </c:pt>
                <c:pt idx="27">
                  <c:v>0.36675372749646246</c:v>
                </c:pt>
                <c:pt idx="28">
                  <c:v>0.36675372749646246</c:v>
                </c:pt>
                <c:pt idx="29">
                  <c:v>0.36675372749646246</c:v>
                </c:pt>
                <c:pt idx="30">
                  <c:v>0.36675372749646246</c:v>
                </c:pt>
              </c:numCache>
            </c:numRef>
          </c:val>
          <c:extLst>
            <c:ext xmlns:c16="http://schemas.microsoft.com/office/drawing/2014/chart" uri="{C3380CC4-5D6E-409C-BE32-E72D297353CC}">
              <c16:uniqueId val="{00000007-A3E6-3A41-AFD9-11CAFF971E2E}"/>
            </c:ext>
          </c:extLst>
        </c:ser>
        <c:ser>
          <c:idx val="8"/>
          <c:order val="8"/>
          <c:tx>
            <c:strRef>
              <c:f>NICCS_scenario!$B$68</c:f>
              <c:strCache>
                <c:ptCount val="1"/>
                <c:pt idx="0">
                  <c:v>ethanol</c:v>
                </c:pt>
              </c:strCache>
            </c:strRef>
          </c:tx>
          <c:spPr>
            <a:solidFill>
              <a:schemeClr val="accent3">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NICCS_scenario!$F$68:$AJ$68</c:f>
              <c:numCache>
                <c:formatCode>0%</c:formatCode>
                <c:ptCount val="31"/>
                <c:pt idx="0">
                  <c:v>0</c:v>
                </c:pt>
                <c:pt idx="1">
                  <c:v>0</c:v>
                </c:pt>
                <c:pt idx="2">
                  <c:v>0</c:v>
                </c:pt>
                <c:pt idx="3">
                  <c:v>0</c:v>
                </c:pt>
                <c:pt idx="4">
                  <c:v>0</c:v>
                </c:pt>
                <c:pt idx="5">
                  <c:v>0</c:v>
                </c:pt>
                <c:pt idx="6">
                  <c:v>0.01</c:v>
                </c:pt>
                <c:pt idx="7">
                  <c:v>0.02</c:v>
                </c:pt>
                <c:pt idx="8">
                  <c:v>0.03</c:v>
                </c:pt>
                <c:pt idx="9">
                  <c:v>0.04</c:v>
                </c:pt>
                <c:pt idx="10">
                  <c:v>0.05</c:v>
                </c:pt>
                <c:pt idx="11">
                  <c:v>6.0000000000000005E-2</c:v>
                </c:pt>
                <c:pt idx="12">
                  <c:v>7.0000000000000007E-2</c:v>
                </c:pt>
                <c:pt idx="13">
                  <c:v>0.08</c:v>
                </c:pt>
                <c:pt idx="14">
                  <c:v>0.09</c:v>
                </c:pt>
                <c:pt idx="15">
                  <c:v>9.9999999999999992E-2</c:v>
                </c:pt>
                <c:pt idx="16">
                  <c:v>0.10999999999999999</c:v>
                </c:pt>
                <c:pt idx="17">
                  <c:v>0.11999999999999998</c:v>
                </c:pt>
                <c:pt idx="18">
                  <c:v>0.12999999999999998</c:v>
                </c:pt>
                <c:pt idx="19">
                  <c:v>0.13999999999999999</c:v>
                </c:pt>
                <c:pt idx="20">
                  <c:v>0.15</c:v>
                </c:pt>
                <c:pt idx="21">
                  <c:v>0.15</c:v>
                </c:pt>
                <c:pt idx="22">
                  <c:v>0.15</c:v>
                </c:pt>
                <c:pt idx="23">
                  <c:v>0.15</c:v>
                </c:pt>
                <c:pt idx="24">
                  <c:v>0.15</c:v>
                </c:pt>
                <c:pt idx="25">
                  <c:v>0.15</c:v>
                </c:pt>
                <c:pt idx="26">
                  <c:v>0.15</c:v>
                </c:pt>
                <c:pt idx="27">
                  <c:v>0.15</c:v>
                </c:pt>
                <c:pt idx="28">
                  <c:v>0.15</c:v>
                </c:pt>
                <c:pt idx="29">
                  <c:v>0.15</c:v>
                </c:pt>
                <c:pt idx="30">
                  <c:v>0.15</c:v>
                </c:pt>
              </c:numCache>
            </c:numRef>
          </c:val>
          <c:extLst>
            <c:ext xmlns:c16="http://schemas.microsoft.com/office/drawing/2014/chart" uri="{C3380CC4-5D6E-409C-BE32-E72D297353CC}">
              <c16:uniqueId val="{00000008-A3E6-3A41-AFD9-11CAFF971E2E}"/>
            </c:ext>
          </c:extLst>
        </c:ser>
        <c:ser>
          <c:idx val="9"/>
          <c:order val="9"/>
          <c:tx>
            <c:strRef>
              <c:f>NICCS_scenario!$B$69</c:f>
              <c:strCache>
                <c:ptCount val="1"/>
                <c:pt idx="0">
                  <c:v>biogas</c:v>
                </c:pt>
              </c:strCache>
            </c:strRef>
          </c:tx>
          <c:spPr>
            <a:solidFill>
              <a:schemeClr val="accent4">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NICCS_scenario!$F$69:$AJ$69</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A3E6-3A41-AFD9-11CAFF971E2E}"/>
            </c:ext>
          </c:extLst>
        </c:ser>
        <c:ser>
          <c:idx val="10"/>
          <c:order val="10"/>
          <c:tx>
            <c:strRef>
              <c:f>NICCS_scenario!$B$70</c:f>
              <c:strCache>
                <c:ptCount val="1"/>
                <c:pt idx="0">
                  <c:v>other</c:v>
                </c:pt>
              </c:strCache>
            </c:strRef>
          </c:tx>
          <c:spPr>
            <a:solidFill>
              <a:schemeClr val="accent5">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NICCS_scenario!$F$70:$AJ$70</c:f>
              <c:numCache>
                <c:formatCode>0%</c:formatCode>
                <c:ptCount val="31"/>
                <c:pt idx="0">
                  <c:v>8.1946702144092276E-4</c:v>
                </c:pt>
                <c:pt idx="1">
                  <c:v>5.9723320862209439E-4</c:v>
                </c:pt>
                <c:pt idx="2">
                  <c:v>3.7499939580326602E-4</c:v>
                </c:pt>
                <c:pt idx="3">
                  <c:v>1.5276558298449316E-4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A3E6-3A41-AFD9-11CAFF971E2E}"/>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9722222222222228"/>
          <c:y val="5.1504082822980461E-2"/>
          <c:w val="0.2"/>
          <c:h val="0.9484957774060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5377259189751544"/>
        </c:manualLayout>
      </c:layout>
      <c:areaChart>
        <c:grouping val="stacked"/>
        <c:varyColors val="0"/>
        <c:ser>
          <c:idx val="0"/>
          <c:order val="0"/>
          <c:tx>
            <c:strRef>
              <c:f>NICCS_scenario!$B$38</c:f>
              <c:strCache>
                <c:ptCount val="1"/>
                <c:pt idx="0">
                  <c:v>fuelwood</c:v>
                </c:pt>
              </c:strCache>
            </c:strRef>
          </c:tx>
          <c:spPr>
            <a:solidFill>
              <a:schemeClr val="accent1"/>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NICCS_scenario!$F$38:$AJ$38</c:f>
              <c:numCache>
                <c:formatCode>0%</c:formatCode>
                <c:ptCount val="31"/>
                <c:pt idx="0">
                  <c:v>0.60950734625769798</c:v>
                </c:pt>
                <c:pt idx="1">
                  <c:v>0.59590295806012827</c:v>
                </c:pt>
                <c:pt idx="2">
                  <c:v>0.58230737328025906</c:v>
                </c:pt>
                <c:pt idx="3">
                  <c:v>0.56872946302376448</c:v>
                </c:pt>
                <c:pt idx="4">
                  <c:v>0.55518012722891297</c:v>
                </c:pt>
                <c:pt idx="5">
                  <c:v>0.53709652637830096</c:v>
                </c:pt>
                <c:pt idx="6">
                  <c:v>0.48255331260026724</c:v>
                </c:pt>
                <c:pt idx="7">
                  <c:v>0.44488612785654597</c:v>
                </c:pt>
                <c:pt idx="8">
                  <c:v>0.40770724998790681</c:v>
                </c:pt>
                <c:pt idx="9">
                  <c:v>0.37101376162529487</c:v>
                </c:pt>
                <c:pt idx="10">
                  <c:v>0.33480511741054636</c:v>
                </c:pt>
                <c:pt idx="11">
                  <c:v>0.29908400944509034</c:v>
                </c:pt>
                <c:pt idx="12">
                  <c:v>0.26385436715664878</c:v>
                </c:pt>
                <c:pt idx="13">
                  <c:v>0.22912013245467089</c:v>
                </c:pt>
                <c:pt idx="14">
                  <c:v>0.19488643465971889</c:v>
                </c:pt>
                <c:pt idx="15">
                  <c:v>0.16114500912146779</c:v>
                </c:pt>
                <c:pt idx="16">
                  <c:v>0.12790362815099521</c:v>
                </c:pt>
                <c:pt idx="17">
                  <c:v>9.5165186687768619E-2</c:v>
                </c:pt>
                <c:pt idx="18">
                  <c:v>6.2932793105054577E-2</c:v>
                </c:pt>
                <c:pt idx="19">
                  <c:v>3.1209817400452894E-2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A51-BE4E-8D08-F34E65F5691F}"/>
            </c:ext>
          </c:extLst>
        </c:ser>
        <c:ser>
          <c:idx val="1"/>
          <c:order val="1"/>
          <c:tx>
            <c:strRef>
              <c:f>NICCS_scenario!$B$39</c:f>
              <c:strCache>
                <c:ptCount val="1"/>
                <c:pt idx="0">
                  <c:v>charcoal</c:v>
                </c:pt>
              </c:strCache>
            </c:strRef>
          </c:tx>
          <c:spPr>
            <a:solidFill>
              <a:schemeClr val="accent2"/>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NICCS_scenario!$F$39:$AJ$39</c:f>
              <c:numCache>
                <c:formatCode>0%</c:formatCode>
                <c:ptCount val="31"/>
                <c:pt idx="0">
                  <c:v>0.35107208032327203</c:v>
                </c:pt>
                <c:pt idx="1">
                  <c:v>0.3662484092514644</c:v>
                </c:pt>
                <c:pt idx="2">
                  <c:v>0.38144401742155087</c:v>
                </c:pt>
                <c:pt idx="3">
                  <c:v>0.39665106139970824</c:v>
                </c:pt>
                <c:pt idx="4">
                  <c:v>0.41185968732539707</c:v>
                </c:pt>
                <c:pt idx="5">
                  <c:v>0.42943653354001826</c:v>
                </c:pt>
                <c:pt idx="6">
                  <c:v>0.41775665324520728</c:v>
                </c:pt>
                <c:pt idx="7">
                  <c:v>0.39081077838538525</c:v>
                </c:pt>
                <c:pt idx="8">
                  <c:v>0.36342318290005948</c:v>
                </c:pt>
                <c:pt idx="9">
                  <c:v>0.33559650583067963</c:v>
                </c:pt>
                <c:pt idx="10">
                  <c:v>0.30733124050625998</c:v>
                </c:pt>
                <c:pt idx="11">
                  <c:v>0.27862495166162643</c:v>
                </c:pt>
                <c:pt idx="12">
                  <c:v>0.24947408475073474</c:v>
                </c:pt>
                <c:pt idx="13">
                  <c:v>0.21987507393661529</c:v>
                </c:pt>
                <c:pt idx="14">
                  <c:v>0.18982327925451911</c:v>
                </c:pt>
                <c:pt idx="15">
                  <c:v>0.15932617687711023</c:v>
                </c:pt>
                <c:pt idx="16">
                  <c:v>0.12837673600001925</c:v>
                </c:pt>
                <c:pt idx="17">
                  <c:v>9.6972337871519515E-2</c:v>
                </c:pt>
                <c:pt idx="18">
                  <c:v>6.511017066844467E-2</c:v>
                </c:pt>
                <c:pt idx="19">
                  <c:v>3.2787185903206888E-2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BA51-BE4E-8D08-F34E65F5691F}"/>
            </c:ext>
          </c:extLst>
        </c:ser>
        <c:ser>
          <c:idx val="2"/>
          <c:order val="2"/>
          <c:tx>
            <c:strRef>
              <c:f>NICCS_scenario!$B$40</c:f>
              <c:strCache>
                <c:ptCount val="1"/>
                <c:pt idx="0">
                  <c:v>Imp_fuelwood</c:v>
                </c:pt>
              </c:strCache>
            </c:strRef>
          </c:tx>
          <c:spPr>
            <a:solidFill>
              <a:schemeClr val="accent3"/>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NICCS_scenario!$F$40:$AJ$40</c:f>
              <c:numCache>
                <c:formatCode>0%</c:formatCode>
                <c:ptCount val="31"/>
                <c:pt idx="0">
                  <c:v>4.3749598201202004E-3</c:v>
                </c:pt>
                <c:pt idx="1">
                  <c:v>5.1099284670255299E-3</c:v>
                </c:pt>
                <c:pt idx="2">
                  <c:v>5.8607515740387176E-3</c:v>
                </c:pt>
                <c:pt idx="3">
                  <c:v>6.6272955019108072E-3</c:v>
                </c:pt>
                <c:pt idx="4">
                  <c:v>7.4092680796475708E-3</c:v>
                </c:pt>
                <c:pt idx="5">
                  <c:v>8.1523031501541752E-3</c:v>
                </c:pt>
                <c:pt idx="6">
                  <c:v>1.451058721052944E-2</c:v>
                </c:pt>
                <c:pt idx="7">
                  <c:v>2.0190120026348821E-2</c:v>
                </c:pt>
                <c:pt idx="8">
                  <c:v>2.5717792197545216E-2</c:v>
                </c:pt>
                <c:pt idx="9">
                  <c:v>3.1093041257528816E-2</c:v>
                </c:pt>
                <c:pt idx="10">
                  <c:v>3.6314971174355885E-2</c:v>
                </c:pt>
                <c:pt idx="11">
                  <c:v>4.1382704723179391E-2</c:v>
                </c:pt>
                <c:pt idx="12">
                  <c:v>4.6295600125598566E-2</c:v>
                </c:pt>
                <c:pt idx="13">
                  <c:v>5.1053344584993714E-2</c:v>
                </c:pt>
                <c:pt idx="14">
                  <c:v>5.5656680442362882E-2</c:v>
                </c:pt>
                <c:pt idx="15">
                  <c:v>6.0101243632457522E-2</c:v>
                </c:pt>
                <c:pt idx="16">
                  <c:v>6.4387418804642882E-2</c:v>
                </c:pt>
                <c:pt idx="17">
                  <c:v>6.8514068425209948E-2</c:v>
                </c:pt>
                <c:pt idx="18">
                  <c:v>7.24799408826729E-2</c:v>
                </c:pt>
                <c:pt idx="19">
                  <c:v>7.6283613794133481E-2</c:v>
                </c:pt>
                <c:pt idx="20">
                  <c:v>7.9923728501899022E-2</c:v>
                </c:pt>
                <c:pt idx="21">
                  <c:v>7.8850364593807828E-2</c:v>
                </c:pt>
                <c:pt idx="22">
                  <c:v>7.7771657394192312E-2</c:v>
                </c:pt>
                <c:pt idx="23">
                  <c:v>7.6687437736884634E-2</c:v>
                </c:pt>
                <c:pt idx="24">
                  <c:v>7.5597498222173307E-2</c:v>
                </c:pt>
                <c:pt idx="25">
                  <c:v>7.450183039718182E-2</c:v>
                </c:pt>
                <c:pt idx="26">
                  <c:v>7.3400525589993035E-2</c:v>
                </c:pt>
                <c:pt idx="27">
                  <c:v>7.2293920625001076E-2</c:v>
                </c:pt>
                <c:pt idx="28">
                  <c:v>7.1182461818371109E-2</c:v>
                </c:pt>
                <c:pt idx="29">
                  <c:v>7.0066729333240041E-2</c:v>
                </c:pt>
                <c:pt idx="30">
                  <c:v>6.8947205926474381E-2</c:v>
                </c:pt>
              </c:numCache>
            </c:numRef>
          </c:val>
          <c:extLst>
            <c:ext xmlns:c16="http://schemas.microsoft.com/office/drawing/2014/chart" uri="{C3380CC4-5D6E-409C-BE32-E72D297353CC}">
              <c16:uniqueId val="{00000002-BA51-BE4E-8D08-F34E65F5691F}"/>
            </c:ext>
          </c:extLst>
        </c:ser>
        <c:ser>
          <c:idx val="3"/>
          <c:order val="3"/>
          <c:tx>
            <c:strRef>
              <c:f>NICCS_scenario!$B$41</c:f>
              <c:strCache>
                <c:ptCount val="1"/>
                <c:pt idx="0">
                  <c:v>Imp_charcoal</c:v>
                </c:pt>
              </c:strCache>
            </c:strRef>
          </c:tx>
          <c:spPr>
            <a:solidFill>
              <a:schemeClr val="accent4"/>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NICCS_scenario!$F$41:$AJ$41</c:f>
              <c:numCache>
                <c:formatCode>0%</c:formatCode>
                <c:ptCount val="31"/>
                <c:pt idx="0">
                  <c:v>1.4583199400399515E-3</c:v>
                </c:pt>
                <c:pt idx="1">
                  <c:v>1.7033094890084809E-3</c:v>
                </c:pt>
                <c:pt idx="2">
                  <c:v>1.9535838580128175E-3</c:v>
                </c:pt>
                <c:pt idx="3">
                  <c:v>2.2090985006368762E-3</c:v>
                </c:pt>
                <c:pt idx="4">
                  <c:v>2.46975602654916E-3</c:v>
                </c:pt>
                <c:pt idx="5">
                  <c:v>2.7174343833846959E-3</c:v>
                </c:pt>
                <c:pt idx="6">
                  <c:v>1.8222224011143675E-2</c:v>
                </c:pt>
                <c:pt idx="7">
                  <c:v>3.3370205720085463E-2</c:v>
                </c:pt>
                <c:pt idx="8">
                  <c:v>4.8336753660101275E-2</c:v>
                </c:pt>
                <c:pt idx="9">
                  <c:v>6.3121049768094045E-2</c:v>
                </c:pt>
                <c:pt idx="10">
                  <c:v>7.7721917618296207E-2</c:v>
                </c:pt>
                <c:pt idx="11">
                  <c:v>9.2138305181515515E-2</c:v>
                </c:pt>
                <c:pt idx="12">
                  <c:v>0.10636950336516982</c:v>
                </c:pt>
                <c:pt idx="13">
                  <c:v>0.12041522920356981</c:v>
                </c:pt>
                <c:pt idx="14">
                  <c:v>0.1342766019017515</c:v>
                </c:pt>
                <c:pt idx="15">
                  <c:v>0.1479477184158916</c:v>
                </c:pt>
                <c:pt idx="16">
                  <c:v>0.1614293167410969</c:v>
                </c:pt>
                <c:pt idx="17">
                  <c:v>0.17472001424686154</c:v>
                </c:pt>
                <c:pt idx="18">
                  <c:v>0.18781828726907016</c:v>
                </c:pt>
                <c:pt idx="19">
                  <c:v>0.20072239923115565</c:v>
                </c:pt>
                <c:pt idx="20">
                  <c:v>0.21343070747304577</c:v>
                </c:pt>
                <c:pt idx="21">
                  <c:v>0.21204164829786895</c:v>
                </c:pt>
                <c:pt idx="22">
                  <c:v>0.2106456742748371</c:v>
                </c:pt>
                <c:pt idx="23">
                  <c:v>0.20924256648302716</c:v>
                </c:pt>
                <c:pt idx="24">
                  <c:v>0.2078320565228125</c:v>
                </c:pt>
                <c:pt idx="25">
                  <c:v>0.20641413345517645</c:v>
                </c:pt>
                <c:pt idx="26">
                  <c:v>0.20498891546940276</c:v>
                </c:pt>
                <c:pt idx="27">
                  <c:v>0.20355683845588374</c:v>
                </c:pt>
                <c:pt idx="28">
                  <c:v>0.20211848000024496</c:v>
                </c:pt>
                <c:pt idx="29">
                  <c:v>0.20067459090184006</c:v>
                </c:pt>
                <c:pt idx="30">
                  <c:v>0.19922579590484918</c:v>
                </c:pt>
              </c:numCache>
            </c:numRef>
          </c:val>
          <c:extLst>
            <c:ext xmlns:c16="http://schemas.microsoft.com/office/drawing/2014/chart" uri="{C3380CC4-5D6E-409C-BE32-E72D297353CC}">
              <c16:uniqueId val="{00000003-BA51-BE4E-8D08-F34E65F5691F}"/>
            </c:ext>
          </c:extLst>
        </c:ser>
        <c:ser>
          <c:idx val="4"/>
          <c:order val="4"/>
          <c:tx>
            <c:strRef>
              <c:f>NICCS_scenario!$B$42</c:f>
              <c:strCache>
                <c:ptCount val="1"/>
                <c:pt idx="0">
                  <c:v>Gas</c:v>
                </c:pt>
              </c:strCache>
            </c:strRef>
          </c:tx>
          <c:spPr>
            <a:solidFill>
              <a:schemeClr val="accent5"/>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NICCS_scenario!$F$42:$AJ$42</c:f>
              <c:numCache>
                <c:formatCode>0%</c:formatCode>
                <c:ptCount val="31"/>
                <c:pt idx="0">
                  <c:v>1.6916592018668142E-3</c:v>
                </c:pt>
                <c:pt idx="1">
                  <c:v>1.8901993127219754E-3</c:v>
                </c:pt>
                <c:pt idx="2">
                  <c:v>2.0930660600521826E-3</c:v>
                </c:pt>
                <c:pt idx="3">
                  <c:v>2.3002103592131844E-3</c:v>
                </c:pt>
                <c:pt idx="4">
                  <c:v>2.5115368774612195E-3</c:v>
                </c:pt>
                <c:pt idx="5">
                  <c:v>2.4401467427102343E-3</c:v>
                </c:pt>
                <c:pt idx="6">
                  <c:v>2.2818266014808727E-2</c:v>
                </c:pt>
                <c:pt idx="7">
                  <c:v>4.3105664311961812E-2</c:v>
                </c:pt>
                <c:pt idx="8">
                  <c:v>6.3452659259021313E-2</c:v>
                </c:pt>
                <c:pt idx="9">
                  <c:v>8.3859586446136031E-2</c:v>
                </c:pt>
                <c:pt idx="10">
                  <c:v>0.10432688078908121</c:v>
                </c:pt>
                <c:pt idx="11">
                  <c:v>0.12485488967417561</c:v>
                </c:pt>
                <c:pt idx="12">
                  <c:v>0.14544381961902192</c:v>
                </c:pt>
                <c:pt idx="13">
                  <c:v>0.16609372202292716</c:v>
                </c:pt>
                <c:pt idx="14">
                  <c:v>0.18680412289253492</c:v>
                </c:pt>
                <c:pt idx="15">
                  <c:v>0.20757727675905135</c:v>
                </c:pt>
                <c:pt idx="16">
                  <c:v>0.22841281372274874</c:v>
                </c:pt>
                <c:pt idx="17">
                  <c:v>0.24931119873871876</c:v>
                </c:pt>
                <c:pt idx="18">
                  <c:v>0.270272945258692</c:v>
                </c:pt>
                <c:pt idx="19">
                  <c:v>0.29129864073923489</c:v>
                </c:pt>
                <c:pt idx="20">
                  <c:v>0.31238883364616515</c:v>
                </c:pt>
                <c:pt idx="21">
                  <c:v>0.31289394607350218</c:v>
                </c:pt>
                <c:pt idx="22">
                  <c:v>0.31340157299096827</c:v>
                </c:pt>
                <c:pt idx="23">
                  <c:v>0.31391179400617186</c:v>
                </c:pt>
                <c:pt idx="24">
                  <c:v>0.31442470671897726</c:v>
                </c:pt>
                <c:pt idx="25">
                  <c:v>0.31494031510720855</c:v>
                </c:pt>
                <c:pt idx="26">
                  <c:v>0.31545857619294443</c:v>
                </c:pt>
                <c:pt idx="27">
                  <c:v>0.31597933147058777</c:v>
                </c:pt>
                <c:pt idx="28">
                  <c:v>0.3165023709090018</c:v>
                </c:pt>
                <c:pt idx="29">
                  <c:v>0.31702742149023994</c:v>
                </c:pt>
                <c:pt idx="30">
                  <c:v>0.31755425603460025</c:v>
                </c:pt>
              </c:numCache>
            </c:numRef>
          </c:val>
          <c:extLst>
            <c:ext xmlns:c16="http://schemas.microsoft.com/office/drawing/2014/chart" uri="{C3380CC4-5D6E-409C-BE32-E72D297353CC}">
              <c16:uniqueId val="{00000004-BA51-BE4E-8D08-F34E65F5691F}"/>
            </c:ext>
          </c:extLst>
        </c:ser>
        <c:ser>
          <c:idx val="5"/>
          <c:order val="5"/>
          <c:tx>
            <c:strRef>
              <c:f>NICCS_scenario!$B$43</c:f>
              <c:strCache>
                <c:ptCount val="1"/>
                <c:pt idx="0">
                  <c:v>kerosene</c:v>
                </c:pt>
              </c:strCache>
            </c:strRef>
          </c:tx>
          <c:spPr>
            <a:solidFill>
              <a:schemeClr val="accent6"/>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NICCS_scenario!$F$43:$AJ$43</c:f>
              <c:numCache>
                <c:formatCode>0%</c:formatCode>
                <c:ptCount val="31"/>
                <c:pt idx="0">
                  <c:v>1.2407805014705433E-4</c:v>
                </c:pt>
                <c:pt idx="1">
                  <c:v>9.1277829076060382E-5</c:v>
                </c:pt>
                <c:pt idx="2">
                  <c:v>5.7700789055242742E-5</c:v>
                </c:pt>
                <c:pt idx="3">
                  <c:v>2.3341418119950032E-5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BA51-BE4E-8D08-F34E65F5691F}"/>
            </c:ext>
          </c:extLst>
        </c:ser>
        <c:ser>
          <c:idx val="6"/>
          <c:order val="6"/>
          <c:tx>
            <c:strRef>
              <c:f>NICCS_scenario!$B$44</c:f>
              <c:strCache>
                <c:ptCount val="1"/>
                <c:pt idx="0">
                  <c:v>electric</c:v>
                </c:pt>
              </c:strCache>
            </c:strRef>
          </c:tx>
          <c:spPr>
            <a:solidFill>
              <a:schemeClr val="accent1">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NICCS_scenario!$F$44:$AJ$44</c:f>
              <c:numCache>
                <c:formatCode>0%</c:formatCode>
                <c:ptCount val="31"/>
                <c:pt idx="0">
                  <c:v>3.1784034272202735E-2</c:v>
                </c:pt>
                <c:pt idx="1">
                  <c:v>3.0481371355991833E-2</c:v>
                </c:pt>
                <c:pt idx="2">
                  <c:v>2.9148036884459806E-2</c:v>
                </c:pt>
                <c:pt idx="3">
                  <c:v>2.7782955951172032E-2</c:v>
                </c:pt>
                <c:pt idx="4">
                  <c:v>2.6385044788781283E-2</c:v>
                </c:pt>
                <c:pt idx="5">
                  <c:v>2.5628719776543282E-2</c:v>
                </c:pt>
                <c:pt idx="6">
                  <c:v>3.7532220930839598E-2</c:v>
                </c:pt>
                <c:pt idx="7">
                  <c:v>4.7881689698896772E-2</c:v>
                </c:pt>
                <c:pt idx="8">
                  <c:v>5.8217303462150941E-2</c:v>
                </c:pt>
                <c:pt idx="9">
                  <c:v>6.8539490820674051E-2</c:v>
                </c:pt>
                <c:pt idx="10">
                  <c:v>7.8848517985916217E-2</c:v>
                </c:pt>
                <c:pt idx="11">
                  <c:v>8.9144317984363036E-2</c:v>
                </c:pt>
                <c:pt idx="12">
                  <c:v>9.9426642794477924E-2</c:v>
                </c:pt>
                <c:pt idx="13">
                  <c:v>0.10969516571974335</c:v>
                </c:pt>
                <c:pt idx="14">
                  <c:v>0.11994919121592969</c:v>
                </c:pt>
                <c:pt idx="15">
                  <c:v>0.13019058538629388</c:v>
                </c:pt>
                <c:pt idx="16">
                  <c:v>0.14041846845713121</c:v>
                </c:pt>
                <c:pt idx="17">
                  <c:v>0.15063281410613516</c:v>
                </c:pt>
                <c:pt idx="18">
                  <c:v>0.16083360117890733</c:v>
                </c:pt>
                <c:pt idx="19">
                  <c:v>0.17102082213495098</c:v>
                </c:pt>
                <c:pt idx="20">
                  <c:v>0.1811944168230826</c:v>
                </c:pt>
                <c:pt idx="21">
                  <c:v>0.18144697303675111</c:v>
                </c:pt>
                <c:pt idx="22">
                  <c:v>0.18170078649548418</c:v>
                </c:pt>
                <c:pt idx="23">
                  <c:v>0.18195589700308595</c:v>
                </c:pt>
                <c:pt idx="24">
                  <c:v>0.18221235335948865</c:v>
                </c:pt>
                <c:pt idx="25">
                  <c:v>0.18247015755360427</c:v>
                </c:pt>
                <c:pt idx="26">
                  <c:v>0.18272928809647221</c:v>
                </c:pt>
                <c:pt idx="27">
                  <c:v>0.1829896657352939</c:v>
                </c:pt>
                <c:pt idx="28">
                  <c:v>0.18325118545450092</c:v>
                </c:pt>
                <c:pt idx="29">
                  <c:v>0.18351371074511999</c:v>
                </c:pt>
                <c:pt idx="30">
                  <c:v>0.18377712801730015</c:v>
                </c:pt>
              </c:numCache>
            </c:numRef>
          </c:val>
          <c:extLst>
            <c:ext xmlns:c16="http://schemas.microsoft.com/office/drawing/2014/chart" uri="{C3380CC4-5D6E-409C-BE32-E72D297353CC}">
              <c16:uniqueId val="{00000006-BA51-BE4E-8D08-F34E65F5691F}"/>
            </c:ext>
          </c:extLst>
        </c:ser>
        <c:ser>
          <c:idx val="7"/>
          <c:order val="7"/>
          <c:tx>
            <c:strRef>
              <c:f>NICCS_scenario!$B$45</c:f>
              <c:strCache>
                <c:ptCount val="1"/>
                <c:pt idx="0">
                  <c:v>pellets</c:v>
                </c:pt>
              </c:strCache>
            </c:strRef>
          </c:tx>
          <c:spPr>
            <a:solidFill>
              <a:schemeClr val="accent2">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NICCS_scenario!$F$45:$AJ$45</c:f>
              <c:numCache>
                <c:formatCode>0%</c:formatCode>
                <c:ptCount val="31"/>
                <c:pt idx="0">
                  <c:v>0</c:v>
                </c:pt>
                <c:pt idx="1">
                  <c:v>0</c:v>
                </c:pt>
                <c:pt idx="2">
                  <c:v>0</c:v>
                </c:pt>
                <c:pt idx="3">
                  <c:v>0</c:v>
                </c:pt>
                <c:pt idx="4">
                  <c:v>0</c:v>
                </c:pt>
                <c:pt idx="5">
                  <c:v>0</c:v>
                </c:pt>
                <c:pt idx="6">
                  <c:v>1.5946382060010256E-2</c:v>
                </c:pt>
                <c:pt idx="7">
                  <c:v>3.2076213953052927E-2</c:v>
                </c:pt>
                <c:pt idx="8">
                  <c:v>4.8389855461937741E-2</c:v>
                </c:pt>
                <c:pt idx="9">
                  <c:v>6.4888192623348787E-2</c:v>
                </c:pt>
                <c:pt idx="10">
                  <c:v>8.1572458785062002E-2</c:v>
                </c:pt>
                <c:pt idx="11">
                  <c:v>9.8443721310690013E-2</c:v>
                </c:pt>
                <c:pt idx="12">
                  <c:v>0.1155026759718243</c:v>
                </c:pt>
                <c:pt idx="13">
                  <c:v>0.13274957386481381</c:v>
                </c:pt>
                <c:pt idx="14">
                  <c:v>0.15018319005917646</c:v>
                </c:pt>
                <c:pt idx="15">
                  <c:v>0.16780977505780886</c:v>
                </c:pt>
                <c:pt idx="16">
                  <c:v>0.18562847204445418</c:v>
                </c:pt>
                <c:pt idx="17">
                  <c:v>0.20364069099714399</c:v>
                </c:pt>
                <c:pt idx="18">
                  <c:v>0.22184798663275548</c:v>
                </c:pt>
                <c:pt idx="19">
                  <c:v>0.24025213285197769</c:v>
                </c:pt>
                <c:pt idx="20">
                  <c:v>0.25885480143825484</c:v>
                </c:pt>
                <c:pt idx="21">
                  <c:v>0.2603038681312575</c:v>
                </c:pt>
                <c:pt idx="22">
                  <c:v>0.26176014839434608</c:v>
                </c:pt>
                <c:pt idx="23">
                  <c:v>0.26322387060585323</c:v>
                </c:pt>
                <c:pt idx="24">
                  <c:v>0.26469531476030062</c:v>
                </c:pt>
                <c:pt idx="25">
                  <c:v>0.26617449226927153</c:v>
                </c:pt>
                <c:pt idx="26">
                  <c:v>0.26766127983769172</c:v>
                </c:pt>
                <c:pt idx="27">
                  <c:v>0.26915522274465309</c:v>
                </c:pt>
                <c:pt idx="28">
                  <c:v>0.27065571845276382</c:v>
                </c:pt>
                <c:pt idx="29">
                  <c:v>0.27216198372805106</c:v>
                </c:pt>
                <c:pt idx="30">
                  <c:v>0.27367336683731341</c:v>
                </c:pt>
              </c:numCache>
            </c:numRef>
          </c:val>
          <c:extLst>
            <c:ext xmlns:c16="http://schemas.microsoft.com/office/drawing/2014/chart" uri="{C3380CC4-5D6E-409C-BE32-E72D297353CC}">
              <c16:uniqueId val="{00000007-BA51-BE4E-8D08-F34E65F5691F}"/>
            </c:ext>
          </c:extLst>
        </c:ser>
        <c:ser>
          <c:idx val="8"/>
          <c:order val="8"/>
          <c:tx>
            <c:strRef>
              <c:f>NICCS_scenario!$B$46</c:f>
              <c:strCache>
                <c:ptCount val="1"/>
                <c:pt idx="0">
                  <c:v>ethanol</c:v>
                </c:pt>
              </c:strCache>
            </c:strRef>
          </c:tx>
          <c:spPr>
            <a:solidFill>
              <a:schemeClr val="accent3">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NICCS_scenario!$F$46:$AJ$46</c:f>
              <c:numCache>
                <c:formatCode>0%</c:formatCode>
                <c:ptCount val="31"/>
                <c:pt idx="0">
                  <c:v>0</c:v>
                </c:pt>
                <c:pt idx="1">
                  <c:v>0</c:v>
                </c:pt>
                <c:pt idx="2">
                  <c:v>0</c:v>
                </c:pt>
                <c:pt idx="3">
                  <c:v>0</c:v>
                </c:pt>
                <c:pt idx="4">
                  <c:v>0</c:v>
                </c:pt>
                <c:pt idx="5">
                  <c:v>0</c:v>
                </c:pt>
                <c:pt idx="6">
                  <c:v>5.1830795367811882E-3</c:v>
                </c:pt>
                <c:pt idx="7">
                  <c:v>1.0470072188963274E-2</c:v>
                </c:pt>
                <c:pt idx="8">
                  <c:v>1.586118175151301E-2</c:v>
                </c:pt>
                <c:pt idx="9">
                  <c:v>2.1356910110045025E-2</c:v>
                </c:pt>
                <c:pt idx="10">
                  <c:v>2.6957955880674987E-2</c:v>
                </c:pt>
                <c:pt idx="11">
                  <c:v>3.2664923659637281E-2</c:v>
                </c:pt>
                <c:pt idx="12">
                  <c:v>3.8478207559003219E-2</c:v>
                </c:pt>
                <c:pt idx="13">
                  <c:v>4.4397949809503977E-2</c:v>
                </c:pt>
                <c:pt idx="14">
                  <c:v>5.0423456562906289E-2</c:v>
                </c:pt>
                <c:pt idx="15">
                  <c:v>5.6558268346983159E-2</c:v>
                </c:pt>
                <c:pt idx="16">
                  <c:v>6.2801899827705662E-2</c:v>
                </c:pt>
                <c:pt idx="17">
                  <c:v>6.9155149671431174E-2</c:v>
                </c:pt>
                <c:pt idx="18">
                  <c:v>7.5618898530224687E-2</c:v>
                </c:pt>
                <c:pt idx="19">
                  <c:v>8.21941512103809E-2</c:v>
                </c:pt>
                <c:pt idx="20" formatCode="0.00%">
                  <c:v>8.8881854675018399E-2</c:v>
                </c:pt>
                <c:pt idx="21">
                  <c:v>8.9702662369441091E-2</c:v>
                </c:pt>
                <c:pt idx="22">
                  <c:v>9.0527556110323537E-2</c:v>
                </c:pt>
                <c:pt idx="23">
                  <c:v>9.1356665260029377E-2</c:v>
                </c:pt>
                <c:pt idx="24">
                  <c:v>9.2190148418338072E-2</c:v>
                </c:pt>
                <c:pt idx="25">
                  <c:v>9.302801204921389E-2</c:v>
                </c:pt>
                <c:pt idx="26">
                  <c:v>9.387018631353472E-2</c:v>
                </c:pt>
                <c:pt idx="27">
                  <c:v>9.471641363970508E-2</c:v>
                </c:pt>
                <c:pt idx="28">
                  <c:v>9.5566352727127976E-2</c:v>
                </c:pt>
                <c:pt idx="29">
                  <c:v>9.6419559921639961E-2</c:v>
                </c:pt>
                <c:pt idx="30">
                  <c:v>9.7275666056225452E-2</c:v>
                </c:pt>
              </c:numCache>
            </c:numRef>
          </c:val>
          <c:extLst>
            <c:ext xmlns:c16="http://schemas.microsoft.com/office/drawing/2014/chart" uri="{C3380CC4-5D6E-409C-BE32-E72D297353CC}">
              <c16:uniqueId val="{00000008-BA51-BE4E-8D08-F34E65F5691F}"/>
            </c:ext>
          </c:extLst>
        </c:ser>
        <c:ser>
          <c:idx val="9"/>
          <c:order val="9"/>
          <c:tx>
            <c:strRef>
              <c:f>NICCS_scenario!$B$47</c:f>
              <c:strCache>
                <c:ptCount val="1"/>
                <c:pt idx="0">
                  <c:v>biogas</c:v>
                </c:pt>
              </c:strCache>
            </c:strRef>
          </c:tx>
          <c:spPr>
            <a:solidFill>
              <a:schemeClr val="accent4">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NICCS_scenario!$F$47:$AJ$47</c:f>
              <c:numCache>
                <c:formatCode>0%</c:formatCode>
                <c:ptCount val="31"/>
                <c:pt idx="0">
                  <c:v>0</c:v>
                </c:pt>
                <c:pt idx="1">
                  <c:v>0</c:v>
                </c:pt>
                <c:pt idx="2">
                  <c:v>0</c:v>
                </c:pt>
                <c:pt idx="3">
                  <c:v>0</c:v>
                </c:pt>
                <c:pt idx="4">
                  <c:v>0</c:v>
                </c:pt>
                <c:pt idx="5">
                  <c:v>0</c:v>
                </c:pt>
                <c:pt idx="6">
                  <c:v>1.2713863418682256E-3</c:v>
                </c:pt>
                <c:pt idx="7">
                  <c:v>2.5153456758233088E-3</c:v>
                </c:pt>
                <c:pt idx="8">
                  <c:v>3.7318242118682507E-3</c:v>
                </c:pt>
                <c:pt idx="9">
                  <c:v>4.920689481443417E-3</c:v>
                </c:pt>
                <c:pt idx="10">
                  <c:v>6.0817570905995107E-3</c:v>
                </c:pt>
                <c:pt idx="11">
                  <c:v>7.2148674611577732E-3</c:v>
                </c:pt>
                <c:pt idx="12">
                  <c:v>8.3199165704945302E-3</c:v>
                </c:pt>
                <c:pt idx="13">
                  <c:v>9.3968668779838942E-3</c:v>
                </c:pt>
                <c:pt idx="14">
                  <c:v>1.0445901519132017E-2</c:v>
                </c:pt>
                <c:pt idx="15">
                  <c:v>1.1466086000897555E-2</c:v>
                </c:pt>
                <c:pt idx="16">
                  <c:v>1.2457548423185884E-2</c:v>
                </c:pt>
                <c:pt idx="17">
                  <c:v>1.3420077984613397E-2</c:v>
                </c:pt>
                <c:pt idx="18">
                  <c:v>1.4353442244346579E-2</c:v>
                </c:pt>
                <c:pt idx="19">
                  <c:v>1.5257375992069212E-2</c:v>
                </c:pt>
                <c:pt idx="20" formatCode="0.00%">
                  <c:v>1.6131629284693288E-2</c:v>
                </c:pt>
                <c:pt idx="21">
                  <c:v>1.5914983878160666E-2</c:v>
                </c:pt>
                <c:pt idx="22">
                  <c:v>1.5697259993438326E-2</c:v>
                </c:pt>
                <c:pt idx="23">
                  <c:v>1.5478423486399629E-2</c:v>
                </c:pt>
                <c:pt idx="24">
                  <c:v>1.5258432495943728E-2</c:v>
                </c:pt>
                <c:pt idx="25">
                  <c:v>1.5037285315960639E-2</c:v>
                </c:pt>
                <c:pt idx="26">
                  <c:v>1.4815000379909416E-2</c:v>
                </c:pt>
                <c:pt idx="27">
                  <c:v>1.4591645671683719E-2</c:v>
                </c:pt>
                <c:pt idx="28">
                  <c:v>1.4367311274755074E-2</c:v>
                </c:pt>
                <c:pt idx="29">
                  <c:v>1.4142114287972905E-2</c:v>
                </c:pt>
                <c:pt idx="30">
                  <c:v>1.3916152149919602E-2</c:v>
                </c:pt>
              </c:numCache>
            </c:numRef>
          </c:val>
          <c:extLst>
            <c:ext xmlns:c16="http://schemas.microsoft.com/office/drawing/2014/chart" uri="{C3380CC4-5D6E-409C-BE32-E72D297353CC}">
              <c16:uniqueId val="{00000009-BA51-BE4E-8D08-F34E65F5691F}"/>
            </c:ext>
          </c:extLst>
        </c:ser>
        <c:ser>
          <c:idx val="10"/>
          <c:order val="10"/>
          <c:tx>
            <c:strRef>
              <c:f>NICCS_scenario!$B$48</c:f>
              <c:strCache>
                <c:ptCount val="1"/>
                <c:pt idx="0">
                  <c:v>other</c:v>
                </c:pt>
              </c:strCache>
            </c:strRef>
          </c:tx>
          <c:spPr>
            <a:solidFill>
              <a:schemeClr val="accent5">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NICCS_scenario!$F$48:$AJ$48</c:f>
              <c:numCache>
                <c:formatCode>0%</c:formatCode>
                <c:ptCount val="31"/>
                <c:pt idx="0">
                  <c:v>5.0345105619440129E-3</c:v>
                </c:pt>
                <c:pt idx="1">
                  <c:v>4.7701697549140856E-3</c:v>
                </c:pt>
                <c:pt idx="2">
                  <c:v>4.5058703276980349E-3</c:v>
                </c:pt>
                <c:pt idx="3">
                  <c:v>4.2417080260396525E-3</c:v>
                </c:pt>
                <c:pt idx="4">
                  <c:v>4.0060835524790674E-3</c:v>
                </c:pt>
                <c:pt idx="5">
                  <c:v>3.8229804923628971E-3</c:v>
                </c:pt>
                <c:pt idx="6">
                  <c:v>3.3704016788989612E-3</c:v>
                </c:pt>
                <c:pt idx="7">
                  <c:v>3.0959013885956742E-3</c:v>
                </c:pt>
                <c:pt idx="8">
                  <c:v>2.8265537895438065E-3</c:v>
                </c:pt>
                <c:pt idx="9">
                  <c:v>2.5623280972044285E-3</c:v>
                </c:pt>
                <c:pt idx="10">
                  <c:v>2.3032185568720807E-3</c:v>
                </c:pt>
                <c:pt idx="11">
                  <c:v>2.0492535760261361E-3</c:v>
                </c:pt>
                <c:pt idx="12">
                  <c:v>1.8004746186083887E-3</c:v>
                </c:pt>
                <c:pt idx="13">
                  <c:v>1.5569232802697898E-3</c:v>
                </c:pt>
                <c:pt idx="14">
                  <c:v>1.3186536864108513E-3</c:v>
                </c:pt>
                <c:pt idx="15">
                  <c:v>1.0855786271363229E-3</c:v>
                </c:pt>
                <c:pt idx="16">
                  <c:v>8.5778011709997538E-4</c:v>
                </c:pt>
                <c:pt idx="17">
                  <c:v>6.3528870416019035E-4</c:v>
                </c:pt>
                <c:pt idx="18">
                  <c:v>4.1813718836250079E-4</c:v>
                </c:pt>
                <c:pt idx="19">
                  <c:v>2.0636113045371639E-4</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BA51-BE4E-8D08-F34E65F5691F}"/>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9722222222222228"/>
          <c:y val="5.1504082822980461E-2"/>
          <c:w val="0.2"/>
          <c:h val="0.9484957774060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5377259189751544"/>
        </c:manualLayout>
      </c:layout>
      <c:areaChart>
        <c:grouping val="stacked"/>
        <c:varyColors val="0"/>
        <c:ser>
          <c:idx val="0"/>
          <c:order val="0"/>
          <c:tx>
            <c:strRef>
              <c:f>NICCS_scenario!$B$49</c:f>
              <c:strCache>
                <c:ptCount val="1"/>
                <c:pt idx="0">
                  <c:v>fuelwood</c:v>
                </c:pt>
              </c:strCache>
            </c:strRef>
          </c:tx>
          <c:spPr>
            <a:solidFill>
              <a:schemeClr val="accent1"/>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NICCS_scenario!$F$49:$AJ$49</c:f>
              <c:numCache>
                <c:formatCode>0%</c:formatCode>
                <c:ptCount val="31"/>
                <c:pt idx="0">
                  <c:v>0.85811128535486603</c:v>
                </c:pt>
                <c:pt idx="1">
                  <c:v>0.84648048657695796</c:v>
                </c:pt>
                <c:pt idx="2">
                  <c:v>0.83484968779905344</c:v>
                </c:pt>
                <c:pt idx="3">
                  <c:v>0.82321888902114893</c:v>
                </c:pt>
                <c:pt idx="4">
                  <c:v>0.81158809024324441</c:v>
                </c:pt>
                <c:pt idx="5">
                  <c:v>0.79052700984927349</c:v>
                </c:pt>
                <c:pt idx="6">
                  <c:v>0.73782520919265526</c:v>
                </c:pt>
                <c:pt idx="7">
                  <c:v>0.68512340853603704</c:v>
                </c:pt>
                <c:pt idx="8">
                  <c:v>0.63242160787941881</c:v>
                </c:pt>
                <c:pt idx="9">
                  <c:v>0.57971980722280059</c:v>
                </c:pt>
                <c:pt idx="10">
                  <c:v>0.52701800656618236</c:v>
                </c:pt>
                <c:pt idx="11">
                  <c:v>0.47431620590956414</c:v>
                </c:pt>
                <c:pt idx="12">
                  <c:v>0.42161440525294591</c:v>
                </c:pt>
                <c:pt idx="13">
                  <c:v>0.36891260459632769</c:v>
                </c:pt>
                <c:pt idx="14">
                  <c:v>0.31621080393970946</c:v>
                </c:pt>
                <c:pt idx="15">
                  <c:v>0.26350900328309124</c:v>
                </c:pt>
                <c:pt idx="16">
                  <c:v>0.21080720262647301</c:v>
                </c:pt>
                <c:pt idx="17">
                  <c:v>0.15810540196985479</c:v>
                </c:pt>
                <c:pt idx="18">
                  <c:v>0.10540360131323656</c:v>
                </c:pt>
                <c:pt idx="19">
                  <c:v>5.2701800656618329E-2</c:v>
                </c:pt>
                <c:pt idx="20">
                  <c:v>0</c:v>
                </c:pt>
                <c:pt idx="21" formatCode="0.0%">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856-134D-961E-F6CFBCF353A0}"/>
            </c:ext>
          </c:extLst>
        </c:ser>
        <c:ser>
          <c:idx val="1"/>
          <c:order val="1"/>
          <c:tx>
            <c:strRef>
              <c:f>NICCS_scenario!$B$50</c:f>
              <c:strCache>
                <c:ptCount val="1"/>
                <c:pt idx="0">
                  <c:v>charcoal</c:v>
                </c:pt>
              </c:strCache>
            </c:strRef>
          </c:tx>
          <c:spPr>
            <a:solidFill>
              <a:schemeClr val="accent2"/>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NICCS_scenario!$F$50:$AJ$50</c:f>
              <c:numCache>
                <c:formatCode>0%</c:formatCode>
                <c:ptCount val="31"/>
                <c:pt idx="0">
                  <c:v>0.13020141557709408</c:v>
                </c:pt>
                <c:pt idx="1">
                  <c:v>0.14243896375447918</c:v>
                </c:pt>
                <c:pt idx="2">
                  <c:v>0.15467651193186782</c:v>
                </c:pt>
                <c:pt idx="3">
                  <c:v>0.16691406010925292</c:v>
                </c:pt>
                <c:pt idx="4">
                  <c:v>0.17915160828663801</c:v>
                </c:pt>
                <c:pt idx="5">
                  <c:v>0.20018423873715194</c:v>
                </c:pt>
                <c:pt idx="6">
                  <c:v>0.18683862282134181</c:v>
                </c:pt>
                <c:pt idx="7">
                  <c:v>0.17349300690553168</c:v>
                </c:pt>
                <c:pt idx="8">
                  <c:v>0.16014739098972156</c:v>
                </c:pt>
                <c:pt idx="9">
                  <c:v>0.14680177507391143</c:v>
                </c:pt>
                <c:pt idx="10">
                  <c:v>0.1334561591581013</c:v>
                </c:pt>
                <c:pt idx="11">
                  <c:v>0.12011054324229117</c:v>
                </c:pt>
                <c:pt idx="12">
                  <c:v>0.10676492732648105</c:v>
                </c:pt>
                <c:pt idx="13">
                  <c:v>9.3419311410670919E-2</c:v>
                </c:pt>
                <c:pt idx="14">
                  <c:v>8.0073695494860792E-2</c:v>
                </c:pt>
                <c:pt idx="15">
                  <c:v>6.6728079579050664E-2</c:v>
                </c:pt>
                <c:pt idx="16">
                  <c:v>5.3382463663240537E-2</c:v>
                </c:pt>
                <c:pt idx="17">
                  <c:v>4.003684774743041E-2</c:v>
                </c:pt>
                <c:pt idx="18">
                  <c:v>2.6691231831620282E-2</c:v>
                </c:pt>
                <c:pt idx="19">
                  <c:v>1.3345615915810153E-2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7856-134D-961E-F6CFBCF353A0}"/>
            </c:ext>
          </c:extLst>
        </c:ser>
        <c:ser>
          <c:idx val="2"/>
          <c:order val="2"/>
          <c:tx>
            <c:strRef>
              <c:f>NICCS_scenario!$B$51</c:f>
              <c:strCache>
                <c:ptCount val="1"/>
                <c:pt idx="0">
                  <c:v>Imp_fuelwood</c:v>
                </c:pt>
              </c:strCache>
            </c:strRef>
          </c:tx>
          <c:spPr>
            <a:solidFill>
              <a:schemeClr val="accent3"/>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NICCS_scenario!$F$51:$AJ$51</c:f>
              <c:numCache>
                <c:formatCode>0%</c:formatCode>
                <c:ptCount val="31"/>
                <c:pt idx="0">
                  <c:v>0</c:v>
                </c:pt>
                <c:pt idx="1">
                  <c:v>0</c:v>
                </c:pt>
                <c:pt idx="2">
                  <c:v>0</c:v>
                </c:pt>
                <c:pt idx="3">
                  <c:v>0</c:v>
                </c:pt>
                <c:pt idx="4">
                  <c:v>0</c:v>
                </c:pt>
                <c:pt idx="5">
                  <c:v>0</c:v>
                </c:pt>
                <c:pt idx="6">
                  <c:v>1.1333333333333334E-2</c:v>
                </c:pt>
                <c:pt idx="7">
                  <c:v>2.2666666666666668E-2</c:v>
                </c:pt>
                <c:pt idx="8">
                  <c:v>3.4000000000000002E-2</c:v>
                </c:pt>
                <c:pt idx="9">
                  <c:v>4.5333333333333337E-2</c:v>
                </c:pt>
                <c:pt idx="10">
                  <c:v>5.6666666666666671E-2</c:v>
                </c:pt>
                <c:pt idx="11">
                  <c:v>6.8000000000000005E-2</c:v>
                </c:pt>
                <c:pt idx="12">
                  <c:v>7.9333333333333339E-2</c:v>
                </c:pt>
                <c:pt idx="13">
                  <c:v>9.0666666666666673E-2</c:v>
                </c:pt>
                <c:pt idx="14">
                  <c:v>0.10200000000000001</c:v>
                </c:pt>
                <c:pt idx="15">
                  <c:v>0.11333333333333334</c:v>
                </c:pt>
                <c:pt idx="16">
                  <c:v>0.12466666666666668</c:v>
                </c:pt>
                <c:pt idx="17">
                  <c:v>0.13600000000000001</c:v>
                </c:pt>
                <c:pt idx="18">
                  <c:v>0.14733333333333334</c:v>
                </c:pt>
                <c:pt idx="19">
                  <c:v>0.15866666666666668</c:v>
                </c:pt>
                <c:pt idx="20">
                  <c:v>0.17</c:v>
                </c:pt>
                <c:pt idx="21">
                  <c:v>0.17</c:v>
                </c:pt>
                <c:pt idx="22">
                  <c:v>0.17</c:v>
                </c:pt>
                <c:pt idx="23">
                  <c:v>0.17</c:v>
                </c:pt>
                <c:pt idx="24">
                  <c:v>0.17</c:v>
                </c:pt>
                <c:pt idx="25">
                  <c:v>0.17</c:v>
                </c:pt>
                <c:pt idx="26">
                  <c:v>0.17</c:v>
                </c:pt>
                <c:pt idx="27">
                  <c:v>0.17</c:v>
                </c:pt>
                <c:pt idx="28">
                  <c:v>0.17</c:v>
                </c:pt>
                <c:pt idx="29">
                  <c:v>0.17</c:v>
                </c:pt>
                <c:pt idx="30">
                  <c:v>0.17</c:v>
                </c:pt>
              </c:numCache>
            </c:numRef>
          </c:val>
          <c:extLst>
            <c:ext xmlns:c16="http://schemas.microsoft.com/office/drawing/2014/chart" uri="{C3380CC4-5D6E-409C-BE32-E72D297353CC}">
              <c16:uniqueId val="{00000002-7856-134D-961E-F6CFBCF353A0}"/>
            </c:ext>
          </c:extLst>
        </c:ser>
        <c:ser>
          <c:idx val="3"/>
          <c:order val="3"/>
          <c:tx>
            <c:strRef>
              <c:f>NICCS_scenario!$B$52</c:f>
              <c:strCache>
                <c:ptCount val="1"/>
                <c:pt idx="0">
                  <c:v>Imp_charcoal</c:v>
                </c:pt>
              </c:strCache>
            </c:strRef>
          </c:tx>
          <c:spPr>
            <a:solidFill>
              <a:schemeClr val="accent4"/>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NICCS_scenario!$F$52:$AJ$52</c:f>
              <c:numCache>
                <c:formatCode>0%</c:formatCode>
                <c:ptCount val="31"/>
                <c:pt idx="0">
                  <c:v>0</c:v>
                </c:pt>
                <c:pt idx="1">
                  <c:v>0</c:v>
                </c:pt>
                <c:pt idx="2">
                  <c:v>0</c:v>
                </c:pt>
                <c:pt idx="3">
                  <c:v>0</c:v>
                </c:pt>
                <c:pt idx="4">
                  <c:v>0</c:v>
                </c:pt>
                <c:pt idx="5">
                  <c:v>0</c:v>
                </c:pt>
                <c:pt idx="6">
                  <c:v>2.2000000000000002E-2</c:v>
                </c:pt>
                <c:pt idx="7">
                  <c:v>4.4000000000000004E-2</c:v>
                </c:pt>
                <c:pt idx="8">
                  <c:v>6.6000000000000003E-2</c:v>
                </c:pt>
                <c:pt idx="9">
                  <c:v>8.8000000000000009E-2</c:v>
                </c:pt>
                <c:pt idx="10">
                  <c:v>0.11000000000000001</c:v>
                </c:pt>
                <c:pt idx="11">
                  <c:v>0.13200000000000001</c:v>
                </c:pt>
                <c:pt idx="12">
                  <c:v>0.154</c:v>
                </c:pt>
                <c:pt idx="13">
                  <c:v>0.17599999999999999</c:v>
                </c:pt>
                <c:pt idx="14">
                  <c:v>0.19799999999999998</c:v>
                </c:pt>
                <c:pt idx="15">
                  <c:v>0.21999999999999997</c:v>
                </c:pt>
                <c:pt idx="16">
                  <c:v>0.24199999999999997</c:v>
                </c:pt>
                <c:pt idx="17">
                  <c:v>0.26399999999999996</c:v>
                </c:pt>
                <c:pt idx="18">
                  <c:v>0.28599999999999998</c:v>
                </c:pt>
                <c:pt idx="19">
                  <c:v>0.308</c:v>
                </c:pt>
                <c:pt idx="20">
                  <c:v>0.33</c:v>
                </c:pt>
                <c:pt idx="21">
                  <c:v>0.33</c:v>
                </c:pt>
                <c:pt idx="22">
                  <c:v>0.33</c:v>
                </c:pt>
                <c:pt idx="23">
                  <c:v>0.33</c:v>
                </c:pt>
                <c:pt idx="24">
                  <c:v>0.33</c:v>
                </c:pt>
                <c:pt idx="25">
                  <c:v>0.33</c:v>
                </c:pt>
                <c:pt idx="26">
                  <c:v>0.33</c:v>
                </c:pt>
                <c:pt idx="27">
                  <c:v>0.33</c:v>
                </c:pt>
                <c:pt idx="28">
                  <c:v>0.33</c:v>
                </c:pt>
                <c:pt idx="29">
                  <c:v>0.33</c:v>
                </c:pt>
                <c:pt idx="30">
                  <c:v>0.33</c:v>
                </c:pt>
              </c:numCache>
            </c:numRef>
          </c:val>
          <c:extLst>
            <c:ext xmlns:c16="http://schemas.microsoft.com/office/drawing/2014/chart" uri="{C3380CC4-5D6E-409C-BE32-E72D297353CC}">
              <c16:uniqueId val="{00000003-7856-134D-961E-F6CFBCF353A0}"/>
            </c:ext>
          </c:extLst>
        </c:ser>
        <c:ser>
          <c:idx val="4"/>
          <c:order val="4"/>
          <c:tx>
            <c:strRef>
              <c:f>NICCS_scenario!$B$53</c:f>
              <c:strCache>
                <c:ptCount val="1"/>
                <c:pt idx="0">
                  <c:v>Gas</c:v>
                </c:pt>
              </c:strCache>
            </c:strRef>
          </c:tx>
          <c:spPr>
            <a:solidFill>
              <a:schemeClr val="accent5"/>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NICCS_scenario!$F$53:$AJ$53</c:f>
              <c:numCache>
                <c:formatCode>0%</c:formatCode>
                <c:ptCount val="31"/>
                <c:pt idx="0">
                  <c:v>1.4373261588239601E-4</c:v>
                </c:pt>
                <c:pt idx="1">
                  <c:v>1.3834318629514161E-4</c:v>
                </c:pt>
                <c:pt idx="2">
                  <c:v>1.3295375670788895E-4</c:v>
                </c:pt>
                <c:pt idx="3">
                  <c:v>1.2756432712063455E-4</c:v>
                </c:pt>
                <c:pt idx="4">
                  <c:v>1.2217489753338188E-4</c:v>
                </c:pt>
                <c:pt idx="5">
                  <c:v>1.1747586301286719E-4</c:v>
                </c:pt>
                <c:pt idx="6">
                  <c:v>1.8109644138812012E-2</c:v>
                </c:pt>
                <c:pt idx="7">
                  <c:v>3.6101812414611155E-2</c:v>
                </c:pt>
                <c:pt idx="8">
                  <c:v>5.4093980690410298E-2</c:v>
                </c:pt>
                <c:pt idx="9">
                  <c:v>7.2086148966209435E-2</c:v>
                </c:pt>
                <c:pt idx="10">
                  <c:v>9.0078317242008571E-2</c:v>
                </c:pt>
                <c:pt idx="11">
                  <c:v>0.10807048551780771</c:v>
                </c:pt>
                <c:pt idx="12">
                  <c:v>0.12606265379360684</c:v>
                </c:pt>
                <c:pt idx="13">
                  <c:v>0.14405482206940598</c:v>
                </c:pt>
                <c:pt idx="14">
                  <c:v>0.16204699034520512</c:v>
                </c:pt>
                <c:pt idx="15">
                  <c:v>0.18003915862100425</c:v>
                </c:pt>
                <c:pt idx="16">
                  <c:v>0.19803132689680339</c:v>
                </c:pt>
                <c:pt idx="17">
                  <c:v>0.21602349517260253</c:v>
                </c:pt>
                <c:pt idx="18">
                  <c:v>0.23401566344840166</c:v>
                </c:pt>
                <c:pt idx="19">
                  <c:v>0.25200783172420083</c:v>
                </c:pt>
                <c:pt idx="20">
                  <c:v>0.27</c:v>
                </c:pt>
                <c:pt idx="21">
                  <c:v>0.27</c:v>
                </c:pt>
                <c:pt idx="22">
                  <c:v>0.27</c:v>
                </c:pt>
                <c:pt idx="23">
                  <c:v>0.27</c:v>
                </c:pt>
                <c:pt idx="24">
                  <c:v>0.27</c:v>
                </c:pt>
                <c:pt idx="25">
                  <c:v>0.27</c:v>
                </c:pt>
                <c:pt idx="26">
                  <c:v>0.27</c:v>
                </c:pt>
                <c:pt idx="27">
                  <c:v>0.27</c:v>
                </c:pt>
                <c:pt idx="28">
                  <c:v>0.27</c:v>
                </c:pt>
                <c:pt idx="29">
                  <c:v>0.27</c:v>
                </c:pt>
                <c:pt idx="30">
                  <c:v>0.27</c:v>
                </c:pt>
              </c:numCache>
            </c:numRef>
          </c:val>
          <c:extLst>
            <c:ext xmlns:c16="http://schemas.microsoft.com/office/drawing/2014/chart" uri="{C3380CC4-5D6E-409C-BE32-E72D297353CC}">
              <c16:uniqueId val="{00000004-7856-134D-961E-F6CFBCF353A0}"/>
            </c:ext>
          </c:extLst>
        </c:ser>
        <c:ser>
          <c:idx val="5"/>
          <c:order val="5"/>
          <c:tx>
            <c:strRef>
              <c:f>NICCS_scenario!$B$54</c:f>
              <c:strCache>
                <c:ptCount val="1"/>
                <c:pt idx="0">
                  <c:v>kerosene</c:v>
                </c:pt>
              </c:strCache>
            </c:strRef>
          </c:tx>
          <c:spPr>
            <a:solidFill>
              <a:schemeClr val="accent6"/>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NICCS_scenario!$F$54:$AJ$54</c:f>
              <c:numCache>
                <c:formatCode>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7856-134D-961E-F6CFBCF353A0}"/>
            </c:ext>
          </c:extLst>
        </c:ser>
        <c:ser>
          <c:idx val="6"/>
          <c:order val="6"/>
          <c:tx>
            <c:strRef>
              <c:f>NICCS_scenario!$B$55</c:f>
              <c:strCache>
                <c:ptCount val="1"/>
                <c:pt idx="0">
                  <c:v>electric</c:v>
                </c:pt>
              </c:strCache>
            </c:strRef>
          </c:tx>
          <c:spPr>
            <a:solidFill>
              <a:schemeClr val="accent1">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NICCS_scenario!$F$55:$AJ$55</c:f>
              <c:numCache>
                <c:formatCode>0%</c:formatCode>
                <c:ptCount val="31"/>
                <c:pt idx="0">
                  <c:v>2.8272072006909621E-3</c:v>
                </c:pt>
                <c:pt idx="1">
                  <c:v>2.591363249694556E-3</c:v>
                </c:pt>
                <c:pt idx="2">
                  <c:v>2.3555192986981499E-3</c:v>
                </c:pt>
                <c:pt idx="3">
                  <c:v>2.1196753477017438E-3</c:v>
                </c:pt>
                <c:pt idx="4">
                  <c:v>1.8838313967053377E-3</c:v>
                </c:pt>
                <c:pt idx="5">
                  <c:v>1.8113763429859016E-3</c:v>
                </c:pt>
                <c:pt idx="6">
                  <c:v>1.2357284586786843E-2</c:v>
                </c:pt>
                <c:pt idx="7">
                  <c:v>2.2903192830587782E-2</c:v>
                </c:pt>
                <c:pt idx="8">
                  <c:v>3.3449101074388726E-2</c:v>
                </c:pt>
                <c:pt idx="9">
                  <c:v>4.3995009318189671E-2</c:v>
                </c:pt>
                <c:pt idx="10">
                  <c:v>5.4540917561990615E-2</c:v>
                </c:pt>
                <c:pt idx="11">
                  <c:v>6.5086825805791559E-2</c:v>
                </c:pt>
                <c:pt idx="12">
                  <c:v>7.5632734049592504E-2</c:v>
                </c:pt>
                <c:pt idx="13">
                  <c:v>8.6178642293393448E-2</c:v>
                </c:pt>
                <c:pt idx="14">
                  <c:v>9.6724550537194393E-2</c:v>
                </c:pt>
                <c:pt idx="15">
                  <c:v>0.10727045878099534</c:v>
                </c:pt>
                <c:pt idx="16">
                  <c:v>0.11781636702479628</c:v>
                </c:pt>
                <c:pt idx="17">
                  <c:v>0.12836227526859723</c:v>
                </c:pt>
                <c:pt idx="18">
                  <c:v>0.13890818351239817</c:v>
                </c:pt>
                <c:pt idx="19">
                  <c:v>0.14945409175619911</c:v>
                </c:pt>
                <c:pt idx="20">
                  <c:v>0.16</c:v>
                </c:pt>
                <c:pt idx="21">
                  <c:v>0.16</c:v>
                </c:pt>
                <c:pt idx="22">
                  <c:v>0.16</c:v>
                </c:pt>
                <c:pt idx="23">
                  <c:v>0.16</c:v>
                </c:pt>
                <c:pt idx="24">
                  <c:v>0.16</c:v>
                </c:pt>
                <c:pt idx="25">
                  <c:v>0.16</c:v>
                </c:pt>
                <c:pt idx="26">
                  <c:v>0.16</c:v>
                </c:pt>
                <c:pt idx="27">
                  <c:v>0.16</c:v>
                </c:pt>
                <c:pt idx="28">
                  <c:v>0.16</c:v>
                </c:pt>
                <c:pt idx="29">
                  <c:v>0.16</c:v>
                </c:pt>
                <c:pt idx="30">
                  <c:v>0.16</c:v>
                </c:pt>
              </c:numCache>
            </c:numRef>
          </c:val>
          <c:extLst>
            <c:ext xmlns:c16="http://schemas.microsoft.com/office/drawing/2014/chart" uri="{C3380CC4-5D6E-409C-BE32-E72D297353CC}">
              <c16:uniqueId val="{00000006-7856-134D-961E-F6CFBCF353A0}"/>
            </c:ext>
          </c:extLst>
        </c:ser>
        <c:ser>
          <c:idx val="7"/>
          <c:order val="7"/>
          <c:tx>
            <c:strRef>
              <c:f>NICCS_scenario!$B$56</c:f>
              <c:strCache>
                <c:ptCount val="1"/>
                <c:pt idx="0">
                  <c:v>pellets</c:v>
                </c:pt>
              </c:strCache>
            </c:strRef>
          </c:tx>
          <c:spPr>
            <a:solidFill>
              <a:schemeClr val="accent2">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NICCS_scenario!$F$56:$AJ$56</c:f>
              <c:numCache>
                <c:formatCode>0%</c:formatCode>
                <c:ptCount val="31"/>
                <c:pt idx="0">
                  <c:v>0</c:v>
                </c:pt>
                <c:pt idx="1">
                  <c:v>0</c:v>
                </c:pt>
                <c:pt idx="2">
                  <c:v>0</c:v>
                </c:pt>
                <c:pt idx="3">
                  <c:v>0</c:v>
                </c:pt>
                <c:pt idx="4">
                  <c:v>0</c:v>
                </c:pt>
                <c:pt idx="5">
                  <c:v>0</c:v>
                </c:pt>
                <c:pt idx="6">
                  <c:v>9.1499801283092853E-3</c:v>
                </c:pt>
                <c:pt idx="7">
                  <c:v>1.8299960256618571E-2</c:v>
                </c:pt>
                <c:pt idx="8">
                  <c:v>2.7449940384927856E-2</c:v>
                </c:pt>
                <c:pt idx="9">
                  <c:v>3.6599920513237141E-2</c:v>
                </c:pt>
                <c:pt idx="10">
                  <c:v>4.5749900641546423E-2</c:v>
                </c:pt>
                <c:pt idx="11">
                  <c:v>5.4899880769855705E-2</c:v>
                </c:pt>
                <c:pt idx="12">
                  <c:v>6.4049860898164987E-2</c:v>
                </c:pt>
                <c:pt idx="13">
                  <c:v>7.3199841026474269E-2</c:v>
                </c:pt>
                <c:pt idx="14">
                  <c:v>8.2349821154783551E-2</c:v>
                </c:pt>
                <c:pt idx="15">
                  <c:v>9.1499801283092833E-2</c:v>
                </c:pt>
                <c:pt idx="16">
                  <c:v>0.10064978141140211</c:v>
                </c:pt>
                <c:pt idx="17">
                  <c:v>0.1097997615397114</c:v>
                </c:pt>
                <c:pt idx="18">
                  <c:v>0.11894974166802068</c:v>
                </c:pt>
                <c:pt idx="19">
                  <c:v>0.12809972179632997</c:v>
                </c:pt>
                <c:pt idx="20">
                  <c:v>0.13724970192463928</c:v>
                </c:pt>
                <c:pt idx="21">
                  <c:v>0.13724970192463928</c:v>
                </c:pt>
                <c:pt idx="22">
                  <c:v>0.13724970192463928</c:v>
                </c:pt>
                <c:pt idx="23">
                  <c:v>0.13724970192463928</c:v>
                </c:pt>
                <c:pt idx="24">
                  <c:v>0.13724970192463928</c:v>
                </c:pt>
                <c:pt idx="25">
                  <c:v>0.13724970192463928</c:v>
                </c:pt>
                <c:pt idx="26">
                  <c:v>0.13724970192463928</c:v>
                </c:pt>
                <c:pt idx="27">
                  <c:v>0.13724970192463928</c:v>
                </c:pt>
                <c:pt idx="28">
                  <c:v>0.13724970192463928</c:v>
                </c:pt>
                <c:pt idx="29">
                  <c:v>0.13724970192463928</c:v>
                </c:pt>
                <c:pt idx="30">
                  <c:v>0.13724970192463928</c:v>
                </c:pt>
              </c:numCache>
            </c:numRef>
          </c:val>
          <c:extLst>
            <c:ext xmlns:c16="http://schemas.microsoft.com/office/drawing/2014/chart" uri="{C3380CC4-5D6E-409C-BE32-E72D297353CC}">
              <c16:uniqueId val="{00000007-7856-134D-961E-F6CFBCF353A0}"/>
            </c:ext>
          </c:extLst>
        </c:ser>
        <c:ser>
          <c:idx val="8"/>
          <c:order val="8"/>
          <c:tx>
            <c:strRef>
              <c:f>NICCS_scenario!$B$57</c:f>
              <c:strCache>
                <c:ptCount val="1"/>
                <c:pt idx="0">
                  <c:v>ethanol</c:v>
                </c:pt>
              </c:strCache>
            </c:strRef>
          </c:tx>
          <c:spPr>
            <a:solidFill>
              <a:schemeClr val="accent3">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NICCS_scenario!$F$57:$AJ$57</c:f>
              <c:numCache>
                <c:formatCode>0%</c:formatCode>
                <c:ptCount val="31"/>
                <c:pt idx="0">
                  <c:v>0</c:v>
                </c:pt>
                <c:pt idx="1">
                  <c:v>0</c:v>
                </c:pt>
                <c:pt idx="2">
                  <c:v>0</c:v>
                </c:pt>
                <c:pt idx="3">
                  <c:v>0</c:v>
                </c:pt>
                <c:pt idx="4">
                  <c:v>0</c:v>
                </c:pt>
                <c:pt idx="5">
                  <c:v>0</c:v>
                </c:pt>
                <c:pt idx="6">
                  <c:v>1.3333333333333333E-3</c:v>
                </c:pt>
                <c:pt idx="7">
                  <c:v>2.6666666666666666E-3</c:v>
                </c:pt>
                <c:pt idx="8">
                  <c:v>4.0000000000000001E-3</c:v>
                </c:pt>
                <c:pt idx="9">
                  <c:v>5.3333333333333332E-3</c:v>
                </c:pt>
                <c:pt idx="10">
                  <c:v>6.6666666666666662E-3</c:v>
                </c:pt>
                <c:pt idx="11">
                  <c:v>8.0000000000000002E-3</c:v>
                </c:pt>
                <c:pt idx="12">
                  <c:v>9.3333333333333341E-3</c:v>
                </c:pt>
                <c:pt idx="13">
                  <c:v>1.0666666666666668E-2</c:v>
                </c:pt>
                <c:pt idx="14">
                  <c:v>1.2000000000000002E-2</c:v>
                </c:pt>
                <c:pt idx="15">
                  <c:v>1.3333333333333336E-2</c:v>
                </c:pt>
                <c:pt idx="16">
                  <c:v>1.466666666666667E-2</c:v>
                </c:pt>
                <c:pt idx="17">
                  <c:v>1.6000000000000004E-2</c:v>
                </c:pt>
                <c:pt idx="18">
                  <c:v>1.7333333333333336E-2</c:v>
                </c:pt>
                <c:pt idx="19">
                  <c:v>1.8666666666666668E-2</c:v>
                </c:pt>
                <c:pt idx="20">
                  <c:v>0.02</c:v>
                </c:pt>
                <c:pt idx="21">
                  <c:v>0.02</c:v>
                </c:pt>
                <c:pt idx="22">
                  <c:v>0.02</c:v>
                </c:pt>
                <c:pt idx="23">
                  <c:v>0.02</c:v>
                </c:pt>
                <c:pt idx="24">
                  <c:v>0.02</c:v>
                </c:pt>
                <c:pt idx="25">
                  <c:v>0.02</c:v>
                </c:pt>
                <c:pt idx="26">
                  <c:v>0.02</c:v>
                </c:pt>
                <c:pt idx="27">
                  <c:v>0.02</c:v>
                </c:pt>
                <c:pt idx="28">
                  <c:v>0.02</c:v>
                </c:pt>
                <c:pt idx="29">
                  <c:v>0.02</c:v>
                </c:pt>
                <c:pt idx="30">
                  <c:v>0.02</c:v>
                </c:pt>
              </c:numCache>
            </c:numRef>
          </c:val>
          <c:extLst>
            <c:ext xmlns:c16="http://schemas.microsoft.com/office/drawing/2014/chart" uri="{C3380CC4-5D6E-409C-BE32-E72D297353CC}">
              <c16:uniqueId val="{00000008-7856-134D-961E-F6CFBCF353A0}"/>
            </c:ext>
          </c:extLst>
        </c:ser>
        <c:ser>
          <c:idx val="9"/>
          <c:order val="9"/>
          <c:tx>
            <c:strRef>
              <c:f>NICCS_scenario!$B$58</c:f>
              <c:strCache>
                <c:ptCount val="1"/>
                <c:pt idx="0">
                  <c:v>biogas</c:v>
                </c:pt>
              </c:strCache>
            </c:strRef>
          </c:tx>
          <c:spPr>
            <a:solidFill>
              <a:schemeClr val="accent4">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NICCS_scenario!$F$58:$AJ$58</c:f>
              <c:numCache>
                <c:formatCode>0%</c:formatCode>
                <c:ptCount val="31"/>
                <c:pt idx="0">
                  <c:v>0</c:v>
                </c:pt>
                <c:pt idx="1">
                  <c:v>0</c:v>
                </c:pt>
                <c:pt idx="2">
                  <c:v>0</c:v>
                </c:pt>
                <c:pt idx="3">
                  <c:v>0</c:v>
                </c:pt>
                <c:pt idx="4">
                  <c:v>0</c:v>
                </c:pt>
                <c:pt idx="5">
                  <c:v>0</c:v>
                </c:pt>
                <c:pt idx="6">
                  <c:v>2.2874950320773213E-3</c:v>
                </c:pt>
                <c:pt idx="7">
                  <c:v>4.5749900641546427E-3</c:v>
                </c:pt>
                <c:pt idx="8">
                  <c:v>6.862485096231964E-3</c:v>
                </c:pt>
                <c:pt idx="9">
                  <c:v>9.1499801283092853E-3</c:v>
                </c:pt>
                <c:pt idx="10">
                  <c:v>1.1437475160386606E-2</c:v>
                </c:pt>
                <c:pt idx="11">
                  <c:v>1.3724970192463926E-2</c:v>
                </c:pt>
                <c:pt idx="12">
                  <c:v>1.6012465224541247E-2</c:v>
                </c:pt>
                <c:pt idx="13">
                  <c:v>1.8299960256618567E-2</c:v>
                </c:pt>
                <c:pt idx="14">
                  <c:v>2.0587455288695888E-2</c:v>
                </c:pt>
                <c:pt idx="15">
                  <c:v>2.2874950320773208E-2</c:v>
                </c:pt>
                <c:pt idx="16">
                  <c:v>2.5162445352850529E-2</c:v>
                </c:pt>
                <c:pt idx="17">
                  <c:v>2.7449940384927849E-2</c:v>
                </c:pt>
                <c:pt idx="18">
                  <c:v>2.973743541700517E-2</c:v>
                </c:pt>
                <c:pt idx="19">
                  <c:v>3.2024930449082493E-2</c:v>
                </c:pt>
                <c:pt idx="20">
                  <c:v>3.4312425481159821E-2</c:v>
                </c:pt>
                <c:pt idx="21">
                  <c:v>3.4312425481159821E-2</c:v>
                </c:pt>
                <c:pt idx="22">
                  <c:v>3.4312425481159821E-2</c:v>
                </c:pt>
                <c:pt idx="23">
                  <c:v>3.4312425481159821E-2</c:v>
                </c:pt>
                <c:pt idx="24">
                  <c:v>3.4312425481159821E-2</c:v>
                </c:pt>
                <c:pt idx="25">
                  <c:v>3.4312425481159821E-2</c:v>
                </c:pt>
                <c:pt idx="26">
                  <c:v>3.4312425481159821E-2</c:v>
                </c:pt>
                <c:pt idx="27">
                  <c:v>3.4312425481159821E-2</c:v>
                </c:pt>
                <c:pt idx="28">
                  <c:v>3.4312425481159821E-2</c:v>
                </c:pt>
                <c:pt idx="29">
                  <c:v>3.4312425481159821E-2</c:v>
                </c:pt>
                <c:pt idx="30">
                  <c:v>3.4312425481159821E-2</c:v>
                </c:pt>
              </c:numCache>
            </c:numRef>
          </c:val>
          <c:extLst>
            <c:ext xmlns:c16="http://schemas.microsoft.com/office/drawing/2014/chart" uri="{C3380CC4-5D6E-409C-BE32-E72D297353CC}">
              <c16:uniqueId val="{00000009-7856-134D-961E-F6CFBCF353A0}"/>
            </c:ext>
          </c:extLst>
        </c:ser>
        <c:ser>
          <c:idx val="10"/>
          <c:order val="10"/>
          <c:tx>
            <c:strRef>
              <c:f>NICCS_scenario!$B$59</c:f>
              <c:strCache>
                <c:ptCount val="1"/>
                <c:pt idx="0">
                  <c:v>other</c:v>
                </c:pt>
              </c:strCache>
            </c:strRef>
          </c:tx>
          <c:spPr>
            <a:solidFill>
              <a:schemeClr val="accent5">
                <a:lumMod val="60000"/>
              </a:schemeClr>
            </a:solidFill>
            <a:ln w="25400">
              <a:noFill/>
            </a:ln>
            <a:effectLst/>
          </c:spPr>
          <c:cat>
            <c:numRef>
              <c:f>NICCS_scenario!$F$37:$AJ$37</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NICCS_scenario!$F$59:$AJ$59</c:f>
              <c:numCache>
                <c:formatCode>0%</c:formatCode>
                <c:ptCount val="31"/>
                <c:pt idx="0">
                  <c:v>7.7198031845227E-3</c:v>
                </c:pt>
                <c:pt idx="1">
                  <c:v>7.4791293210098586E-3</c:v>
                </c:pt>
                <c:pt idx="2">
                  <c:v>7.2384554574970172E-3</c:v>
                </c:pt>
                <c:pt idx="3">
                  <c:v>6.9977815939841759E-3</c:v>
                </c:pt>
                <c:pt idx="4">
                  <c:v>6.7571077304713345E-3</c:v>
                </c:pt>
                <c:pt idx="5">
                  <c:v>6.4972189716070525E-3</c:v>
                </c:pt>
                <c:pt idx="6">
                  <c:v>6.0640710401665826E-3</c:v>
                </c:pt>
                <c:pt idx="7">
                  <c:v>5.6309231087261127E-3</c:v>
                </c:pt>
                <c:pt idx="8">
                  <c:v>5.1977751772856427E-3</c:v>
                </c:pt>
                <c:pt idx="9">
                  <c:v>4.7646272458451728E-3</c:v>
                </c:pt>
                <c:pt idx="10">
                  <c:v>4.3314793144047029E-3</c:v>
                </c:pt>
                <c:pt idx="11">
                  <c:v>3.8983313829642329E-3</c:v>
                </c:pt>
                <c:pt idx="12">
                  <c:v>3.465183451523763E-3</c:v>
                </c:pt>
                <c:pt idx="13">
                  <c:v>3.032035520083293E-3</c:v>
                </c:pt>
                <c:pt idx="14">
                  <c:v>2.5988875886428231E-3</c:v>
                </c:pt>
                <c:pt idx="15">
                  <c:v>2.1657396572023532E-3</c:v>
                </c:pt>
                <c:pt idx="16">
                  <c:v>1.732591725761883E-3</c:v>
                </c:pt>
                <c:pt idx="17">
                  <c:v>1.2994437943214129E-3</c:v>
                </c:pt>
                <c:pt idx="18">
                  <c:v>8.662958628809427E-4</c:v>
                </c:pt>
                <c:pt idx="19">
                  <c:v>4.3314793144047254E-4</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7856-134D-961E-F6CFBCF353A0}"/>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9722222222222228"/>
          <c:y val="5.1504082822980461E-2"/>
          <c:w val="0.2"/>
          <c:h val="0.94849577740606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4908892744339162"/>
        </c:manualLayout>
      </c:layout>
      <c:areaChart>
        <c:grouping val="stacked"/>
        <c:varyColors val="0"/>
        <c:ser>
          <c:idx val="0"/>
          <c:order val="0"/>
          <c:tx>
            <c:strRef>
              <c:f>NICCS_scenario!$B$2</c:f>
              <c:strCache>
                <c:ptCount val="1"/>
                <c:pt idx="0">
                  <c:v>fuelwood</c:v>
                </c:pt>
              </c:strCache>
            </c:strRef>
          </c:tx>
          <c:spPr>
            <a:solidFill>
              <a:schemeClr val="accent1"/>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NICCS_scenario!$F$2:$AJ$2</c:f>
              <c:numCache>
                <c:formatCode>0.00</c:formatCode>
                <c:ptCount val="31"/>
                <c:pt idx="0">
                  <c:v>3.7834131726613331</c:v>
                </c:pt>
                <c:pt idx="1">
                  <c:v>3.8357729630827251</c:v>
                </c:pt>
                <c:pt idx="2">
                  <c:v>3.8853779140912073</c:v>
                </c:pt>
                <c:pt idx="3">
                  <c:v>3.9320664711062197</c:v>
                </c:pt>
                <c:pt idx="4">
                  <c:v>3.9757081901605842</c:v>
                </c:pt>
                <c:pt idx="5">
                  <c:v>3.9835432738148047</c:v>
                </c:pt>
                <c:pt idx="6">
                  <c:v>3.8304852393169595</c:v>
                </c:pt>
                <c:pt idx="7">
                  <c:v>3.6632090514936189</c:v>
                </c:pt>
                <c:pt idx="8">
                  <c:v>3.4810927613192586</c:v>
                </c:pt>
                <c:pt idx="9">
                  <c:v>3.2835350991030978</c:v>
                </c:pt>
                <c:pt idx="10">
                  <c:v>3.070039252555687</c:v>
                </c:pt>
                <c:pt idx="11">
                  <c:v>2.8402369227449635</c:v>
                </c:pt>
                <c:pt idx="12">
                  <c:v>2.5938411840452122</c:v>
                </c:pt>
                <c:pt idx="13">
                  <c:v>2.3305871726707412</c:v>
                </c:pt>
                <c:pt idx="14">
                  <c:v>2.0502543071954431</c:v>
                </c:pt>
                <c:pt idx="15">
                  <c:v>1.7529164225919465</c:v>
                </c:pt>
                <c:pt idx="16">
                  <c:v>1.4382461407974498</c:v>
                </c:pt>
                <c:pt idx="17">
                  <c:v>1.1059180338222068</c:v>
                </c:pt>
                <c:pt idx="18">
                  <c:v>0.75562889762212659</c:v>
                </c:pt>
                <c:pt idx="19">
                  <c:v>0.38708461615439499</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78F-104A-9135-0A875413616F}"/>
            </c:ext>
          </c:extLst>
        </c:ser>
        <c:ser>
          <c:idx val="1"/>
          <c:order val="1"/>
          <c:tx>
            <c:strRef>
              <c:f>NICCS_scenario!$B$3</c:f>
              <c:strCache>
                <c:ptCount val="1"/>
                <c:pt idx="0">
                  <c:v>charcoal</c:v>
                </c:pt>
              </c:strCache>
            </c:strRef>
          </c:tx>
          <c:spPr>
            <a:solidFill>
              <a:schemeClr val="accent2"/>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NICCS_scenario!$F$3:$AJ$3</c:f>
              <c:numCache>
                <c:formatCode>0.00</c:formatCode>
                <c:ptCount val="31"/>
                <c:pt idx="0">
                  <c:v>2.2929296694817261</c:v>
                </c:pt>
                <c:pt idx="1">
                  <c:v>2.4877994651493185</c:v>
                </c:pt>
                <c:pt idx="2">
                  <c:v>2.6938849161826788</c:v>
                </c:pt>
                <c:pt idx="3">
                  <c:v>2.9116091841554765</c:v>
                </c:pt>
                <c:pt idx="4">
                  <c:v>3.1413991186575663</c:v>
                </c:pt>
                <c:pt idx="5">
                  <c:v>3.3986545445357565</c:v>
                </c:pt>
                <c:pt idx="6">
                  <c:v>3.3161324398736158</c:v>
                </c:pt>
                <c:pt idx="7">
                  <c:v>3.2179505971564883</c:v>
                </c:pt>
                <c:pt idx="8">
                  <c:v>3.1029858098587333</c:v>
                </c:pt>
                <c:pt idx="9">
                  <c:v>2.970086341822276</c:v>
                </c:pt>
                <c:pt idx="10">
                  <c:v>2.818113949954606</c:v>
                </c:pt>
                <c:pt idx="11">
                  <c:v>2.6459484636963522</c:v>
                </c:pt>
                <c:pt idx="12">
                  <c:v>2.452474682726264</c:v>
                </c:pt>
                <c:pt idx="13">
                  <c:v>2.2365473580026283</c:v>
                </c:pt>
                <c:pt idx="14">
                  <c:v>1.996988638932611</c:v>
                </c:pt>
                <c:pt idx="15">
                  <c:v>1.7331313797385817</c:v>
                </c:pt>
                <c:pt idx="16">
                  <c:v>1.443566127007978</c:v>
                </c:pt>
                <c:pt idx="17">
                  <c:v>1.1269190022804563</c:v>
                </c:pt>
                <c:pt idx="18">
                  <c:v>0.78177249187171138</c:v>
                </c:pt>
                <c:pt idx="19">
                  <c:v>0.40664817442800738</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E78F-104A-9135-0A875413616F}"/>
            </c:ext>
          </c:extLst>
        </c:ser>
        <c:ser>
          <c:idx val="2"/>
          <c:order val="2"/>
          <c:tx>
            <c:strRef>
              <c:f>NICCS_scenario!$B$4</c:f>
              <c:strCache>
                <c:ptCount val="1"/>
                <c:pt idx="0">
                  <c:v>Imp_fuelwood</c:v>
                </c:pt>
              </c:strCache>
            </c:strRef>
          </c:tx>
          <c:spPr>
            <a:solidFill>
              <a:schemeClr val="accent3"/>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NICCS_scenario!$F$4:$AJ$4</c:f>
              <c:numCache>
                <c:formatCode>0.00</c:formatCode>
                <c:ptCount val="31"/>
                <c:pt idx="0">
                  <c:v>2.9080603982685211E-2</c:v>
                </c:pt>
                <c:pt idx="1">
                  <c:v>3.5395322491310346E-2</c:v>
                </c:pt>
                <c:pt idx="2">
                  <c:v>4.2291911249137865E-2</c:v>
                </c:pt>
                <c:pt idx="3">
                  <c:v>4.9806635397922655E-2</c:v>
                </c:pt>
                <c:pt idx="4">
                  <c:v>5.7976430438690094E-2</c:v>
                </c:pt>
                <c:pt idx="5">
                  <c:v>6.6398669584329814E-2</c:v>
                </c:pt>
                <c:pt idx="6">
                  <c:v>0.1151843509771892</c:v>
                </c:pt>
                <c:pt idx="7">
                  <c:v>0.16624620504038795</c:v>
                </c:pt>
                <c:pt idx="8">
                  <c:v>0.2195840771991252</c:v>
                </c:pt>
                <c:pt idx="9">
                  <c:v>0.27517872075609817</c:v>
                </c:pt>
                <c:pt idx="10">
                  <c:v>0.33299487123427396</c:v>
                </c:pt>
                <c:pt idx="11">
                  <c:v>0.39298886669300648</c:v>
                </c:pt>
                <c:pt idx="12">
                  <c:v>0.45511255144233953</c:v>
                </c:pt>
                <c:pt idx="13">
                  <c:v>0.51930953747709374</c:v>
                </c:pt>
                <c:pt idx="14">
                  <c:v>0.58552227609067331</c:v>
                </c:pt>
                <c:pt idx="15">
                  <c:v>0.65377424690901809</c:v>
                </c:pt>
                <c:pt idx="16">
                  <c:v>0.72402134286889053</c:v>
                </c:pt>
                <c:pt idx="17">
                  <c:v>0.79620443650857675</c:v>
                </c:pt>
                <c:pt idx="18">
                  <c:v>0.87026071983593933</c:v>
                </c:pt>
                <c:pt idx="19">
                  <c:v>0.94611938882871449</c:v>
                </c:pt>
                <c:pt idx="20">
                  <c:v>1.023702963007519</c:v>
                </c:pt>
                <c:pt idx="21">
                  <c:v>1.0427694587169813</c:v>
                </c:pt>
                <c:pt idx="22">
                  <c:v>1.0616883272727273</c:v>
                </c:pt>
                <c:pt idx="23">
                  <c:v>1.0804327324714831</c:v>
                </c:pt>
                <c:pt idx="24">
                  <c:v>1.0989738088549617</c:v>
                </c:pt>
                <c:pt idx="25">
                  <c:v>1.1172857501915709</c:v>
                </c:pt>
                <c:pt idx="26">
                  <c:v>1.1353433993846154</c:v>
                </c:pt>
                <c:pt idx="27">
                  <c:v>1.1531258736679537</c:v>
                </c:pt>
                <c:pt idx="28">
                  <c:v>1.1706155510077518</c:v>
                </c:pt>
                <c:pt idx="29">
                  <c:v>1.1877970751750973</c:v>
                </c:pt>
                <c:pt idx="30">
                  <c:v>1.2046530225000001</c:v>
                </c:pt>
              </c:numCache>
            </c:numRef>
          </c:val>
          <c:extLst>
            <c:ext xmlns:c16="http://schemas.microsoft.com/office/drawing/2014/chart" uri="{C3380CC4-5D6E-409C-BE32-E72D297353CC}">
              <c16:uniqueId val="{00000002-E78F-104A-9135-0A875413616F}"/>
            </c:ext>
          </c:extLst>
        </c:ser>
        <c:ser>
          <c:idx val="3"/>
          <c:order val="3"/>
          <c:tx>
            <c:strRef>
              <c:f>NICCS_scenario!$B$5</c:f>
              <c:strCache>
                <c:ptCount val="1"/>
                <c:pt idx="0">
                  <c:v>Imp_charcoal</c:v>
                </c:pt>
              </c:strCache>
            </c:strRef>
          </c:tx>
          <c:spPr>
            <a:solidFill>
              <a:schemeClr val="accent4"/>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NICCS_scenario!$F$5:$AJ$5</c:f>
              <c:numCache>
                <c:formatCode>0.00</c:formatCode>
                <c:ptCount val="31"/>
                <c:pt idx="0">
                  <c:v>9.6935346608943047E-3</c:v>
                </c:pt>
                <c:pt idx="1">
                  <c:v>1.1798440830436579E-2</c:v>
                </c:pt>
                <c:pt idx="2">
                  <c:v>1.4097303749711985E-2</c:v>
                </c:pt>
                <c:pt idx="3">
                  <c:v>1.6602211799307105E-2</c:v>
                </c:pt>
                <c:pt idx="4">
                  <c:v>1.9325476812896463E-2</c:v>
                </c:pt>
                <c:pt idx="5">
                  <c:v>2.2132889861443031E-2</c:v>
                </c:pt>
                <c:pt idx="6">
                  <c:v>0.1446471473298809</c:v>
                </c:pt>
                <c:pt idx="7">
                  <c:v>0.27477152464380344</c:v>
                </c:pt>
                <c:pt idx="8">
                  <c:v>0.41270966674456172</c:v>
                </c:pt>
                <c:pt idx="9">
                  <c:v>0.55863206124168663</c:v>
                </c:pt>
                <c:pt idx="10">
                  <c:v>0.71268127475925058</c:v>
                </c:pt>
                <c:pt idx="11">
                  <c:v>0.87498698730574953</c:v>
                </c:pt>
                <c:pt idx="12">
                  <c:v>1.0456737992561242</c:v>
                </c:pt>
                <c:pt idx="13">
                  <c:v>1.2248517211012371</c:v>
                </c:pt>
                <c:pt idx="14">
                  <c:v>1.4126236230106164</c:v>
                </c:pt>
                <c:pt idx="15">
                  <c:v>1.6093578492445908</c:v>
                </c:pt>
                <c:pt idx="16">
                  <c:v>1.8152346041377343</c:v>
                </c:pt>
                <c:pt idx="17">
                  <c:v>2.0304275266042429</c:v>
                </c:pt>
                <c:pt idx="18">
                  <c:v>2.2551188078605193</c:v>
                </c:pt>
                <c:pt idx="19">
                  <c:v>2.4894907862823201</c:v>
                </c:pt>
                <c:pt idx="20">
                  <c:v>2.7337269135505431</c:v>
                </c:pt>
                <c:pt idx="21">
                  <c:v>2.8041792318914567</c:v>
                </c:pt>
                <c:pt idx="22">
                  <c:v>2.8755983999999999</c:v>
                </c:pt>
                <c:pt idx="23">
                  <c:v>2.947973286449602</c:v>
                </c:pt>
                <c:pt idx="24">
                  <c:v>3.0212902824877208</c:v>
                </c:pt>
                <c:pt idx="25">
                  <c:v>3.0955423339012844</c:v>
                </c:pt>
                <c:pt idx="26">
                  <c:v>3.170724054827839</c:v>
                </c:pt>
                <c:pt idx="27">
                  <c:v>3.2468381180084043</c:v>
                </c:pt>
                <c:pt idx="28">
                  <c:v>3.3238950970542636</c:v>
                </c:pt>
                <c:pt idx="29">
                  <c:v>3.4019097851922311</c:v>
                </c:pt>
                <c:pt idx="30">
                  <c:v>3.4808946058333334</c:v>
                </c:pt>
              </c:numCache>
            </c:numRef>
          </c:val>
          <c:extLst>
            <c:ext xmlns:c16="http://schemas.microsoft.com/office/drawing/2014/chart" uri="{C3380CC4-5D6E-409C-BE32-E72D297353CC}">
              <c16:uniqueId val="{00000003-E78F-104A-9135-0A875413616F}"/>
            </c:ext>
          </c:extLst>
        </c:ser>
        <c:ser>
          <c:idx val="4"/>
          <c:order val="4"/>
          <c:tx>
            <c:strRef>
              <c:f>NICCS_scenario!$B$6</c:f>
              <c:strCache>
                <c:ptCount val="1"/>
                <c:pt idx="0">
                  <c:v>Gas</c:v>
                </c:pt>
              </c:strCache>
            </c:strRef>
          </c:tx>
          <c:spPr>
            <a:solidFill>
              <a:schemeClr val="accent5"/>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NICCS_scenario!$F$6:$AJ$6</c:f>
              <c:numCache>
                <c:formatCode>0.00</c:formatCode>
                <c:ptCount val="31"/>
                <c:pt idx="0">
                  <c:v>1.1199661424402516E-2</c:v>
                </c:pt>
                <c:pt idx="1">
                  <c:v>1.3045276255485622E-2</c:v>
                </c:pt>
                <c:pt idx="2">
                  <c:v>1.5053400709490558E-2</c:v>
                </c:pt>
                <c:pt idx="3">
                  <c:v>1.7233932924158667E-2</c:v>
                </c:pt>
                <c:pt idx="4">
                  <c:v>1.9596933370353117E-2</c:v>
                </c:pt>
                <c:pt idx="5">
                  <c:v>1.9816342213693487E-2</c:v>
                </c:pt>
                <c:pt idx="6">
                  <c:v>0.18113031011132313</c:v>
                </c:pt>
                <c:pt idx="7">
                  <c:v>0.35493365558285206</c:v>
                </c:pt>
                <c:pt idx="8">
                  <c:v>0.54177254105632977</c:v>
                </c:pt>
                <c:pt idx="9">
                  <c:v>0.74217164960650051</c:v>
                </c:pt>
                <c:pt idx="10">
                  <c:v>0.95663895939330135</c:v>
                </c:pt>
                <c:pt idx="11">
                  <c:v>1.1856784596936054</c:v>
                </c:pt>
                <c:pt idx="12">
                  <c:v>1.4297969495751652</c:v>
                </c:pt>
                <c:pt idx="13">
                  <c:v>1.6894888016196346</c:v>
                </c:pt>
                <c:pt idx="14">
                  <c:v>1.9652263546768456</c:v>
                </c:pt>
                <c:pt idx="15">
                  <c:v>2.2580011591521294</c:v>
                </c:pt>
                <c:pt idx="16">
                  <c:v>2.568448233990726</c:v>
                </c:pt>
                <c:pt idx="17">
                  <c:v>2.8972543459993938</c:v>
                </c:pt>
                <c:pt idx="18">
                  <c:v>3.2451451398636233</c:v>
                </c:pt>
                <c:pt idx="19">
                  <c:v>3.6128767140818803</c:v>
                </c:pt>
                <c:pt idx="20">
                  <c:v>4.0012319320969087</c:v>
                </c:pt>
                <c:pt idx="21">
                  <c:v>4.1379168309959713</c:v>
                </c:pt>
                <c:pt idx="22">
                  <c:v>4.2783554181818175</c:v>
                </c:pt>
                <c:pt idx="23">
                  <c:v>4.4226354062940132</c:v>
                </c:pt>
                <c:pt idx="24">
                  <c:v>4.5708459362707847</c:v>
                </c:pt>
                <c:pt idx="25">
                  <c:v>4.723082967951318</c:v>
                </c:pt>
                <c:pt idx="26">
                  <c:v>4.8794447911794876</c:v>
                </c:pt>
                <c:pt idx="27">
                  <c:v>5.0400357251759162</c:v>
                </c:pt>
                <c:pt idx="28">
                  <c:v>5.2049702672868214</c:v>
                </c:pt>
                <c:pt idx="29">
                  <c:v>5.3743659448617311</c:v>
                </c:pt>
                <c:pt idx="30">
                  <c:v>5.5483422308333337</c:v>
                </c:pt>
              </c:numCache>
            </c:numRef>
          </c:val>
          <c:extLst>
            <c:ext xmlns:c16="http://schemas.microsoft.com/office/drawing/2014/chart" uri="{C3380CC4-5D6E-409C-BE32-E72D297353CC}">
              <c16:uniqueId val="{00000004-E78F-104A-9135-0A875413616F}"/>
            </c:ext>
          </c:extLst>
        </c:ser>
        <c:ser>
          <c:idx val="5"/>
          <c:order val="5"/>
          <c:tx>
            <c:strRef>
              <c:f>NICCS_scenario!$B$7</c:f>
              <c:strCache>
                <c:ptCount val="1"/>
                <c:pt idx="0">
                  <c:v>kerosene</c:v>
                </c:pt>
              </c:strCache>
            </c:strRef>
          </c:tx>
          <c:spPr>
            <a:solidFill>
              <a:schemeClr val="accent6"/>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NICCS_scenario!$F$7:$AJ$7</c:f>
              <c:numCache>
                <c:formatCode>0.00</c:formatCode>
                <c:ptCount val="31"/>
                <c:pt idx="0">
                  <c:v>8.2475377777780539E-4</c:v>
                </c:pt>
                <c:pt idx="1">
                  <c:v>6.3226094402344985E-4</c:v>
                </c:pt>
                <c:pt idx="2">
                  <c:v>4.1637606011816098E-4</c:v>
                </c:pt>
                <c:pt idx="3">
                  <c:v>1.7541959637013671E-4</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E78F-104A-9135-0A875413616F}"/>
            </c:ext>
          </c:extLst>
        </c:ser>
        <c:ser>
          <c:idx val="6"/>
          <c:order val="6"/>
          <c:tx>
            <c:strRef>
              <c:f>NICCS_scenario!$B$8</c:f>
              <c:strCache>
                <c:ptCount val="1"/>
                <c:pt idx="0">
                  <c:v>electric</c:v>
                </c:pt>
              </c:strCache>
            </c:strRef>
          </c:tx>
          <c:spPr>
            <a:solidFill>
              <a:schemeClr val="accent1">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NICCS_scenario!$F$8:$AJ$8</c:f>
              <c:numCache>
                <c:formatCode>0.00</c:formatCode>
                <c:ptCount val="31"/>
                <c:pt idx="0">
                  <c:v>0.21038723342389162</c:v>
                </c:pt>
                <c:pt idx="1">
                  <c:v>0.21024394464764948</c:v>
                </c:pt>
                <c:pt idx="2">
                  <c:v>0.20944250194174102</c:v>
                </c:pt>
                <c:pt idx="3">
                  <c:v>0.20791844387894642</c:v>
                </c:pt>
                <c:pt idx="4">
                  <c:v>0.20560374861577735</c:v>
                </c:pt>
                <c:pt idx="5">
                  <c:v>0.20784425085136823</c:v>
                </c:pt>
                <c:pt idx="6">
                  <c:v>0.29792898426014142</c:v>
                </c:pt>
                <c:pt idx="7">
                  <c:v>0.39425962762850081</c:v>
                </c:pt>
                <c:pt idx="8">
                  <c:v>0.49707193990695886</c:v>
                </c:pt>
                <c:pt idx="9">
                  <c:v>0.60658618914418805</c:v>
                </c:pt>
                <c:pt idx="10">
                  <c:v>0.72301178397394683</c:v>
                </c:pt>
                <c:pt idx="11">
                  <c:v>0.84655473176873342</c:v>
                </c:pt>
                <c:pt idx="12">
                  <c:v>0.9774214603715734</c:v>
                </c:pt>
                <c:pt idx="13">
                  <c:v>1.1158083027950574</c:v>
                </c:pt>
                <c:pt idx="14">
                  <c:v>1.2618956592051618</c:v>
                </c:pt>
                <c:pt idx="15">
                  <c:v>1.4161978483520468</c:v>
                </c:pt>
                <c:pt idx="16">
                  <c:v>1.5789725692279823</c:v>
                </c:pt>
                <c:pt idx="17">
                  <c:v>1.7505093133682057</c:v>
                </c:pt>
                <c:pt idx="18">
                  <c:v>1.9311158898754415</c:v>
                </c:pt>
                <c:pt idx="19">
                  <c:v>2.1211123551641133</c:v>
                </c:pt>
                <c:pt idx="20">
                  <c:v>2.3208284305430245</c:v>
                </c:pt>
                <c:pt idx="21">
                  <c:v>2.3995749776688573</c:v>
                </c:pt>
                <c:pt idx="22">
                  <c:v>2.4804615272727273</c:v>
                </c:pt>
                <c:pt idx="23">
                  <c:v>2.5635372988057048</c:v>
                </c:pt>
                <c:pt idx="24">
                  <c:v>2.6488522596792707</c:v>
                </c:pt>
                <c:pt idx="25">
                  <c:v>2.7364603766508901</c:v>
                </c:pt>
                <c:pt idx="26">
                  <c:v>2.8264169697289381</c:v>
                </c:pt>
                <c:pt idx="27">
                  <c:v>2.9187809479549092</c:v>
                </c:pt>
                <c:pt idx="28">
                  <c:v>3.0136171460465118</c:v>
                </c:pt>
                <c:pt idx="29">
                  <c:v>3.1109922063134299</c:v>
                </c:pt>
                <c:pt idx="30">
                  <c:v>3.2109738133333336</c:v>
                </c:pt>
              </c:numCache>
            </c:numRef>
          </c:val>
          <c:extLst>
            <c:ext xmlns:c16="http://schemas.microsoft.com/office/drawing/2014/chart" uri="{C3380CC4-5D6E-409C-BE32-E72D297353CC}">
              <c16:uniqueId val="{00000006-E78F-104A-9135-0A875413616F}"/>
            </c:ext>
          </c:extLst>
        </c:ser>
        <c:ser>
          <c:idx val="7"/>
          <c:order val="7"/>
          <c:tx>
            <c:strRef>
              <c:f>NICCS_scenario!$B$9</c:f>
              <c:strCache>
                <c:ptCount val="1"/>
                <c:pt idx="0">
                  <c:v>pellets</c:v>
                </c:pt>
              </c:strCache>
            </c:strRef>
          </c:tx>
          <c:spPr>
            <a:solidFill>
              <a:schemeClr val="accent2">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NICCS_scenario!$F$9:$AJ$9</c:f>
              <c:numCache>
                <c:formatCode>0.00</c:formatCode>
                <c:ptCount val="31"/>
                <c:pt idx="0">
                  <c:v>0</c:v>
                </c:pt>
                <c:pt idx="1">
                  <c:v>0</c:v>
                </c:pt>
                <c:pt idx="2">
                  <c:v>0</c:v>
                </c:pt>
                <c:pt idx="3">
                  <c:v>0</c:v>
                </c:pt>
                <c:pt idx="4">
                  <c:v>0</c:v>
                </c:pt>
                <c:pt idx="5">
                  <c:v>0</c:v>
                </c:pt>
                <c:pt idx="6">
                  <c:v>0.12658162218850391</c:v>
                </c:pt>
                <c:pt idx="7">
                  <c:v>0.26411674793410955</c:v>
                </c:pt>
                <c:pt idx="8">
                  <c:v>0.41316306142417902</c:v>
                </c:pt>
                <c:pt idx="9">
                  <c:v>0.57427157705085596</c:v>
                </c:pt>
                <c:pt idx="10">
                  <c:v>0.74798931490206888</c:v>
                </c:pt>
                <c:pt idx="11">
                  <c:v>0.93486606855981103</c:v>
                </c:pt>
                <c:pt idx="12">
                  <c:v>1.1354581735055349</c:v>
                </c:pt>
                <c:pt idx="13">
                  <c:v>1.3503154468019118</c:v>
                </c:pt>
                <c:pt idx="14">
                  <c:v>1.579964930985631</c:v>
                </c:pt>
                <c:pt idx="15">
                  <c:v>1.8254149611829706</c:v>
                </c:pt>
                <c:pt idx="16">
                  <c:v>2.0873483997254865</c:v>
                </c:pt>
                <c:pt idx="17">
                  <c:v>2.3665157441728928</c:v>
                </c:pt>
                <c:pt idx="18">
                  <c:v>2.6637106237945347</c:v>
                </c:pt>
                <c:pt idx="19">
                  <c:v>2.9797644578315596</c:v>
                </c:pt>
                <c:pt idx="20">
                  <c:v>3.3155413565918437</c:v>
                </c:pt>
                <c:pt idx="21">
                  <c:v>3.4424308000534469</c:v>
                </c:pt>
                <c:pt idx="22">
                  <c:v>3.5733801156744702</c:v>
                </c:pt>
                <c:pt idx="23">
                  <c:v>3.7085042109004416</c:v>
                </c:pt>
                <c:pt idx="24">
                  <c:v>3.8479212287327966</c:v>
                </c:pt>
                <c:pt idx="25">
                  <c:v>3.9917538359994853</c:v>
                </c:pt>
                <c:pt idx="26">
                  <c:v>4.1401265848155155</c:v>
                </c:pt>
                <c:pt idx="27">
                  <c:v>4.2931666825714663</c:v>
                </c:pt>
                <c:pt idx="28">
                  <c:v>4.451009207835674</c:v>
                </c:pt>
                <c:pt idx="29">
                  <c:v>4.6137904726297663</c:v>
                </c:pt>
                <c:pt idx="30">
                  <c:v>4.781650599299045</c:v>
                </c:pt>
              </c:numCache>
            </c:numRef>
          </c:val>
          <c:extLst>
            <c:ext xmlns:c16="http://schemas.microsoft.com/office/drawing/2014/chart" uri="{C3380CC4-5D6E-409C-BE32-E72D297353CC}">
              <c16:uniqueId val="{00000007-E78F-104A-9135-0A875413616F}"/>
            </c:ext>
          </c:extLst>
        </c:ser>
        <c:ser>
          <c:idx val="8"/>
          <c:order val="8"/>
          <c:tx>
            <c:strRef>
              <c:f>NICCS_scenario!$B$10</c:f>
              <c:strCache>
                <c:ptCount val="1"/>
                <c:pt idx="0">
                  <c:v>ethanol</c:v>
                </c:pt>
              </c:strCache>
            </c:strRef>
          </c:tx>
          <c:spPr>
            <a:solidFill>
              <a:schemeClr val="accent3">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NICCS_scenario!$F$10:$AJ$10</c:f>
              <c:numCache>
                <c:formatCode>0.00</c:formatCode>
                <c:ptCount val="31"/>
                <c:pt idx="0">
                  <c:v>0</c:v>
                </c:pt>
                <c:pt idx="1">
                  <c:v>0</c:v>
                </c:pt>
                <c:pt idx="2">
                  <c:v>0</c:v>
                </c:pt>
                <c:pt idx="3">
                  <c:v>0</c:v>
                </c:pt>
                <c:pt idx="4">
                  <c:v>0</c:v>
                </c:pt>
                <c:pt idx="5">
                  <c:v>0</c:v>
                </c:pt>
                <c:pt idx="6">
                  <c:v>4.1143038792673975E-2</c:v>
                </c:pt>
                <c:pt idx="7">
                  <c:v>8.6210966831425193E-2</c:v>
                </c:pt>
                <c:pt idx="8">
                  <c:v>0.13542620344082376</c:v>
                </c:pt>
                <c:pt idx="9">
                  <c:v>0.18901229875550146</c:v>
                </c:pt>
                <c:pt idx="10">
                  <c:v>0.24719449739130425</c:v>
                </c:pt>
                <c:pt idx="11">
                  <c:v>0.3102008777696969</c:v>
                </c:pt>
                <c:pt idx="12">
                  <c:v>0.37826305673965932</c:v>
                </c:pt>
                <c:pt idx="13">
                  <c:v>0.45161152453235637</c:v>
                </c:pt>
                <c:pt idx="14">
                  <c:v>0.53046744470588225</c:v>
                </c:pt>
                <c:pt idx="15">
                  <c:v>0.61523417919854972</c:v>
                </c:pt>
                <c:pt idx="16">
                  <c:v>0.70619255581486717</c:v>
                </c:pt>
                <c:pt idx="17">
                  <c:v>0.80365446457049183</c:v>
                </c:pt>
                <c:pt idx="18">
                  <c:v>0.90794992747912584</c:v>
                </c:pt>
                <c:pt idx="19">
                  <c:v>1.0194257487371554</c:v>
                </c:pt>
                <c:pt idx="20">
                  <c:v>1.1384431093734335</c:v>
                </c:pt>
                <c:pt idx="21">
                  <c:v>1.1862874340063598</c:v>
                </c:pt>
                <c:pt idx="22">
                  <c:v>1.2358236</c:v>
                </c:pt>
                <c:pt idx="23">
                  <c:v>1.2871043079445825</c:v>
                </c:pt>
                <c:pt idx="24">
                  <c:v>1.340184013080064</c:v>
                </c:pt>
                <c:pt idx="25">
                  <c:v>1.3951183706107728</c:v>
                </c:pt>
                <c:pt idx="26">
                  <c:v>1.4519636688351649</c:v>
                </c:pt>
                <c:pt idx="27">
                  <c:v>1.5107763735144442</c:v>
                </c:pt>
                <c:pt idx="28">
                  <c:v>1.5716154765891472</c:v>
                </c:pt>
                <c:pt idx="29">
                  <c:v>1.6345399928673681</c:v>
                </c:pt>
                <c:pt idx="30">
                  <c:v>1.6996109349999999</c:v>
                </c:pt>
              </c:numCache>
            </c:numRef>
          </c:val>
          <c:extLst>
            <c:ext xmlns:c16="http://schemas.microsoft.com/office/drawing/2014/chart" uri="{C3380CC4-5D6E-409C-BE32-E72D297353CC}">
              <c16:uniqueId val="{00000008-E78F-104A-9135-0A875413616F}"/>
            </c:ext>
          </c:extLst>
        </c:ser>
        <c:ser>
          <c:idx val="9"/>
          <c:order val="9"/>
          <c:tx>
            <c:strRef>
              <c:f>NICCS_scenario!$B$11</c:f>
              <c:strCache>
                <c:ptCount val="1"/>
                <c:pt idx="0">
                  <c:v>biogas</c:v>
                </c:pt>
              </c:strCache>
            </c:strRef>
          </c:tx>
          <c:spPr>
            <a:solidFill>
              <a:schemeClr val="accent4">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NICCS_scenario!$F$11:$AJ$11</c:f>
              <c:numCache>
                <c:formatCode>0.00</c:formatCode>
                <c:ptCount val="31"/>
                <c:pt idx="0">
                  <c:v>0</c:v>
                </c:pt>
                <c:pt idx="1">
                  <c:v>0</c:v>
                </c:pt>
                <c:pt idx="2">
                  <c:v>0</c:v>
                </c:pt>
                <c:pt idx="3">
                  <c:v>0</c:v>
                </c:pt>
                <c:pt idx="4">
                  <c:v>0</c:v>
                </c:pt>
                <c:pt idx="5">
                  <c:v>0</c:v>
                </c:pt>
                <c:pt idx="6">
                  <c:v>1.0092204299154006E-2</c:v>
                </c:pt>
                <c:pt idx="7">
                  <c:v>2.0711450572094305E-2</c:v>
                </c:pt>
                <c:pt idx="8">
                  <c:v>3.1863122990419823E-2</c:v>
                </c:pt>
                <c:pt idx="9">
                  <c:v>4.3548941563048796E-2</c:v>
                </c:pt>
                <c:pt idx="10">
                  <c:v>5.5767465972613076E-2</c:v>
                </c:pt>
                <c:pt idx="11">
                  <c:v>6.8515642123132936E-2</c:v>
                </c:pt>
                <c:pt idx="12">
                  <c:v>8.1789596590442909E-2</c:v>
                </c:pt>
                <c:pt idx="13">
                  <c:v>9.558399418897226E-2</c:v>
                </c:pt>
                <c:pt idx="14">
                  <c:v>0.1098935111596378</c:v>
                </c:pt>
                <c:pt idx="15">
                  <c:v>0.12472673254605522</c:v>
                </c:pt>
                <c:pt idx="16">
                  <c:v>0.14008219471532671</c:v>
                </c:pt>
                <c:pt idx="17">
                  <c:v>0.15595520562764659</c:v>
                </c:pt>
                <c:pt idx="18">
                  <c:v>0.17234060662258069</c:v>
                </c:pt>
                <c:pt idx="19">
                  <c:v>0.18923197959266785</c:v>
                </c:pt>
                <c:pt idx="20">
                  <c:v>0.20662195078257645</c:v>
                </c:pt>
                <c:pt idx="21">
                  <c:v>0.21047029027209282</c:v>
                </c:pt>
                <c:pt idx="22">
                  <c:v>0.21428883302213336</c:v>
                </c:pt>
                <c:pt idx="23">
                  <c:v>0.21807216247255085</c:v>
                </c:pt>
                <c:pt idx="24">
                  <c:v>0.22181445248283677</c:v>
                </c:pt>
                <c:pt idx="25">
                  <c:v>0.22551049438005896</c:v>
                </c:pt>
                <c:pt idx="26">
                  <c:v>0.22915521051124288</c:v>
                </c:pt>
                <c:pt idx="27">
                  <c:v>0.23274438594487631</c:v>
                </c:pt>
                <c:pt idx="28">
                  <c:v>0.23627446388847251</c:v>
                </c:pt>
                <c:pt idx="29">
                  <c:v>0.23974234487461832</c:v>
                </c:pt>
                <c:pt idx="30">
                  <c:v>0.24314451214814817</c:v>
                </c:pt>
              </c:numCache>
            </c:numRef>
          </c:val>
          <c:extLst>
            <c:ext xmlns:c16="http://schemas.microsoft.com/office/drawing/2014/chart" uri="{C3380CC4-5D6E-409C-BE32-E72D297353CC}">
              <c16:uniqueId val="{00000009-E78F-104A-9135-0A875413616F}"/>
            </c:ext>
          </c:extLst>
        </c:ser>
        <c:ser>
          <c:idx val="10"/>
          <c:order val="10"/>
          <c:tx>
            <c:strRef>
              <c:f>NICCS_scenario!$B$12</c:f>
              <c:strCache>
                <c:ptCount val="1"/>
                <c:pt idx="0">
                  <c:v>other</c:v>
                </c:pt>
              </c:strCache>
            </c:strRef>
          </c:tx>
          <c:spPr>
            <a:solidFill>
              <a:schemeClr val="accent5">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NICCS_scenario!$F$12:$AJ$12</c:f>
              <c:numCache>
                <c:formatCode>0.00</c:formatCode>
                <c:ptCount val="31"/>
                <c:pt idx="0">
                  <c:v>3.1053525876202141E-2</c:v>
                </c:pt>
                <c:pt idx="1">
                  <c:v>3.046268014638449E-2</c:v>
                </c:pt>
                <c:pt idx="2">
                  <c:v>2.9769669181311246E-2</c:v>
                </c:pt>
                <c:pt idx="3">
                  <c:v>2.8969585180030479E-2</c:v>
                </c:pt>
                <c:pt idx="4">
                  <c:v>2.8279007666991058E-2</c:v>
                </c:pt>
                <c:pt idx="5">
                  <c:v>2.7923854056341006E-2</c:v>
                </c:pt>
                <c:pt idx="6">
                  <c:v>2.6754088189808067E-2</c:v>
                </c:pt>
                <c:pt idx="7">
                  <c:v>2.5491768070799982E-2</c:v>
                </c:pt>
                <c:pt idx="8">
                  <c:v>2.4133728150657899E-2</c:v>
                </c:pt>
                <c:pt idx="9">
                  <c:v>2.2677040888542561E-2</c:v>
                </c:pt>
                <c:pt idx="10">
                  <c:v>2.1119663377610055E-2</c:v>
                </c:pt>
                <c:pt idx="11">
                  <c:v>1.9460638104643178E-2</c:v>
                </c:pt>
                <c:pt idx="12">
                  <c:v>1.7699707861200179E-2</c:v>
                </c:pt>
                <c:pt idx="13">
                  <c:v>1.5836868576126092E-2</c:v>
                </c:pt>
                <c:pt idx="14">
                  <c:v>1.3872568426753613E-2</c:v>
                </c:pt>
                <c:pt idx="15">
                  <c:v>1.1808796399568861E-2</c:v>
                </c:pt>
                <c:pt idx="16">
                  <c:v>9.6455351650806542E-3</c:v>
                </c:pt>
                <c:pt idx="17">
                  <c:v>7.3827127237128202E-3</c:v>
                </c:pt>
                <c:pt idx="18">
                  <c:v>5.0205390084902381E-3</c:v>
                </c:pt>
                <c:pt idx="19">
                  <c:v>2.5594260275840219E-3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E78F-104A-9135-0A875413616F}"/>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8611111111111109"/>
          <c:y val="5.1504082822980461E-2"/>
          <c:w val="0.21111111111111111"/>
          <c:h val="0.9484959295342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150481189851271E-2"/>
          <c:y val="5.0925925925925923E-2"/>
          <c:w val="0.68484951881014877"/>
          <c:h val="0.74908892744339162"/>
        </c:manualLayout>
      </c:layout>
      <c:areaChart>
        <c:grouping val="stacked"/>
        <c:varyColors val="0"/>
        <c:ser>
          <c:idx val="0"/>
          <c:order val="0"/>
          <c:tx>
            <c:strRef>
              <c:f>NICCS_scenario!$B$13</c:f>
              <c:strCache>
                <c:ptCount val="1"/>
                <c:pt idx="0">
                  <c:v>fuelwood</c:v>
                </c:pt>
              </c:strCache>
            </c:strRef>
          </c:tx>
          <c:spPr>
            <a:solidFill>
              <a:schemeClr val="accent1"/>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NICCS_scenario!$F$13:$AJ$13</c:f>
              <c:numCache>
                <c:formatCode>0.00</c:formatCode>
                <c:ptCount val="31"/>
                <c:pt idx="0">
                  <c:v>3.2161972570119772</c:v>
                </c:pt>
                <c:pt idx="1">
                  <c:v>3.2634318835439697</c:v>
                </c:pt>
                <c:pt idx="2">
                  <c:v>3.3092357965942818</c:v>
                </c:pt>
                <c:pt idx="3">
                  <c:v>3.3536003701557577</c:v>
                </c:pt>
                <c:pt idx="4">
                  <c:v>3.3965576311488563</c:v>
                </c:pt>
                <c:pt idx="5">
                  <c:v>3.3975399239417565</c:v>
                </c:pt>
                <c:pt idx="6">
                  <c:v>3.2552126425718164</c:v>
                </c:pt>
                <c:pt idx="7">
                  <c:v>3.1016241374725007</c:v>
                </c:pt>
                <c:pt idx="8">
                  <c:v>2.9363892512823671</c:v>
                </c:pt>
                <c:pt idx="9">
                  <c:v>2.7591517854315377</c:v>
                </c:pt>
                <c:pt idx="10">
                  <c:v>2.569663176181316</c:v>
                </c:pt>
                <c:pt idx="11">
                  <c:v>2.3678069213691915</c:v>
                </c:pt>
                <c:pt idx="12">
                  <c:v>2.1535517260332355</c:v>
                </c:pt>
                <c:pt idx="13">
                  <c:v>1.9268970948295205</c:v>
                </c:pt>
                <c:pt idx="14">
                  <c:v>1.6878975582099593</c:v>
                </c:pt>
                <c:pt idx="15">
                  <c:v>1.4367951193371933</c:v>
                </c:pt>
                <c:pt idx="16">
                  <c:v>1.173587669704351</c:v>
                </c:pt>
                <c:pt idx="17">
                  <c:v>0.89826644900799957</c:v>
                </c:pt>
                <c:pt idx="18">
                  <c:v>0.6108570001345881</c:v>
                </c:pt>
                <c:pt idx="19">
                  <c:v>0.31140945277636872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C9C-D54A-BE01-A493BEB67A78}"/>
            </c:ext>
          </c:extLst>
        </c:ser>
        <c:ser>
          <c:idx val="1"/>
          <c:order val="1"/>
          <c:tx>
            <c:strRef>
              <c:f>NICCS_scenario!$B$14</c:f>
              <c:strCache>
                <c:ptCount val="1"/>
                <c:pt idx="0">
                  <c:v>charcoal</c:v>
                </c:pt>
              </c:strCache>
            </c:strRef>
          </c:tx>
          <c:spPr>
            <a:solidFill>
              <a:schemeClr val="accent2"/>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NICCS_scenario!$F$14:$AJ$14</c:f>
              <c:numCache>
                <c:formatCode>0.00</c:formatCode>
                <c:ptCount val="31"/>
                <c:pt idx="0">
                  <c:v>0.48799432286332645</c:v>
                </c:pt>
                <c:pt idx="1">
                  <c:v>0.54914420727532054</c:v>
                </c:pt>
                <c:pt idx="2">
                  <c:v>0.6131176158509668</c:v>
                </c:pt>
                <c:pt idx="3">
                  <c:v>0.67996867082602908</c:v>
                </c:pt>
                <c:pt idx="4">
                  <c:v>0.7497630504609738</c:v>
                </c:pt>
                <c:pt idx="5">
                  <c:v>0.86035509828189161</c:v>
                </c:pt>
                <c:pt idx="6">
                  <c:v>0.82431372573220196</c:v>
                </c:pt>
                <c:pt idx="7">
                  <c:v>0.78542068654566499</c:v>
                </c:pt>
                <c:pt idx="8">
                  <c:v>0.74357844776991633</c:v>
                </c:pt>
                <c:pt idx="9">
                  <c:v>0.69869680965382586</c:v>
                </c:pt>
                <c:pt idx="10">
                  <c:v>0.6507128286898487</c:v>
                </c:pt>
                <c:pt idx="11">
                  <c:v>0.59959700317036124</c:v>
                </c:pt>
                <c:pt idx="12">
                  <c:v>0.54534140830841471</c:v>
                </c:pt>
                <c:pt idx="13">
                  <c:v>0.48794591866864062</c:v>
                </c:pt>
                <c:pt idx="14">
                  <c:v>0.42742434293419335</c:v>
                </c:pt>
                <c:pt idx="15">
                  <c:v>0.36383796328554469</c:v>
                </c:pt>
                <c:pt idx="16">
                  <c:v>0.29718624578794273</c:v>
                </c:pt>
                <c:pt idx="17">
                  <c:v>0.22746697207989947</c:v>
                </c:pt>
                <c:pt idx="18">
                  <c:v>0.15468661035695441</c:v>
                </c:pt>
                <c:pt idx="19">
                  <c:v>7.885785490299238E-2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FC9C-D54A-BE01-A493BEB67A78}"/>
            </c:ext>
          </c:extLst>
        </c:ser>
        <c:ser>
          <c:idx val="2"/>
          <c:order val="2"/>
          <c:tx>
            <c:strRef>
              <c:f>NICCS_scenario!$B$15</c:f>
              <c:strCache>
                <c:ptCount val="1"/>
                <c:pt idx="0">
                  <c:v>Imp_fuelwood</c:v>
                </c:pt>
              </c:strCache>
            </c:strRef>
          </c:tx>
          <c:spPr>
            <a:solidFill>
              <a:schemeClr val="accent3"/>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NICCS_scenario!$F$15:$AJ$15</c:f>
              <c:numCache>
                <c:formatCode>0.00</c:formatCode>
                <c:ptCount val="31"/>
                <c:pt idx="0">
                  <c:v>0</c:v>
                </c:pt>
                <c:pt idx="1">
                  <c:v>0</c:v>
                </c:pt>
                <c:pt idx="2">
                  <c:v>0</c:v>
                </c:pt>
                <c:pt idx="3">
                  <c:v>0</c:v>
                </c:pt>
                <c:pt idx="4">
                  <c:v>0</c:v>
                </c:pt>
                <c:pt idx="5">
                  <c:v>0</c:v>
                </c:pt>
                <c:pt idx="6">
                  <c:v>5.0001557942857155E-2</c:v>
                </c:pt>
                <c:pt idx="7">
                  <c:v>0.10261433133572281</c:v>
                </c:pt>
                <c:pt idx="8">
                  <c:v>0.15786499591366909</c:v>
                </c:pt>
                <c:pt idx="9">
                  <c:v>0.21576207341516246</c:v>
                </c:pt>
                <c:pt idx="10">
                  <c:v>0.27629842782608699</c:v>
                </c:pt>
                <c:pt idx="11">
                  <c:v>0.33945892770909097</c:v>
                </c:pt>
                <c:pt idx="12">
                  <c:v>0.40522438228710467</c:v>
                </c:pt>
                <c:pt idx="13">
                  <c:v>0.4735683585250306</c:v>
                </c:pt>
                <c:pt idx="14">
                  <c:v>0.54446448000000003</c:v>
                </c:pt>
                <c:pt idx="15">
                  <c:v>0.61795528108241082</c:v>
                </c:pt>
                <c:pt idx="16">
                  <c:v>0.69403351024197535</c:v>
                </c:pt>
                <c:pt idx="17">
                  <c:v>0.77267592089219339</c:v>
                </c:pt>
                <c:pt idx="18">
                  <c:v>0.85385695458706479</c:v>
                </c:pt>
                <c:pt idx="19">
                  <c:v>0.93754481298377035</c:v>
                </c:pt>
                <c:pt idx="20">
                  <c:v>1.023702963007519</c:v>
                </c:pt>
                <c:pt idx="21">
                  <c:v>1.0427694587169813</c:v>
                </c:pt>
                <c:pt idx="22">
                  <c:v>1.0616883272727273</c:v>
                </c:pt>
                <c:pt idx="23">
                  <c:v>1.0804327324714831</c:v>
                </c:pt>
                <c:pt idx="24">
                  <c:v>1.0989738088549617</c:v>
                </c:pt>
                <c:pt idx="25">
                  <c:v>1.1172857501915709</c:v>
                </c:pt>
                <c:pt idx="26">
                  <c:v>1.1353433993846154</c:v>
                </c:pt>
                <c:pt idx="27">
                  <c:v>1.1531258736679537</c:v>
                </c:pt>
                <c:pt idx="28">
                  <c:v>1.1706155510077518</c:v>
                </c:pt>
                <c:pt idx="29">
                  <c:v>1.1877970751750973</c:v>
                </c:pt>
                <c:pt idx="30">
                  <c:v>1.2046530225000001</c:v>
                </c:pt>
              </c:numCache>
            </c:numRef>
          </c:val>
          <c:extLst>
            <c:ext xmlns:c16="http://schemas.microsoft.com/office/drawing/2014/chart" uri="{C3380CC4-5D6E-409C-BE32-E72D297353CC}">
              <c16:uniqueId val="{00000002-FC9C-D54A-BE01-A493BEB67A78}"/>
            </c:ext>
          </c:extLst>
        </c:ser>
        <c:ser>
          <c:idx val="3"/>
          <c:order val="3"/>
          <c:tx>
            <c:strRef>
              <c:f>NICCS_scenario!$B$16</c:f>
              <c:strCache>
                <c:ptCount val="1"/>
                <c:pt idx="0">
                  <c:v>Imp_charcoal</c:v>
                </c:pt>
              </c:strCache>
            </c:strRef>
          </c:tx>
          <c:spPr>
            <a:solidFill>
              <a:schemeClr val="accent4"/>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NICCS_scenario!$F$16:$AJ$16</c:f>
              <c:numCache>
                <c:formatCode>0.00</c:formatCode>
                <c:ptCount val="31"/>
                <c:pt idx="0">
                  <c:v>0</c:v>
                </c:pt>
                <c:pt idx="1">
                  <c:v>0</c:v>
                </c:pt>
                <c:pt idx="2">
                  <c:v>0</c:v>
                </c:pt>
                <c:pt idx="3">
                  <c:v>0</c:v>
                </c:pt>
                <c:pt idx="4">
                  <c:v>0</c:v>
                </c:pt>
                <c:pt idx="5">
                  <c:v>0</c:v>
                </c:pt>
                <c:pt idx="6">
                  <c:v>9.7061847771428594E-2</c:v>
                </c:pt>
                <c:pt idx="7">
                  <c:v>0.19919252553405017</c:v>
                </c:pt>
                <c:pt idx="8">
                  <c:v>0.30644381559712236</c:v>
                </c:pt>
                <c:pt idx="9">
                  <c:v>0.41883226015884478</c:v>
                </c:pt>
                <c:pt idx="10">
                  <c:v>0.53634400695652185</c:v>
                </c:pt>
                <c:pt idx="11">
                  <c:v>0.65894968320000014</c:v>
                </c:pt>
                <c:pt idx="12">
                  <c:v>0.78661203620437958</c:v>
                </c:pt>
                <c:pt idx="13">
                  <c:v>0.9192797547838828</c:v>
                </c:pt>
                <c:pt idx="14">
                  <c:v>1.0569016376470588</c:v>
                </c:pt>
                <c:pt idx="15">
                  <c:v>1.1995602515129149</c:v>
                </c:pt>
                <c:pt idx="16">
                  <c:v>1.3472415198814813</c:v>
                </c:pt>
                <c:pt idx="17">
                  <c:v>1.4999003170260221</c:v>
                </c:pt>
                <c:pt idx="18">
                  <c:v>1.6574870294925372</c:v>
                </c:pt>
                <c:pt idx="19">
                  <c:v>1.8199399310861424</c:v>
                </c:pt>
                <c:pt idx="20">
                  <c:v>1.9871881046616542</c:v>
                </c:pt>
                <c:pt idx="21">
                  <c:v>2.0241995375094342</c:v>
                </c:pt>
                <c:pt idx="22">
                  <c:v>2.0609243999999998</c:v>
                </c:pt>
                <c:pt idx="23">
                  <c:v>2.0973105983269966</c:v>
                </c:pt>
                <c:pt idx="24">
                  <c:v>2.1333020995419845</c:v>
                </c:pt>
                <c:pt idx="25">
                  <c:v>2.1688488091954023</c:v>
                </c:pt>
                <c:pt idx="26">
                  <c:v>2.2039018929230769</c:v>
                </c:pt>
                <c:pt idx="27">
                  <c:v>2.2384208135907335</c:v>
                </c:pt>
                <c:pt idx="28">
                  <c:v>2.27237136372093</c:v>
                </c:pt>
                <c:pt idx="29">
                  <c:v>2.3057237341634242</c:v>
                </c:pt>
                <c:pt idx="30">
                  <c:v>2.3384441025</c:v>
                </c:pt>
              </c:numCache>
            </c:numRef>
          </c:val>
          <c:extLst>
            <c:ext xmlns:c16="http://schemas.microsoft.com/office/drawing/2014/chart" uri="{C3380CC4-5D6E-409C-BE32-E72D297353CC}">
              <c16:uniqueId val="{00000003-FC9C-D54A-BE01-A493BEB67A78}"/>
            </c:ext>
          </c:extLst>
        </c:ser>
        <c:ser>
          <c:idx val="4"/>
          <c:order val="4"/>
          <c:tx>
            <c:strRef>
              <c:f>NICCS_scenario!$B$17</c:f>
              <c:strCache>
                <c:ptCount val="1"/>
                <c:pt idx="0">
                  <c:v>Gas</c:v>
                </c:pt>
              </c:strCache>
            </c:strRef>
          </c:tx>
          <c:spPr>
            <a:solidFill>
              <a:schemeClr val="accent5"/>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NICCS_scenario!$F$17:$AJ$17</c:f>
              <c:numCache>
                <c:formatCode>0.00</c:formatCode>
                <c:ptCount val="31"/>
                <c:pt idx="0">
                  <c:v>5.3870920104837994E-4</c:v>
                </c:pt>
                <c:pt idx="1">
                  <c:v>5.3335377741821398E-4</c:v>
                </c:pt>
                <c:pt idx="2">
                  <c:v>5.2701143381793348E-4</c:v>
                </c:pt>
                <c:pt idx="3">
                  <c:v>5.1966710234152536E-4</c:v>
                </c:pt>
                <c:pt idx="4">
                  <c:v>5.1131120027582497E-4</c:v>
                </c:pt>
                <c:pt idx="5">
                  <c:v>5.0488968714912006E-4</c:v>
                </c:pt>
                <c:pt idx="6">
                  <c:v>7.9897978299823424E-2</c:v>
                </c:pt>
                <c:pt idx="7">
                  <c:v>0.16343661798233913</c:v>
                </c:pt>
                <c:pt idx="8">
                  <c:v>0.25116311884252107</c:v>
                </c:pt>
                <c:pt idx="9">
                  <c:v>0.3430909624734621</c:v>
                </c:pt>
                <c:pt idx="10">
                  <c:v>0.43920877826799654</c:v>
                </c:pt>
                <c:pt idx="11">
                  <c:v>0.53949251663052711</c:v>
                </c:pt>
                <c:pt idx="12">
                  <c:v>0.6439116934410184</c:v>
                </c:pt>
                <c:pt idx="13">
                  <c:v>0.75242432674658755</c:v>
                </c:pt>
                <c:pt idx="14">
                  <c:v>0.86498853268497178</c:v>
                </c:pt>
                <c:pt idx="15">
                  <c:v>0.98167190180720676</c:v>
                </c:pt>
                <c:pt idx="16">
                  <c:v>1.1024629166636195</c:v>
                </c:pt>
                <c:pt idx="17">
                  <c:v>1.2273246549032422</c:v>
                </c:pt>
                <c:pt idx="18">
                  <c:v>1.3562165274958624</c:v>
                </c:pt>
                <c:pt idx="19">
                  <c:v>1.4890880386406176</c:v>
                </c:pt>
                <c:pt idx="20">
                  <c:v>1.6258811765413534</c:v>
                </c:pt>
                <c:pt idx="21">
                  <c:v>1.6561632579622643</c:v>
                </c:pt>
                <c:pt idx="22">
                  <c:v>1.6862108727272727</c:v>
                </c:pt>
                <c:pt idx="23">
                  <c:v>1.7159813986311789</c:v>
                </c:pt>
                <c:pt idx="24">
                  <c:v>1.745428990534351</c:v>
                </c:pt>
                <c:pt idx="25">
                  <c:v>1.7745126620689657</c:v>
                </c:pt>
                <c:pt idx="26">
                  <c:v>1.803192457846154</c:v>
                </c:pt>
                <c:pt idx="27">
                  <c:v>1.8314352111196912</c:v>
                </c:pt>
                <c:pt idx="28">
                  <c:v>1.8592129339534882</c:v>
                </c:pt>
                <c:pt idx="29">
                  <c:v>1.8865012370428016</c:v>
                </c:pt>
                <c:pt idx="30">
                  <c:v>1.9132724475</c:v>
                </c:pt>
              </c:numCache>
            </c:numRef>
          </c:val>
          <c:extLst>
            <c:ext xmlns:c16="http://schemas.microsoft.com/office/drawing/2014/chart" uri="{C3380CC4-5D6E-409C-BE32-E72D297353CC}">
              <c16:uniqueId val="{00000004-FC9C-D54A-BE01-A493BEB67A78}"/>
            </c:ext>
          </c:extLst>
        </c:ser>
        <c:ser>
          <c:idx val="5"/>
          <c:order val="5"/>
          <c:tx>
            <c:strRef>
              <c:f>NICCS_scenario!$B$18</c:f>
              <c:strCache>
                <c:ptCount val="1"/>
                <c:pt idx="0">
                  <c:v>kerosene</c:v>
                </c:pt>
              </c:strCache>
            </c:strRef>
          </c:tx>
          <c:spPr>
            <a:solidFill>
              <a:schemeClr val="accent6"/>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NICCS_scenario!$F$18:$AJ$18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FC9C-D54A-BE01-A493BEB67A78}"/>
            </c:ext>
          </c:extLst>
        </c:ser>
        <c:ser>
          <c:idx val="6"/>
          <c:order val="6"/>
          <c:tx>
            <c:strRef>
              <c:f>NICCS_scenario!$B$19</c:f>
              <c:strCache>
                <c:ptCount val="1"/>
                <c:pt idx="0">
                  <c:v>electric</c:v>
                </c:pt>
              </c:strCache>
            </c:strRef>
          </c:tx>
          <c:spPr>
            <a:solidFill>
              <a:schemeClr val="accent1">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NICCS_scenario!$F$19:$AJ$19</c:f>
              <c:numCache>
                <c:formatCode>0.00</c:formatCode>
                <c:ptCount val="31"/>
                <c:pt idx="0">
                  <c:v>1.0596359934954702E-2</c:v>
                </c:pt>
                <c:pt idx="1">
                  <c:v>9.990469461493583E-3</c:v>
                </c:pt>
                <c:pt idx="2">
                  <c:v>9.3369727469992288E-3</c:v>
                </c:pt>
                <c:pt idx="3">
                  <c:v>8.6350594300806677E-3</c:v>
                </c:pt>
                <c:pt idx="4">
                  <c:v>7.8839770854197602E-3</c:v>
                </c:pt>
                <c:pt idx="5">
                  <c:v>7.7849628993089271E-3</c:v>
                </c:pt>
                <c:pt idx="6">
                  <c:v>5.4519130701405696E-2</c:v>
                </c:pt>
                <c:pt idx="7">
                  <c:v>0.10368510960723025</c:v>
                </c:pt>
                <c:pt idx="8">
                  <c:v>0.15530712365953764</c:v>
                </c:pt>
                <c:pt idx="9">
                  <c:v>0.20939237714144107</c:v>
                </c:pt>
                <c:pt idx="10">
                  <c:v>0.2659335842571216</c:v>
                </c:pt>
                <c:pt idx="11">
                  <c:v>0.32491623670621167</c:v>
                </c:pt>
                <c:pt idx="12">
                  <c:v>0.38632220087307972</c:v>
                </c:pt>
                <c:pt idx="13">
                  <c:v>0.45012659747203798</c:v>
                </c:pt>
                <c:pt idx="14">
                  <c:v>0.51630472658301241</c:v>
                </c:pt>
                <c:pt idx="15">
                  <c:v>0.58489717506925709</c:v>
                </c:pt>
                <c:pt idx="16">
                  <c:v>0.65589711312975618</c:v>
                </c:pt>
                <c:pt idx="17">
                  <c:v>0.72928264155132771</c:v>
                </c:pt>
                <c:pt idx="18">
                  <c:v>0.80502976385373815</c:v>
                </c:pt>
                <c:pt idx="19">
                  <c:v>0.88310866704973701</c:v>
                </c:pt>
                <c:pt idx="20">
                  <c:v>0.96348514165413535</c:v>
                </c:pt>
                <c:pt idx="21">
                  <c:v>0.98143007879245292</c:v>
                </c:pt>
                <c:pt idx="22">
                  <c:v>0.99923607272727266</c:v>
                </c:pt>
                <c:pt idx="23">
                  <c:v>1.0168778658555133</c:v>
                </c:pt>
                <c:pt idx="24">
                  <c:v>1.0343282906870228</c:v>
                </c:pt>
                <c:pt idx="25">
                  <c:v>1.0515630590038314</c:v>
                </c:pt>
                <c:pt idx="26">
                  <c:v>1.0685584935384616</c:v>
                </c:pt>
                <c:pt idx="27">
                  <c:v>1.08529493992278</c:v>
                </c:pt>
                <c:pt idx="28">
                  <c:v>1.1017558127131781</c:v>
                </c:pt>
                <c:pt idx="29">
                  <c:v>1.1179266589883268</c:v>
                </c:pt>
                <c:pt idx="30">
                  <c:v>1.13379108</c:v>
                </c:pt>
              </c:numCache>
            </c:numRef>
          </c:val>
          <c:extLst>
            <c:ext xmlns:c16="http://schemas.microsoft.com/office/drawing/2014/chart" uri="{C3380CC4-5D6E-409C-BE32-E72D297353CC}">
              <c16:uniqueId val="{00000006-FC9C-D54A-BE01-A493BEB67A78}"/>
            </c:ext>
          </c:extLst>
        </c:ser>
        <c:ser>
          <c:idx val="7"/>
          <c:order val="7"/>
          <c:tx>
            <c:strRef>
              <c:f>NICCS_scenario!$B$20</c:f>
              <c:strCache>
                <c:ptCount val="1"/>
                <c:pt idx="0">
                  <c:v>pellets</c:v>
                </c:pt>
              </c:strCache>
            </c:strRef>
          </c:tx>
          <c:spPr>
            <a:solidFill>
              <a:schemeClr val="accent2">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NICCS_scenario!$F$20:$AJ$20</c:f>
              <c:numCache>
                <c:formatCode>0.00</c:formatCode>
                <c:ptCount val="31"/>
                <c:pt idx="0">
                  <c:v>0</c:v>
                </c:pt>
                <c:pt idx="1">
                  <c:v>0</c:v>
                </c:pt>
                <c:pt idx="2">
                  <c:v>0</c:v>
                </c:pt>
                <c:pt idx="3">
                  <c:v>0</c:v>
                </c:pt>
                <c:pt idx="4">
                  <c:v>0</c:v>
                </c:pt>
                <c:pt idx="5">
                  <c:v>0</c:v>
                </c:pt>
                <c:pt idx="6">
                  <c:v>4.0368817196616023E-2</c:v>
                </c:pt>
                <c:pt idx="7">
                  <c:v>8.2845802288377221E-2</c:v>
                </c:pt>
                <c:pt idx="8">
                  <c:v>0.12745249196167929</c:v>
                </c:pt>
                <c:pt idx="9">
                  <c:v>0.17419576625219518</c:v>
                </c:pt>
                <c:pt idx="10">
                  <c:v>0.2230698638904523</c:v>
                </c:pt>
                <c:pt idx="11">
                  <c:v>0.27406256849253174</c:v>
                </c:pt>
                <c:pt idx="12">
                  <c:v>0.32715838636177164</c:v>
                </c:pt>
                <c:pt idx="13">
                  <c:v>0.38233597675588904</c:v>
                </c:pt>
                <c:pt idx="14">
                  <c:v>0.43957404463855121</c:v>
                </c:pt>
                <c:pt idx="15">
                  <c:v>0.49890693018422089</c:v>
                </c:pt>
                <c:pt idx="16">
                  <c:v>0.56032877886130683</c:v>
                </c:pt>
                <c:pt idx="17">
                  <c:v>0.62382082251058635</c:v>
                </c:pt>
                <c:pt idx="18">
                  <c:v>0.68936242649032275</c:v>
                </c:pt>
                <c:pt idx="19">
                  <c:v>0.75692791837067142</c:v>
                </c:pt>
                <c:pt idx="20">
                  <c:v>0.82648780313030579</c:v>
                </c:pt>
                <c:pt idx="21">
                  <c:v>0.8418811610883713</c:v>
                </c:pt>
                <c:pt idx="22">
                  <c:v>0.85715533208853345</c:v>
                </c:pt>
                <c:pt idx="23">
                  <c:v>0.87228864989020338</c:v>
                </c:pt>
                <c:pt idx="24">
                  <c:v>0.88725780993134706</c:v>
                </c:pt>
                <c:pt idx="25">
                  <c:v>0.90204197752023585</c:v>
                </c:pt>
                <c:pt idx="26">
                  <c:v>0.91662084204497152</c:v>
                </c:pt>
                <c:pt idx="27">
                  <c:v>0.93097754377950526</c:v>
                </c:pt>
                <c:pt idx="28">
                  <c:v>0.94509785555389003</c:v>
                </c:pt>
                <c:pt idx="29">
                  <c:v>0.95896937949847327</c:v>
                </c:pt>
                <c:pt idx="30">
                  <c:v>0.97257804859259267</c:v>
                </c:pt>
              </c:numCache>
            </c:numRef>
          </c:val>
          <c:extLst>
            <c:ext xmlns:c16="http://schemas.microsoft.com/office/drawing/2014/chart" uri="{C3380CC4-5D6E-409C-BE32-E72D297353CC}">
              <c16:uniqueId val="{00000007-FC9C-D54A-BE01-A493BEB67A78}"/>
            </c:ext>
          </c:extLst>
        </c:ser>
        <c:ser>
          <c:idx val="8"/>
          <c:order val="8"/>
          <c:tx>
            <c:strRef>
              <c:f>NICCS_scenario!$B$21</c:f>
              <c:strCache>
                <c:ptCount val="1"/>
                <c:pt idx="0">
                  <c:v>ethanol</c:v>
                </c:pt>
              </c:strCache>
            </c:strRef>
          </c:tx>
          <c:spPr>
            <a:solidFill>
              <a:schemeClr val="accent3">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NICCS_scenario!$F$21:$AJ$21</c:f>
              <c:numCache>
                <c:formatCode>0.00</c:formatCode>
                <c:ptCount val="31"/>
                <c:pt idx="0">
                  <c:v>0</c:v>
                </c:pt>
                <c:pt idx="1">
                  <c:v>0</c:v>
                </c:pt>
                <c:pt idx="2">
                  <c:v>0</c:v>
                </c:pt>
                <c:pt idx="3">
                  <c:v>0</c:v>
                </c:pt>
                <c:pt idx="4">
                  <c:v>0</c:v>
                </c:pt>
                <c:pt idx="5">
                  <c:v>0</c:v>
                </c:pt>
                <c:pt idx="6">
                  <c:v>5.8825362285714299E-3</c:v>
                </c:pt>
                <c:pt idx="7">
                  <c:v>1.2072274274790918E-2</c:v>
                </c:pt>
                <c:pt idx="8">
                  <c:v>1.8572352460431655E-2</c:v>
                </c:pt>
                <c:pt idx="9">
                  <c:v>2.5383773342960287E-2</c:v>
                </c:pt>
                <c:pt idx="10">
                  <c:v>3.250569739130435E-2</c:v>
                </c:pt>
                <c:pt idx="11">
                  <c:v>3.9936344436363638E-2</c:v>
                </c:pt>
                <c:pt idx="12">
                  <c:v>4.7673456739659371E-2</c:v>
                </c:pt>
                <c:pt idx="13">
                  <c:v>5.5713924532356539E-2</c:v>
                </c:pt>
                <c:pt idx="14">
                  <c:v>6.405464470588236E-2</c:v>
                </c:pt>
                <c:pt idx="15">
                  <c:v>7.2700621303813051E-2</c:v>
                </c:pt>
                <c:pt idx="16">
                  <c:v>8.1651001204938289E-2</c:v>
                </c:pt>
                <c:pt idx="17">
                  <c:v>9.0903049516728646E-2</c:v>
                </c:pt>
                <c:pt idx="18">
                  <c:v>0.1004537593631841</c:v>
                </c:pt>
                <c:pt idx="19">
                  <c:v>0.11029938976279652</c:v>
                </c:pt>
                <c:pt idx="20">
                  <c:v>0.12043564270676692</c:v>
                </c:pt>
                <c:pt idx="21">
                  <c:v>0.12267875984905662</c:v>
                </c:pt>
                <c:pt idx="22">
                  <c:v>0.12490450909090908</c:v>
                </c:pt>
                <c:pt idx="23">
                  <c:v>0.12710973323193916</c:v>
                </c:pt>
                <c:pt idx="24">
                  <c:v>0.12929103633587785</c:v>
                </c:pt>
                <c:pt idx="25">
                  <c:v>0.13144538237547893</c:v>
                </c:pt>
                <c:pt idx="26">
                  <c:v>0.13356981169230769</c:v>
                </c:pt>
                <c:pt idx="27">
                  <c:v>0.1356618674903475</c:v>
                </c:pt>
                <c:pt idx="28">
                  <c:v>0.13771947658914727</c:v>
                </c:pt>
                <c:pt idx="29">
                  <c:v>0.13974083237354085</c:v>
                </c:pt>
                <c:pt idx="30">
                  <c:v>0.14172388499999999</c:v>
                </c:pt>
              </c:numCache>
            </c:numRef>
          </c:val>
          <c:extLst>
            <c:ext xmlns:c16="http://schemas.microsoft.com/office/drawing/2014/chart" uri="{C3380CC4-5D6E-409C-BE32-E72D297353CC}">
              <c16:uniqueId val="{00000008-FC9C-D54A-BE01-A493BEB67A78}"/>
            </c:ext>
          </c:extLst>
        </c:ser>
        <c:ser>
          <c:idx val="9"/>
          <c:order val="9"/>
          <c:tx>
            <c:strRef>
              <c:f>NICCS_scenario!$B$22</c:f>
              <c:strCache>
                <c:ptCount val="1"/>
                <c:pt idx="0">
                  <c:v>biogas</c:v>
                </c:pt>
              </c:strCache>
            </c:strRef>
          </c:tx>
          <c:spPr>
            <a:solidFill>
              <a:schemeClr val="accent4">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NICCS_scenario!$F$22:$AJ$22</c:f>
              <c:numCache>
                <c:formatCode>0.00</c:formatCode>
                <c:ptCount val="31"/>
                <c:pt idx="0">
                  <c:v>0</c:v>
                </c:pt>
                <c:pt idx="1">
                  <c:v>0</c:v>
                </c:pt>
                <c:pt idx="2">
                  <c:v>0</c:v>
                </c:pt>
                <c:pt idx="3">
                  <c:v>0</c:v>
                </c:pt>
                <c:pt idx="4">
                  <c:v>0</c:v>
                </c:pt>
                <c:pt idx="5">
                  <c:v>0</c:v>
                </c:pt>
                <c:pt idx="6">
                  <c:v>1.0092204299154006E-2</c:v>
                </c:pt>
                <c:pt idx="7">
                  <c:v>2.0711450572094305E-2</c:v>
                </c:pt>
                <c:pt idx="8">
                  <c:v>3.1863122990419823E-2</c:v>
                </c:pt>
                <c:pt idx="9">
                  <c:v>4.3548941563048796E-2</c:v>
                </c:pt>
                <c:pt idx="10">
                  <c:v>5.5767465972613076E-2</c:v>
                </c:pt>
                <c:pt idx="11">
                  <c:v>6.8515642123132936E-2</c:v>
                </c:pt>
                <c:pt idx="12">
                  <c:v>8.1789596590442909E-2</c:v>
                </c:pt>
                <c:pt idx="13">
                  <c:v>9.558399418897226E-2</c:v>
                </c:pt>
                <c:pt idx="14">
                  <c:v>0.1098935111596378</c:v>
                </c:pt>
                <c:pt idx="15">
                  <c:v>0.12472673254605522</c:v>
                </c:pt>
                <c:pt idx="16">
                  <c:v>0.14008219471532671</c:v>
                </c:pt>
                <c:pt idx="17">
                  <c:v>0.15595520562764659</c:v>
                </c:pt>
                <c:pt idx="18">
                  <c:v>0.17234060662258069</c:v>
                </c:pt>
                <c:pt idx="19">
                  <c:v>0.18923197959266785</c:v>
                </c:pt>
                <c:pt idx="20">
                  <c:v>0.20662195078257645</c:v>
                </c:pt>
                <c:pt idx="21">
                  <c:v>0.21047029027209282</c:v>
                </c:pt>
                <c:pt idx="22">
                  <c:v>0.21428883302213336</c:v>
                </c:pt>
                <c:pt idx="23">
                  <c:v>0.21807216247255085</c:v>
                </c:pt>
                <c:pt idx="24">
                  <c:v>0.22181445248283677</c:v>
                </c:pt>
                <c:pt idx="25">
                  <c:v>0.22551049438005896</c:v>
                </c:pt>
                <c:pt idx="26">
                  <c:v>0.22915521051124288</c:v>
                </c:pt>
                <c:pt idx="27">
                  <c:v>0.23274438594487631</c:v>
                </c:pt>
                <c:pt idx="28">
                  <c:v>0.23627446388847251</c:v>
                </c:pt>
                <c:pt idx="29">
                  <c:v>0.23974234487461832</c:v>
                </c:pt>
                <c:pt idx="30">
                  <c:v>0.24314451214814817</c:v>
                </c:pt>
              </c:numCache>
            </c:numRef>
          </c:val>
          <c:extLst>
            <c:ext xmlns:c16="http://schemas.microsoft.com/office/drawing/2014/chart" uri="{C3380CC4-5D6E-409C-BE32-E72D297353CC}">
              <c16:uniqueId val="{00000009-FC9C-D54A-BE01-A493BEB67A78}"/>
            </c:ext>
          </c:extLst>
        </c:ser>
        <c:ser>
          <c:idx val="10"/>
          <c:order val="10"/>
          <c:tx>
            <c:strRef>
              <c:f>NICCS_scenario!$B$23</c:f>
              <c:strCache>
                <c:ptCount val="1"/>
                <c:pt idx="0">
                  <c:v>other</c:v>
                </c:pt>
              </c:strCache>
            </c:strRef>
          </c:tx>
          <c:spPr>
            <a:solidFill>
              <a:schemeClr val="accent5">
                <a:lumMod val="60000"/>
              </a:schemeClr>
            </a:solidFill>
            <a:ln w="25400">
              <a:noFill/>
            </a:ln>
            <a:effectLst/>
          </c:spPr>
          <c:cat>
            <c:numRef>
              <c:f>NICCS_scenario!$F$1:$AJ$1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NICCS_scenario!$F$23:$AJ$23</c:f>
              <c:numCache>
                <c:formatCode>0.00</c:formatCode>
                <c:ptCount val="31"/>
                <c:pt idx="0">
                  <c:v>2.8933787785422979E-2</c:v>
                </c:pt>
                <c:pt idx="1">
                  <c:v>2.8834248957153141E-2</c:v>
                </c:pt>
                <c:pt idx="2">
                  <c:v>2.8692297861609775E-2</c:v>
                </c:pt>
                <c:pt idx="3">
                  <c:v>2.8507318353395535E-2</c:v>
                </c:pt>
                <c:pt idx="4">
                  <c:v>2.8279007666991058E-2</c:v>
                </c:pt>
                <c:pt idx="5">
                  <c:v>2.7923854056341006E-2</c:v>
                </c:pt>
                <c:pt idx="6">
                  <c:v>2.6754088189808067E-2</c:v>
                </c:pt>
                <c:pt idx="7">
                  <c:v>2.5491768070799982E-2</c:v>
                </c:pt>
                <c:pt idx="8">
                  <c:v>2.4133728150657899E-2</c:v>
                </c:pt>
                <c:pt idx="9">
                  <c:v>2.2677040888542561E-2</c:v>
                </c:pt>
                <c:pt idx="10">
                  <c:v>2.1119663377610055E-2</c:v>
                </c:pt>
                <c:pt idx="11">
                  <c:v>1.9460638104643178E-2</c:v>
                </c:pt>
                <c:pt idx="12">
                  <c:v>1.7699707861200179E-2</c:v>
                </c:pt>
                <c:pt idx="13">
                  <c:v>1.5836868576126092E-2</c:v>
                </c:pt>
                <c:pt idx="14">
                  <c:v>1.3872568426753613E-2</c:v>
                </c:pt>
                <c:pt idx="15">
                  <c:v>1.1808796399568861E-2</c:v>
                </c:pt>
                <c:pt idx="16">
                  <c:v>9.6455351650806542E-3</c:v>
                </c:pt>
                <c:pt idx="17">
                  <c:v>7.3827127237128202E-3</c:v>
                </c:pt>
                <c:pt idx="18">
                  <c:v>5.0205390084902381E-3</c:v>
                </c:pt>
                <c:pt idx="19">
                  <c:v>2.5594260275840219E-3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FC9C-D54A-BE01-A493BEB67A78}"/>
            </c:ext>
          </c:extLst>
        </c:ser>
        <c:dLbls>
          <c:showLegendKey val="0"/>
          <c:showVal val="0"/>
          <c:showCatName val="0"/>
          <c:showSerName val="0"/>
          <c:showPercent val="0"/>
          <c:showBubbleSize val="0"/>
        </c:dLbls>
        <c:axId val="1254377855"/>
        <c:axId val="1734673984"/>
      </c:areaChart>
      <c:catAx>
        <c:axId val="1254377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73984"/>
        <c:crosses val="autoZero"/>
        <c:auto val="1"/>
        <c:lblAlgn val="ctr"/>
        <c:lblOffset val="100"/>
        <c:noMultiLvlLbl val="0"/>
      </c:catAx>
      <c:valAx>
        <c:axId val="1734673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377855"/>
        <c:crosses val="autoZero"/>
        <c:crossBetween val="midCat"/>
      </c:valAx>
      <c:spPr>
        <a:noFill/>
        <a:ln>
          <a:noFill/>
        </a:ln>
        <a:effectLst/>
      </c:spPr>
    </c:plotArea>
    <c:legend>
      <c:legendPos val="b"/>
      <c:layout>
        <c:manualLayout>
          <c:xMode val="edge"/>
          <c:yMode val="edge"/>
          <c:x val="0.78611111111111109"/>
          <c:y val="5.1504082822980461E-2"/>
          <c:w val="0.21111111111111111"/>
          <c:h val="0.9484959295342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NICCS_Fuel_cons!$B$40</c:f>
              <c:strCache>
                <c:ptCount val="1"/>
                <c:pt idx="0">
                  <c:v>fuelwood</c:v>
                </c:pt>
              </c:strCache>
            </c:strRef>
          </c:tx>
          <c:spPr>
            <a:solidFill>
              <a:schemeClr val="accent2"/>
            </a:solidFill>
            <a:ln>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NICCS_Fuel_cons!$F$40:$AJ$40</c:f>
              <c:numCache>
                <c:formatCode>0.00</c:formatCode>
                <c:ptCount val="31"/>
                <c:pt idx="0">
                  <c:v>168.03567106001867</c:v>
                </c:pt>
                <c:pt idx="1">
                  <c:v>169.64208200049791</c:v>
                </c:pt>
                <c:pt idx="2">
                  <c:v>171.11203081283898</c:v>
                </c:pt>
                <c:pt idx="3">
                  <c:v>172.44113625923254</c:v>
                </c:pt>
                <c:pt idx="4">
                  <c:v>173.62667285676594</c:v>
                </c:pt>
                <c:pt idx="5">
                  <c:v>173.18935748204655</c:v>
                </c:pt>
                <c:pt idx="6">
                  <c:v>165.75296491854095</c:v>
                </c:pt>
                <c:pt idx="7">
                  <c:v>157.76094441879991</c:v>
                </c:pt>
                <c:pt idx="8">
                  <c:v>149.19601968132594</c:v>
                </c:pt>
                <c:pt idx="9">
                  <c:v>140.04245850442805</c:v>
                </c:pt>
                <c:pt idx="10">
                  <c:v>130.2896694842361</c:v>
                </c:pt>
                <c:pt idx="11">
                  <c:v>119.93316494264784</c:v>
                </c:pt>
                <c:pt idx="12">
                  <c:v>108.9724363970785</c:v>
                </c:pt>
                <c:pt idx="13">
                  <c:v>97.408381982537776</c:v>
                </c:pt>
                <c:pt idx="14">
                  <c:v>85.244261376901576</c:v>
                </c:pt>
                <c:pt idx="15">
                  <c:v>72.495527347425678</c:v>
                </c:pt>
                <c:pt idx="16">
                  <c:v>59.161811301212438</c:v>
                </c:pt>
                <c:pt idx="17">
                  <c:v>45.243257062202055</c:v>
                </c:pt>
                <c:pt idx="18">
                  <c:v>30.741516849642917</c:v>
                </c:pt>
                <c:pt idx="19">
                  <c:v>15.659222200964907</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574E-854A-BFAE-20E18B87342E}"/>
            </c:ext>
          </c:extLst>
        </c:ser>
        <c:ser>
          <c:idx val="0"/>
          <c:order val="1"/>
          <c:tx>
            <c:strRef>
              <c:f>NICCS_Fuel_cons!$B$41</c:f>
              <c:strCache>
                <c:ptCount val="1"/>
                <c:pt idx="0">
                  <c:v>charcoal</c:v>
                </c:pt>
              </c:strCache>
            </c:strRef>
          </c:tx>
          <c:spPr>
            <a:solidFill>
              <a:schemeClr val="accent1"/>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NICCS_Fuel_cons!$F$41:$AJ$41</c:f>
              <c:numCache>
                <c:formatCode>0.00</c:formatCode>
                <c:ptCount val="31"/>
                <c:pt idx="0">
                  <c:v>42.915140456717225</c:v>
                </c:pt>
                <c:pt idx="1">
                  <c:v>46.230171541960033</c:v>
                </c:pt>
                <c:pt idx="2">
                  <c:v>49.69935694455453</c:v>
                </c:pt>
                <c:pt idx="3">
                  <c:v>53.32556608110643</c:v>
                </c:pt>
                <c:pt idx="4">
                  <c:v>57.111494073707888</c:v>
                </c:pt>
                <c:pt idx="5">
                  <c:v>61.398753054032241</c:v>
                </c:pt>
                <c:pt idx="6">
                  <c:v>59.40332259866959</c:v>
                </c:pt>
                <c:pt idx="7">
                  <c:v>57.152479654591616</c:v>
                </c:pt>
                <c:pt idx="8">
                  <c:v>54.633864802288009</c:v>
                </c:pt>
                <c:pt idx="9">
                  <c:v>51.835367637477447</c:v>
                </c:pt>
                <c:pt idx="10">
                  <c:v>48.745906705397758</c:v>
                </c:pt>
                <c:pt idx="11">
                  <c:v>45.355523422718385</c:v>
                </c:pt>
                <c:pt idx="12">
                  <c:v>41.655136541743666</c:v>
                </c:pt>
                <c:pt idx="13">
                  <c:v>37.635942041594824</c:v>
                </c:pt>
                <c:pt idx="14">
                  <c:v>33.289418855219907</c:v>
                </c:pt>
                <c:pt idx="15">
                  <c:v>28.616092381372269</c:v>
                </c:pt>
                <c:pt idx="16">
                  <c:v>23.605101359297912</c:v>
                </c:pt>
                <c:pt idx="17">
                  <c:v>18.247074612899006</c:v>
                </c:pt>
                <c:pt idx="18">
                  <c:v>12.532916271846466</c:v>
                </c:pt>
                <c:pt idx="19">
                  <c:v>6.4535753757828722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574E-854A-BFAE-20E18B87342E}"/>
            </c:ext>
          </c:extLst>
        </c:ser>
        <c:ser>
          <c:idx val="2"/>
          <c:order val="2"/>
          <c:tx>
            <c:strRef>
              <c:f>NICCS_Fuel_cons!$B$42</c:f>
              <c:strCache>
                <c:ptCount val="1"/>
                <c:pt idx="0">
                  <c:v>Imp_fuelwood</c:v>
                </c:pt>
              </c:strCache>
            </c:strRef>
          </c:tx>
          <c:spPr>
            <a:solidFill>
              <a:schemeClr val="accent3"/>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NICCS_Fuel_cons!$F$42:$AJ$42</c:f>
              <c:numCache>
                <c:formatCode>0.00</c:formatCode>
                <c:ptCount val="31"/>
                <c:pt idx="0">
                  <c:v>0.71306160262043849</c:v>
                </c:pt>
                <c:pt idx="1">
                  <c:v>0.86000963146132092</c:v>
                </c:pt>
                <c:pt idx="2">
                  <c:v>1.0181505756657629</c:v>
                </c:pt>
                <c:pt idx="3">
                  <c:v>1.1879602959809423</c:v>
                </c:pt>
                <c:pt idx="4">
                  <c:v>1.3698981572073912</c:v>
                </c:pt>
                <c:pt idx="5">
                  <c:v>1.5541023607897304</c:v>
                </c:pt>
                <c:pt idx="6">
                  <c:v>2.8114670835111966</c:v>
                </c:pt>
                <c:pt idx="7">
                  <c:v>4.1200585113182058</c:v>
                </c:pt>
                <c:pt idx="8">
                  <c:v>5.4794518559087084</c:v>
                </c:pt>
                <c:pt idx="9">
                  <c:v>6.8887481615994126</c:v>
                </c:pt>
                <c:pt idx="10">
                  <c:v>8.3466606585721408</c:v>
                </c:pt>
                <c:pt idx="11">
                  <c:v>9.8517172184943878</c:v>
                </c:pt>
                <c:pt idx="12">
                  <c:v>11.402363977838398</c:v>
                </c:pt>
                <c:pt idx="13">
                  <c:v>12.996874986424373</c:v>
                </c:pt>
                <c:pt idx="14">
                  <c:v>14.633536203942645</c:v>
                </c:pt>
                <c:pt idx="15">
                  <c:v>16.312662298965826</c:v>
                </c:pt>
                <c:pt idx="16">
                  <c:v>18.032947633384421</c:v>
                </c:pt>
                <c:pt idx="17">
                  <c:v>19.792742700772436</c:v>
                </c:pt>
                <c:pt idx="18">
                  <c:v>21.590353009637081</c:v>
                </c:pt>
                <c:pt idx="19">
                  <c:v>23.423936412192717</c:v>
                </c:pt>
                <c:pt idx="20">
                  <c:v>25.291541422628576</c:v>
                </c:pt>
                <c:pt idx="21">
                  <c:v>25.665745205271438</c:v>
                </c:pt>
                <c:pt idx="22">
                  <c:v>26.032787371928574</c:v>
                </c:pt>
                <c:pt idx="23">
                  <c:v>26.392053521228579</c:v>
                </c:pt>
                <c:pt idx="24">
                  <c:v>26.742889841185711</c:v>
                </c:pt>
                <c:pt idx="25">
                  <c:v>27.084727404214288</c:v>
                </c:pt>
                <c:pt idx="26">
                  <c:v>27.41702254594286</c:v>
                </c:pt>
                <c:pt idx="27">
                  <c:v>27.739343770671436</c:v>
                </c:pt>
                <c:pt idx="28">
                  <c:v>28.051345477628573</c:v>
                </c:pt>
                <c:pt idx="29">
                  <c:v>28.352742697757144</c:v>
                </c:pt>
                <c:pt idx="30">
                  <c:v>28.643207009271432</c:v>
                </c:pt>
              </c:numCache>
            </c:numRef>
          </c:val>
          <c:extLst>
            <c:ext xmlns:c16="http://schemas.microsoft.com/office/drawing/2014/chart" uri="{C3380CC4-5D6E-409C-BE32-E72D297353CC}">
              <c16:uniqueId val="{00000003-574E-854A-BFAE-20E18B87342E}"/>
            </c:ext>
          </c:extLst>
        </c:ser>
        <c:ser>
          <c:idx val="3"/>
          <c:order val="3"/>
          <c:tx>
            <c:strRef>
              <c:f>NICCS_Fuel_cons!$B$43</c:f>
              <c:strCache>
                <c:ptCount val="1"/>
                <c:pt idx="0">
                  <c:v>Imp_charcoal</c:v>
                </c:pt>
              </c:strCache>
            </c:strRef>
          </c:tx>
          <c:spPr>
            <a:solidFill>
              <a:schemeClr val="accent4"/>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NICCS_Fuel_cons!$F$43:$AJ$43</c:f>
              <c:numCache>
                <c:formatCode>0.00</c:formatCode>
                <c:ptCount val="31"/>
                <c:pt idx="0">
                  <c:v>0.11884360043673037</c:v>
                </c:pt>
                <c:pt idx="1">
                  <c:v>0.14333493857688434</c:v>
                </c:pt>
                <c:pt idx="2">
                  <c:v>0.16969176261095284</c:v>
                </c:pt>
                <c:pt idx="3">
                  <c:v>0.19799338266348504</c:v>
                </c:pt>
                <c:pt idx="4">
                  <c:v>0.22831635953456236</c:v>
                </c:pt>
                <c:pt idx="5">
                  <c:v>0.2590170601316189</c:v>
                </c:pt>
                <c:pt idx="6">
                  <c:v>1.8136855412347206</c:v>
                </c:pt>
                <c:pt idx="7">
                  <c:v>3.448514347896841</c:v>
                </c:pt>
                <c:pt idx="8">
                  <c:v>5.1643425382162125</c:v>
                </c:pt>
                <c:pt idx="9">
                  <c:v>6.9615019715313284</c:v>
                </c:pt>
                <c:pt idx="10">
                  <c:v>8.839890793433451</c:v>
                </c:pt>
                <c:pt idx="11">
                  <c:v>10.799170839086207</c:v>
                </c:pt>
                <c:pt idx="12">
                  <c:v>12.838868809353064</c:v>
                </c:pt>
                <c:pt idx="13">
                  <c:v>14.958262188346918</c:v>
                </c:pt>
                <c:pt idx="14">
                  <c:v>17.156489883937105</c:v>
                </c:pt>
                <c:pt idx="15">
                  <c:v>19.435709657618109</c:v>
                </c:pt>
                <c:pt idx="16">
                  <c:v>21.795766151598354</c:v>
                </c:pt>
                <c:pt idx="17">
                  <c:v>24.236285915660169</c:v>
                </c:pt>
                <c:pt idx="18">
                  <c:v>26.756884209620466</c:v>
                </c:pt>
                <c:pt idx="19">
                  <c:v>29.357056320398787</c:v>
                </c:pt>
                <c:pt idx="20">
                  <c:v>32.036190018171439</c:v>
                </c:pt>
                <c:pt idx="21">
                  <c:v>32.647899817028573</c:v>
                </c:pt>
                <c:pt idx="22">
                  <c:v>33.257497938107143</c:v>
                </c:pt>
                <c:pt idx="23">
                  <c:v>33.864366145971431</c:v>
                </c:pt>
                <c:pt idx="24">
                  <c:v>34.467843703542854</c:v>
                </c:pt>
                <c:pt idx="25">
                  <c:v>35.067339184114289</c:v>
                </c:pt>
                <c:pt idx="26">
                  <c:v>35.662270315178574</c:v>
                </c:pt>
                <c:pt idx="27">
                  <c:v>36.252142116064292</c:v>
                </c:pt>
                <c:pt idx="28">
                  <c:v>36.83653807067143</c:v>
                </c:pt>
                <c:pt idx="29">
                  <c:v>37.415078933571429</c:v>
                </c:pt>
                <c:pt idx="30">
                  <c:v>37.987338053657147</c:v>
                </c:pt>
              </c:numCache>
            </c:numRef>
          </c:val>
          <c:extLst>
            <c:ext xmlns:c16="http://schemas.microsoft.com/office/drawing/2014/chart" uri="{C3380CC4-5D6E-409C-BE32-E72D297353CC}">
              <c16:uniqueId val="{00000004-574E-854A-BFAE-20E18B87342E}"/>
            </c:ext>
          </c:extLst>
        </c:ser>
        <c:ser>
          <c:idx val="4"/>
          <c:order val="4"/>
          <c:tx>
            <c:strRef>
              <c:f>NICCS_Fuel_cons!$B$44</c:f>
              <c:strCache>
                <c:ptCount val="1"/>
                <c:pt idx="0">
                  <c:v>Gas</c:v>
                </c:pt>
              </c:strCache>
            </c:strRef>
          </c:tx>
          <c:spPr>
            <a:solidFill>
              <a:schemeClr val="accent5"/>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NICCS_Fuel_cons!$F$44:$AJ$44</c:f>
              <c:numCache>
                <c:formatCode>0.00</c:formatCode>
                <c:ptCount val="31"/>
                <c:pt idx="0">
                  <c:v>8.2715540564961401E-2</c:v>
                </c:pt>
                <c:pt idx="1">
                  <c:v>9.5437125479099938E-2</c:v>
                </c:pt>
                <c:pt idx="2">
                  <c:v>0.10908446060340668</c:v>
                </c:pt>
                <c:pt idx="3">
                  <c:v>0.12369564228853819</c:v>
                </c:pt>
                <c:pt idx="4">
                  <c:v>0.13930727177938129</c:v>
                </c:pt>
                <c:pt idx="5">
                  <c:v>0.13955213920550635</c:v>
                </c:pt>
                <c:pt idx="6">
                  <c:v>1.327406106906722</c:v>
                </c:pt>
                <c:pt idx="7">
                  <c:v>2.5895784026095763</c:v>
                </c:pt>
                <c:pt idx="8">
                  <c:v>3.9278131091091097</c:v>
                </c:pt>
                <c:pt idx="9">
                  <c:v>5.3435419476331347</c:v>
                </c:pt>
                <c:pt idx="10">
                  <c:v>6.8379217537363362</c:v>
                </c:pt>
                <c:pt idx="11">
                  <c:v>8.411932087139089</c:v>
                </c:pt>
                <c:pt idx="12">
                  <c:v>10.066425399093092</c:v>
                </c:pt>
                <c:pt idx="13">
                  <c:v>11.802020333118547</c:v>
                </c:pt>
                <c:pt idx="14">
                  <c:v>13.619055401761583</c:v>
                </c:pt>
                <c:pt idx="15">
                  <c:v>15.521165928910376</c:v>
                </c:pt>
                <c:pt idx="16">
                  <c:v>17.509393497601916</c:v>
                </c:pt>
                <c:pt idx="17">
                  <c:v>19.584897440633142</c:v>
                </c:pt>
                <c:pt idx="18">
                  <c:v>21.748881991757827</c:v>
                </c:pt>
                <c:pt idx="19">
                  <c:v>24.002522856509241</c:v>
                </c:pt>
                <c:pt idx="20">
                  <c:v>26.346936226217146</c:v>
                </c:pt>
                <c:pt idx="21">
                  <c:v>26.999665341402856</c:v>
                </c:pt>
                <c:pt idx="22">
                  <c:v>27.658220825507147</c:v>
                </c:pt>
                <c:pt idx="23">
                  <c:v>28.322268116297145</c:v>
                </c:pt>
                <c:pt idx="24">
                  <c:v>28.991445759591429</c:v>
                </c:pt>
                <c:pt idx="25">
                  <c:v>29.665407780128575</c:v>
                </c:pt>
                <c:pt idx="26">
                  <c:v>30.343790904775716</c:v>
                </c:pt>
                <c:pt idx="27">
                  <c:v>31.026244111572858</c:v>
                </c:pt>
                <c:pt idx="28">
                  <c:v>31.712447942717141</c:v>
                </c:pt>
                <c:pt idx="29">
                  <c:v>32.402070635734283</c:v>
                </c:pt>
                <c:pt idx="30">
                  <c:v>33.094749737802857</c:v>
                </c:pt>
              </c:numCache>
            </c:numRef>
          </c:val>
          <c:extLst>
            <c:ext xmlns:c16="http://schemas.microsoft.com/office/drawing/2014/chart" uri="{C3380CC4-5D6E-409C-BE32-E72D297353CC}">
              <c16:uniqueId val="{00000005-574E-854A-BFAE-20E18B87342E}"/>
            </c:ext>
          </c:extLst>
        </c:ser>
        <c:ser>
          <c:idx val="5"/>
          <c:order val="5"/>
          <c:tx>
            <c:strRef>
              <c:f>NICCS_Fuel_cons!$B$45</c:f>
              <c:strCache>
                <c:ptCount val="1"/>
                <c:pt idx="0">
                  <c:v>kerosene</c:v>
                </c:pt>
              </c:strCache>
            </c:strRef>
          </c:tx>
          <c:spPr>
            <a:solidFill>
              <a:schemeClr val="accent6"/>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NICCS_Fuel_cons!$F$45:$AJ$45</c:f>
              <c:numCache>
                <c:formatCode>0.00</c:formatCode>
                <c:ptCount val="31"/>
                <c:pt idx="0">
                  <c:v>6.066932972571634E-3</c:v>
                </c:pt>
                <c:pt idx="1">
                  <c:v>4.6086640537643317E-3</c:v>
                </c:pt>
                <c:pt idx="2">
                  <c:v>3.0071957931061106E-3</c:v>
                </c:pt>
                <c:pt idx="3">
                  <c:v>1.2552033316031823E-3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6-574E-854A-BFAE-20E18B87342E}"/>
            </c:ext>
          </c:extLst>
        </c:ser>
        <c:ser>
          <c:idx val="6"/>
          <c:order val="6"/>
          <c:tx>
            <c:strRef>
              <c:f>NICCS_Fuel_cons!$B$46</c:f>
              <c:strCache>
                <c:ptCount val="1"/>
                <c:pt idx="0">
                  <c:v>electric</c:v>
                </c:pt>
              </c:strCache>
            </c:strRef>
          </c:tx>
          <c:spPr>
            <a:solidFill>
              <a:schemeClr val="accent1">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NICCS_Fuel_cons!$F$46:$AJ$46</c:f>
              <c:numCache>
                <c:formatCode>0.00</c:formatCode>
                <c:ptCount val="31"/>
                <c:pt idx="0">
                  <c:v>1.1100824112543575</c:v>
                </c:pt>
                <c:pt idx="1">
                  <c:v>1.0992999684883802</c:v>
                </c:pt>
                <c:pt idx="2">
                  <c:v>1.0850786733650268</c:v>
                </c:pt>
                <c:pt idx="3">
                  <c:v>1.0671789732154044</c:v>
                </c:pt>
                <c:pt idx="4">
                  <c:v>1.0453555459798789</c:v>
                </c:pt>
                <c:pt idx="5">
                  <c:v>1.0469343056049953</c:v>
                </c:pt>
                <c:pt idx="6">
                  <c:v>1.513015549753534</c:v>
                </c:pt>
                <c:pt idx="7">
                  <c:v>2.0053638259112598</c:v>
                </c:pt>
                <c:pt idx="8">
                  <c:v>2.5244520448155172</c:v>
                </c:pt>
                <c:pt idx="9">
                  <c:v>3.070624316415981</c:v>
                </c:pt>
                <c:pt idx="10">
                  <c:v>3.6441212139753931</c:v>
                </c:pt>
                <c:pt idx="11">
                  <c:v>4.2451210274193798</c:v>
                </c:pt>
                <c:pt idx="12">
                  <c:v>4.873760237284797</c:v>
                </c:pt>
                <c:pt idx="13">
                  <c:v>5.5300816914978679</c:v>
                </c:pt>
                <c:pt idx="14">
                  <c:v>6.2140150394027716</c:v>
                </c:pt>
                <c:pt idx="15">
                  <c:v>6.9270238467918865</c:v>
                </c:pt>
                <c:pt idx="16">
                  <c:v>7.669283795075625</c:v>
                </c:pt>
                <c:pt idx="17">
                  <c:v>8.4410480621525412</c:v>
                </c:pt>
                <c:pt idx="18">
                  <c:v>9.2425905998775058</c:v>
                </c:pt>
                <c:pt idx="19">
                  <c:v>10.074171483574258</c:v>
                </c:pt>
                <c:pt idx="20">
                  <c:v>10.936023487934694</c:v>
                </c:pt>
                <c:pt idx="21">
                  <c:v>11.205138880322451</c:v>
                </c:pt>
                <c:pt idx="22">
                  <c:v>11.476580798204083</c:v>
                </c:pt>
                <c:pt idx="23">
                  <c:v>11.750208260106122</c:v>
                </c:pt>
                <c:pt idx="24">
                  <c:v>12.025869024379592</c:v>
                </c:pt>
                <c:pt idx="25">
                  <c:v>12.303417778714286</c:v>
                </c:pt>
                <c:pt idx="26">
                  <c:v>12.582702332412246</c:v>
                </c:pt>
                <c:pt idx="27">
                  <c:v>12.863576303191838</c:v>
                </c:pt>
                <c:pt idx="28">
                  <c:v>13.145906810791836</c:v>
                </c:pt>
                <c:pt idx="29">
                  <c:v>13.429556389359183</c:v>
                </c:pt>
                <c:pt idx="30">
                  <c:v>13.714374733383675</c:v>
                </c:pt>
              </c:numCache>
            </c:numRef>
          </c:val>
          <c:extLst>
            <c:ext xmlns:c16="http://schemas.microsoft.com/office/drawing/2014/chart" uri="{C3380CC4-5D6E-409C-BE32-E72D297353CC}">
              <c16:uniqueId val="{00000007-574E-854A-BFAE-20E18B87342E}"/>
            </c:ext>
          </c:extLst>
        </c:ser>
        <c:ser>
          <c:idx val="7"/>
          <c:order val="7"/>
          <c:tx>
            <c:strRef>
              <c:f>NICCS_Fuel_cons!$B$47</c:f>
              <c:strCache>
                <c:ptCount val="1"/>
                <c:pt idx="0">
                  <c:v>pellets</c:v>
                </c:pt>
              </c:strCache>
            </c:strRef>
          </c:tx>
          <c:spPr>
            <a:solidFill>
              <a:schemeClr val="accent2">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NICCS_Fuel_cons!$F$47:$AJ$47</c:f>
              <c:numCache>
                <c:formatCode>0.00</c:formatCode>
                <c:ptCount val="31"/>
                <c:pt idx="0">
                  <c:v>0</c:v>
                </c:pt>
                <c:pt idx="1">
                  <c:v>0</c:v>
                </c:pt>
                <c:pt idx="2">
                  <c:v>0</c:v>
                </c:pt>
                <c:pt idx="3">
                  <c:v>0</c:v>
                </c:pt>
                <c:pt idx="4">
                  <c:v>0</c:v>
                </c:pt>
                <c:pt idx="5">
                  <c:v>0</c:v>
                </c:pt>
                <c:pt idx="6">
                  <c:v>0.91454651343493076</c:v>
                </c:pt>
                <c:pt idx="7">
                  <c:v>1.8926277831781102</c:v>
                </c:pt>
                <c:pt idx="8">
                  <c:v>2.9361169610249975</c:v>
                </c:pt>
                <c:pt idx="9">
                  <c:v>4.0466822033565801</c:v>
                </c:pt>
                <c:pt idx="10">
                  <c:v>5.2258059560165391</c:v>
                </c:pt>
                <c:pt idx="11">
                  <c:v>6.4748350767583123</c:v>
                </c:pt>
                <c:pt idx="12">
                  <c:v>7.7950067809355907</c:v>
                </c:pt>
                <c:pt idx="13">
                  <c:v>9.1873582180683488</c:v>
                </c:pt>
                <c:pt idx="14">
                  <c:v>10.652629980010296</c:v>
                </c:pt>
                <c:pt idx="15">
                  <c:v>12.194542645066912</c:v>
                </c:pt>
                <c:pt idx="16">
                  <c:v>13.814456751671845</c:v>
                </c:pt>
                <c:pt idx="17">
                  <c:v>15.513953421646395</c:v>
                </c:pt>
                <c:pt idx="18">
                  <c:v>17.294673001548475</c:v>
                </c:pt>
                <c:pt idx="19">
                  <c:v>19.158263475368631</c:v>
                </c:pt>
                <c:pt idx="20">
                  <c:v>21.106337851027575</c:v>
                </c:pt>
                <c:pt idx="21">
                  <c:v>21.694114043888995</c:v>
                </c:pt>
                <c:pt idx="22">
                  <c:v>22.289836557959003</c:v>
                </c:pt>
                <c:pt idx="23">
                  <c:v>22.893312762146756</c:v>
                </c:pt>
                <c:pt idx="24">
                  <c:v>23.504331977552631</c:v>
                </c:pt>
                <c:pt idx="25">
                  <c:v>24.122677923666053</c:v>
                </c:pt>
                <c:pt idx="26">
                  <c:v>24.748109699608182</c:v>
                </c:pt>
                <c:pt idx="27">
                  <c:v>25.38037040659211</c:v>
                </c:pt>
                <c:pt idx="28">
                  <c:v>26.019214139642479</c:v>
                </c:pt>
                <c:pt idx="29">
                  <c:v>26.664366513348838</c:v>
                </c:pt>
                <c:pt idx="30">
                  <c:v>27.315532153390183</c:v>
                </c:pt>
              </c:numCache>
            </c:numRef>
          </c:val>
          <c:extLst>
            <c:ext xmlns:c16="http://schemas.microsoft.com/office/drawing/2014/chart" uri="{C3380CC4-5D6E-409C-BE32-E72D297353CC}">
              <c16:uniqueId val="{00000008-574E-854A-BFAE-20E18B87342E}"/>
            </c:ext>
          </c:extLst>
        </c:ser>
        <c:ser>
          <c:idx val="8"/>
          <c:order val="8"/>
          <c:tx>
            <c:strRef>
              <c:f>NICCS_Fuel_cons!$B$48</c:f>
              <c:strCache>
                <c:ptCount val="1"/>
                <c:pt idx="0">
                  <c:v>ethanol</c:v>
                </c:pt>
              </c:strCache>
            </c:strRef>
          </c:tx>
          <c:spPr>
            <a:solidFill>
              <a:schemeClr val="accent3">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NICCS_Fuel_cons!$F$48:$AJ$48</c:f>
              <c:numCache>
                <c:formatCode>0.00</c:formatCode>
                <c:ptCount val="31"/>
                <c:pt idx="0">
                  <c:v>0</c:v>
                </c:pt>
                <c:pt idx="1">
                  <c:v>0</c:v>
                </c:pt>
                <c:pt idx="2">
                  <c:v>0</c:v>
                </c:pt>
                <c:pt idx="3">
                  <c:v>0</c:v>
                </c:pt>
                <c:pt idx="4">
                  <c:v>0</c:v>
                </c:pt>
                <c:pt idx="5">
                  <c:v>0</c:v>
                </c:pt>
                <c:pt idx="6">
                  <c:v>0.29112505929257149</c:v>
                </c:pt>
                <c:pt idx="7">
                  <c:v>0.60451294039028569</c:v>
                </c:pt>
                <c:pt idx="8">
                  <c:v>0.9409322251697142</c:v>
                </c:pt>
                <c:pt idx="9">
                  <c:v>1.3010980682674287</c:v>
                </c:pt>
                <c:pt idx="10">
                  <c:v>1.6856754664371429</c:v>
                </c:pt>
                <c:pt idx="11">
                  <c:v>2.0952868149257147</c:v>
                </c:pt>
                <c:pt idx="12">
                  <c:v>2.5305158949000006</c:v>
                </c:pt>
                <c:pt idx="13">
                  <c:v>2.991875916966857</c:v>
                </c:pt>
                <c:pt idx="14">
                  <c:v>3.4797580840800002</c:v>
                </c:pt>
                <c:pt idx="15">
                  <c:v>3.9956611670400006</c:v>
                </c:pt>
                <c:pt idx="16">
                  <c:v>4.5401993151805717</c:v>
                </c:pt>
                <c:pt idx="17">
                  <c:v>5.1141022062171428</c:v>
                </c:pt>
                <c:pt idx="18">
                  <c:v>5.718126859201714</c:v>
                </c:pt>
                <c:pt idx="19">
                  <c:v>6.3530426786999996</c:v>
                </c:pt>
                <c:pt idx="20">
                  <c:v>7.0196114701028582</c:v>
                </c:pt>
                <c:pt idx="21">
                  <c:v>7.236146670467142</c:v>
                </c:pt>
                <c:pt idx="22">
                  <c:v>7.456388537185715</c:v>
                </c:pt>
                <c:pt idx="23">
                  <c:v>7.680297463482856</c:v>
                </c:pt>
                <c:pt idx="24">
                  <c:v>7.9078289742128574</c:v>
                </c:pt>
                <c:pt idx="25">
                  <c:v>8.1389308904357147</c:v>
                </c:pt>
                <c:pt idx="26">
                  <c:v>8.3735393526900008</c:v>
                </c:pt>
                <c:pt idx="27">
                  <c:v>8.6115768058800022</c:v>
                </c:pt>
                <c:pt idx="28">
                  <c:v>8.8529647141028569</c:v>
                </c:pt>
                <c:pt idx="29">
                  <c:v>9.0976090268699998</c:v>
                </c:pt>
                <c:pt idx="30">
                  <c:v>9.3454098801814283</c:v>
                </c:pt>
              </c:numCache>
            </c:numRef>
          </c:val>
          <c:extLst>
            <c:ext xmlns:c16="http://schemas.microsoft.com/office/drawing/2014/chart" uri="{C3380CC4-5D6E-409C-BE32-E72D297353CC}">
              <c16:uniqueId val="{00000009-574E-854A-BFAE-20E18B87342E}"/>
            </c:ext>
          </c:extLst>
        </c:ser>
        <c:ser>
          <c:idx val="9"/>
          <c:order val="9"/>
          <c:tx>
            <c:strRef>
              <c:f>NICCS_Fuel_cons!$B$49</c:f>
              <c:strCache>
                <c:ptCount val="1"/>
                <c:pt idx="0">
                  <c:v>biogas</c:v>
                </c:pt>
              </c:strCache>
            </c:strRef>
          </c:tx>
          <c:spPr>
            <a:solidFill>
              <a:schemeClr val="accent4">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NICCS_Fuel_cons!$F$49:$AJ$49</c:f>
              <c:numCache>
                <c:formatCode>0.00</c:formatCode>
                <c:ptCount val="31"/>
                <c:pt idx="0">
                  <c:v>0</c:v>
                </c:pt>
                <c:pt idx="1">
                  <c:v>0</c:v>
                </c:pt>
                <c:pt idx="2">
                  <c:v>0</c:v>
                </c:pt>
                <c:pt idx="3">
                  <c:v>0</c:v>
                </c:pt>
                <c:pt idx="4">
                  <c:v>0</c:v>
                </c:pt>
                <c:pt idx="5">
                  <c:v>0</c:v>
                </c:pt>
                <c:pt idx="6">
                  <c:v>7.8738116416462167E-2</c:v>
                </c:pt>
                <c:pt idx="7">
                  <c:v>0.1610110479020434</c:v>
                </c:pt>
                <c:pt idx="8">
                  <c:v>0.24681644480458964</c:v>
                </c:pt>
                <c:pt idx="9">
                  <c:v>0.33612307633088406</c:v>
                </c:pt>
                <c:pt idx="10">
                  <c:v>0.42887521574815096</c:v>
                </c:pt>
                <c:pt idx="11">
                  <c:v>0.52500493118603531</c:v>
                </c:pt>
                <c:pt idx="12">
                  <c:v>0.62443837585122475</c:v>
                </c:pt>
                <c:pt idx="13">
                  <c:v>0.72709101529651066</c:v>
                </c:pt>
                <c:pt idx="14">
                  <c:v>0.83287899631063922</c:v>
                </c:pt>
                <c:pt idx="15">
                  <c:v>0.94182408581009469</c:v>
                </c:pt>
                <c:pt idx="16">
                  <c:v>1.0538714952912596</c:v>
                </c:pt>
                <c:pt idx="17">
                  <c:v>1.1689424012670233</c:v>
                </c:pt>
                <c:pt idx="18">
                  <c:v>1.2869550187095378</c:v>
                </c:pt>
                <c:pt idx="19">
                  <c:v>1.4078187677124057</c:v>
                </c:pt>
                <c:pt idx="20">
                  <c:v>1.5314367006487228</c:v>
                </c:pt>
                <c:pt idx="21">
                  <c:v>1.5540952407781958</c:v>
                </c:pt>
                <c:pt idx="22">
                  <c:v>1.5763201354697252</c:v>
                </c:pt>
                <c:pt idx="23">
                  <c:v>1.5980741818975361</c:v>
                </c:pt>
                <c:pt idx="24">
                  <c:v>1.6193177908703835</c:v>
                </c:pt>
                <c:pt idx="25">
                  <c:v>1.6400165130611117</c:v>
                </c:pt>
                <c:pt idx="26">
                  <c:v>1.6601374288640172</c:v>
                </c:pt>
                <c:pt idx="27">
                  <c:v>1.6796544106366558</c:v>
                </c:pt>
                <c:pt idx="28">
                  <c:v>1.6985465317895287</c:v>
                </c:pt>
                <c:pt idx="29">
                  <c:v>1.7167965370646296</c:v>
                </c:pt>
                <c:pt idx="30">
                  <c:v>1.7343845400830478</c:v>
                </c:pt>
              </c:numCache>
            </c:numRef>
          </c:val>
          <c:extLst>
            <c:ext xmlns:c16="http://schemas.microsoft.com/office/drawing/2014/chart" uri="{C3380CC4-5D6E-409C-BE32-E72D297353CC}">
              <c16:uniqueId val="{0000000A-574E-854A-BFAE-20E18B87342E}"/>
            </c:ext>
          </c:extLst>
        </c:ser>
        <c:ser>
          <c:idx val="10"/>
          <c:order val="10"/>
          <c:tx>
            <c:strRef>
              <c:f>NICCS_Fuel_cons!$B$50</c:f>
              <c:strCache>
                <c:ptCount val="1"/>
                <c:pt idx="0">
                  <c:v>other</c:v>
                </c:pt>
              </c:strCache>
            </c:strRef>
          </c:tx>
          <c:spPr>
            <a:solidFill>
              <a:schemeClr val="accent5">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NICCS_Fuel_cons!$F$50:$AJ$50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B-574E-854A-BFAE-20E18B87342E}"/>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NICCS_Fuel_cons!$B$51</c:f>
              <c:strCache>
                <c:ptCount val="1"/>
                <c:pt idx="0">
                  <c:v>fuelwood</c:v>
                </c:pt>
              </c:strCache>
            </c:strRef>
          </c:tx>
          <c:spPr>
            <a:solidFill>
              <a:schemeClr val="accent2"/>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NICCS_Fuel_cons!$F$51:$AJ$51</c:f>
              <c:numCache>
                <c:formatCode>0.00</c:formatCode>
                <c:ptCount val="31"/>
                <c:pt idx="0">
                  <c:v>144.51002303462442</c:v>
                </c:pt>
                <c:pt idx="1">
                  <c:v>146.11966645583419</c:v>
                </c:pt>
                <c:pt idx="2">
                  <c:v>147.65063310379333</c:v>
                </c:pt>
                <c:pt idx="3">
                  <c:v>149.1032137762804</c:v>
                </c:pt>
                <c:pt idx="4">
                  <c:v>150.47950576017209</c:v>
                </c:pt>
                <c:pt idx="5">
                  <c:v>149.98925521061111</c:v>
                </c:pt>
                <c:pt idx="6">
                  <c:v>143.19460467873256</c:v>
                </c:pt>
                <c:pt idx="7">
                  <c:v>135.95107029358979</c:v>
                </c:pt>
                <c:pt idx="8">
                  <c:v>128.24713783771202</c:v>
                </c:pt>
                <c:pt idx="9">
                  <c:v>120.07279536278595</c:v>
                </c:pt>
                <c:pt idx="10">
                  <c:v>111.42292190615173</c:v>
                </c:pt>
                <c:pt idx="11">
                  <c:v>102.2982582693199</c:v>
                </c:pt>
                <c:pt idx="12">
                  <c:v>92.703286354419831</c:v>
                </c:pt>
                <c:pt idx="13">
                  <c:v>82.643828712952811</c:v>
                </c:pt>
                <c:pt idx="14">
                  <c:v>72.128059596780687</c:v>
                </c:pt>
                <c:pt idx="15">
                  <c:v>61.172100712025937</c:v>
                </c:pt>
                <c:pt idx="16">
                  <c:v>49.781566889022294</c:v>
                </c:pt>
                <c:pt idx="17">
                  <c:v>37.961793170408512</c:v>
                </c:pt>
                <c:pt idx="18">
                  <c:v>25.719564407788347</c:v>
                </c:pt>
                <c:pt idx="19">
                  <c:v>13.062680742961767</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28A-8943-81E7-EF6BE5B2EA27}"/>
            </c:ext>
          </c:extLst>
        </c:ser>
        <c:ser>
          <c:idx val="0"/>
          <c:order val="1"/>
          <c:tx>
            <c:strRef>
              <c:f>NICCS_Fuel_cons!$B$52</c:f>
              <c:strCache>
                <c:ptCount val="1"/>
                <c:pt idx="0">
                  <c:v>charcoal</c:v>
                </c:pt>
              </c:strCache>
            </c:strRef>
          </c:tx>
          <c:spPr>
            <a:solidFill>
              <a:schemeClr val="accent1"/>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NICCS_Fuel_cons!$F$52:$AJ$52</c:f>
              <c:numCache>
                <c:formatCode>0.00</c:formatCode>
                <c:ptCount val="31"/>
                <c:pt idx="0">
                  <c:v>9.7221376999923574</c:v>
                </c:pt>
                <c:pt idx="1">
                  <c:v>10.902151979542859</c:v>
                </c:pt>
                <c:pt idx="2">
                  <c:v>12.129505605031271</c:v>
                </c:pt>
                <c:pt idx="3">
                  <c:v>13.404675467476194</c:v>
                </c:pt>
                <c:pt idx="4">
                  <c:v>14.728350383990081</c:v>
                </c:pt>
                <c:pt idx="5">
                  <c:v>16.84088932148801</c:v>
                </c:pt>
                <c:pt idx="6">
                  <c:v>16.077981622367307</c:v>
                </c:pt>
                <c:pt idx="7">
                  <c:v>15.264672957654692</c:v>
                </c:pt>
                <c:pt idx="8">
                  <c:v>14.39967050366238</c:v>
                </c:pt>
                <c:pt idx="9">
                  <c:v>13.48185011244259</c:v>
                </c:pt>
                <c:pt idx="10">
                  <c:v>12.510636799038869</c:v>
                </c:pt>
                <c:pt idx="11">
                  <c:v>11.486113741117718</c:v>
                </c:pt>
                <c:pt idx="12">
                  <c:v>10.40878416951127</c:v>
                </c:pt>
                <c:pt idx="13">
                  <c:v>9.2793018440189439</c:v>
                </c:pt>
                <c:pt idx="14">
                  <c:v>8.0985845748578651</c:v>
                </c:pt>
                <c:pt idx="15">
                  <c:v>6.8684425174828476</c:v>
                </c:pt>
                <c:pt idx="16">
                  <c:v>5.5895061086280133</c:v>
                </c:pt>
                <c:pt idx="17">
                  <c:v>4.2623743702864978</c:v>
                </c:pt>
                <c:pt idx="18">
                  <c:v>2.8878091099275167</c:v>
                </c:pt>
                <c:pt idx="19">
                  <c:v>1.4666861324516316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F28A-8943-81E7-EF6BE5B2EA27}"/>
            </c:ext>
          </c:extLst>
        </c:ser>
        <c:ser>
          <c:idx val="2"/>
          <c:order val="2"/>
          <c:tx>
            <c:strRef>
              <c:f>NICCS_Fuel_cons!$B$53</c:f>
              <c:strCache>
                <c:ptCount val="1"/>
                <c:pt idx="0">
                  <c:v>Imp_fuelwood</c:v>
                </c:pt>
              </c:strCache>
            </c:strRef>
          </c:tx>
          <c:spPr>
            <a:solidFill>
              <a:schemeClr val="accent3"/>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NICCS_Fuel_cons!$F$53:$AJ$53</c:f>
              <c:numCache>
                <c:formatCode>0.00</c:formatCode>
                <c:ptCount val="31"/>
                <c:pt idx="0">
                  <c:v>0</c:v>
                </c:pt>
                <c:pt idx="1">
                  <c:v>0</c:v>
                </c:pt>
                <c:pt idx="2">
                  <c:v>0</c:v>
                </c:pt>
                <c:pt idx="3">
                  <c:v>0</c:v>
                </c:pt>
                <c:pt idx="4">
                  <c:v>0</c:v>
                </c:pt>
                <c:pt idx="5">
                  <c:v>0</c:v>
                </c:pt>
                <c:pt idx="6">
                  <c:v>1.300353016251429</c:v>
                </c:pt>
                <c:pt idx="7">
                  <c:v>2.6590831901771432</c:v>
                </c:pt>
                <c:pt idx="8">
                  <c:v>4.076151717480001</c:v>
                </c:pt>
                <c:pt idx="9">
                  <c:v>5.5510428243771441</c:v>
                </c:pt>
                <c:pt idx="10">
                  <c:v>7.0828361888142872</c:v>
                </c:pt>
                <c:pt idx="11">
                  <c:v>8.6704099219714319</c:v>
                </c:pt>
                <c:pt idx="12">
                  <c:v>10.312544450600003</c:v>
                </c:pt>
                <c:pt idx="13">
                  <c:v>12.007843695794289</c:v>
                </c:pt>
                <c:pt idx="14">
                  <c:v>13.754922829200002</c:v>
                </c:pt>
                <c:pt idx="15">
                  <c:v>15.554141329514287</c:v>
                </c:pt>
                <c:pt idx="16">
                  <c:v>17.404594369454287</c:v>
                </c:pt>
                <c:pt idx="17">
                  <c:v>19.304980186114289</c:v>
                </c:pt>
                <c:pt idx="18">
                  <c:v>21.253948107005716</c:v>
                </c:pt>
                <c:pt idx="19">
                  <c:v>23.250002213000005</c:v>
                </c:pt>
                <c:pt idx="20">
                  <c:v>25.291541422628576</c:v>
                </c:pt>
                <c:pt idx="21">
                  <c:v>25.665745205271438</c:v>
                </c:pt>
                <c:pt idx="22">
                  <c:v>26.032787371928574</c:v>
                </c:pt>
                <c:pt idx="23">
                  <c:v>26.392053521228579</c:v>
                </c:pt>
                <c:pt idx="24">
                  <c:v>26.742889841185711</c:v>
                </c:pt>
                <c:pt idx="25">
                  <c:v>27.084727404214288</c:v>
                </c:pt>
                <c:pt idx="26">
                  <c:v>27.41702254594286</c:v>
                </c:pt>
                <c:pt idx="27">
                  <c:v>27.739343770671436</c:v>
                </c:pt>
                <c:pt idx="28">
                  <c:v>28.051345477628573</c:v>
                </c:pt>
                <c:pt idx="29">
                  <c:v>28.352742697757144</c:v>
                </c:pt>
                <c:pt idx="30">
                  <c:v>28.643207009271432</c:v>
                </c:pt>
              </c:numCache>
            </c:numRef>
          </c:val>
          <c:extLst>
            <c:ext xmlns:c16="http://schemas.microsoft.com/office/drawing/2014/chart" uri="{C3380CC4-5D6E-409C-BE32-E72D297353CC}">
              <c16:uniqueId val="{00000002-F28A-8943-81E7-EF6BE5B2EA27}"/>
            </c:ext>
          </c:extLst>
        </c:ser>
        <c:ser>
          <c:idx val="3"/>
          <c:order val="3"/>
          <c:tx>
            <c:strRef>
              <c:f>NICCS_Fuel_cons!$B$54</c:f>
              <c:strCache>
                <c:ptCount val="1"/>
                <c:pt idx="0">
                  <c:v>Imp_charcoal</c:v>
                </c:pt>
              </c:strCache>
            </c:strRef>
          </c:tx>
          <c:spPr>
            <a:solidFill>
              <a:schemeClr val="accent4"/>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NICCS_Fuel_cons!$F$54:$AJ$54</c:f>
              <c:numCache>
                <c:formatCode>0.00</c:formatCode>
                <c:ptCount val="31"/>
                <c:pt idx="0">
                  <c:v>0</c:v>
                </c:pt>
                <c:pt idx="1">
                  <c:v>0</c:v>
                </c:pt>
                <c:pt idx="2">
                  <c:v>0</c:v>
                </c:pt>
                <c:pt idx="3">
                  <c:v>0</c:v>
                </c:pt>
                <c:pt idx="4">
                  <c:v>0</c:v>
                </c:pt>
                <c:pt idx="5">
                  <c:v>0</c:v>
                </c:pt>
                <c:pt idx="6">
                  <c:v>1.2621073393028575</c:v>
                </c:pt>
                <c:pt idx="7">
                  <c:v>2.5808748610542858</c:v>
                </c:pt>
                <c:pt idx="8">
                  <c:v>3.9562649022600014</c:v>
                </c:pt>
                <c:pt idx="9">
                  <c:v>5.387776858954286</c:v>
                </c:pt>
                <c:pt idx="10">
                  <c:v>6.8745174773785731</c:v>
                </c:pt>
                <c:pt idx="11">
                  <c:v>8.4153978654428592</c:v>
                </c:pt>
                <c:pt idx="12">
                  <c:v>10.009234319700001</c:v>
                </c:pt>
                <c:pt idx="13">
                  <c:v>11.654671822388572</c:v>
                </c:pt>
                <c:pt idx="14">
                  <c:v>13.350366275400001</c:v>
                </c:pt>
                <c:pt idx="15">
                  <c:v>15.096666584528569</c:v>
                </c:pt>
                <c:pt idx="16">
                  <c:v>16.89269453505857</c:v>
                </c:pt>
                <c:pt idx="17">
                  <c:v>18.737186651228573</c:v>
                </c:pt>
                <c:pt idx="18">
                  <c:v>20.628831986211431</c:v>
                </c:pt>
                <c:pt idx="19">
                  <c:v>22.5661786185</c:v>
                </c:pt>
                <c:pt idx="20">
                  <c:v>24.547672557257147</c:v>
                </c:pt>
                <c:pt idx="21">
                  <c:v>24.91087034629286</c:v>
                </c:pt>
                <c:pt idx="22">
                  <c:v>25.26711715510714</c:v>
                </c:pt>
                <c:pt idx="23">
                  <c:v>25.615816652957147</c:v>
                </c:pt>
                <c:pt idx="24">
                  <c:v>25.956334257621425</c:v>
                </c:pt>
                <c:pt idx="25">
                  <c:v>26.288117774678572</c:v>
                </c:pt>
                <c:pt idx="26">
                  <c:v>26.610639529885713</c:v>
                </c:pt>
                <c:pt idx="27">
                  <c:v>26.92348071859286</c:v>
                </c:pt>
                <c:pt idx="28">
                  <c:v>27.226305904757144</c:v>
                </c:pt>
                <c:pt idx="29">
                  <c:v>27.518838500764289</c:v>
                </c:pt>
                <c:pt idx="30">
                  <c:v>27.800759744292858</c:v>
                </c:pt>
              </c:numCache>
            </c:numRef>
          </c:val>
          <c:extLst>
            <c:ext xmlns:c16="http://schemas.microsoft.com/office/drawing/2014/chart" uri="{C3380CC4-5D6E-409C-BE32-E72D297353CC}">
              <c16:uniqueId val="{00000003-F28A-8943-81E7-EF6BE5B2EA27}"/>
            </c:ext>
          </c:extLst>
        </c:ser>
        <c:ser>
          <c:idx val="4"/>
          <c:order val="4"/>
          <c:tx>
            <c:strRef>
              <c:f>NICCS_Fuel_cons!$B$55</c:f>
              <c:strCache>
                <c:ptCount val="1"/>
                <c:pt idx="0">
                  <c:v>Gas</c:v>
                </c:pt>
              </c:strCache>
            </c:strRef>
          </c:tx>
          <c:spPr>
            <a:solidFill>
              <a:schemeClr val="accent5"/>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NICCS_Fuel_cons!$F$55:$AJ$55</c:f>
              <c:numCache>
                <c:formatCode>0.00</c:formatCode>
                <c:ptCount val="31"/>
                <c:pt idx="0">
                  <c:v>4.2930048875278147E-3</c:v>
                </c:pt>
                <c:pt idx="1">
                  <c:v>4.2354659218767779E-3</c:v>
                </c:pt>
                <c:pt idx="2">
                  <c:v>4.1704155777928364E-3</c:v>
                </c:pt>
                <c:pt idx="3">
                  <c:v>4.0978175359459397E-3</c:v>
                </c:pt>
                <c:pt idx="4">
                  <c:v>4.0176802568708944E-3</c:v>
                </c:pt>
                <c:pt idx="5">
                  <c:v>3.9531543930262786E-3</c:v>
                </c:pt>
                <c:pt idx="6">
                  <c:v>0.62335403944793488</c:v>
                </c:pt>
                <c:pt idx="7">
                  <c:v>1.2705580922641015</c:v>
                </c:pt>
                <c:pt idx="8">
                  <c:v>1.9455465202636406</c:v>
                </c:pt>
                <c:pt idx="9">
                  <c:v>2.6480733085314174</c:v>
                </c:pt>
                <c:pt idx="10">
                  <c:v>3.377699815707488</c:v>
                </c:pt>
                <c:pt idx="11">
                  <c:v>4.1338915142906014</c:v>
                </c:pt>
                <c:pt idx="12">
                  <c:v>4.9160674316237492</c:v>
                </c:pt>
                <c:pt idx="13">
                  <c:v>5.7235625306301321</c:v>
                </c:pt>
                <c:pt idx="14">
                  <c:v>6.5557171967718064</c:v>
                </c:pt>
                <c:pt idx="15">
                  <c:v>7.4127031359827829</c:v>
                </c:pt>
                <c:pt idx="16">
                  <c:v>8.2940893726612277</c:v>
                </c:pt>
                <c:pt idx="17">
                  <c:v>9.1992557956814274</c:v>
                </c:pt>
                <c:pt idx="18">
                  <c:v>10.127559028151492</c:v>
                </c:pt>
                <c:pt idx="19">
                  <c:v>11.078286514186766</c:v>
                </c:pt>
                <c:pt idx="20">
                  <c:v>12.050675619017145</c:v>
                </c:pt>
                <c:pt idx="21">
                  <c:v>12.228972715452857</c:v>
                </c:pt>
                <c:pt idx="22">
                  <c:v>12.403857512507145</c:v>
                </c:pt>
                <c:pt idx="23">
                  <c:v>12.575037265997146</c:v>
                </c:pt>
                <c:pt idx="24">
                  <c:v>12.742200453741429</c:v>
                </c:pt>
                <c:pt idx="25">
                  <c:v>12.905075998478575</c:v>
                </c:pt>
                <c:pt idx="26">
                  <c:v>13.063404860125717</c:v>
                </c:pt>
                <c:pt idx="27">
                  <c:v>13.216981443672859</c:v>
                </c:pt>
                <c:pt idx="28">
                  <c:v>13.365641080517142</c:v>
                </c:pt>
                <c:pt idx="29">
                  <c:v>13.509247991284287</c:v>
                </c:pt>
                <c:pt idx="30">
                  <c:v>13.647645692652858</c:v>
                </c:pt>
              </c:numCache>
            </c:numRef>
          </c:val>
          <c:extLst>
            <c:ext xmlns:c16="http://schemas.microsoft.com/office/drawing/2014/chart" uri="{C3380CC4-5D6E-409C-BE32-E72D297353CC}">
              <c16:uniqueId val="{00000004-F28A-8943-81E7-EF6BE5B2EA27}"/>
            </c:ext>
          </c:extLst>
        </c:ser>
        <c:ser>
          <c:idx val="5"/>
          <c:order val="5"/>
          <c:tx>
            <c:strRef>
              <c:f>NICCS_Fuel_cons!$B$56</c:f>
              <c:strCache>
                <c:ptCount val="1"/>
                <c:pt idx="0">
                  <c:v>kerosene</c:v>
                </c:pt>
              </c:strCache>
            </c:strRef>
          </c:tx>
          <c:spPr>
            <a:solidFill>
              <a:schemeClr val="accent6"/>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NICCS_Fuel_cons!$F$56:$AJ$56</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F28A-8943-81E7-EF6BE5B2EA27}"/>
            </c:ext>
          </c:extLst>
        </c:ser>
        <c:ser>
          <c:idx val="6"/>
          <c:order val="6"/>
          <c:tx>
            <c:strRef>
              <c:f>NICCS_Fuel_cons!$B$57</c:f>
              <c:strCache>
                <c:ptCount val="1"/>
                <c:pt idx="0">
                  <c:v>electric</c:v>
                </c:pt>
              </c:strCache>
            </c:strRef>
          </c:tx>
          <c:spPr>
            <a:solidFill>
              <a:schemeClr val="accent1">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NICCS_Fuel_cons!$F$57:$AJ$57</c:f>
              <c:numCache>
                <c:formatCode>0.00</c:formatCode>
                <c:ptCount val="31"/>
                <c:pt idx="0">
                  <c:v>6.0316433777836909E-2</c:v>
                </c:pt>
                <c:pt idx="1">
                  <c:v>5.6668755790864084E-2</c:v>
                </c:pt>
                <c:pt idx="2">
                  <c:v>5.277610705903181E-2</c:v>
                </c:pt>
                <c:pt idx="3">
                  <c:v>4.8636765725434059E-2</c:v>
                </c:pt>
                <c:pt idx="4">
                  <c:v>4.4249399617278626E-2</c:v>
                </c:pt>
                <c:pt idx="5">
                  <c:v>4.3538733125083877E-2</c:v>
                </c:pt>
                <c:pt idx="6">
                  <c:v>0.30382245917216399</c:v>
                </c:pt>
                <c:pt idx="7">
                  <c:v>0.57574942806177987</c:v>
                </c:pt>
                <c:pt idx="8">
                  <c:v>0.85930847138150246</c:v>
                </c:pt>
                <c:pt idx="9">
                  <c:v>1.1543926612695801</c:v>
                </c:pt>
                <c:pt idx="10">
                  <c:v>1.4608149000474093</c:v>
                </c:pt>
                <c:pt idx="11">
                  <c:v>1.7783491394626931</c:v>
                </c:pt>
                <c:pt idx="12">
                  <c:v>2.1067507161649095</c:v>
                </c:pt>
                <c:pt idx="13">
                  <c:v>2.4457397581863232</c:v>
                </c:pt>
                <c:pt idx="14">
                  <c:v>2.7950393452272357</c:v>
                </c:pt>
                <c:pt idx="15">
                  <c:v>3.1547266569859125</c:v>
                </c:pt>
                <c:pt idx="16">
                  <c:v>3.5246208371550725</c:v>
                </c:pt>
                <c:pt idx="17">
                  <c:v>3.9044608939676744</c:v>
                </c:pt>
                <c:pt idx="18">
                  <c:v>4.2939763923882417</c:v>
                </c:pt>
                <c:pt idx="19">
                  <c:v>4.6928678986587347</c:v>
                </c:pt>
                <c:pt idx="20">
                  <c:v>5.100815076832653</c:v>
                </c:pt>
                <c:pt idx="21">
                  <c:v>5.1762847472816329</c:v>
                </c:pt>
                <c:pt idx="22">
                  <c:v>5.2503100582040814</c:v>
                </c:pt>
                <c:pt idx="23">
                  <c:v>5.3227670967183673</c:v>
                </c:pt>
                <c:pt idx="24">
                  <c:v>5.3935240015836721</c:v>
                </c:pt>
                <c:pt idx="25">
                  <c:v>5.462466031102041</c:v>
                </c:pt>
                <c:pt idx="26">
                  <c:v>5.5294835386775514</c:v>
                </c:pt>
                <c:pt idx="27">
                  <c:v>5.5944894999673478</c:v>
                </c:pt>
                <c:pt idx="28">
                  <c:v>5.6574142139755095</c:v>
                </c:pt>
                <c:pt idx="29">
                  <c:v>5.7182002079510204</c:v>
                </c:pt>
                <c:pt idx="30">
                  <c:v>5.7767812455673466</c:v>
                </c:pt>
              </c:numCache>
            </c:numRef>
          </c:val>
          <c:extLst>
            <c:ext xmlns:c16="http://schemas.microsoft.com/office/drawing/2014/chart" uri="{C3380CC4-5D6E-409C-BE32-E72D297353CC}">
              <c16:uniqueId val="{00000006-F28A-8943-81E7-EF6BE5B2EA27}"/>
            </c:ext>
          </c:extLst>
        </c:ser>
        <c:ser>
          <c:idx val="7"/>
          <c:order val="7"/>
          <c:tx>
            <c:strRef>
              <c:f>NICCS_Fuel_cons!$B$58</c:f>
              <c:strCache>
                <c:ptCount val="1"/>
                <c:pt idx="0">
                  <c:v>pellets</c:v>
                </c:pt>
              </c:strCache>
            </c:strRef>
          </c:tx>
          <c:spPr>
            <a:solidFill>
              <a:schemeClr val="accent2">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NICCS_Fuel_cons!$F$58:$AJ$58</c:f>
              <c:numCache>
                <c:formatCode>0.00</c:formatCode>
                <c:ptCount val="31"/>
                <c:pt idx="0">
                  <c:v>0</c:v>
                </c:pt>
                <c:pt idx="1">
                  <c:v>0</c:v>
                </c:pt>
                <c:pt idx="2">
                  <c:v>0</c:v>
                </c:pt>
                <c:pt idx="3">
                  <c:v>0</c:v>
                </c:pt>
                <c:pt idx="4">
                  <c:v>0</c:v>
                </c:pt>
                <c:pt idx="5">
                  <c:v>0</c:v>
                </c:pt>
                <c:pt idx="6">
                  <c:v>0.31495246566584867</c:v>
                </c:pt>
                <c:pt idx="7">
                  <c:v>0.64404419160817361</c:v>
                </c:pt>
                <c:pt idx="8">
                  <c:v>0.98726577921835856</c:v>
                </c:pt>
                <c:pt idx="9">
                  <c:v>1.3444923053235365</c:v>
                </c:pt>
                <c:pt idx="10">
                  <c:v>1.7155008629926036</c:v>
                </c:pt>
                <c:pt idx="11">
                  <c:v>2.1000197247441412</c:v>
                </c:pt>
                <c:pt idx="12">
                  <c:v>2.497753503404899</c:v>
                </c:pt>
                <c:pt idx="13">
                  <c:v>2.9083640611860431</c:v>
                </c:pt>
                <c:pt idx="14">
                  <c:v>3.3315159852425573</c:v>
                </c:pt>
                <c:pt idx="15">
                  <c:v>3.7672963432403788</c:v>
                </c:pt>
                <c:pt idx="16">
                  <c:v>4.2154859811650383</c:v>
                </c:pt>
                <c:pt idx="17">
                  <c:v>4.6757696050680932</c:v>
                </c:pt>
                <c:pt idx="18">
                  <c:v>5.1478200748381502</c:v>
                </c:pt>
                <c:pt idx="19">
                  <c:v>5.6312750708496244</c:v>
                </c:pt>
                <c:pt idx="20">
                  <c:v>6.1257468025948922</c:v>
                </c:pt>
                <c:pt idx="21">
                  <c:v>6.2163809631127833</c:v>
                </c:pt>
                <c:pt idx="22">
                  <c:v>6.3052805418789006</c:v>
                </c:pt>
                <c:pt idx="23">
                  <c:v>6.3922967275901446</c:v>
                </c:pt>
                <c:pt idx="24">
                  <c:v>6.4772711634815341</c:v>
                </c:pt>
                <c:pt idx="25">
                  <c:v>6.5600660522444469</c:v>
                </c:pt>
                <c:pt idx="26">
                  <c:v>6.6405497154560686</c:v>
                </c:pt>
                <c:pt idx="27">
                  <c:v>6.7186176425466231</c:v>
                </c:pt>
                <c:pt idx="28">
                  <c:v>6.7941861271581168</c:v>
                </c:pt>
                <c:pt idx="29">
                  <c:v>6.8671861482585204</c:v>
                </c:pt>
                <c:pt idx="30">
                  <c:v>6.9375381603321919</c:v>
                </c:pt>
              </c:numCache>
            </c:numRef>
          </c:val>
          <c:extLst>
            <c:ext xmlns:c16="http://schemas.microsoft.com/office/drawing/2014/chart" uri="{C3380CC4-5D6E-409C-BE32-E72D297353CC}">
              <c16:uniqueId val="{00000007-F28A-8943-81E7-EF6BE5B2EA27}"/>
            </c:ext>
          </c:extLst>
        </c:ser>
        <c:ser>
          <c:idx val="8"/>
          <c:order val="8"/>
          <c:tx>
            <c:strRef>
              <c:f>NICCS_Fuel_cons!$B$59</c:f>
              <c:strCache>
                <c:ptCount val="1"/>
                <c:pt idx="0">
                  <c:v>ethanol</c:v>
                </c:pt>
              </c:strCache>
            </c:strRef>
          </c:tx>
          <c:spPr>
            <a:solidFill>
              <a:schemeClr val="accent3">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NICCS_Fuel_cons!$F$59:$AJ$59</c:f>
              <c:numCache>
                <c:formatCode>0.00</c:formatCode>
                <c:ptCount val="31"/>
                <c:pt idx="0">
                  <c:v>0</c:v>
                </c:pt>
                <c:pt idx="1">
                  <c:v>0</c:v>
                </c:pt>
                <c:pt idx="2">
                  <c:v>0</c:v>
                </c:pt>
                <c:pt idx="3">
                  <c:v>0</c:v>
                </c:pt>
                <c:pt idx="4">
                  <c:v>0</c:v>
                </c:pt>
                <c:pt idx="5">
                  <c:v>0</c:v>
                </c:pt>
                <c:pt idx="6">
                  <c:v>4.5894812338285726E-2</c:v>
                </c:pt>
                <c:pt idx="7">
                  <c:v>9.3849994947428558E-2</c:v>
                </c:pt>
                <c:pt idx="8">
                  <c:v>0.143864178264</c:v>
                </c:pt>
                <c:pt idx="9">
                  <c:v>0.19591915850742858</c:v>
                </c:pt>
                <c:pt idx="10">
                  <c:v>0.24998245372285721</c:v>
                </c:pt>
                <c:pt idx="11">
                  <c:v>0.30601446783428576</c:v>
                </c:pt>
                <c:pt idx="12">
                  <c:v>0.36397215708000002</c:v>
                </c:pt>
                <c:pt idx="13">
                  <c:v>0.42380624808685724</c:v>
                </c:pt>
                <c:pt idx="14">
                  <c:v>0.48546786456000002</c:v>
                </c:pt>
                <c:pt idx="15">
                  <c:v>0.54896969398285722</c:v>
                </c:pt>
                <c:pt idx="16">
                  <c:v>0.61427980127485737</c:v>
                </c:pt>
                <c:pt idx="17">
                  <c:v>0.68135224186285737</c:v>
                </c:pt>
                <c:pt idx="18">
                  <c:v>0.75013934495314294</c:v>
                </c:pt>
                <c:pt idx="19">
                  <c:v>0.82058831340000016</c:v>
                </c:pt>
                <c:pt idx="20">
                  <c:v>0.89264263844571434</c:v>
                </c:pt>
                <c:pt idx="21">
                  <c:v>0.90584983077428582</c:v>
                </c:pt>
                <c:pt idx="22">
                  <c:v>0.91880426018571426</c:v>
                </c:pt>
                <c:pt idx="23">
                  <c:v>0.93148424192571433</c:v>
                </c:pt>
                <c:pt idx="24">
                  <c:v>0.94386670027714281</c:v>
                </c:pt>
                <c:pt idx="25">
                  <c:v>0.95593155544285713</c:v>
                </c:pt>
                <c:pt idx="26">
                  <c:v>0.96765961926857147</c:v>
                </c:pt>
                <c:pt idx="27">
                  <c:v>0.97903566249428586</c:v>
                </c:pt>
                <c:pt idx="28">
                  <c:v>0.99004748744571414</c:v>
                </c:pt>
                <c:pt idx="29">
                  <c:v>1.0006850363914284</c:v>
                </c:pt>
                <c:pt idx="30">
                  <c:v>1.0109367179742856</c:v>
                </c:pt>
              </c:numCache>
            </c:numRef>
          </c:val>
          <c:extLst>
            <c:ext xmlns:c16="http://schemas.microsoft.com/office/drawing/2014/chart" uri="{C3380CC4-5D6E-409C-BE32-E72D297353CC}">
              <c16:uniqueId val="{00000008-F28A-8943-81E7-EF6BE5B2EA27}"/>
            </c:ext>
          </c:extLst>
        </c:ser>
        <c:ser>
          <c:idx val="9"/>
          <c:order val="9"/>
          <c:tx>
            <c:strRef>
              <c:f>NICCS_Fuel_cons!$B$60</c:f>
              <c:strCache>
                <c:ptCount val="1"/>
                <c:pt idx="0">
                  <c:v>biogas</c:v>
                </c:pt>
              </c:strCache>
            </c:strRef>
          </c:tx>
          <c:spPr>
            <a:solidFill>
              <a:schemeClr val="accent4">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NICCS_Fuel_cons!$F$60:$AJ$60</c:f>
              <c:numCache>
                <c:formatCode>0.00</c:formatCode>
                <c:ptCount val="31"/>
                <c:pt idx="0">
                  <c:v>0</c:v>
                </c:pt>
                <c:pt idx="1">
                  <c:v>0</c:v>
                </c:pt>
                <c:pt idx="2">
                  <c:v>0</c:v>
                </c:pt>
                <c:pt idx="3">
                  <c:v>0</c:v>
                </c:pt>
                <c:pt idx="4">
                  <c:v>0</c:v>
                </c:pt>
                <c:pt idx="5">
                  <c:v>0</c:v>
                </c:pt>
                <c:pt idx="6">
                  <c:v>7.8738116416462167E-2</c:v>
                </c:pt>
                <c:pt idx="7">
                  <c:v>0.1610110479020434</c:v>
                </c:pt>
                <c:pt idx="8">
                  <c:v>0.24681644480458964</c:v>
                </c:pt>
                <c:pt idx="9">
                  <c:v>0.33612307633088406</c:v>
                </c:pt>
                <c:pt idx="10">
                  <c:v>0.42887521574815096</c:v>
                </c:pt>
                <c:pt idx="11">
                  <c:v>0.52500493118603531</c:v>
                </c:pt>
                <c:pt idx="12">
                  <c:v>0.62443837585122475</c:v>
                </c:pt>
                <c:pt idx="13">
                  <c:v>0.72709101529651066</c:v>
                </c:pt>
                <c:pt idx="14">
                  <c:v>0.83287899631063922</c:v>
                </c:pt>
                <c:pt idx="15">
                  <c:v>0.94182408581009469</c:v>
                </c:pt>
                <c:pt idx="16">
                  <c:v>1.0538714952912596</c:v>
                </c:pt>
                <c:pt idx="17">
                  <c:v>1.1689424012670233</c:v>
                </c:pt>
                <c:pt idx="18">
                  <c:v>1.2869550187095378</c:v>
                </c:pt>
                <c:pt idx="19">
                  <c:v>1.4078187677124057</c:v>
                </c:pt>
                <c:pt idx="20">
                  <c:v>1.5314367006487228</c:v>
                </c:pt>
                <c:pt idx="21">
                  <c:v>1.5540952407781958</c:v>
                </c:pt>
                <c:pt idx="22">
                  <c:v>1.5763201354697252</c:v>
                </c:pt>
                <c:pt idx="23">
                  <c:v>1.5980741818975361</c:v>
                </c:pt>
                <c:pt idx="24">
                  <c:v>1.6193177908703835</c:v>
                </c:pt>
                <c:pt idx="25">
                  <c:v>1.6400165130611117</c:v>
                </c:pt>
                <c:pt idx="26">
                  <c:v>1.6601374288640172</c:v>
                </c:pt>
                <c:pt idx="27">
                  <c:v>1.6796544106366558</c:v>
                </c:pt>
                <c:pt idx="28">
                  <c:v>1.6985465317895287</c:v>
                </c:pt>
                <c:pt idx="29">
                  <c:v>1.7167965370646296</c:v>
                </c:pt>
                <c:pt idx="30">
                  <c:v>1.7343845400830478</c:v>
                </c:pt>
              </c:numCache>
            </c:numRef>
          </c:val>
          <c:extLst>
            <c:ext xmlns:c16="http://schemas.microsoft.com/office/drawing/2014/chart" uri="{C3380CC4-5D6E-409C-BE32-E72D297353CC}">
              <c16:uniqueId val="{00000009-F28A-8943-81E7-EF6BE5B2EA27}"/>
            </c:ext>
          </c:extLst>
        </c:ser>
        <c:ser>
          <c:idx val="10"/>
          <c:order val="10"/>
          <c:tx>
            <c:strRef>
              <c:f>NICCS_Fuel_cons!$B$61</c:f>
              <c:strCache>
                <c:ptCount val="1"/>
                <c:pt idx="0">
                  <c:v>other</c:v>
                </c:pt>
              </c:strCache>
            </c:strRef>
          </c:tx>
          <c:spPr>
            <a:solidFill>
              <a:schemeClr val="accent5">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NICCS_Fuel_cons!$F$61:$AJ$61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F28A-8943-81E7-EF6BE5B2EA27}"/>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NICCS_Fuel_cons!$B$62</c:f>
              <c:strCache>
                <c:ptCount val="1"/>
                <c:pt idx="0">
                  <c:v>fuelwood</c:v>
                </c:pt>
              </c:strCache>
            </c:strRef>
          </c:tx>
          <c:spPr>
            <a:solidFill>
              <a:schemeClr val="accent2"/>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NICCS_Fuel_cons!$F$62:$AJ$62</c:f>
              <c:numCache>
                <c:formatCode>0.00</c:formatCode>
                <c:ptCount val="31"/>
                <c:pt idx="0">
                  <c:v>23.525648025394233</c:v>
                </c:pt>
                <c:pt idx="1">
                  <c:v>23.522415544663723</c:v>
                </c:pt>
                <c:pt idx="2">
                  <c:v>23.461397709045663</c:v>
                </c:pt>
                <c:pt idx="3">
                  <c:v>23.337922482952148</c:v>
                </c:pt>
                <c:pt idx="4">
                  <c:v>23.147167096593851</c:v>
                </c:pt>
                <c:pt idx="5">
                  <c:v>23.200102271435448</c:v>
                </c:pt>
                <c:pt idx="6">
                  <c:v>22.55836023980838</c:v>
                </c:pt>
                <c:pt idx="7">
                  <c:v>21.809874125210122</c:v>
                </c:pt>
                <c:pt idx="8">
                  <c:v>20.948881843613929</c:v>
                </c:pt>
                <c:pt idx="9">
                  <c:v>19.969663141642105</c:v>
                </c:pt>
                <c:pt idx="10">
                  <c:v>18.866747578084382</c:v>
                </c:pt>
                <c:pt idx="11">
                  <c:v>17.634906673327926</c:v>
                </c:pt>
                <c:pt idx="12">
                  <c:v>16.269150042658659</c:v>
                </c:pt>
                <c:pt idx="13">
                  <c:v>14.764553269584965</c:v>
                </c:pt>
                <c:pt idx="14">
                  <c:v>13.116201780120893</c:v>
                </c:pt>
                <c:pt idx="15">
                  <c:v>11.323426635399738</c:v>
                </c:pt>
                <c:pt idx="16">
                  <c:v>9.3802444121901445</c:v>
                </c:pt>
                <c:pt idx="17">
                  <c:v>7.2814638917935417</c:v>
                </c:pt>
                <c:pt idx="18">
                  <c:v>5.0219524418545687</c:v>
                </c:pt>
                <c:pt idx="19">
                  <c:v>2.5965414580031396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00D-7A4C-BB95-9C54F9CD62C5}"/>
            </c:ext>
          </c:extLst>
        </c:ser>
        <c:ser>
          <c:idx val="0"/>
          <c:order val="1"/>
          <c:tx>
            <c:strRef>
              <c:f>NICCS_Fuel_cons!$B$63</c:f>
              <c:strCache>
                <c:ptCount val="1"/>
                <c:pt idx="0">
                  <c:v>charcoal</c:v>
                </c:pt>
              </c:strCache>
            </c:strRef>
          </c:tx>
          <c:spPr>
            <a:solidFill>
              <a:schemeClr val="accent1"/>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NICCS_Fuel_cons!$F$63:$AJ$63</c:f>
              <c:numCache>
                <c:formatCode>0.00</c:formatCode>
                <c:ptCount val="31"/>
                <c:pt idx="0">
                  <c:v>33.193002756724866</c:v>
                </c:pt>
                <c:pt idx="1">
                  <c:v>35.328019562417175</c:v>
                </c:pt>
                <c:pt idx="2">
                  <c:v>37.569851339523261</c:v>
                </c:pt>
                <c:pt idx="3">
                  <c:v>39.920890613630235</c:v>
                </c:pt>
                <c:pt idx="4">
                  <c:v>42.383143689717805</c:v>
                </c:pt>
                <c:pt idx="5">
                  <c:v>44.557863732544234</c:v>
                </c:pt>
                <c:pt idx="6">
                  <c:v>43.325340976302286</c:v>
                </c:pt>
                <c:pt idx="7">
                  <c:v>41.88780669693692</c:v>
                </c:pt>
                <c:pt idx="8">
                  <c:v>40.234194298625631</c:v>
                </c:pt>
                <c:pt idx="9">
                  <c:v>38.35351752503486</c:v>
                </c:pt>
                <c:pt idx="10">
                  <c:v>36.235269906358887</c:v>
                </c:pt>
                <c:pt idx="11">
                  <c:v>33.869409681600665</c:v>
                </c:pt>
                <c:pt idx="12">
                  <c:v>31.246352372232398</c:v>
                </c:pt>
                <c:pt idx="13">
                  <c:v>28.356640197575878</c:v>
                </c:pt>
                <c:pt idx="14">
                  <c:v>25.19083428036204</c:v>
                </c:pt>
                <c:pt idx="15">
                  <c:v>21.747649863889421</c:v>
                </c:pt>
                <c:pt idx="16">
                  <c:v>18.015595250669897</c:v>
                </c:pt>
                <c:pt idx="17">
                  <c:v>13.984700242612506</c:v>
                </c:pt>
                <c:pt idx="18">
                  <c:v>9.6451071619189488</c:v>
                </c:pt>
                <c:pt idx="19">
                  <c:v>4.9868892433312411</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800D-7A4C-BB95-9C54F9CD62C5}"/>
            </c:ext>
          </c:extLst>
        </c:ser>
        <c:ser>
          <c:idx val="2"/>
          <c:order val="2"/>
          <c:tx>
            <c:strRef>
              <c:f>NICCS_Fuel_cons!$B$64</c:f>
              <c:strCache>
                <c:ptCount val="1"/>
                <c:pt idx="0">
                  <c:v>Imp_fuelwood</c:v>
                </c:pt>
              </c:strCache>
            </c:strRef>
          </c:tx>
          <c:spPr>
            <a:solidFill>
              <a:schemeClr val="accent3"/>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NICCS_Fuel_cons!$F$64:$AJ$64</c:f>
              <c:numCache>
                <c:formatCode>0.00</c:formatCode>
                <c:ptCount val="31"/>
                <c:pt idx="0">
                  <c:v>0.71306160262043849</c:v>
                </c:pt>
                <c:pt idx="1">
                  <c:v>0.86000963146132092</c:v>
                </c:pt>
                <c:pt idx="2">
                  <c:v>1.0181505756657629</c:v>
                </c:pt>
                <c:pt idx="3">
                  <c:v>1.1879602959809423</c:v>
                </c:pt>
                <c:pt idx="4">
                  <c:v>1.3698981572073912</c:v>
                </c:pt>
                <c:pt idx="5">
                  <c:v>1.5541023607897304</c:v>
                </c:pt>
                <c:pt idx="6">
                  <c:v>1.5111140672597678</c:v>
                </c:pt>
                <c:pt idx="7">
                  <c:v>1.460975321141063</c:v>
                </c:pt>
                <c:pt idx="8">
                  <c:v>1.4033001384287072</c:v>
                </c:pt>
                <c:pt idx="9">
                  <c:v>1.3377053372222683</c:v>
                </c:pt>
                <c:pt idx="10">
                  <c:v>1.2638244697578536</c:v>
                </c:pt>
                <c:pt idx="11">
                  <c:v>1.1813072965229565</c:v>
                </c:pt>
                <c:pt idx="12">
                  <c:v>1.0898195272383946</c:v>
                </c:pt>
                <c:pt idx="13">
                  <c:v>0.98903129063008377</c:v>
                </c:pt>
                <c:pt idx="14">
                  <c:v>0.87861337474264289</c:v>
                </c:pt>
                <c:pt idx="15">
                  <c:v>0.75852096945153868</c:v>
                </c:pt>
                <c:pt idx="16">
                  <c:v>0.62835326393013469</c:v>
                </c:pt>
                <c:pt idx="17">
                  <c:v>0.48776251465814674</c:v>
                </c:pt>
                <c:pt idx="18">
                  <c:v>0.33640490263136502</c:v>
                </c:pt>
                <c:pt idx="19">
                  <c:v>0.17393419919271036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800D-7A4C-BB95-9C54F9CD62C5}"/>
            </c:ext>
          </c:extLst>
        </c:ser>
        <c:ser>
          <c:idx val="3"/>
          <c:order val="3"/>
          <c:tx>
            <c:strRef>
              <c:f>NICCS_Fuel_cons!$B$65</c:f>
              <c:strCache>
                <c:ptCount val="1"/>
                <c:pt idx="0">
                  <c:v>Imp_charcoal</c:v>
                </c:pt>
              </c:strCache>
            </c:strRef>
          </c:tx>
          <c:spPr>
            <a:solidFill>
              <a:schemeClr val="accent4"/>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NICCS_Fuel_cons!$F$65:$AJ$65</c:f>
              <c:numCache>
                <c:formatCode>0.00</c:formatCode>
                <c:ptCount val="31"/>
                <c:pt idx="0">
                  <c:v>0.11884360043673037</c:v>
                </c:pt>
                <c:pt idx="1">
                  <c:v>0.14333493857688434</c:v>
                </c:pt>
                <c:pt idx="2">
                  <c:v>0.16969176261095284</c:v>
                </c:pt>
                <c:pt idx="3">
                  <c:v>0.19799338266348504</c:v>
                </c:pt>
                <c:pt idx="4">
                  <c:v>0.22831635953456236</c:v>
                </c:pt>
                <c:pt idx="5">
                  <c:v>0.2590170601316189</c:v>
                </c:pt>
                <c:pt idx="6">
                  <c:v>0.55157820193186324</c:v>
                </c:pt>
                <c:pt idx="7">
                  <c:v>0.86763948684255521</c:v>
                </c:pt>
                <c:pt idx="8">
                  <c:v>1.2080776359562106</c:v>
                </c:pt>
                <c:pt idx="9">
                  <c:v>1.5737251125770422</c:v>
                </c:pt>
                <c:pt idx="10">
                  <c:v>1.9653733160548781</c:v>
                </c:pt>
                <c:pt idx="11">
                  <c:v>2.3837729736433482</c:v>
                </c:pt>
                <c:pt idx="12">
                  <c:v>2.8296344896530639</c:v>
                </c:pt>
                <c:pt idx="13">
                  <c:v>3.3035903659583457</c:v>
                </c:pt>
                <c:pt idx="14">
                  <c:v>3.806123608537106</c:v>
                </c:pt>
                <c:pt idx="15">
                  <c:v>4.3390430730895408</c:v>
                </c:pt>
                <c:pt idx="16">
                  <c:v>4.9030716165397843</c:v>
                </c:pt>
                <c:pt idx="17">
                  <c:v>5.4990992644315959</c:v>
                </c:pt>
                <c:pt idx="18">
                  <c:v>6.1280522234090373</c:v>
                </c:pt>
                <c:pt idx="19">
                  <c:v>6.7908777018987871</c:v>
                </c:pt>
                <c:pt idx="20">
                  <c:v>7.4885174609142879</c:v>
                </c:pt>
                <c:pt idx="21">
                  <c:v>7.737029470735715</c:v>
                </c:pt>
                <c:pt idx="22">
                  <c:v>7.9903807830000009</c:v>
                </c:pt>
                <c:pt idx="23">
                  <c:v>8.248549493014286</c:v>
                </c:pt>
                <c:pt idx="24">
                  <c:v>8.511509445921428</c:v>
                </c:pt>
                <c:pt idx="25">
                  <c:v>8.7792214094357135</c:v>
                </c:pt>
                <c:pt idx="26">
                  <c:v>9.0516307852928577</c:v>
                </c:pt>
                <c:pt idx="27">
                  <c:v>9.3286613974714303</c:v>
                </c:pt>
                <c:pt idx="28">
                  <c:v>9.6102321659142866</c:v>
                </c:pt>
                <c:pt idx="29">
                  <c:v>9.8962404328071418</c:v>
                </c:pt>
                <c:pt idx="30">
                  <c:v>10.186578309364288</c:v>
                </c:pt>
              </c:numCache>
            </c:numRef>
          </c:val>
          <c:extLst>
            <c:ext xmlns:c16="http://schemas.microsoft.com/office/drawing/2014/chart" uri="{C3380CC4-5D6E-409C-BE32-E72D297353CC}">
              <c16:uniqueId val="{00000003-800D-7A4C-BB95-9C54F9CD62C5}"/>
            </c:ext>
          </c:extLst>
        </c:ser>
        <c:ser>
          <c:idx val="4"/>
          <c:order val="4"/>
          <c:tx>
            <c:strRef>
              <c:f>NICCS_Fuel_cons!$B$66</c:f>
              <c:strCache>
                <c:ptCount val="1"/>
                <c:pt idx="0">
                  <c:v>Gas</c:v>
                </c:pt>
              </c:strCache>
            </c:strRef>
          </c:tx>
          <c:spPr>
            <a:solidFill>
              <a:schemeClr val="accent5"/>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NICCS_Fuel_cons!$F$66:$AJ$66</c:f>
              <c:numCache>
                <c:formatCode>0.00</c:formatCode>
                <c:ptCount val="31"/>
                <c:pt idx="0">
                  <c:v>7.8422535677433583E-2</c:v>
                </c:pt>
                <c:pt idx="1">
                  <c:v>9.1201659557223161E-2</c:v>
                </c:pt>
                <c:pt idx="2">
                  <c:v>0.10491404502561384</c:v>
                </c:pt>
                <c:pt idx="3">
                  <c:v>0.11959782475259224</c:v>
                </c:pt>
                <c:pt idx="4">
                  <c:v>0.13528959152251041</c:v>
                </c:pt>
                <c:pt idx="5">
                  <c:v>0.13559898481248006</c:v>
                </c:pt>
                <c:pt idx="6">
                  <c:v>0.70405206745878723</c:v>
                </c:pt>
                <c:pt idx="7">
                  <c:v>1.319020310345475</c:v>
                </c:pt>
                <c:pt idx="8">
                  <c:v>1.9822665888454689</c:v>
                </c:pt>
                <c:pt idx="9">
                  <c:v>2.6954686391017169</c:v>
                </c:pt>
                <c:pt idx="10">
                  <c:v>3.4602219380288481</c:v>
                </c:pt>
                <c:pt idx="11">
                  <c:v>4.2780405728484885</c:v>
                </c:pt>
                <c:pt idx="12">
                  <c:v>5.1503579674693425</c:v>
                </c:pt>
                <c:pt idx="13">
                  <c:v>6.0784578024884146</c:v>
                </c:pt>
                <c:pt idx="14">
                  <c:v>7.063338204989777</c:v>
                </c:pt>
                <c:pt idx="15">
                  <c:v>8.1084627929275932</c:v>
                </c:pt>
                <c:pt idx="16">
                  <c:v>9.2153041249406886</c:v>
                </c:pt>
                <c:pt idx="17">
                  <c:v>10.385641644951717</c:v>
                </c:pt>
                <c:pt idx="18">
                  <c:v>11.621322963606334</c:v>
                </c:pt>
                <c:pt idx="19">
                  <c:v>12.924236342322475</c:v>
                </c:pt>
                <c:pt idx="20">
                  <c:v>14.296260607200001</c:v>
                </c:pt>
                <c:pt idx="21">
                  <c:v>14.77069262595</c:v>
                </c:pt>
                <c:pt idx="22">
                  <c:v>15.254363313000002</c:v>
                </c:pt>
                <c:pt idx="23">
                  <c:v>15.747230850299998</c:v>
                </c:pt>
                <c:pt idx="24">
                  <c:v>16.24924530585</c:v>
                </c:pt>
                <c:pt idx="25">
                  <c:v>16.760331781649999</c:v>
                </c:pt>
                <c:pt idx="26">
                  <c:v>17.280386044650001</c:v>
                </c:pt>
                <c:pt idx="27">
                  <c:v>17.809262667900001</c:v>
                </c:pt>
                <c:pt idx="28">
                  <c:v>18.346806862200001</c:v>
                </c:pt>
                <c:pt idx="29">
                  <c:v>18.892822644449996</c:v>
                </c:pt>
                <c:pt idx="30">
                  <c:v>19.447104045150002</c:v>
                </c:pt>
              </c:numCache>
            </c:numRef>
          </c:val>
          <c:extLst>
            <c:ext xmlns:c16="http://schemas.microsoft.com/office/drawing/2014/chart" uri="{C3380CC4-5D6E-409C-BE32-E72D297353CC}">
              <c16:uniqueId val="{00000004-800D-7A4C-BB95-9C54F9CD62C5}"/>
            </c:ext>
          </c:extLst>
        </c:ser>
        <c:ser>
          <c:idx val="5"/>
          <c:order val="5"/>
          <c:tx>
            <c:strRef>
              <c:f>NICCS_Fuel_cons!$B$67</c:f>
              <c:strCache>
                <c:ptCount val="1"/>
                <c:pt idx="0">
                  <c:v>kerosene</c:v>
                </c:pt>
              </c:strCache>
            </c:strRef>
          </c:tx>
          <c:spPr>
            <a:solidFill>
              <a:schemeClr val="accent6"/>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NICCS_Fuel_cons!$F$67:$AJ$67</c:f>
              <c:numCache>
                <c:formatCode>0.00</c:formatCode>
                <c:ptCount val="31"/>
                <c:pt idx="0">
                  <c:v>6.066932972571634E-3</c:v>
                </c:pt>
                <c:pt idx="1">
                  <c:v>4.6086640537643317E-3</c:v>
                </c:pt>
                <c:pt idx="2">
                  <c:v>3.0071957931061106E-3</c:v>
                </c:pt>
                <c:pt idx="3">
                  <c:v>1.2552033316031823E-3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800D-7A4C-BB95-9C54F9CD62C5}"/>
            </c:ext>
          </c:extLst>
        </c:ser>
        <c:ser>
          <c:idx val="6"/>
          <c:order val="6"/>
          <c:tx>
            <c:strRef>
              <c:f>NICCS_Fuel_cons!$B$68</c:f>
              <c:strCache>
                <c:ptCount val="1"/>
                <c:pt idx="0">
                  <c:v>electric</c:v>
                </c:pt>
              </c:strCache>
            </c:strRef>
          </c:tx>
          <c:spPr>
            <a:solidFill>
              <a:schemeClr val="accent1">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NICCS_Fuel_cons!$F$68:$AJ$68</c:f>
              <c:numCache>
                <c:formatCode>0.00</c:formatCode>
                <c:ptCount val="31"/>
                <c:pt idx="0">
                  <c:v>1.0497659774765205</c:v>
                </c:pt>
                <c:pt idx="1">
                  <c:v>1.0426312126975161</c:v>
                </c:pt>
                <c:pt idx="2">
                  <c:v>1.032302566305995</c:v>
                </c:pt>
                <c:pt idx="3">
                  <c:v>1.0185422074899704</c:v>
                </c:pt>
                <c:pt idx="4">
                  <c:v>1.0011061463626003</c:v>
                </c:pt>
                <c:pt idx="5">
                  <c:v>1.0033955724799115</c:v>
                </c:pt>
                <c:pt idx="6">
                  <c:v>1.2091930905813701</c:v>
                </c:pt>
                <c:pt idx="7">
                  <c:v>1.42961439784948</c:v>
                </c:pt>
                <c:pt idx="8">
                  <c:v>1.6651435734340148</c:v>
                </c:pt>
                <c:pt idx="9">
                  <c:v>1.9162316551464011</c:v>
                </c:pt>
                <c:pt idx="10">
                  <c:v>2.183306313927984</c:v>
                </c:pt>
                <c:pt idx="11">
                  <c:v>2.4667718879566864</c:v>
                </c:pt>
                <c:pt idx="12">
                  <c:v>2.7670095211198875</c:v>
                </c:pt>
                <c:pt idx="13">
                  <c:v>3.0843419333115443</c:v>
                </c:pt>
                <c:pt idx="14">
                  <c:v>3.4189756941755358</c:v>
                </c:pt>
                <c:pt idx="15">
                  <c:v>3.7722971898059741</c:v>
                </c:pt>
                <c:pt idx="16">
                  <c:v>4.1446629579205521</c:v>
                </c:pt>
                <c:pt idx="17">
                  <c:v>4.5365871681848668</c:v>
                </c:pt>
                <c:pt idx="18">
                  <c:v>4.9486142074892641</c:v>
                </c:pt>
                <c:pt idx="19">
                  <c:v>5.381303584915524</c:v>
                </c:pt>
                <c:pt idx="20">
                  <c:v>5.8352084111020419</c:v>
                </c:pt>
                <c:pt idx="21">
                  <c:v>6.0288541330408174</c:v>
                </c:pt>
                <c:pt idx="22">
                  <c:v>6.2262707400000012</c:v>
                </c:pt>
                <c:pt idx="23">
                  <c:v>6.4274411633877548</c:v>
                </c:pt>
                <c:pt idx="24">
                  <c:v>6.6323450227959189</c:v>
                </c:pt>
                <c:pt idx="25">
                  <c:v>6.8409517476122446</c:v>
                </c:pt>
                <c:pt idx="26">
                  <c:v>7.053218793734696</c:v>
                </c:pt>
                <c:pt idx="27">
                  <c:v>7.2690868032244911</c:v>
                </c:pt>
                <c:pt idx="28">
                  <c:v>7.4884925968163261</c:v>
                </c:pt>
                <c:pt idx="29">
                  <c:v>7.7113561814081626</c:v>
                </c:pt>
                <c:pt idx="30">
                  <c:v>7.9375934878163283</c:v>
                </c:pt>
              </c:numCache>
            </c:numRef>
          </c:val>
          <c:extLst>
            <c:ext xmlns:c16="http://schemas.microsoft.com/office/drawing/2014/chart" uri="{C3380CC4-5D6E-409C-BE32-E72D297353CC}">
              <c16:uniqueId val="{00000006-800D-7A4C-BB95-9C54F9CD62C5}"/>
            </c:ext>
          </c:extLst>
        </c:ser>
        <c:ser>
          <c:idx val="7"/>
          <c:order val="7"/>
          <c:tx>
            <c:strRef>
              <c:f>NICCS_Fuel_cons!$B$69</c:f>
              <c:strCache>
                <c:ptCount val="1"/>
                <c:pt idx="0">
                  <c:v>pellets</c:v>
                </c:pt>
              </c:strCache>
            </c:strRef>
          </c:tx>
          <c:spPr>
            <a:solidFill>
              <a:schemeClr val="accent2">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NICCS_Fuel_cons!$F$69:$AJ$69</c:f>
              <c:numCache>
                <c:formatCode>0.00</c:formatCode>
                <c:ptCount val="31"/>
                <c:pt idx="0">
                  <c:v>0</c:v>
                </c:pt>
                <c:pt idx="1">
                  <c:v>0</c:v>
                </c:pt>
                <c:pt idx="2">
                  <c:v>0</c:v>
                </c:pt>
                <c:pt idx="3">
                  <c:v>0</c:v>
                </c:pt>
                <c:pt idx="4">
                  <c:v>0</c:v>
                </c:pt>
                <c:pt idx="5">
                  <c:v>0</c:v>
                </c:pt>
                <c:pt idx="6">
                  <c:v>0.59959404776908209</c:v>
                </c:pt>
                <c:pt idx="7">
                  <c:v>1.2485835915699366</c:v>
                </c:pt>
                <c:pt idx="8">
                  <c:v>1.9488511818066392</c:v>
                </c:pt>
                <c:pt idx="9">
                  <c:v>2.7021898980330432</c:v>
                </c:pt>
                <c:pt idx="10">
                  <c:v>3.5103050930239355</c:v>
                </c:pt>
                <c:pt idx="11">
                  <c:v>4.3748153520141706</c:v>
                </c:pt>
                <c:pt idx="12">
                  <c:v>5.2972532775306913</c:v>
                </c:pt>
                <c:pt idx="13">
                  <c:v>6.2789941568823062</c:v>
                </c:pt>
                <c:pt idx="14">
                  <c:v>7.3211139947677379</c:v>
                </c:pt>
                <c:pt idx="15">
                  <c:v>8.4272463018265338</c:v>
                </c:pt>
                <c:pt idx="16">
                  <c:v>9.5989707705068064</c:v>
                </c:pt>
                <c:pt idx="17">
                  <c:v>10.838183816578303</c:v>
                </c:pt>
                <c:pt idx="18">
                  <c:v>12.146852926710324</c:v>
                </c:pt>
                <c:pt idx="19">
                  <c:v>13.526988404519006</c:v>
                </c:pt>
                <c:pt idx="20">
                  <c:v>14.980591048432684</c:v>
                </c:pt>
                <c:pt idx="21">
                  <c:v>15.477733080776209</c:v>
                </c:pt>
                <c:pt idx="22">
                  <c:v>15.984556016080102</c:v>
                </c:pt>
                <c:pt idx="23">
                  <c:v>16.50101603455661</c:v>
                </c:pt>
                <c:pt idx="24">
                  <c:v>17.027060814071096</c:v>
                </c:pt>
                <c:pt idx="25">
                  <c:v>17.562611871421606</c:v>
                </c:pt>
                <c:pt idx="26">
                  <c:v>18.107559984152115</c:v>
                </c:pt>
                <c:pt idx="27">
                  <c:v>18.661752764045488</c:v>
                </c:pt>
                <c:pt idx="28">
                  <c:v>19.225028012484362</c:v>
                </c:pt>
                <c:pt idx="29">
                  <c:v>19.797180365090316</c:v>
                </c:pt>
                <c:pt idx="30">
                  <c:v>20.377993993057991</c:v>
                </c:pt>
              </c:numCache>
            </c:numRef>
          </c:val>
          <c:extLst>
            <c:ext xmlns:c16="http://schemas.microsoft.com/office/drawing/2014/chart" uri="{C3380CC4-5D6E-409C-BE32-E72D297353CC}">
              <c16:uniqueId val="{00000007-800D-7A4C-BB95-9C54F9CD62C5}"/>
            </c:ext>
          </c:extLst>
        </c:ser>
        <c:ser>
          <c:idx val="8"/>
          <c:order val="8"/>
          <c:tx>
            <c:strRef>
              <c:f>NICCS_Fuel_cons!$B$70</c:f>
              <c:strCache>
                <c:ptCount val="1"/>
                <c:pt idx="0">
                  <c:v>ethanol</c:v>
                </c:pt>
              </c:strCache>
            </c:strRef>
          </c:tx>
          <c:spPr>
            <a:solidFill>
              <a:schemeClr val="accent3">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NICCS_Fuel_cons!$F$70:$AJ$70</c:f>
              <c:numCache>
                <c:formatCode>0.00</c:formatCode>
                <c:ptCount val="31"/>
                <c:pt idx="0">
                  <c:v>0</c:v>
                </c:pt>
                <c:pt idx="1">
                  <c:v>0</c:v>
                </c:pt>
                <c:pt idx="2">
                  <c:v>0</c:v>
                </c:pt>
                <c:pt idx="3">
                  <c:v>0</c:v>
                </c:pt>
                <c:pt idx="4">
                  <c:v>0</c:v>
                </c:pt>
                <c:pt idx="5">
                  <c:v>0</c:v>
                </c:pt>
                <c:pt idx="6">
                  <c:v>0.24523024695428575</c:v>
                </c:pt>
                <c:pt idx="7">
                  <c:v>0.51066294544285717</c:v>
                </c:pt>
                <c:pt idx="8">
                  <c:v>0.7970680469057142</c:v>
                </c:pt>
                <c:pt idx="9">
                  <c:v>1.10517890976</c:v>
                </c:pt>
                <c:pt idx="10">
                  <c:v>1.4356930127142857</c:v>
                </c:pt>
                <c:pt idx="11">
                  <c:v>1.7892723470914289</c:v>
                </c:pt>
                <c:pt idx="12">
                  <c:v>2.1665437378200005</c:v>
                </c:pt>
                <c:pt idx="13">
                  <c:v>2.5680696688799998</c:v>
                </c:pt>
                <c:pt idx="14">
                  <c:v>2.9942902195200003</c:v>
                </c:pt>
                <c:pt idx="15">
                  <c:v>3.4466914730571432</c:v>
                </c:pt>
                <c:pt idx="16">
                  <c:v>3.9259195139057144</c:v>
                </c:pt>
                <c:pt idx="17">
                  <c:v>4.4327499643542856</c:v>
                </c:pt>
                <c:pt idx="18">
                  <c:v>4.9679875142485708</c:v>
                </c:pt>
                <c:pt idx="19">
                  <c:v>5.5324543652999996</c:v>
                </c:pt>
                <c:pt idx="20">
                  <c:v>6.1269688316571438</c:v>
                </c:pt>
                <c:pt idx="21">
                  <c:v>6.3302968396928563</c:v>
                </c:pt>
                <c:pt idx="22">
                  <c:v>6.5375842770000006</c:v>
                </c:pt>
                <c:pt idx="23">
                  <c:v>6.7488132215571417</c:v>
                </c:pt>
                <c:pt idx="24">
                  <c:v>6.9639622739357145</c:v>
                </c:pt>
                <c:pt idx="25">
                  <c:v>7.1829993349928571</c:v>
                </c:pt>
                <c:pt idx="26">
                  <c:v>7.4058797334214299</c:v>
                </c:pt>
                <c:pt idx="27">
                  <c:v>7.6325411433857155</c:v>
                </c:pt>
                <c:pt idx="28">
                  <c:v>7.8629172266571432</c:v>
                </c:pt>
                <c:pt idx="29">
                  <c:v>8.0969239904785706</c:v>
                </c:pt>
                <c:pt idx="30">
                  <c:v>8.3344731622071428</c:v>
                </c:pt>
              </c:numCache>
            </c:numRef>
          </c:val>
          <c:extLst>
            <c:ext xmlns:c16="http://schemas.microsoft.com/office/drawing/2014/chart" uri="{C3380CC4-5D6E-409C-BE32-E72D297353CC}">
              <c16:uniqueId val="{00000008-800D-7A4C-BB95-9C54F9CD62C5}"/>
            </c:ext>
          </c:extLst>
        </c:ser>
        <c:ser>
          <c:idx val="9"/>
          <c:order val="9"/>
          <c:tx>
            <c:strRef>
              <c:f>NICCS_Fuel_cons!$B$71</c:f>
              <c:strCache>
                <c:ptCount val="1"/>
                <c:pt idx="0">
                  <c:v>biogas</c:v>
                </c:pt>
              </c:strCache>
            </c:strRef>
          </c:tx>
          <c:spPr>
            <a:solidFill>
              <a:schemeClr val="accent4">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NICCS_Fuel_cons!$F$71:$AJ$71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800D-7A4C-BB95-9C54F9CD62C5}"/>
            </c:ext>
          </c:extLst>
        </c:ser>
        <c:ser>
          <c:idx val="10"/>
          <c:order val="10"/>
          <c:tx>
            <c:strRef>
              <c:f>NICCS_Fuel_cons!$B$72</c:f>
              <c:strCache>
                <c:ptCount val="1"/>
                <c:pt idx="0">
                  <c:v>other</c:v>
                </c:pt>
              </c:strCache>
            </c:strRef>
          </c:tx>
          <c:spPr>
            <a:solidFill>
              <a:schemeClr val="accent5">
                <a:lumMod val="60000"/>
              </a:schemeClr>
            </a:solidFill>
            <a:ln w="25400">
              <a:noFill/>
            </a:ln>
            <a:effectLst/>
          </c:spPr>
          <c:cat>
            <c:numRef>
              <c:f>NICCS_Fuel_cons!$F$39:$AJ$39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NICCS_Fuel_cons!$F$72:$AJ$72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800D-7A4C-BB95-9C54F9CD62C5}"/>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NICCS_Fuel_cons!$B$2</c:f>
              <c:strCache>
                <c:ptCount val="1"/>
                <c:pt idx="0">
                  <c:v>fuelwood</c:v>
                </c:pt>
              </c:strCache>
            </c:strRef>
          </c:tx>
          <c:spPr>
            <a:solidFill>
              <a:schemeClr val="accent2"/>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NICCS_Fuel_cons!$F$2:$AJ$2</c:f>
              <c:numCache>
                <c:formatCode>0.00</c:formatCode>
                <c:ptCount val="31"/>
                <c:pt idx="0">
                  <c:v>9.3353150588899254</c:v>
                </c:pt>
                <c:pt idx="1">
                  <c:v>9.4245601111387725</c:v>
                </c:pt>
                <c:pt idx="2">
                  <c:v>9.5062239340466093</c:v>
                </c:pt>
                <c:pt idx="3">
                  <c:v>9.5800631255129183</c:v>
                </c:pt>
                <c:pt idx="4">
                  <c:v>9.645926269820329</c:v>
                </c:pt>
                <c:pt idx="5">
                  <c:v>9.6216309712248069</c:v>
                </c:pt>
                <c:pt idx="6">
                  <c:v>9.2084980510300518</c:v>
                </c:pt>
                <c:pt idx="7">
                  <c:v>8.7644969121555523</c:v>
                </c:pt>
                <c:pt idx="8">
                  <c:v>8.2886677600736647</c:v>
                </c:pt>
                <c:pt idx="9">
                  <c:v>7.7801365835793366</c:v>
                </c:pt>
                <c:pt idx="10">
                  <c:v>7.2383149713464503</c:v>
                </c:pt>
                <c:pt idx="11">
                  <c:v>6.6629536079248792</c:v>
                </c:pt>
                <c:pt idx="12">
                  <c:v>6.0540242442821386</c:v>
                </c:pt>
                <c:pt idx="13">
                  <c:v>5.4115767768076539</c:v>
                </c:pt>
                <c:pt idx="14">
                  <c:v>4.7357922987167544</c:v>
                </c:pt>
                <c:pt idx="15">
                  <c:v>4.0275292970792043</c:v>
                </c:pt>
                <c:pt idx="16">
                  <c:v>3.2867672945118023</c:v>
                </c:pt>
                <c:pt idx="17">
                  <c:v>2.5135142812334474</c:v>
                </c:pt>
                <c:pt idx="18">
                  <c:v>1.7078620472023842</c:v>
                </c:pt>
                <c:pt idx="19">
                  <c:v>0.86995678894249484</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0798-4D44-9A85-FB665A83401B}"/>
            </c:ext>
          </c:extLst>
        </c:ser>
        <c:ser>
          <c:idx val="0"/>
          <c:order val="1"/>
          <c:tx>
            <c:strRef>
              <c:f>NICCS_Fuel_cons!$B$3</c:f>
              <c:strCache>
                <c:ptCount val="1"/>
                <c:pt idx="0">
                  <c:v>charcoal</c:v>
                </c:pt>
              </c:strCache>
            </c:strRef>
          </c:tx>
          <c:spPr>
            <a:solidFill>
              <a:schemeClr val="accent1"/>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NICCS_Fuel_cons!$F$3:$AJ$3</c:f>
              <c:numCache>
                <c:formatCode>0.00</c:formatCode>
                <c:ptCount val="31"/>
                <c:pt idx="0">
                  <c:v>1.5894496465450823</c:v>
                </c:pt>
                <c:pt idx="1">
                  <c:v>1.7122285756281492</c:v>
                </c:pt>
                <c:pt idx="2">
                  <c:v>1.8407169238723899</c:v>
                </c:pt>
                <c:pt idx="3">
                  <c:v>1.9750209659669049</c:v>
                </c:pt>
                <c:pt idx="4">
                  <c:v>2.11524052124844</c:v>
                </c:pt>
                <c:pt idx="5">
                  <c:v>2.2740278908900828</c:v>
                </c:pt>
                <c:pt idx="6">
                  <c:v>2.200123059209985</c:v>
                </c:pt>
                <c:pt idx="7">
                  <c:v>2.1167585057256151</c:v>
                </c:pt>
                <c:pt idx="8">
                  <c:v>2.0234764741588154</c:v>
                </c:pt>
                <c:pt idx="9">
                  <c:v>1.9198284310176832</c:v>
                </c:pt>
                <c:pt idx="10">
                  <c:v>1.8054039520517686</c:v>
                </c:pt>
                <c:pt idx="11">
                  <c:v>1.6798342008414218</c:v>
                </c:pt>
                <c:pt idx="12">
                  <c:v>1.542782834879395</c:v>
                </c:pt>
                <c:pt idx="13">
                  <c:v>1.3939237793183268</c:v>
                </c:pt>
                <c:pt idx="14">
                  <c:v>1.2329414390822186</c:v>
                </c:pt>
                <c:pt idx="15">
                  <c:v>1.0598552733841582</c:v>
                </c:pt>
                <c:pt idx="16">
                  <c:v>0.87426301330733003</c:v>
                </c:pt>
                <c:pt idx="17">
                  <c:v>0.67581757825551869</c:v>
                </c:pt>
                <c:pt idx="18">
                  <c:v>0.4641820841424617</c:v>
                </c:pt>
                <c:pt idx="19">
                  <c:v>0.23902131021418049</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B-0798-4D44-9A85-FB665A83401B}"/>
            </c:ext>
          </c:extLst>
        </c:ser>
        <c:ser>
          <c:idx val="2"/>
          <c:order val="2"/>
          <c:tx>
            <c:strRef>
              <c:f>NICCS_Fuel_cons!$B$4</c:f>
              <c:strCache>
                <c:ptCount val="1"/>
                <c:pt idx="0">
                  <c:v>Imp_fuelwood</c:v>
                </c:pt>
              </c:strCache>
            </c:strRef>
          </c:tx>
          <c:spPr>
            <a:solidFill>
              <a:schemeClr val="accent3"/>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NICCS_Fuel_cons!$F$4:$AJ$4</c:f>
              <c:numCache>
                <c:formatCode>0.00</c:formatCode>
                <c:ptCount val="31"/>
                <c:pt idx="0">
                  <c:v>3.961453347891325E-2</c:v>
                </c:pt>
                <c:pt idx="1">
                  <c:v>4.7778312858962273E-2</c:v>
                </c:pt>
                <c:pt idx="2">
                  <c:v>5.6563920870320167E-2</c:v>
                </c:pt>
                <c:pt idx="3">
                  <c:v>6.5997794221163461E-2</c:v>
                </c:pt>
                <c:pt idx="4">
                  <c:v>7.6105453178188398E-2</c:v>
                </c:pt>
                <c:pt idx="5">
                  <c:v>8.6339020043873907E-2</c:v>
                </c:pt>
                <c:pt idx="6">
                  <c:v>0.15619261575062204</c:v>
                </c:pt>
                <c:pt idx="7">
                  <c:v>0.22889213951767812</c:v>
                </c:pt>
                <c:pt idx="8">
                  <c:v>0.30441399199492825</c:v>
                </c:pt>
                <c:pt idx="9">
                  <c:v>0.38270823119996733</c:v>
                </c:pt>
                <c:pt idx="10">
                  <c:v>0.46370336992067451</c:v>
                </c:pt>
                <c:pt idx="11">
                  <c:v>0.54731762324968825</c:v>
                </c:pt>
                <c:pt idx="12">
                  <c:v>0.63346466543546653</c:v>
                </c:pt>
                <c:pt idx="13">
                  <c:v>0.72204861035690959</c:v>
                </c:pt>
                <c:pt idx="14">
                  <c:v>0.81297423355236909</c:v>
                </c:pt>
                <c:pt idx="15">
                  <c:v>0.90625901660921249</c:v>
                </c:pt>
                <c:pt idx="16">
                  <c:v>1.0018304240769125</c:v>
                </c:pt>
                <c:pt idx="17">
                  <c:v>1.0995968167095798</c:v>
                </c:pt>
                <c:pt idx="18">
                  <c:v>1.1994640560909491</c:v>
                </c:pt>
                <c:pt idx="19">
                  <c:v>1.301329800677373</c:v>
                </c:pt>
                <c:pt idx="20">
                  <c:v>1.4050856345904765</c:v>
                </c:pt>
                <c:pt idx="21">
                  <c:v>1.425874733626191</c:v>
                </c:pt>
                <c:pt idx="22">
                  <c:v>1.446265965107143</c:v>
                </c:pt>
                <c:pt idx="23">
                  <c:v>1.4662251956238099</c:v>
                </c:pt>
                <c:pt idx="24">
                  <c:v>1.4857161022880951</c:v>
                </c:pt>
                <c:pt idx="25">
                  <c:v>1.504707078011905</c:v>
                </c:pt>
                <c:pt idx="26">
                  <c:v>1.5231679192190477</c:v>
                </c:pt>
                <c:pt idx="27">
                  <c:v>1.5410746539261908</c:v>
                </c:pt>
                <c:pt idx="28">
                  <c:v>1.5584080820904762</c:v>
                </c:pt>
                <c:pt idx="29">
                  <c:v>1.575152372097619</c:v>
                </c:pt>
                <c:pt idx="30">
                  <c:v>1.5912892782928574</c:v>
                </c:pt>
              </c:numCache>
            </c:numRef>
          </c:val>
          <c:extLst>
            <c:ext xmlns:c16="http://schemas.microsoft.com/office/drawing/2014/chart" uri="{C3380CC4-5D6E-409C-BE32-E72D297353CC}">
              <c16:uniqueId val="{0000000C-0798-4D44-9A85-FB665A83401B}"/>
            </c:ext>
          </c:extLst>
        </c:ser>
        <c:ser>
          <c:idx val="3"/>
          <c:order val="3"/>
          <c:tx>
            <c:strRef>
              <c:f>NICCS_Fuel_cons!$B$5</c:f>
              <c:strCache>
                <c:ptCount val="1"/>
                <c:pt idx="0">
                  <c:v>Imp_charcoal</c:v>
                </c:pt>
              </c:strCache>
            </c:strRef>
          </c:tx>
          <c:spPr>
            <a:solidFill>
              <a:schemeClr val="accent4"/>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NICCS_Fuel_cons!$F$5:$AJ$5</c:f>
              <c:numCache>
                <c:formatCode>0.00</c:formatCode>
                <c:ptCount val="31"/>
                <c:pt idx="0">
                  <c:v>4.4016148309900137E-3</c:v>
                </c:pt>
                <c:pt idx="1">
                  <c:v>5.308701428773494E-3</c:v>
                </c:pt>
                <c:pt idx="2">
                  <c:v>6.2848800967019568E-3</c:v>
                </c:pt>
                <c:pt idx="3">
                  <c:v>7.3330882467957425E-3</c:v>
                </c:pt>
                <c:pt idx="4">
                  <c:v>8.4561614642430505E-3</c:v>
                </c:pt>
                <c:pt idx="5">
                  <c:v>9.5932244493192181E-3</c:v>
                </c:pt>
                <c:pt idx="6">
                  <c:v>6.7173538564248916E-2</c:v>
                </c:pt>
                <c:pt idx="7">
                  <c:v>0.12772275362580893</c:v>
                </c:pt>
                <c:pt idx="8">
                  <c:v>0.19127194585985968</c:v>
                </c:pt>
                <c:pt idx="9">
                  <c:v>0.25783340635301216</c:v>
                </c:pt>
                <c:pt idx="10">
                  <c:v>0.32740336271975745</c:v>
                </c:pt>
                <c:pt idx="11">
                  <c:v>0.39996929033652617</c:v>
                </c:pt>
                <c:pt idx="12">
                  <c:v>0.47551365960566905</c:v>
                </c:pt>
                <c:pt idx="13">
                  <c:v>0.55400971067951543</c:v>
                </c:pt>
                <c:pt idx="14">
                  <c:v>0.6354255512569299</c:v>
                </c:pt>
                <c:pt idx="15">
                  <c:v>0.71984109843030031</c:v>
                </c:pt>
                <c:pt idx="16">
                  <c:v>0.80725059820734646</c:v>
                </c:pt>
                <c:pt idx="17">
                  <c:v>0.89764021909852465</c:v>
                </c:pt>
                <c:pt idx="18">
                  <c:v>0.99099571146742471</c:v>
                </c:pt>
                <c:pt idx="19">
                  <c:v>1.0872983822369922</c:v>
                </c:pt>
                <c:pt idx="20">
                  <c:v>1.1865255562285717</c:v>
                </c:pt>
                <c:pt idx="21">
                  <c:v>1.209181474704762</c:v>
                </c:pt>
                <c:pt idx="22">
                  <c:v>1.2317591828928571</c:v>
                </c:pt>
                <c:pt idx="23">
                  <c:v>1.2542357831841271</c:v>
                </c:pt>
                <c:pt idx="24">
                  <c:v>1.2765868038349204</c:v>
                </c:pt>
                <c:pt idx="25">
                  <c:v>1.298790340152381</c:v>
                </c:pt>
                <c:pt idx="26">
                  <c:v>1.3208248264880953</c:v>
                </c:pt>
                <c:pt idx="27">
                  <c:v>1.3426719302246033</c:v>
                </c:pt>
                <c:pt idx="28">
                  <c:v>1.3643162248396825</c:v>
                </c:pt>
                <c:pt idx="29">
                  <c:v>1.3857436642063492</c:v>
                </c:pt>
                <c:pt idx="30">
                  <c:v>1.406938446431746</c:v>
                </c:pt>
              </c:numCache>
            </c:numRef>
          </c:val>
          <c:extLst>
            <c:ext xmlns:c16="http://schemas.microsoft.com/office/drawing/2014/chart" uri="{C3380CC4-5D6E-409C-BE32-E72D297353CC}">
              <c16:uniqueId val="{0000000D-0798-4D44-9A85-FB665A83401B}"/>
            </c:ext>
          </c:extLst>
        </c:ser>
        <c:ser>
          <c:idx val="4"/>
          <c:order val="4"/>
          <c:tx>
            <c:strRef>
              <c:f>NICCS_Fuel_cons!$B$6</c:f>
              <c:strCache>
                <c:ptCount val="1"/>
                <c:pt idx="0">
                  <c:v>Gas</c:v>
                </c:pt>
              </c:strCache>
            </c:strRef>
          </c:tx>
          <c:spPr>
            <a:solidFill>
              <a:schemeClr val="accent5"/>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NICCS_Fuel_cons!$F$6:$AJ$6</c:f>
              <c:numCache>
                <c:formatCode>0.00</c:formatCode>
                <c:ptCount val="31"/>
                <c:pt idx="0">
                  <c:v>1.8381231236658088E-3</c:v>
                </c:pt>
                <c:pt idx="1">
                  <c:v>2.1208250106466652E-3</c:v>
                </c:pt>
                <c:pt idx="2">
                  <c:v>2.4240991245201484E-3</c:v>
                </c:pt>
                <c:pt idx="3">
                  <c:v>2.7487920508564041E-3</c:v>
                </c:pt>
                <c:pt idx="4">
                  <c:v>3.0957171506529181E-3</c:v>
                </c:pt>
                <c:pt idx="5">
                  <c:v>3.101158649011252E-3</c:v>
                </c:pt>
                <c:pt idx="6">
                  <c:v>2.9497913486816046E-2</c:v>
                </c:pt>
                <c:pt idx="7">
                  <c:v>5.7546186724657257E-2</c:v>
                </c:pt>
                <c:pt idx="8">
                  <c:v>8.7284735757980209E-2</c:v>
                </c:pt>
                <c:pt idx="9">
                  <c:v>0.11874537661406964</c:v>
                </c:pt>
                <c:pt idx="10">
                  <c:v>0.15195381674969638</c:v>
                </c:pt>
                <c:pt idx="11">
                  <c:v>0.18693182415864645</c:v>
                </c:pt>
                <c:pt idx="12">
                  <c:v>0.22369834220206872</c:v>
                </c:pt>
                <c:pt idx="13">
                  <c:v>0.26226711851374551</c:v>
                </c:pt>
                <c:pt idx="14">
                  <c:v>0.30264567559470185</c:v>
                </c:pt>
                <c:pt idx="15">
                  <c:v>0.34491479842023054</c:v>
                </c:pt>
                <c:pt idx="16">
                  <c:v>0.38909763328004254</c:v>
                </c:pt>
                <c:pt idx="17">
                  <c:v>0.43521994312518097</c:v>
                </c:pt>
                <c:pt idx="18">
                  <c:v>0.48330848870572946</c:v>
                </c:pt>
                <c:pt idx="19">
                  <c:v>0.53338939681131647</c:v>
                </c:pt>
                <c:pt idx="20">
                  <c:v>0.5854874716937144</c:v>
                </c:pt>
                <c:pt idx="21">
                  <c:v>0.59999256314228577</c:v>
                </c:pt>
                <c:pt idx="22">
                  <c:v>0.6146271294557144</c:v>
                </c:pt>
                <c:pt idx="23">
                  <c:v>0.62938373591771435</c:v>
                </c:pt>
                <c:pt idx="24">
                  <c:v>0.64425435021314281</c:v>
                </c:pt>
                <c:pt idx="25">
                  <c:v>0.65923128400285713</c:v>
                </c:pt>
                <c:pt idx="26">
                  <c:v>0.67430646455057142</c:v>
                </c:pt>
                <c:pt idx="27">
                  <c:v>0.68947209136828569</c:v>
                </c:pt>
                <c:pt idx="28">
                  <c:v>0.70472106539371426</c:v>
                </c:pt>
                <c:pt idx="29">
                  <c:v>0.72004601412742852</c:v>
                </c:pt>
                <c:pt idx="30">
                  <c:v>0.73543888306228578</c:v>
                </c:pt>
              </c:numCache>
            </c:numRef>
          </c:val>
          <c:extLst>
            <c:ext xmlns:c16="http://schemas.microsoft.com/office/drawing/2014/chart" uri="{C3380CC4-5D6E-409C-BE32-E72D297353CC}">
              <c16:uniqueId val="{0000000E-0798-4D44-9A85-FB665A83401B}"/>
            </c:ext>
          </c:extLst>
        </c:ser>
        <c:ser>
          <c:idx val="5"/>
          <c:order val="5"/>
          <c:tx>
            <c:strRef>
              <c:f>NICCS_Fuel_cons!$B$7</c:f>
              <c:strCache>
                <c:ptCount val="1"/>
                <c:pt idx="0">
                  <c:v>kerosene</c:v>
                </c:pt>
              </c:strCache>
            </c:strRef>
          </c:tx>
          <c:spPr>
            <a:solidFill>
              <a:schemeClr val="accent6"/>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NICCS_Fuel_cons!$F$7:$AJ$7</c:f>
              <c:numCache>
                <c:formatCode>0.00</c:formatCode>
                <c:ptCount val="31"/>
                <c:pt idx="0">
                  <c:v>1.4109146447841009E-4</c:v>
                </c:pt>
                <c:pt idx="1">
                  <c:v>1.0717823380847282E-4</c:v>
                </c:pt>
                <c:pt idx="2">
                  <c:v>6.9934785886188616E-5</c:v>
                </c:pt>
                <c:pt idx="3">
                  <c:v>2.9190775153562381E-5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F-0798-4D44-9A85-FB665A83401B}"/>
            </c:ext>
          </c:extLst>
        </c:ser>
        <c:ser>
          <c:idx val="6"/>
          <c:order val="6"/>
          <c:tx>
            <c:strRef>
              <c:f>NICCS_Fuel_cons!$B$8</c:f>
              <c:strCache>
                <c:ptCount val="1"/>
                <c:pt idx="0">
                  <c:v>electric</c:v>
                </c:pt>
              </c:strCache>
            </c:strRef>
          </c:tx>
          <c:spPr>
            <a:solidFill>
              <a:schemeClr val="accent1">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NICCS_Fuel_cons!$F$8:$AJ$8</c:f>
              <c:numCache>
                <c:formatCode>0.00</c:formatCode>
                <c:ptCount val="31"/>
                <c:pt idx="0">
                  <c:v>0.3083562253484326</c:v>
                </c:pt>
                <c:pt idx="1">
                  <c:v>0.30536110235788338</c:v>
                </c:pt>
                <c:pt idx="2">
                  <c:v>0.30141074260139633</c:v>
                </c:pt>
                <c:pt idx="3">
                  <c:v>0.29643860367094571</c:v>
                </c:pt>
                <c:pt idx="4">
                  <c:v>0.29037654054996637</c:v>
                </c:pt>
                <c:pt idx="5">
                  <c:v>0.29081508489027647</c:v>
                </c:pt>
                <c:pt idx="6">
                  <c:v>0.42028209715375942</c:v>
                </c:pt>
                <c:pt idx="7">
                  <c:v>0.55704550719757218</c:v>
                </c:pt>
                <c:pt idx="8">
                  <c:v>0.70123667911542142</c:v>
                </c:pt>
                <c:pt idx="9">
                  <c:v>0.85295119900443916</c:v>
                </c:pt>
                <c:pt idx="10">
                  <c:v>1.0122558927709426</c:v>
                </c:pt>
                <c:pt idx="11">
                  <c:v>1.179200285394272</c:v>
                </c:pt>
                <c:pt idx="12">
                  <c:v>1.3538222881346658</c:v>
                </c:pt>
                <c:pt idx="13">
                  <c:v>1.5361338031938521</c:v>
                </c:pt>
                <c:pt idx="14">
                  <c:v>1.726115288722992</c:v>
                </c:pt>
                <c:pt idx="15">
                  <c:v>1.9241732907755238</c:v>
                </c:pt>
                <c:pt idx="16">
                  <c:v>2.1303566097432292</c:v>
                </c:pt>
                <c:pt idx="17">
                  <c:v>2.3447355728201504</c:v>
                </c:pt>
                <c:pt idx="18">
                  <c:v>2.5673862777437515</c:v>
                </c:pt>
                <c:pt idx="19">
                  <c:v>2.7983809676595159</c:v>
                </c:pt>
                <c:pt idx="20">
                  <c:v>3.0377843022040816</c:v>
                </c:pt>
                <c:pt idx="21">
                  <c:v>3.1125385778673476</c:v>
                </c:pt>
                <c:pt idx="22">
                  <c:v>3.1879391106122448</c:v>
                </c:pt>
                <c:pt idx="23">
                  <c:v>3.2639467389183672</c:v>
                </c:pt>
                <c:pt idx="24">
                  <c:v>3.3405191734387754</c:v>
                </c:pt>
                <c:pt idx="25">
                  <c:v>3.4176160496428571</c:v>
                </c:pt>
                <c:pt idx="26">
                  <c:v>3.4951950923367354</c:v>
                </c:pt>
                <c:pt idx="27">
                  <c:v>3.573215639775511</c:v>
                </c:pt>
                <c:pt idx="28">
                  <c:v>3.6516407807755096</c:v>
                </c:pt>
                <c:pt idx="29">
                  <c:v>3.7304323303775506</c:v>
                </c:pt>
                <c:pt idx="30">
                  <c:v>3.8095485370510209</c:v>
                </c:pt>
              </c:numCache>
            </c:numRef>
          </c:val>
          <c:extLst>
            <c:ext xmlns:c16="http://schemas.microsoft.com/office/drawing/2014/chart" uri="{C3380CC4-5D6E-409C-BE32-E72D297353CC}">
              <c16:uniqueId val="{00000010-0798-4D44-9A85-FB665A83401B}"/>
            </c:ext>
          </c:extLst>
        </c:ser>
        <c:ser>
          <c:idx val="7"/>
          <c:order val="7"/>
          <c:tx>
            <c:strRef>
              <c:f>NICCS_Fuel_cons!$B$9</c:f>
              <c:strCache>
                <c:ptCount val="1"/>
                <c:pt idx="0">
                  <c:v>pellets</c:v>
                </c:pt>
              </c:strCache>
            </c:strRef>
          </c:tx>
          <c:spPr>
            <a:solidFill>
              <a:schemeClr val="accent2">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NICCS_Fuel_cons!$F$9:$AJ$9</c:f>
              <c:numCache>
                <c:formatCode>0.00</c:formatCode>
                <c:ptCount val="31"/>
                <c:pt idx="0">
                  <c:v>0</c:v>
                </c:pt>
                <c:pt idx="1">
                  <c:v>0</c:v>
                </c:pt>
                <c:pt idx="2">
                  <c:v>0</c:v>
                </c:pt>
                <c:pt idx="3">
                  <c:v>0</c:v>
                </c:pt>
                <c:pt idx="4">
                  <c:v>0</c:v>
                </c:pt>
                <c:pt idx="5">
                  <c:v>0</c:v>
                </c:pt>
                <c:pt idx="6">
                  <c:v>4.9703614860594061E-2</c:v>
                </c:pt>
                <c:pt idx="7">
                  <c:v>0.102860205607506</c:v>
                </c:pt>
                <c:pt idx="8">
                  <c:v>0.15957157396874988</c:v>
                </c:pt>
                <c:pt idx="9">
                  <c:v>0.21992838061720543</c:v>
                </c:pt>
                <c:pt idx="10">
                  <c:v>0.28401119326176844</c:v>
                </c:pt>
                <c:pt idx="11">
                  <c:v>0.35189321069338653</c:v>
                </c:pt>
                <c:pt idx="12">
                  <c:v>0.42364167287693427</c:v>
                </c:pt>
                <c:pt idx="13">
                  <c:v>0.49931294663414949</c:v>
                </c:pt>
                <c:pt idx="14">
                  <c:v>0.57894728152229868</c:v>
                </c:pt>
                <c:pt idx="15">
                  <c:v>0.66274688288407135</c:v>
                </c:pt>
                <c:pt idx="16">
                  <c:v>0.7507856930256438</c:v>
                </c:pt>
                <c:pt idx="17">
                  <c:v>0.8431496424807825</c:v>
                </c:pt>
                <c:pt idx="18">
                  <c:v>0.93992788051893883</c:v>
                </c:pt>
                <c:pt idx="19">
                  <c:v>1.0412099714874257</c:v>
                </c:pt>
                <c:pt idx="20">
                  <c:v>1.1470835788601945</c:v>
                </c:pt>
                <c:pt idx="21">
                  <c:v>1.1790279371678802</c:v>
                </c:pt>
                <c:pt idx="22">
                  <c:v>1.2114041607586414</c:v>
                </c:pt>
                <c:pt idx="23">
                  <c:v>1.2442017805514543</c:v>
                </c:pt>
                <c:pt idx="24">
                  <c:v>1.2774093466061212</c:v>
                </c:pt>
                <c:pt idx="25">
                  <c:v>1.3110151045470682</c:v>
                </c:pt>
                <c:pt idx="26">
                  <c:v>1.3450059619352275</c:v>
                </c:pt>
                <c:pt idx="27">
                  <c:v>1.3793679568800061</c:v>
                </c:pt>
                <c:pt idx="28">
                  <c:v>1.4140877249805697</c:v>
                </c:pt>
                <c:pt idx="29">
                  <c:v>1.4491503539863499</c:v>
                </c:pt>
                <c:pt idx="30">
                  <c:v>1.4845397909451188</c:v>
                </c:pt>
              </c:numCache>
            </c:numRef>
          </c:val>
          <c:extLst>
            <c:ext xmlns:c16="http://schemas.microsoft.com/office/drawing/2014/chart" uri="{C3380CC4-5D6E-409C-BE32-E72D297353CC}">
              <c16:uniqueId val="{00000011-0798-4D44-9A85-FB665A83401B}"/>
            </c:ext>
          </c:extLst>
        </c:ser>
        <c:ser>
          <c:idx val="8"/>
          <c:order val="8"/>
          <c:tx>
            <c:strRef>
              <c:f>NICCS_Fuel_cons!$B$10</c:f>
              <c:strCache>
                <c:ptCount val="1"/>
                <c:pt idx="0">
                  <c:v>ethanol</c:v>
                </c:pt>
              </c:strCache>
            </c:strRef>
          </c:tx>
          <c:spPr>
            <a:solidFill>
              <a:schemeClr val="accent3">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NICCS_Fuel_cons!$F$10:$AJ$10</c:f>
              <c:numCache>
                <c:formatCode>0.00</c:formatCode>
                <c:ptCount val="31"/>
                <c:pt idx="0">
                  <c:v>0</c:v>
                </c:pt>
                <c:pt idx="1">
                  <c:v>0</c:v>
                </c:pt>
                <c:pt idx="2">
                  <c:v>0</c:v>
                </c:pt>
                <c:pt idx="3">
                  <c:v>0</c:v>
                </c:pt>
                <c:pt idx="4">
                  <c:v>0</c:v>
                </c:pt>
                <c:pt idx="5">
                  <c:v>0</c:v>
                </c:pt>
                <c:pt idx="6">
                  <c:v>1.0038795148019706E-2</c:v>
                </c:pt>
                <c:pt idx="7">
                  <c:v>2.0845273806561575E-2</c:v>
                </c:pt>
                <c:pt idx="8">
                  <c:v>3.2445938798955666E-2</c:v>
                </c:pt>
                <c:pt idx="9">
                  <c:v>4.4865450629911333E-2</c:v>
                </c:pt>
                <c:pt idx="10">
                  <c:v>5.8126740221970445E-2</c:v>
                </c:pt>
                <c:pt idx="11">
                  <c:v>7.2251269480197056E-2</c:v>
                </c:pt>
                <c:pt idx="12">
                  <c:v>8.7259168789655187E-2</c:v>
                </c:pt>
                <c:pt idx="13">
                  <c:v>0.10316813506782266</c:v>
                </c:pt>
                <c:pt idx="14">
                  <c:v>0.11999165807172414</c:v>
                </c:pt>
                <c:pt idx="15">
                  <c:v>0.13778141955310347</c:v>
                </c:pt>
                <c:pt idx="16">
                  <c:v>0.15655859707519212</c:v>
                </c:pt>
                <c:pt idx="17">
                  <c:v>0.17634835193852216</c:v>
                </c:pt>
                <c:pt idx="18">
                  <c:v>0.19717678824833496</c:v>
                </c:pt>
                <c:pt idx="19">
                  <c:v>0.21907043719655173</c:v>
                </c:pt>
                <c:pt idx="20">
                  <c:v>0.24205556793458133</c:v>
                </c:pt>
                <c:pt idx="21">
                  <c:v>0.24952229898162559</c:v>
                </c:pt>
                <c:pt idx="22">
                  <c:v>0.25711684610985225</c:v>
                </c:pt>
                <c:pt idx="23">
                  <c:v>0.26483784356837436</c:v>
                </c:pt>
                <c:pt idx="24">
                  <c:v>0.27268375773147785</c:v>
                </c:pt>
                <c:pt idx="25">
                  <c:v>0.28065278932536947</c:v>
                </c:pt>
                <c:pt idx="26">
                  <c:v>0.28874273629965519</c:v>
                </c:pt>
                <c:pt idx="27">
                  <c:v>0.2969509243406897</c:v>
                </c:pt>
                <c:pt idx="28">
                  <c:v>0.30527464531389165</c:v>
                </c:pt>
                <c:pt idx="29">
                  <c:v>0.31371065609896548</c:v>
                </c:pt>
                <c:pt idx="30">
                  <c:v>0.32225551310970441</c:v>
                </c:pt>
              </c:numCache>
            </c:numRef>
          </c:val>
          <c:extLst>
            <c:ext xmlns:c16="http://schemas.microsoft.com/office/drawing/2014/chart" uri="{C3380CC4-5D6E-409C-BE32-E72D297353CC}">
              <c16:uniqueId val="{00000012-0798-4D44-9A85-FB665A83401B}"/>
            </c:ext>
          </c:extLst>
        </c:ser>
        <c:ser>
          <c:idx val="9"/>
          <c:order val="9"/>
          <c:tx>
            <c:strRef>
              <c:f>NICCS_Fuel_cons!$B$11</c:f>
              <c:strCache>
                <c:ptCount val="1"/>
                <c:pt idx="0">
                  <c:v>biogas</c:v>
                </c:pt>
              </c:strCache>
            </c:strRef>
          </c:tx>
          <c:spPr>
            <a:solidFill>
              <a:schemeClr val="accent4">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NICCS_Fuel_cons!$F$11:$AJ$11</c:f>
              <c:numCache>
                <c:formatCode>0.00</c:formatCode>
                <c:ptCount val="31"/>
                <c:pt idx="0">
                  <c:v>0</c:v>
                </c:pt>
                <c:pt idx="1">
                  <c:v>0</c:v>
                </c:pt>
                <c:pt idx="2">
                  <c:v>0</c:v>
                </c:pt>
                <c:pt idx="3">
                  <c:v>0</c:v>
                </c:pt>
                <c:pt idx="4">
                  <c:v>0</c:v>
                </c:pt>
                <c:pt idx="5">
                  <c:v>0</c:v>
                </c:pt>
                <c:pt idx="6">
                  <c:v>4.2115736687875103E-3</c:v>
                </c:pt>
                <c:pt idx="7">
                  <c:v>8.6122188412720881E-3</c:v>
                </c:pt>
                <c:pt idx="8">
                  <c:v>1.3201809838385025E-2</c:v>
                </c:pt>
                <c:pt idx="9">
                  <c:v>1.7978676175837982E-2</c:v>
                </c:pt>
                <c:pt idx="10">
                  <c:v>2.2939837121412721E-2</c:v>
                </c:pt>
                <c:pt idx="11">
                  <c:v>2.8081659109950724E-2</c:v>
                </c:pt>
                <c:pt idx="12">
                  <c:v>3.3400192196693414E-2</c:v>
                </c:pt>
                <c:pt idx="13">
                  <c:v>3.8890914771673821E-2</c:v>
                </c:pt>
                <c:pt idx="14">
                  <c:v>4.4549341663127205E-2</c:v>
                </c:pt>
                <c:pt idx="15">
                  <c:v>5.0376637147981802E-2</c:v>
                </c:pt>
                <c:pt idx="16">
                  <c:v>5.6369870678369689E-2</c:v>
                </c:pt>
                <c:pt idx="17">
                  <c:v>6.2524826114282631E-2</c:v>
                </c:pt>
                <c:pt idx="18">
                  <c:v>6.8837128907719453E-2</c:v>
                </c:pt>
                <c:pt idx="19">
                  <c:v>7.5301934086942621E-2</c:v>
                </c:pt>
                <c:pt idx="20">
                  <c:v>8.1914056081210745E-2</c:v>
                </c:pt>
                <c:pt idx="21">
                  <c:v>8.3126024506740698E-2</c:v>
                </c:pt>
                <c:pt idx="22">
                  <c:v>8.4314797943729466E-2</c:v>
                </c:pt>
                <c:pt idx="23">
                  <c:v>8.547838647358913E-2</c:v>
                </c:pt>
                <c:pt idx="24">
                  <c:v>8.6614672534927481E-2</c:v>
                </c:pt>
                <c:pt idx="25">
                  <c:v>8.7721813489315265E-2</c:v>
                </c:pt>
                <c:pt idx="26">
                  <c:v>8.8798048520633457E-2</c:v>
                </c:pt>
                <c:pt idx="27">
                  <c:v>8.9841980103821106E-2</c:v>
                </c:pt>
                <c:pt idx="28">
                  <c:v>9.0852488909672457E-2</c:v>
                </c:pt>
                <c:pt idx="29">
                  <c:v>9.1828651982526682E-2</c:v>
                </c:pt>
                <c:pt idx="30">
                  <c:v>9.2769405632349047E-2</c:v>
                </c:pt>
              </c:numCache>
            </c:numRef>
          </c:val>
          <c:extLst>
            <c:ext xmlns:c16="http://schemas.microsoft.com/office/drawing/2014/chart" uri="{C3380CC4-5D6E-409C-BE32-E72D297353CC}">
              <c16:uniqueId val="{00000013-0798-4D44-9A85-FB665A83401B}"/>
            </c:ext>
          </c:extLst>
        </c:ser>
        <c:ser>
          <c:idx val="10"/>
          <c:order val="10"/>
          <c:tx>
            <c:strRef>
              <c:f>NICCS_Fuel_cons!$B$12</c:f>
              <c:strCache>
                <c:ptCount val="1"/>
                <c:pt idx="0">
                  <c:v>other</c:v>
                </c:pt>
              </c:strCache>
            </c:strRef>
          </c:tx>
          <c:spPr>
            <a:solidFill>
              <a:schemeClr val="accent5">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NICCS_Fuel_cons!$F$12:$AJ$12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14-0798-4D44-9A85-FB665A83401B}"/>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NICCS_Fuel_cons!$B$13</c:f>
              <c:strCache>
                <c:ptCount val="1"/>
                <c:pt idx="0">
                  <c:v>fuelwood</c:v>
                </c:pt>
              </c:strCache>
            </c:strRef>
          </c:tx>
          <c:spPr>
            <a:solidFill>
              <a:schemeClr val="accent2"/>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NICCS_Fuel_cons!$F$13:$AJ$13</c:f>
              <c:numCache>
                <c:formatCode>0.00</c:formatCode>
                <c:ptCount val="31"/>
                <c:pt idx="0">
                  <c:v>8.0283346130346906</c:v>
                </c:pt>
                <c:pt idx="1">
                  <c:v>8.1177592475463438</c:v>
                </c:pt>
                <c:pt idx="2">
                  <c:v>8.2028129502107401</c:v>
                </c:pt>
                <c:pt idx="3">
                  <c:v>8.2835118764600217</c:v>
                </c:pt>
                <c:pt idx="4">
                  <c:v>8.3599725422317821</c:v>
                </c:pt>
                <c:pt idx="5">
                  <c:v>8.3327364005895053</c:v>
                </c:pt>
                <c:pt idx="6">
                  <c:v>7.9552558154851427</c:v>
                </c:pt>
                <c:pt idx="7">
                  <c:v>7.5528372385327671</c:v>
                </c:pt>
                <c:pt idx="8">
                  <c:v>7.1248409909840014</c:v>
                </c:pt>
                <c:pt idx="9">
                  <c:v>6.6707108534881083</c:v>
                </c:pt>
                <c:pt idx="10">
                  <c:v>6.1901623281195404</c:v>
                </c:pt>
                <c:pt idx="11">
                  <c:v>5.6832365705177725</c:v>
                </c:pt>
                <c:pt idx="12">
                  <c:v>5.1501825752455463</c:v>
                </c:pt>
                <c:pt idx="13">
                  <c:v>4.5913238173862672</c:v>
                </c:pt>
                <c:pt idx="14">
                  <c:v>4.0071144220433714</c:v>
                </c:pt>
                <c:pt idx="15">
                  <c:v>3.3984500395569963</c:v>
                </c:pt>
                <c:pt idx="16">
                  <c:v>2.765642604945683</c:v>
                </c:pt>
                <c:pt idx="17">
                  <c:v>2.1089885094671397</c:v>
                </c:pt>
                <c:pt idx="18">
                  <c:v>1.4288646893215748</c:v>
                </c:pt>
                <c:pt idx="19">
                  <c:v>0.72570448572009816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8F98-5E48-9F78-1BE7D72CDE0F}"/>
            </c:ext>
          </c:extLst>
        </c:ser>
        <c:ser>
          <c:idx val="0"/>
          <c:order val="1"/>
          <c:tx>
            <c:strRef>
              <c:f>NICCS_Fuel_cons!$B$14</c:f>
              <c:strCache>
                <c:ptCount val="1"/>
                <c:pt idx="0">
                  <c:v>charcoal</c:v>
                </c:pt>
              </c:strCache>
            </c:strRef>
          </c:tx>
          <c:spPr>
            <a:solidFill>
              <a:schemeClr val="accent1"/>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NICCS_Fuel_cons!$F$14:$AJ$14</c:f>
              <c:numCache>
                <c:formatCode>0.00</c:formatCode>
                <c:ptCount val="31"/>
                <c:pt idx="0">
                  <c:v>0.36007917407379103</c:v>
                </c:pt>
                <c:pt idx="1">
                  <c:v>0.40378340664973555</c:v>
                </c:pt>
                <c:pt idx="2">
                  <c:v>0.44924094833449152</c:v>
                </c:pt>
                <c:pt idx="3">
                  <c:v>0.49646946175837753</c:v>
                </c:pt>
                <c:pt idx="4">
                  <c:v>0.54549445866629931</c:v>
                </c:pt>
                <c:pt idx="5">
                  <c:v>0.62373664153659303</c:v>
                </c:pt>
                <c:pt idx="6">
                  <c:v>0.59548080082841881</c:v>
                </c:pt>
                <c:pt idx="7">
                  <c:v>0.56535825769091452</c:v>
                </c:pt>
                <c:pt idx="8">
                  <c:v>0.53332112976527335</c:v>
                </c:pt>
                <c:pt idx="9">
                  <c:v>0.49932778194231814</c:v>
                </c:pt>
                <c:pt idx="10">
                  <c:v>0.46335691848292104</c:v>
                </c:pt>
                <c:pt idx="11">
                  <c:v>0.42541162004139699</c:v>
                </c:pt>
                <c:pt idx="12">
                  <c:v>0.38551052479671372</c:v>
                </c:pt>
                <c:pt idx="13">
                  <c:v>0.34367784607477569</c:v>
                </c:pt>
                <c:pt idx="14">
                  <c:v>0.29994757684658763</c:v>
                </c:pt>
                <c:pt idx="15">
                  <c:v>0.25438675990677212</c:v>
                </c:pt>
                <c:pt idx="16">
                  <c:v>0.20701874476400048</c:v>
                </c:pt>
                <c:pt idx="17">
                  <c:v>0.15786571741801844</c:v>
                </c:pt>
                <c:pt idx="18">
                  <c:v>0.1069558929602784</c:v>
                </c:pt>
                <c:pt idx="19">
                  <c:v>5.4321708609319688E-2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8F98-5E48-9F78-1BE7D72CDE0F}"/>
            </c:ext>
          </c:extLst>
        </c:ser>
        <c:ser>
          <c:idx val="2"/>
          <c:order val="2"/>
          <c:tx>
            <c:strRef>
              <c:f>NICCS_Fuel_cons!$B$15</c:f>
              <c:strCache>
                <c:ptCount val="1"/>
                <c:pt idx="0">
                  <c:v>Imp_fuelwood</c:v>
                </c:pt>
              </c:strCache>
            </c:strRef>
          </c:tx>
          <c:spPr>
            <a:solidFill>
              <a:schemeClr val="accent3"/>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NICCS_Fuel_cons!$F$15:$AJ$15</c:f>
              <c:numCache>
                <c:formatCode>0.00</c:formatCode>
                <c:ptCount val="31"/>
                <c:pt idx="0">
                  <c:v>0</c:v>
                </c:pt>
                <c:pt idx="1">
                  <c:v>0</c:v>
                </c:pt>
                <c:pt idx="2">
                  <c:v>0</c:v>
                </c:pt>
                <c:pt idx="3">
                  <c:v>0</c:v>
                </c:pt>
                <c:pt idx="4">
                  <c:v>0</c:v>
                </c:pt>
                <c:pt idx="5">
                  <c:v>0</c:v>
                </c:pt>
                <c:pt idx="6">
                  <c:v>7.2241834236190502E-2</c:v>
                </c:pt>
                <c:pt idx="7">
                  <c:v>0.14772684389873017</c:v>
                </c:pt>
                <c:pt idx="8">
                  <c:v>0.22645287319333338</c:v>
                </c:pt>
                <c:pt idx="9">
                  <c:v>0.30839126802095246</c:v>
                </c:pt>
                <c:pt idx="10">
                  <c:v>0.39349089937857151</c:v>
                </c:pt>
                <c:pt idx="11">
                  <c:v>0.48168944010952397</c:v>
                </c:pt>
                <c:pt idx="12">
                  <c:v>0.57291913614444456</c:v>
                </c:pt>
                <c:pt idx="13">
                  <c:v>0.66710242754412719</c:v>
                </c:pt>
                <c:pt idx="14">
                  <c:v>0.76416237940000009</c:v>
                </c:pt>
                <c:pt idx="15">
                  <c:v>0.8641189627507937</c:v>
                </c:pt>
                <c:pt idx="16">
                  <c:v>0.96692190941412715</c:v>
                </c:pt>
                <c:pt idx="17">
                  <c:v>1.0724988992285716</c:v>
                </c:pt>
                <c:pt idx="18">
                  <c:v>1.1807748948336509</c:v>
                </c:pt>
                <c:pt idx="19">
                  <c:v>1.2916667896111114</c:v>
                </c:pt>
                <c:pt idx="20">
                  <c:v>1.4050856345904765</c:v>
                </c:pt>
                <c:pt idx="21">
                  <c:v>1.425874733626191</c:v>
                </c:pt>
                <c:pt idx="22">
                  <c:v>1.446265965107143</c:v>
                </c:pt>
                <c:pt idx="23">
                  <c:v>1.4662251956238099</c:v>
                </c:pt>
                <c:pt idx="24">
                  <c:v>1.4857161022880951</c:v>
                </c:pt>
                <c:pt idx="25">
                  <c:v>1.504707078011905</c:v>
                </c:pt>
                <c:pt idx="26">
                  <c:v>1.5231679192190477</c:v>
                </c:pt>
                <c:pt idx="27">
                  <c:v>1.5410746539261908</c:v>
                </c:pt>
                <c:pt idx="28">
                  <c:v>1.5584080820904762</c:v>
                </c:pt>
                <c:pt idx="29">
                  <c:v>1.575152372097619</c:v>
                </c:pt>
                <c:pt idx="30">
                  <c:v>1.5912892782928574</c:v>
                </c:pt>
              </c:numCache>
            </c:numRef>
          </c:val>
          <c:extLst>
            <c:ext xmlns:c16="http://schemas.microsoft.com/office/drawing/2014/chart" uri="{C3380CC4-5D6E-409C-BE32-E72D297353CC}">
              <c16:uniqueId val="{00000002-8F98-5E48-9F78-1BE7D72CDE0F}"/>
            </c:ext>
          </c:extLst>
        </c:ser>
        <c:ser>
          <c:idx val="3"/>
          <c:order val="3"/>
          <c:tx>
            <c:strRef>
              <c:f>NICCS_Fuel_cons!$B$16</c:f>
              <c:strCache>
                <c:ptCount val="1"/>
                <c:pt idx="0">
                  <c:v>Imp_charcoal</c:v>
                </c:pt>
              </c:strCache>
            </c:strRef>
          </c:tx>
          <c:spPr>
            <a:solidFill>
              <a:schemeClr val="accent4"/>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NICCS_Fuel_cons!$F$16:$AJ$16</c:f>
              <c:numCache>
                <c:formatCode>0.00</c:formatCode>
                <c:ptCount val="31"/>
                <c:pt idx="0">
                  <c:v>0</c:v>
                </c:pt>
                <c:pt idx="1">
                  <c:v>0</c:v>
                </c:pt>
                <c:pt idx="2">
                  <c:v>0</c:v>
                </c:pt>
                <c:pt idx="3">
                  <c:v>0</c:v>
                </c:pt>
                <c:pt idx="4">
                  <c:v>0</c:v>
                </c:pt>
                <c:pt idx="5">
                  <c:v>0</c:v>
                </c:pt>
                <c:pt idx="6">
                  <c:v>4.6744716270476203E-2</c:v>
                </c:pt>
                <c:pt idx="7">
                  <c:v>9.55879578168254E-2</c:v>
                </c:pt>
                <c:pt idx="8">
                  <c:v>0.14652832971333338</c:v>
                </c:pt>
                <c:pt idx="9">
                  <c:v>0.19954729107238098</c:v>
                </c:pt>
                <c:pt idx="10">
                  <c:v>0.25461175842142864</c:v>
                </c:pt>
                <c:pt idx="11">
                  <c:v>0.31168140242380959</c:v>
                </c:pt>
                <c:pt idx="12">
                  <c:v>0.37071238221111114</c:v>
                </c:pt>
                <c:pt idx="13">
                  <c:v>0.43165451194031745</c:v>
                </c:pt>
                <c:pt idx="14">
                  <c:v>0.49445801020000002</c:v>
                </c:pt>
                <c:pt idx="15">
                  <c:v>0.55913579942698399</c:v>
                </c:pt>
                <c:pt idx="16">
                  <c:v>0.62565535315031739</c:v>
                </c:pt>
                <c:pt idx="17">
                  <c:v>0.69396987597142856</c:v>
                </c:pt>
                <c:pt idx="18">
                  <c:v>0.764030814304127</c:v>
                </c:pt>
                <c:pt idx="19">
                  <c:v>0.83578439327777776</c:v>
                </c:pt>
                <c:pt idx="20">
                  <c:v>0.90917305767619061</c:v>
                </c:pt>
                <c:pt idx="21">
                  <c:v>0.92262482764047626</c:v>
                </c:pt>
                <c:pt idx="22">
                  <c:v>0.93581915389285708</c:v>
                </c:pt>
                <c:pt idx="23">
                  <c:v>0.94873395010952399</c:v>
                </c:pt>
                <c:pt idx="24">
                  <c:v>0.96134571324523799</c:v>
                </c:pt>
                <c:pt idx="25">
                  <c:v>0.97363399165476194</c:v>
                </c:pt>
                <c:pt idx="26">
                  <c:v>0.98557924184761903</c:v>
                </c:pt>
                <c:pt idx="27">
                  <c:v>0.99716595254047624</c:v>
                </c:pt>
                <c:pt idx="28">
                  <c:v>1.0083817001761906</c:v>
                </c:pt>
                <c:pt idx="29">
                  <c:v>1.0192162407690477</c:v>
                </c:pt>
                <c:pt idx="30">
                  <c:v>1.0296577683071428</c:v>
                </c:pt>
              </c:numCache>
            </c:numRef>
          </c:val>
          <c:extLst>
            <c:ext xmlns:c16="http://schemas.microsoft.com/office/drawing/2014/chart" uri="{C3380CC4-5D6E-409C-BE32-E72D297353CC}">
              <c16:uniqueId val="{00000003-8F98-5E48-9F78-1BE7D72CDE0F}"/>
            </c:ext>
          </c:extLst>
        </c:ser>
        <c:ser>
          <c:idx val="4"/>
          <c:order val="4"/>
          <c:tx>
            <c:strRef>
              <c:f>NICCS_Fuel_cons!$B$17</c:f>
              <c:strCache>
                <c:ptCount val="1"/>
                <c:pt idx="0">
                  <c:v>Gas</c:v>
                </c:pt>
              </c:strCache>
            </c:strRef>
          </c:tx>
          <c:spPr>
            <a:solidFill>
              <a:schemeClr val="accent5"/>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NICCS_Fuel_cons!$F$17:$AJ$17</c:f>
              <c:numCache>
                <c:formatCode>0.00</c:formatCode>
                <c:ptCount val="31"/>
                <c:pt idx="0">
                  <c:v>9.5400108611729217E-5</c:v>
                </c:pt>
                <c:pt idx="1">
                  <c:v>9.4121464930595056E-5</c:v>
                </c:pt>
                <c:pt idx="2">
                  <c:v>9.2675901728729706E-5</c:v>
                </c:pt>
                <c:pt idx="3">
                  <c:v>9.1062611909909763E-5</c:v>
                </c:pt>
                <c:pt idx="4">
                  <c:v>8.9281783486019878E-5</c:v>
                </c:pt>
                <c:pt idx="5">
                  <c:v>8.7847875400583973E-5</c:v>
                </c:pt>
                <c:pt idx="6">
                  <c:v>1.3852311987731887E-2</c:v>
                </c:pt>
                <c:pt idx="7">
                  <c:v>2.8234624272535591E-2</c:v>
                </c:pt>
                <c:pt idx="8">
                  <c:v>4.3234367116969791E-2</c:v>
                </c:pt>
                <c:pt idx="9">
                  <c:v>5.8846073522920386E-2</c:v>
                </c:pt>
                <c:pt idx="10">
                  <c:v>7.5059995904610849E-2</c:v>
                </c:pt>
                <c:pt idx="11">
                  <c:v>9.1864255873124467E-2</c:v>
                </c:pt>
                <c:pt idx="12">
                  <c:v>0.10924594292497221</c:v>
                </c:pt>
                <c:pt idx="13">
                  <c:v>0.12719027845844738</c:v>
                </c:pt>
                <c:pt idx="14">
                  <c:v>0.1456826043727068</c:v>
                </c:pt>
                <c:pt idx="15">
                  <c:v>0.16472673635517296</c:v>
                </c:pt>
                <c:pt idx="16">
                  <c:v>0.18431309717024949</c:v>
                </c:pt>
                <c:pt idx="17">
                  <c:v>0.20442790657069837</c:v>
                </c:pt>
                <c:pt idx="18">
                  <c:v>0.22505686729225538</c:v>
                </c:pt>
                <c:pt idx="19">
                  <c:v>0.24618414475970593</c:v>
                </c:pt>
                <c:pt idx="20">
                  <c:v>0.26779279153371432</c:v>
                </c:pt>
                <c:pt idx="21">
                  <c:v>0.27175494923228571</c:v>
                </c:pt>
                <c:pt idx="22">
                  <c:v>0.27564127805571431</c:v>
                </c:pt>
                <c:pt idx="23">
                  <c:v>0.27944527257771434</c:v>
                </c:pt>
                <c:pt idx="24">
                  <c:v>0.28316001008314284</c:v>
                </c:pt>
                <c:pt idx="25">
                  <c:v>0.28677946663285719</c:v>
                </c:pt>
                <c:pt idx="26">
                  <c:v>0.29029788578057147</c:v>
                </c:pt>
                <c:pt idx="27">
                  <c:v>0.29371069874828576</c:v>
                </c:pt>
                <c:pt idx="28">
                  <c:v>0.29701424623371425</c:v>
                </c:pt>
                <c:pt idx="29">
                  <c:v>0.30020551091742859</c:v>
                </c:pt>
                <c:pt idx="30">
                  <c:v>0.30328101539228575</c:v>
                </c:pt>
              </c:numCache>
            </c:numRef>
          </c:val>
          <c:extLst>
            <c:ext xmlns:c16="http://schemas.microsoft.com/office/drawing/2014/chart" uri="{C3380CC4-5D6E-409C-BE32-E72D297353CC}">
              <c16:uniqueId val="{00000004-8F98-5E48-9F78-1BE7D72CDE0F}"/>
            </c:ext>
          </c:extLst>
        </c:ser>
        <c:ser>
          <c:idx val="5"/>
          <c:order val="5"/>
          <c:tx>
            <c:strRef>
              <c:f>NICCS_Fuel_cons!$B$18</c:f>
              <c:strCache>
                <c:ptCount val="1"/>
                <c:pt idx="0">
                  <c:v>kerosene</c:v>
                </c:pt>
              </c:strCache>
            </c:strRef>
          </c:tx>
          <c:spPr>
            <a:solidFill>
              <a:schemeClr val="accent6"/>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NICCS_Fuel_cons!$F$18:$AJ$18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8F98-5E48-9F78-1BE7D72CDE0F}"/>
            </c:ext>
          </c:extLst>
        </c:ser>
        <c:ser>
          <c:idx val="6"/>
          <c:order val="6"/>
          <c:tx>
            <c:strRef>
              <c:f>NICCS_Fuel_cons!$B$19</c:f>
              <c:strCache>
                <c:ptCount val="1"/>
                <c:pt idx="0">
                  <c:v>electric</c:v>
                </c:pt>
              </c:strCache>
            </c:strRef>
          </c:tx>
          <c:spPr>
            <a:solidFill>
              <a:schemeClr val="accent1">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NICCS_Fuel_cons!$F$19:$AJ$19</c:f>
              <c:numCache>
                <c:formatCode>0.00</c:formatCode>
                <c:ptCount val="31"/>
                <c:pt idx="0">
                  <c:v>1.675456493828803E-2</c:v>
                </c:pt>
                <c:pt idx="1">
                  <c:v>1.5741321053017801E-2</c:v>
                </c:pt>
                <c:pt idx="2">
                  <c:v>1.4660029738619946E-2</c:v>
                </c:pt>
                <c:pt idx="3">
                  <c:v>1.3510212701509461E-2</c:v>
                </c:pt>
                <c:pt idx="4">
                  <c:v>1.2291499893688506E-2</c:v>
                </c:pt>
                <c:pt idx="5">
                  <c:v>1.2094092534745521E-2</c:v>
                </c:pt>
                <c:pt idx="6">
                  <c:v>8.4395127547823329E-2</c:v>
                </c:pt>
                <c:pt idx="7">
                  <c:v>0.15993039668382775</c:v>
                </c:pt>
                <c:pt idx="8">
                  <c:v>0.2386967976059729</c:v>
                </c:pt>
                <c:pt idx="9">
                  <c:v>0.32066462813043889</c:v>
                </c:pt>
                <c:pt idx="10">
                  <c:v>0.40578191667983593</c:v>
                </c:pt>
                <c:pt idx="11">
                  <c:v>0.49398587207297029</c:v>
                </c:pt>
                <c:pt idx="12">
                  <c:v>0.58520853226803038</c:v>
                </c:pt>
                <c:pt idx="13">
                  <c:v>0.67937215505175641</c:v>
                </c:pt>
                <c:pt idx="14">
                  <c:v>0.77639981811867653</c:v>
                </c:pt>
                <c:pt idx="15">
                  <c:v>0.87631296027386452</c:v>
                </c:pt>
                <c:pt idx="16">
                  <c:v>0.97906134365418673</c:v>
                </c:pt>
                <c:pt idx="17">
                  <c:v>1.0845724705465762</c:v>
                </c:pt>
                <c:pt idx="18">
                  <c:v>1.1927712201078449</c:v>
                </c:pt>
                <c:pt idx="19">
                  <c:v>1.303574416294093</c:v>
                </c:pt>
                <c:pt idx="20">
                  <c:v>1.4168930768979591</c:v>
                </c:pt>
                <c:pt idx="21">
                  <c:v>1.4378568742448981</c:v>
                </c:pt>
                <c:pt idx="22">
                  <c:v>1.4584194606122447</c:v>
                </c:pt>
                <c:pt idx="23">
                  <c:v>1.478546415755102</c:v>
                </c:pt>
                <c:pt idx="24">
                  <c:v>1.4982011115510201</c:v>
                </c:pt>
                <c:pt idx="25">
                  <c:v>1.5173516753061225</c:v>
                </c:pt>
                <c:pt idx="26">
                  <c:v>1.5359676496326531</c:v>
                </c:pt>
                <c:pt idx="27">
                  <c:v>1.5540248611020411</c:v>
                </c:pt>
                <c:pt idx="28">
                  <c:v>1.5715039483265303</c:v>
                </c:pt>
                <c:pt idx="29">
                  <c:v>1.5883889466530612</c:v>
                </c:pt>
                <c:pt idx="30">
                  <c:v>1.6046614571020408</c:v>
                </c:pt>
              </c:numCache>
            </c:numRef>
          </c:val>
          <c:extLst>
            <c:ext xmlns:c16="http://schemas.microsoft.com/office/drawing/2014/chart" uri="{C3380CC4-5D6E-409C-BE32-E72D297353CC}">
              <c16:uniqueId val="{00000006-8F98-5E48-9F78-1BE7D72CDE0F}"/>
            </c:ext>
          </c:extLst>
        </c:ser>
        <c:ser>
          <c:idx val="7"/>
          <c:order val="7"/>
          <c:tx>
            <c:strRef>
              <c:f>NICCS_Fuel_cons!$B$20</c:f>
              <c:strCache>
                <c:ptCount val="1"/>
                <c:pt idx="0">
                  <c:v>pellets</c:v>
                </c:pt>
              </c:strCache>
            </c:strRef>
          </c:tx>
          <c:spPr>
            <a:solidFill>
              <a:schemeClr val="accent2">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NICCS_Fuel_cons!$F$20:$AJ$20</c:f>
              <c:numCache>
                <c:formatCode>0.00</c:formatCode>
                <c:ptCount val="31"/>
                <c:pt idx="0">
                  <c:v>0</c:v>
                </c:pt>
                <c:pt idx="1">
                  <c:v>0</c:v>
                </c:pt>
                <c:pt idx="2">
                  <c:v>0</c:v>
                </c:pt>
                <c:pt idx="3">
                  <c:v>0</c:v>
                </c:pt>
                <c:pt idx="4">
                  <c:v>0</c:v>
                </c:pt>
                <c:pt idx="5">
                  <c:v>0</c:v>
                </c:pt>
                <c:pt idx="6">
                  <c:v>1.711698182966569E-2</c:v>
                </c:pt>
                <c:pt idx="7">
                  <c:v>3.5002401717835523E-2</c:v>
                </c:pt>
                <c:pt idx="8">
                  <c:v>5.3655748870562972E-2</c:v>
                </c:pt>
                <c:pt idx="9">
                  <c:v>7.3070233984974808E-2</c:v>
                </c:pt>
                <c:pt idx="10">
                  <c:v>9.3233742553945856E-2</c:v>
                </c:pt>
                <c:pt idx="11">
                  <c:v>0.1141315067795729</c:v>
                </c:pt>
                <c:pt idx="12">
                  <c:v>0.13574747301113582</c:v>
                </c:pt>
                <c:pt idx="13">
                  <c:v>0.15806326419489367</c:v>
                </c:pt>
                <c:pt idx="14">
                  <c:v>0.18106065137187813</c:v>
                </c:pt>
                <c:pt idx="15">
                  <c:v>0.20474436648045538</c:v>
                </c:pt>
                <c:pt idx="16">
                  <c:v>0.22910249897636081</c:v>
                </c:pt>
                <c:pt idx="17">
                  <c:v>0.25411791331891814</c:v>
                </c:pt>
                <c:pt idx="18">
                  <c:v>0.27977283015424731</c:v>
                </c:pt>
                <c:pt idx="19">
                  <c:v>0.30604755819834917</c:v>
                </c:pt>
                <c:pt idx="20">
                  <c:v>0.33292102188015721</c:v>
                </c:pt>
                <c:pt idx="21">
                  <c:v>0.33784679147352087</c:v>
                </c:pt>
                <c:pt idx="22">
                  <c:v>0.34267829031950547</c:v>
                </c:pt>
                <c:pt idx="23">
                  <c:v>0.34740743084729048</c:v>
                </c:pt>
                <c:pt idx="24">
                  <c:v>0.35202560671095295</c:v>
                </c:pt>
                <c:pt idx="25">
                  <c:v>0.35652532892632866</c:v>
                </c:pt>
                <c:pt idx="26">
                  <c:v>0.36089944105739508</c:v>
                </c:pt>
                <c:pt idx="27">
                  <c:v>0.3651422631818817</c:v>
                </c:pt>
                <c:pt idx="28">
                  <c:v>0.36924924604120202</c:v>
                </c:pt>
                <c:pt idx="29">
                  <c:v>0.3732166384923109</c:v>
                </c:pt>
                <c:pt idx="30">
                  <c:v>0.37704011740935828</c:v>
                </c:pt>
              </c:numCache>
            </c:numRef>
          </c:val>
          <c:extLst>
            <c:ext xmlns:c16="http://schemas.microsoft.com/office/drawing/2014/chart" uri="{C3380CC4-5D6E-409C-BE32-E72D297353CC}">
              <c16:uniqueId val="{00000007-8F98-5E48-9F78-1BE7D72CDE0F}"/>
            </c:ext>
          </c:extLst>
        </c:ser>
        <c:ser>
          <c:idx val="8"/>
          <c:order val="8"/>
          <c:tx>
            <c:strRef>
              <c:f>NICCS_Fuel_cons!$B$21</c:f>
              <c:strCache>
                <c:ptCount val="1"/>
                <c:pt idx="0">
                  <c:v>ethanol</c:v>
                </c:pt>
              </c:strCache>
            </c:strRef>
          </c:tx>
          <c:spPr>
            <a:solidFill>
              <a:schemeClr val="accent3">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NICCS_Fuel_cons!$F$21:$AJ$21</c:f>
              <c:numCache>
                <c:formatCode>0.00</c:formatCode>
                <c:ptCount val="31"/>
                <c:pt idx="0">
                  <c:v>0</c:v>
                </c:pt>
                <c:pt idx="1">
                  <c:v>0</c:v>
                </c:pt>
                <c:pt idx="2">
                  <c:v>0</c:v>
                </c:pt>
                <c:pt idx="3">
                  <c:v>0</c:v>
                </c:pt>
                <c:pt idx="4">
                  <c:v>0</c:v>
                </c:pt>
                <c:pt idx="5">
                  <c:v>0</c:v>
                </c:pt>
                <c:pt idx="6">
                  <c:v>1.5825797358029561E-3</c:v>
                </c:pt>
                <c:pt idx="7">
                  <c:v>3.2362067223251226E-3</c:v>
                </c:pt>
                <c:pt idx="8">
                  <c:v>4.9608337332413795E-3</c:v>
                </c:pt>
                <c:pt idx="9">
                  <c:v>6.7558330519802961E-3</c:v>
                </c:pt>
                <c:pt idx="10">
                  <c:v>8.6200846111330071E-3</c:v>
                </c:pt>
                <c:pt idx="11">
                  <c:v>1.0552223028768475E-2</c:v>
                </c:pt>
                <c:pt idx="12">
                  <c:v>1.2550764037241381E-2</c:v>
                </c:pt>
                <c:pt idx="13">
                  <c:v>1.4614008554719215E-2</c:v>
                </c:pt>
                <c:pt idx="14">
                  <c:v>1.6740271191724138E-2</c:v>
                </c:pt>
                <c:pt idx="15">
                  <c:v>1.8929989447684731E-2</c:v>
                </c:pt>
                <c:pt idx="16">
                  <c:v>2.1182062112926114E-2</c:v>
                </c:pt>
                <c:pt idx="17">
                  <c:v>2.3494904891822668E-2</c:v>
                </c:pt>
                <c:pt idx="18">
                  <c:v>2.5866873963901481E-2</c:v>
                </c:pt>
                <c:pt idx="19">
                  <c:v>2.8296148737931039E-2</c:v>
                </c:pt>
                <c:pt idx="20">
                  <c:v>3.0780780636059116E-2</c:v>
                </c:pt>
                <c:pt idx="21">
                  <c:v>3.1236201061182269E-2</c:v>
                </c:pt>
                <c:pt idx="22">
                  <c:v>3.1682905523645319E-2</c:v>
                </c:pt>
                <c:pt idx="23">
                  <c:v>3.2120146273300496E-2</c:v>
                </c:pt>
                <c:pt idx="24">
                  <c:v>3.2547127595763545E-2</c:v>
                </c:pt>
                <c:pt idx="25">
                  <c:v>3.2963157084236451E-2</c:v>
                </c:pt>
                <c:pt idx="26">
                  <c:v>3.3367573078226603E-2</c:v>
                </c:pt>
                <c:pt idx="27">
                  <c:v>3.3759850430837443E-2</c:v>
                </c:pt>
                <c:pt idx="28">
                  <c:v>3.4139568532610833E-2</c:v>
                </c:pt>
                <c:pt idx="29">
                  <c:v>3.4506380565221671E-2</c:v>
                </c:pt>
                <c:pt idx="30">
                  <c:v>3.4859886826699507E-2</c:v>
                </c:pt>
              </c:numCache>
            </c:numRef>
          </c:val>
          <c:extLst>
            <c:ext xmlns:c16="http://schemas.microsoft.com/office/drawing/2014/chart" uri="{C3380CC4-5D6E-409C-BE32-E72D297353CC}">
              <c16:uniqueId val="{00000008-8F98-5E48-9F78-1BE7D72CDE0F}"/>
            </c:ext>
          </c:extLst>
        </c:ser>
        <c:ser>
          <c:idx val="9"/>
          <c:order val="9"/>
          <c:tx>
            <c:strRef>
              <c:f>NICCS_Fuel_cons!$B$22</c:f>
              <c:strCache>
                <c:ptCount val="1"/>
                <c:pt idx="0">
                  <c:v>biogas</c:v>
                </c:pt>
              </c:strCache>
            </c:strRef>
          </c:tx>
          <c:spPr>
            <a:solidFill>
              <a:schemeClr val="accent4">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NICCS_Fuel_cons!$F$22:$AJ$22</c:f>
              <c:numCache>
                <c:formatCode>0.00</c:formatCode>
                <c:ptCount val="31"/>
                <c:pt idx="0">
                  <c:v>0</c:v>
                </c:pt>
                <c:pt idx="1">
                  <c:v>0</c:v>
                </c:pt>
                <c:pt idx="2">
                  <c:v>0</c:v>
                </c:pt>
                <c:pt idx="3">
                  <c:v>0</c:v>
                </c:pt>
                <c:pt idx="4">
                  <c:v>0</c:v>
                </c:pt>
                <c:pt idx="5">
                  <c:v>0</c:v>
                </c:pt>
                <c:pt idx="6">
                  <c:v>4.2115736687875103E-3</c:v>
                </c:pt>
                <c:pt idx="7">
                  <c:v>8.6122188412720881E-3</c:v>
                </c:pt>
                <c:pt idx="8">
                  <c:v>1.3201809838385025E-2</c:v>
                </c:pt>
                <c:pt idx="9">
                  <c:v>1.7978676175837982E-2</c:v>
                </c:pt>
                <c:pt idx="10">
                  <c:v>2.2939837121412721E-2</c:v>
                </c:pt>
                <c:pt idx="11">
                  <c:v>2.8081659109950724E-2</c:v>
                </c:pt>
                <c:pt idx="12">
                  <c:v>3.3400192196693414E-2</c:v>
                </c:pt>
                <c:pt idx="13">
                  <c:v>3.8890914771673821E-2</c:v>
                </c:pt>
                <c:pt idx="14">
                  <c:v>4.4549341663127205E-2</c:v>
                </c:pt>
                <c:pt idx="15">
                  <c:v>5.0376637147981802E-2</c:v>
                </c:pt>
                <c:pt idx="16">
                  <c:v>5.6369870678369689E-2</c:v>
                </c:pt>
                <c:pt idx="17">
                  <c:v>6.2524826114282631E-2</c:v>
                </c:pt>
                <c:pt idx="18">
                  <c:v>6.8837128907719453E-2</c:v>
                </c:pt>
                <c:pt idx="19">
                  <c:v>7.5301934086942621E-2</c:v>
                </c:pt>
                <c:pt idx="20">
                  <c:v>8.1914056081210745E-2</c:v>
                </c:pt>
                <c:pt idx="21">
                  <c:v>8.3126024506740698E-2</c:v>
                </c:pt>
                <c:pt idx="22">
                  <c:v>8.4314797943729466E-2</c:v>
                </c:pt>
                <c:pt idx="23">
                  <c:v>8.547838647358913E-2</c:v>
                </c:pt>
                <c:pt idx="24">
                  <c:v>8.6614672534927481E-2</c:v>
                </c:pt>
                <c:pt idx="25">
                  <c:v>8.7721813489315265E-2</c:v>
                </c:pt>
                <c:pt idx="26">
                  <c:v>8.8798048520633457E-2</c:v>
                </c:pt>
                <c:pt idx="27">
                  <c:v>8.9841980103821106E-2</c:v>
                </c:pt>
                <c:pt idx="28">
                  <c:v>9.0852488909672457E-2</c:v>
                </c:pt>
                <c:pt idx="29">
                  <c:v>9.1828651982526682E-2</c:v>
                </c:pt>
                <c:pt idx="30">
                  <c:v>9.2769405632349047E-2</c:v>
                </c:pt>
              </c:numCache>
            </c:numRef>
          </c:val>
          <c:extLst>
            <c:ext xmlns:c16="http://schemas.microsoft.com/office/drawing/2014/chart" uri="{C3380CC4-5D6E-409C-BE32-E72D297353CC}">
              <c16:uniqueId val="{00000009-8F98-5E48-9F78-1BE7D72CDE0F}"/>
            </c:ext>
          </c:extLst>
        </c:ser>
        <c:ser>
          <c:idx val="10"/>
          <c:order val="10"/>
          <c:tx>
            <c:strRef>
              <c:f>NICCS_Fuel_cons!$B$23</c:f>
              <c:strCache>
                <c:ptCount val="1"/>
                <c:pt idx="0">
                  <c:v>other</c:v>
                </c:pt>
              </c:strCache>
            </c:strRef>
          </c:tx>
          <c:spPr>
            <a:solidFill>
              <a:schemeClr val="accent5">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NICCS_Fuel_cons!$F$23:$AJ$23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8F98-5E48-9F78-1BE7D72CDE0F}"/>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NICCS_Fuel_cons!$B$24</c:f>
              <c:strCache>
                <c:ptCount val="1"/>
                <c:pt idx="0">
                  <c:v>fuelwood</c:v>
                </c:pt>
              </c:strCache>
            </c:strRef>
          </c:tx>
          <c:spPr>
            <a:solidFill>
              <a:schemeClr val="accent2"/>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NICCS_Fuel_cons!$F$24:$AJ$24</c:f>
              <c:numCache>
                <c:formatCode>0.00</c:formatCode>
                <c:ptCount val="31"/>
                <c:pt idx="0">
                  <c:v>1.3069804458552352</c:v>
                </c:pt>
                <c:pt idx="1">
                  <c:v>1.3068008635924291</c:v>
                </c:pt>
                <c:pt idx="2">
                  <c:v>1.3034109838358701</c:v>
                </c:pt>
                <c:pt idx="3">
                  <c:v>1.2965512490528972</c:v>
                </c:pt>
                <c:pt idx="4">
                  <c:v>1.2859537275885473</c:v>
                </c:pt>
                <c:pt idx="5">
                  <c:v>1.2888945706353025</c:v>
                </c:pt>
                <c:pt idx="6">
                  <c:v>1.25324223554491</c:v>
                </c:pt>
                <c:pt idx="7">
                  <c:v>1.2116596736227845</c:v>
                </c:pt>
                <c:pt idx="8">
                  <c:v>1.1638267690896626</c:v>
                </c:pt>
                <c:pt idx="9">
                  <c:v>1.109425730091228</c:v>
                </c:pt>
                <c:pt idx="10">
                  <c:v>1.0481526432269102</c:v>
                </c:pt>
                <c:pt idx="11">
                  <c:v>0.97971703740710703</c:v>
                </c:pt>
                <c:pt idx="12">
                  <c:v>0.90384166903659224</c:v>
                </c:pt>
                <c:pt idx="13">
                  <c:v>0.82025295942138698</c:v>
                </c:pt>
                <c:pt idx="14">
                  <c:v>0.72867787667338291</c:v>
                </c:pt>
                <c:pt idx="15">
                  <c:v>0.62907925752220761</c:v>
                </c:pt>
                <c:pt idx="16">
                  <c:v>0.52112468956611913</c:v>
                </c:pt>
                <c:pt idx="17">
                  <c:v>0.40452577176630788</c:v>
                </c:pt>
                <c:pt idx="18">
                  <c:v>0.27899735788080937</c:v>
                </c:pt>
                <c:pt idx="19">
                  <c:v>0.14425230322239666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4D1-C048-88A1-A909A2B145E6}"/>
            </c:ext>
          </c:extLst>
        </c:ser>
        <c:ser>
          <c:idx val="0"/>
          <c:order val="1"/>
          <c:tx>
            <c:strRef>
              <c:f>NICCS_Fuel_cons!$B$25</c:f>
              <c:strCache>
                <c:ptCount val="1"/>
                <c:pt idx="0">
                  <c:v>charcoal</c:v>
                </c:pt>
              </c:strCache>
            </c:strRef>
          </c:tx>
          <c:spPr>
            <a:solidFill>
              <a:schemeClr val="accent1"/>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NICCS_Fuel_cons!$F$25:$AJ$25</c:f>
              <c:numCache>
                <c:formatCode>0.00</c:formatCode>
                <c:ptCount val="31"/>
                <c:pt idx="0">
                  <c:v>1.2293704724712913</c:v>
                </c:pt>
                <c:pt idx="1">
                  <c:v>1.3084451689784138</c:v>
                </c:pt>
                <c:pt idx="2">
                  <c:v>1.3914759755378985</c:v>
                </c:pt>
                <c:pt idx="3">
                  <c:v>1.4785515042085273</c:v>
                </c:pt>
                <c:pt idx="4">
                  <c:v>1.5697460625821409</c:v>
                </c:pt>
                <c:pt idx="5">
                  <c:v>1.65029124935349</c:v>
                </c:pt>
                <c:pt idx="6">
                  <c:v>1.604642258381566</c:v>
                </c:pt>
                <c:pt idx="7">
                  <c:v>1.5514002480347007</c:v>
                </c:pt>
                <c:pt idx="8">
                  <c:v>1.490155344393542</c:v>
                </c:pt>
                <c:pt idx="9">
                  <c:v>1.4205006490753651</c:v>
                </c:pt>
                <c:pt idx="10">
                  <c:v>1.3420470335688477</c:v>
                </c:pt>
                <c:pt idx="11">
                  <c:v>1.2544225808000247</c:v>
                </c:pt>
                <c:pt idx="12">
                  <c:v>1.1572723100826814</c:v>
                </c:pt>
                <c:pt idx="13">
                  <c:v>1.050245933243551</c:v>
                </c:pt>
                <c:pt idx="14">
                  <c:v>0.93299386223563108</c:v>
                </c:pt>
                <c:pt idx="15">
                  <c:v>0.80546851347738602</c:v>
                </c:pt>
                <c:pt idx="16">
                  <c:v>0.66724426854332952</c:v>
                </c:pt>
                <c:pt idx="17">
                  <c:v>0.51795186083750022</c:v>
                </c:pt>
                <c:pt idx="18">
                  <c:v>0.35722619118218329</c:v>
                </c:pt>
                <c:pt idx="19">
                  <c:v>0.18469960160486079</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94D1-C048-88A1-A909A2B145E6}"/>
            </c:ext>
          </c:extLst>
        </c:ser>
        <c:ser>
          <c:idx val="2"/>
          <c:order val="2"/>
          <c:tx>
            <c:strRef>
              <c:f>NICCS_Fuel_cons!$B$26</c:f>
              <c:strCache>
                <c:ptCount val="1"/>
                <c:pt idx="0">
                  <c:v>Imp_fuelwood</c:v>
                </c:pt>
              </c:strCache>
            </c:strRef>
          </c:tx>
          <c:spPr>
            <a:solidFill>
              <a:schemeClr val="accent3"/>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NICCS_Fuel_cons!$F$26:$AJ$26</c:f>
              <c:numCache>
                <c:formatCode>0.00</c:formatCode>
                <c:ptCount val="31"/>
                <c:pt idx="0">
                  <c:v>3.961453347891325E-2</c:v>
                </c:pt>
                <c:pt idx="1">
                  <c:v>4.7778312858962273E-2</c:v>
                </c:pt>
                <c:pt idx="2">
                  <c:v>5.6563920870320167E-2</c:v>
                </c:pt>
                <c:pt idx="3">
                  <c:v>6.5997794221163461E-2</c:v>
                </c:pt>
                <c:pt idx="4">
                  <c:v>7.6105453178188398E-2</c:v>
                </c:pt>
                <c:pt idx="5">
                  <c:v>8.6339020043873907E-2</c:v>
                </c:pt>
                <c:pt idx="6">
                  <c:v>8.3950781514431541E-2</c:v>
                </c:pt>
                <c:pt idx="7">
                  <c:v>8.1165295618947947E-2</c:v>
                </c:pt>
                <c:pt idx="8">
                  <c:v>7.7961118801594842E-2</c:v>
                </c:pt>
                <c:pt idx="9">
                  <c:v>7.43169631790149E-2</c:v>
                </c:pt>
                <c:pt idx="10">
                  <c:v>7.0212470542102973E-2</c:v>
                </c:pt>
                <c:pt idx="11">
                  <c:v>6.5628183140164248E-2</c:v>
                </c:pt>
                <c:pt idx="12">
                  <c:v>6.0545529291021916E-2</c:v>
                </c:pt>
                <c:pt idx="13">
                  <c:v>5.4946182812782435E-2</c:v>
                </c:pt>
                <c:pt idx="14">
                  <c:v>4.881185415236905E-2</c:v>
                </c:pt>
                <c:pt idx="15">
                  <c:v>4.2140053858418819E-2</c:v>
                </c:pt>
                <c:pt idx="16">
                  <c:v>3.4908514662785259E-2</c:v>
                </c:pt>
                <c:pt idx="17">
                  <c:v>2.7097917481008153E-2</c:v>
                </c:pt>
                <c:pt idx="18">
                  <c:v>1.8689161257298057E-2</c:v>
                </c:pt>
                <c:pt idx="19">
                  <c:v>9.6630110662616862E-3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94D1-C048-88A1-A909A2B145E6}"/>
            </c:ext>
          </c:extLst>
        </c:ser>
        <c:ser>
          <c:idx val="3"/>
          <c:order val="3"/>
          <c:tx>
            <c:strRef>
              <c:f>NICCS_Fuel_cons!$B$27</c:f>
              <c:strCache>
                <c:ptCount val="1"/>
                <c:pt idx="0">
                  <c:v>Imp_charcoal</c:v>
                </c:pt>
              </c:strCache>
            </c:strRef>
          </c:tx>
          <c:spPr>
            <a:solidFill>
              <a:schemeClr val="accent4"/>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NICCS_Fuel_cons!$F$27:$AJ$27</c:f>
              <c:numCache>
                <c:formatCode>0.00</c:formatCode>
                <c:ptCount val="31"/>
                <c:pt idx="0">
                  <c:v>4.4016148309900137E-3</c:v>
                </c:pt>
                <c:pt idx="1">
                  <c:v>5.308701428773494E-3</c:v>
                </c:pt>
                <c:pt idx="2">
                  <c:v>6.2848800967019568E-3</c:v>
                </c:pt>
                <c:pt idx="3">
                  <c:v>7.3330882467957425E-3</c:v>
                </c:pt>
                <c:pt idx="4">
                  <c:v>8.4561614642430505E-3</c:v>
                </c:pt>
                <c:pt idx="5">
                  <c:v>9.5932244493192181E-3</c:v>
                </c:pt>
                <c:pt idx="6">
                  <c:v>2.0428822293772714E-2</c:v>
                </c:pt>
                <c:pt idx="7">
                  <c:v>3.2134795808983527E-2</c:v>
                </c:pt>
                <c:pt idx="8">
                  <c:v>4.4743616146526319E-2</c:v>
                </c:pt>
                <c:pt idx="9">
                  <c:v>5.8286115280631191E-2</c:v>
                </c:pt>
                <c:pt idx="10">
                  <c:v>7.2791604298328816E-2</c:v>
                </c:pt>
                <c:pt idx="11">
                  <c:v>8.8287887912716606E-2</c:v>
                </c:pt>
                <c:pt idx="12">
                  <c:v>0.10480127739455793</c:v>
                </c:pt>
                <c:pt idx="13">
                  <c:v>0.12235519873919799</c:v>
                </c:pt>
                <c:pt idx="14">
                  <c:v>0.14096754105692985</c:v>
                </c:pt>
                <c:pt idx="15">
                  <c:v>0.16070529900331634</c:v>
                </c:pt>
                <c:pt idx="16">
                  <c:v>0.18159524505702904</c:v>
                </c:pt>
                <c:pt idx="17">
                  <c:v>0.20367034312709614</c:v>
                </c:pt>
                <c:pt idx="18">
                  <c:v>0.22696489716329768</c:v>
                </c:pt>
                <c:pt idx="19">
                  <c:v>0.25151398895921434</c:v>
                </c:pt>
                <c:pt idx="20">
                  <c:v>0.27735249855238103</c:v>
                </c:pt>
                <c:pt idx="21">
                  <c:v>0.28655664706428574</c:v>
                </c:pt>
                <c:pt idx="22">
                  <c:v>0.29594002900000005</c:v>
                </c:pt>
                <c:pt idx="23">
                  <c:v>0.30550183307460316</c:v>
                </c:pt>
                <c:pt idx="24">
                  <c:v>0.31524109058968253</c:v>
                </c:pt>
                <c:pt idx="25">
                  <c:v>0.32515634849761904</c:v>
                </c:pt>
                <c:pt idx="26">
                  <c:v>0.33524558464047621</c:v>
                </c:pt>
                <c:pt idx="27">
                  <c:v>0.34550597768412705</c:v>
                </c:pt>
                <c:pt idx="28">
                  <c:v>0.35593452466349207</c:v>
                </c:pt>
                <c:pt idx="29">
                  <c:v>0.36652742343730155</c:v>
                </c:pt>
                <c:pt idx="30">
                  <c:v>0.37728067812460325</c:v>
                </c:pt>
              </c:numCache>
            </c:numRef>
          </c:val>
          <c:extLst>
            <c:ext xmlns:c16="http://schemas.microsoft.com/office/drawing/2014/chart" uri="{C3380CC4-5D6E-409C-BE32-E72D297353CC}">
              <c16:uniqueId val="{00000003-94D1-C048-88A1-A909A2B145E6}"/>
            </c:ext>
          </c:extLst>
        </c:ser>
        <c:ser>
          <c:idx val="4"/>
          <c:order val="4"/>
          <c:tx>
            <c:strRef>
              <c:f>NICCS_Fuel_cons!$B$28</c:f>
              <c:strCache>
                <c:ptCount val="1"/>
                <c:pt idx="0">
                  <c:v>Gas</c:v>
                </c:pt>
              </c:strCache>
            </c:strRef>
          </c:tx>
          <c:spPr>
            <a:solidFill>
              <a:schemeClr val="accent5"/>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NICCS_Fuel_cons!$F$28:$AJ$28</c:f>
              <c:numCache>
                <c:formatCode>0.00</c:formatCode>
                <c:ptCount val="31"/>
                <c:pt idx="0">
                  <c:v>1.7427230150540796E-3</c:v>
                </c:pt>
                <c:pt idx="1">
                  <c:v>2.0267035457160703E-3</c:v>
                </c:pt>
                <c:pt idx="2">
                  <c:v>2.3314232227914186E-3</c:v>
                </c:pt>
                <c:pt idx="3">
                  <c:v>2.6577294389464943E-3</c:v>
                </c:pt>
                <c:pt idx="4">
                  <c:v>3.006435367166898E-3</c:v>
                </c:pt>
                <c:pt idx="5">
                  <c:v>3.0133107736106681E-3</c:v>
                </c:pt>
                <c:pt idx="6">
                  <c:v>1.5645601499084161E-2</c:v>
                </c:pt>
                <c:pt idx="7">
                  <c:v>2.9311562452121666E-2</c:v>
                </c:pt>
                <c:pt idx="8">
                  <c:v>4.4050368641010418E-2</c:v>
                </c:pt>
                <c:pt idx="9">
                  <c:v>5.9899303091149263E-2</c:v>
                </c:pt>
                <c:pt idx="10">
                  <c:v>7.6893820845085517E-2</c:v>
                </c:pt>
                <c:pt idx="11">
                  <c:v>9.5067568285521972E-2</c:v>
                </c:pt>
                <c:pt idx="12">
                  <c:v>0.11445239927709651</c:v>
                </c:pt>
                <c:pt idx="13">
                  <c:v>0.1350768400552981</c:v>
                </c:pt>
                <c:pt idx="14">
                  <c:v>0.15696307122199504</c:v>
                </c:pt>
                <c:pt idx="15">
                  <c:v>0.18018806206505761</c:v>
                </c:pt>
                <c:pt idx="16">
                  <c:v>0.20478453610979308</c:v>
                </c:pt>
                <c:pt idx="17">
                  <c:v>0.23079203655448258</c:v>
                </c:pt>
                <c:pt idx="18">
                  <c:v>0.25825162141347408</c:v>
                </c:pt>
                <c:pt idx="19">
                  <c:v>0.28720525205161057</c:v>
                </c:pt>
                <c:pt idx="20">
                  <c:v>0.31769468016000002</c:v>
                </c:pt>
                <c:pt idx="21">
                  <c:v>0.32823761391</c:v>
                </c:pt>
                <c:pt idx="22">
                  <c:v>0.33898585140000004</c:v>
                </c:pt>
                <c:pt idx="23">
                  <c:v>0.34993846333999995</c:v>
                </c:pt>
                <c:pt idx="24">
                  <c:v>0.36109434012999997</c:v>
                </c:pt>
                <c:pt idx="25">
                  <c:v>0.37245181736999994</c:v>
                </c:pt>
                <c:pt idx="26">
                  <c:v>0.38400857877</c:v>
                </c:pt>
                <c:pt idx="27">
                  <c:v>0.39576139261999999</c:v>
                </c:pt>
                <c:pt idx="28">
                  <c:v>0.40770681916000001</c:v>
                </c:pt>
                <c:pt idx="29">
                  <c:v>0.41984050320999988</c:v>
                </c:pt>
                <c:pt idx="30">
                  <c:v>0.43215786767000003</c:v>
                </c:pt>
              </c:numCache>
            </c:numRef>
          </c:val>
          <c:extLst>
            <c:ext xmlns:c16="http://schemas.microsoft.com/office/drawing/2014/chart" uri="{C3380CC4-5D6E-409C-BE32-E72D297353CC}">
              <c16:uniqueId val="{00000004-94D1-C048-88A1-A909A2B145E6}"/>
            </c:ext>
          </c:extLst>
        </c:ser>
        <c:ser>
          <c:idx val="5"/>
          <c:order val="5"/>
          <c:tx>
            <c:strRef>
              <c:f>NICCS_Fuel_cons!$B$29</c:f>
              <c:strCache>
                <c:ptCount val="1"/>
                <c:pt idx="0">
                  <c:v>kerosene</c:v>
                </c:pt>
              </c:strCache>
            </c:strRef>
          </c:tx>
          <c:spPr>
            <a:solidFill>
              <a:schemeClr val="accent6"/>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NICCS_Fuel_cons!$F$29:$AJ$29</c:f>
              <c:numCache>
                <c:formatCode>0.00</c:formatCode>
                <c:ptCount val="31"/>
                <c:pt idx="0">
                  <c:v>1.4109146447841009E-4</c:v>
                </c:pt>
                <c:pt idx="1">
                  <c:v>1.0717823380847282E-4</c:v>
                </c:pt>
                <c:pt idx="2">
                  <c:v>6.9934785886188616E-5</c:v>
                </c:pt>
                <c:pt idx="3">
                  <c:v>2.9190775153562381E-5</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94D1-C048-88A1-A909A2B145E6}"/>
            </c:ext>
          </c:extLst>
        </c:ser>
        <c:ser>
          <c:idx val="6"/>
          <c:order val="6"/>
          <c:tx>
            <c:strRef>
              <c:f>NICCS_Fuel_cons!$B$30</c:f>
              <c:strCache>
                <c:ptCount val="1"/>
                <c:pt idx="0">
                  <c:v>electric</c:v>
                </c:pt>
              </c:strCache>
            </c:strRef>
          </c:tx>
          <c:spPr>
            <a:solidFill>
              <a:schemeClr val="accent1">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NICCS_Fuel_cons!$F$30:$AJ$30</c:f>
              <c:numCache>
                <c:formatCode>0.00</c:formatCode>
                <c:ptCount val="31"/>
                <c:pt idx="0">
                  <c:v>0.29160166041014457</c:v>
                </c:pt>
                <c:pt idx="1">
                  <c:v>0.2896197813048656</c:v>
                </c:pt>
                <c:pt idx="2">
                  <c:v>0.28675071286277637</c:v>
                </c:pt>
                <c:pt idx="3">
                  <c:v>0.28292839096943623</c:v>
                </c:pt>
                <c:pt idx="4">
                  <c:v>0.27808504065627787</c:v>
                </c:pt>
                <c:pt idx="5">
                  <c:v>0.27872099235553094</c:v>
                </c:pt>
                <c:pt idx="6">
                  <c:v>0.33588696960593611</c:v>
                </c:pt>
                <c:pt idx="7">
                  <c:v>0.39711511051374443</c:v>
                </c:pt>
                <c:pt idx="8">
                  <c:v>0.46253988150944852</c:v>
                </c:pt>
                <c:pt idx="9">
                  <c:v>0.53228657087400033</c:v>
                </c:pt>
                <c:pt idx="10">
                  <c:v>0.60647397609110665</c:v>
                </c:pt>
                <c:pt idx="11">
                  <c:v>0.68521441332130173</c:v>
                </c:pt>
                <c:pt idx="12">
                  <c:v>0.76861375586663538</c:v>
                </c:pt>
                <c:pt idx="13">
                  <c:v>0.85676164814209566</c:v>
                </c:pt>
                <c:pt idx="14">
                  <c:v>0.94971547060431549</c:v>
                </c:pt>
                <c:pt idx="15">
                  <c:v>1.0478603305016594</c:v>
                </c:pt>
                <c:pt idx="16">
                  <c:v>1.1512952660890423</c:v>
                </c:pt>
                <c:pt idx="17">
                  <c:v>1.2601631022735742</c:v>
                </c:pt>
                <c:pt idx="18">
                  <c:v>1.3746150576359066</c:v>
                </c:pt>
                <c:pt idx="19">
                  <c:v>1.4948065513654232</c:v>
                </c:pt>
                <c:pt idx="20">
                  <c:v>1.6208912253061227</c:v>
                </c:pt>
                <c:pt idx="21">
                  <c:v>1.6746817036224493</c:v>
                </c:pt>
                <c:pt idx="22">
                  <c:v>1.7295196500000003</c:v>
                </c:pt>
                <c:pt idx="23">
                  <c:v>1.7854003231632651</c:v>
                </c:pt>
                <c:pt idx="24">
                  <c:v>1.8423180618877553</c:v>
                </c:pt>
                <c:pt idx="25">
                  <c:v>1.9002643743367347</c:v>
                </c:pt>
                <c:pt idx="26">
                  <c:v>1.9592274427040821</c:v>
                </c:pt>
                <c:pt idx="27">
                  <c:v>2.0191907786734697</c:v>
                </c:pt>
                <c:pt idx="28">
                  <c:v>2.0801368324489795</c:v>
                </c:pt>
                <c:pt idx="29">
                  <c:v>2.1420433837244897</c:v>
                </c:pt>
                <c:pt idx="30">
                  <c:v>2.2048870799489801</c:v>
                </c:pt>
              </c:numCache>
            </c:numRef>
          </c:val>
          <c:extLst>
            <c:ext xmlns:c16="http://schemas.microsoft.com/office/drawing/2014/chart" uri="{C3380CC4-5D6E-409C-BE32-E72D297353CC}">
              <c16:uniqueId val="{00000006-94D1-C048-88A1-A909A2B145E6}"/>
            </c:ext>
          </c:extLst>
        </c:ser>
        <c:ser>
          <c:idx val="7"/>
          <c:order val="7"/>
          <c:tx>
            <c:strRef>
              <c:f>NICCS_Fuel_cons!$B$31</c:f>
              <c:strCache>
                <c:ptCount val="1"/>
                <c:pt idx="0">
                  <c:v>pellets</c:v>
                </c:pt>
              </c:strCache>
            </c:strRef>
          </c:tx>
          <c:spPr>
            <a:solidFill>
              <a:schemeClr val="accent2">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NICCS_Fuel_cons!$F$31:$AJ$31</c:f>
              <c:numCache>
                <c:formatCode>0.00</c:formatCode>
                <c:ptCount val="31"/>
                <c:pt idx="0">
                  <c:v>0</c:v>
                </c:pt>
                <c:pt idx="1">
                  <c:v>0</c:v>
                </c:pt>
                <c:pt idx="2">
                  <c:v>0</c:v>
                </c:pt>
                <c:pt idx="3">
                  <c:v>0</c:v>
                </c:pt>
                <c:pt idx="4">
                  <c:v>0</c:v>
                </c:pt>
                <c:pt idx="5">
                  <c:v>0</c:v>
                </c:pt>
                <c:pt idx="6">
                  <c:v>3.2586633030928375E-2</c:v>
                </c:pt>
                <c:pt idx="7">
                  <c:v>6.785780388967047E-2</c:v>
                </c:pt>
                <c:pt idx="8">
                  <c:v>0.10591582509818692</c:v>
                </c:pt>
                <c:pt idx="9">
                  <c:v>0.14685814663223062</c:v>
                </c:pt>
                <c:pt idx="10">
                  <c:v>0.19077745070782259</c:v>
                </c:pt>
                <c:pt idx="11">
                  <c:v>0.23776170391381365</c:v>
                </c:pt>
                <c:pt idx="12">
                  <c:v>0.28789419986579845</c:v>
                </c:pt>
                <c:pt idx="13">
                  <c:v>0.3412496824392558</c:v>
                </c:pt>
                <c:pt idx="14">
                  <c:v>0.39788663015042058</c:v>
                </c:pt>
                <c:pt idx="15">
                  <c:v>0.458002516403616</c:v>
                </c:pt>
                <c:pt idx="16">
                  <c:v>0.52168319404928298</c:v>
                </c:pt>
                <c:pt idx="17">
                  <c:v>0.5890317291618643</c:v>
                </c:pt>
                <c:pt idx="18">
                  <c:v>0.66015505036469158</c:v>
                </c:pt>
                <c:pt idx="19">
                  <c:v>0.7351624132890765</c:v>
                </c:pt>
                <c:pt idx="20">
                  <c:v>0.81416255698003726</c:v>
                </c:pt>
                <c:pt idx="21">
                  <c:v>0.84118114569435931</c:v>
                </c:pt>
                <c:pt idx="22">
                  <c:v>0.86872587043913607</c:v>
                </c:pt>
                <c:pt idx="23">
                  <c:v>0.89679434970416372</c:v>
                </c:pt>
                <c:pt idx="24">
                  <c:v>0.92538373989516831</c:v>
                </c:pt>
                <c:pt idx="25">
                  <c:v>0.95448977562073956</c:v>
                </c:pt>
                <c:pt idx="26">
                  <c:v>0.98410652087783235</c:v>
                </c:pt>
                <c:pt idx="27">
                  <c:v>1.0142256936981244</c:v>
                </c:pt>
                <c:pt idx="28">
                  <c:v>1.0448384789393677</c:v>
                </c:pt>
                <c:pt idx="29">
                  <c:v>1.0759337154940389</c:v>
                </c:pt>
                <c:pt idx="30">
                  <c:v>1.1074996735357605</c:v>
                </c:pt>
              </c:numCache>
            </c:numRef>
          </c:val>
          <c:extLst>
            <c:ext xmlns:c16="http://schemas.microsoft.com/office/drawing/2014/chart" uri="{C3380CC4-5D6E-409C-BE32-E72D297353CC}">
              <c16:uniqueId val="{00000007-94D1-C048-88A1-A909A2B145E6}"/>
            </c:ext>
          </c:extLst>
        </c:ser>
        <c:ser>
          <c:idx val="8"/>
          <c:order val="8"/>
          <c:tx>
            <c:strRef>
              <c:f>NICCS_Fuel_cons!$B$32</c:f>
              <c:strCache>
                <c:ptCount val="1"/>
                <c:pt idx="0">
                  <c:v>ethanol</c:v>
                </c:pt>
              </c:strCache>
            </c:strRef>
          </c:tx>
          <c:spPr>
            <a:solidFill>
              <a:schemeClr val="accent3">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NICCS_Fuel_cons!$F$32:$AJ$32</c:f>
              <c:numCache>
                <c:formatCode>0.00</c:formatCode>
                <c:ptCount val="31"/>
                <c:pt idx="0">
                  <c:v>0</c:v>
                </c:pt>
                <c:pt idx="1">
                  <c:v>0</c:v>
                </c:pt>
                <c:pt idx="2">
                  <c:v>0</c:v>
                </c:pt>
                <c:pt idx="3">
                  <c:v>0</c:v>
                </c:pt>
                <c:pt idx="4">
                  <c:v>0</c:v>
                </c:pt>
                <c:pt idx="5">
                  <c:v>0</c:v>
                </c:pt>
                <c:pt idx="6">
                  <c:v>8.4562154122167499E-3</c:v>
                </c:pt>
                <c:pt idx="7">
                  <c:v>1.7609067084236454E-2</c:v>
                </c:pt>
                <c:pt idx="8">
                  <c:v>2.7485105065714284E-2</c:v>
                </c:pt>
                <c:pt idx="9">
                  <c:v>3.8109617577931035E-2</c:v>
                </c:pt>
                <c:pt idx="10">
                  <c:v>4.950665561083744E-2</c:v>
                </c:pt>
                <c:pt idx="11">
                  <c:v>6.1699046451428582E-2</c:v>
                </c:pt>
                <c:pt idx="12">
                  <c:v>7.4708404752413804E-2</c:v>
                </c:pt>
                <c:pt idx="13">
                  <c:v>8.8554126513103446E-2</c:v>
                </c:pt>
                <c:pt idx="14">
                  <c:v>0.10325138688</c:v>
                </c:pt>
                <c:pt idx="15">
                  <c:v>0.11885143010541872</c:v>
                </c:pt>
                <c:pt idx="16">
                  <c:v>0.13537653496226601</c:v>
                </c:pt>
                <c:pt idx="17">
                  <c:v>0.15285344704669951</c:v>
                </c:pt>
                <c:pt idx="18">
                  <c:v>0.17130991428443348</c:v>
                </c:pt>
                <c:pt idx="19">
                  <c:v>0.19077428845862068</c:v>
                </c:pt>
                <c:pt idx="20">
                  <c:v>0.2112747872985222</c:v>
                </c:pt>
                <c:pt idx="21">
                  <c:v>0.21828609792044332</c:v>
                </c:pt>
                <c:pt idx="22">
                  <c:v>0.22543394058620692</c:v>
                </c:pt>
                <c:pt idx="23">
                  <c:v>0.23271769729507386</c:v>
                </c:pt>
                <c:pt idx="24">
                  <c:v>0.24013663013571429</c:v>
                </c:pt>
                <c:pt idx="25">
                  <c:v>0.247689632241133</c:v>
                </c:pt>
                <c:pt idx="26">
                  <c:v>0.25537516322142861</c:v>
                </c:pt>
                <c:pt idx="27">
                  <c:v>0.26319107390985225</c:v>
                </c:pt>
                <c:pt idx="28">
                  <c:v>0.27113507678128079</c:v>
                </c:pt>
                <c:pt idx="29">
                  <c:v>0.27920427553374383</c:v>
                </c:pt>
                <c:pt idx="30">
                  <c:v>0.28739562628300491</c:v>
                </c:pt>
              </c:numCache>
            </c:numRef>
          </c:val>
          <c:extLst>
            <c:ext xmlns:c16="http://schemas.microsoft.com/office/drawing/2014/chart" uri="{C3380CC4-5D6E-409C-BE32-E72D297353CC}">
              <c16:uniqueId val="{00000008-94D1-C048-88A1-A909A2B145E6}"/>
            </c:ext>
          </c:extLst>
        </c:ser>
        <c:ser>
          <c:idx val="9"/>
          <c:order val="9"/>
          <c:tx>
            <c:strRef>
              <c:f>NICCS_Fuel_cons!$B$33</c:f>
              <c:strCache>
                <c:ptCount val="1"/>
                <c:pt idx="0">
                  <c:v>biogas</c:v>
                </c:pt>
              </c:strCache>
            </c:strRef>
          </c:tx>
          <c:spPr>
            <a:solidFill>
              <a:schemeClr val="accent4">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NICCS_Fuel_cons!$F$33:$AJ$33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94D1-C048-88A1-A909A2B145E6}"/>
            </c:ext>
          </c:extLst>
        </c:ser>
        <c:ser>
          <c:idx val="10"/>
          <c:order val="10"/>
          <c:tx>
            <c:strRef>
              <c:f>NICCS_Fuel_cons!$B$34</c:f>
              <c:strCache>
                <c:ptCount val="1"/>
                <c:pt idx="0">
                  <c:v>other</c:v>
                </c:pt>
              </c:strCache>
            </c:strRef>
          </c:tx>
          <c:spPr>
            <a:solidFill>
              <a:schemeClr val="accent5">
                <a:lumMod val="60000"/>
              </a:schemeClr>
            </a:solidFill>
            <a:ln w="25400">
              <a:noFill/>
            </a:ln>
            <a:effectLst/>
          </c:spPr>
          <c:cat>
            <c:numRef>
              <c:f>NICCS_Fuel_cons!$F$1:$AJ$1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NICCS_Fuel_cons!$F$34:$AJ$34</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94D1-C048-88A1-A909A2B145E6}"/>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NICCS_Fuel_cons!$AT$2</c:f>
              <c:strCache>
                <c:ptCount val="1"/>
                <c:pt idx="0">
                  <c:v>fuelwood</c:v>
                </c:pt>
              </c:strCache>
            </c:strRef>
          </c:tx>
          <c:spPr>
            <a:solidFill>
              <a:schemeClr val="accent2"/>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NICCS_Fuel_cons!$AU$2:$BA$2</c:f>
              <c:numCache>
                <c:formatCode>0.0</c:formatCode>
                <c:ptCount val="7"/>
                <c:pt idx="0">
                  <c:v>9.3749295923688383</c:v>
                </c:pt>
                <c:pt idx="1">
                  <c:v>9.7079699912686817</c:v>
                </c:pt>
                <c:pt idx="2">
                  <c:v>7.7020183412671246</c:v>
                </c:pt>
                <c:pt idx="3">
                  <c:v>4.9337883136884164</c:v>
                </c:pt>
                <c:pt idx="4">
                  <c:v>1.4050856345904765</c:v>
                </c:pt>
                <c:pt idx="5">
                  <c:v>1.504707078011905</c:v>
                </c:pt>
                <c:pt idx="6">
                  <c:v>1.5912892782928574</c:v>
                </c:pt>
              </c:numCache>
            </c:numRef>
          </c:val>
          <c:extLst>
            <c:ext xmlns:c16="http://schemas.microsoft.com/office/drawing/2014/chart" uri="{C3380CC4-5D6E-409C-BE32-E72D297353CC}">
              <c16:uniqueId val="{00000000-9B3C-9047-801C-79C143DF7D96}"/>
            </c:ext>
          </c:extLst>
        </c:ser>
        <c:ser>
          <c:idx val="0"/>
          <c:order val="1"/>
          <c:tx>
            <c:strRef>
              <c:f>NICCS_Fuel_cons!$AT$3</c:f>
              <c:strCache>
                <c:ptCount val="1"/>
                <c:pt idx="0">
                  <c:v>charcoal</c:v>
                </c:pt>
              </c:strCache>
            </c:strRef>
          </c:tx>
          <c:spPr>
            <a:solidFill>
              <a:schemeClr val="accent1"/>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NICCS_Fuel_cons!$AU$3:$BA$3</c:f>
              <c:numCache>
                <c:formatCode>0.0</c:formatCode>
                <c:ptCount val="7"/>
                <c:pt idx="0">
                  <c:v>9.5631075682564344</c:v>
                </c:pt>
                <c:pt idx="1">
                  <c:v>13.701726692036413</c:v>
                </c:pt>
                <c:pt idx="2">
                  <c:v>12.796843888629155</c:v>
                </c:pt>
                <c:pt idx="3">
                  <c:v>10.678178230886751</c:v>
                </c:pt>
                <c:pt idx="4">
                  <c:v>7.1191533373714302</c:v>
                </c:pt>
                <c:pt idx="5">
                  <c:v>7.7927420409142858</c:v>
                </c:pt>
                <c:pt idx="6">
                  <c:v>8.4416306785904762</c:v>
                </c:pt>
              </c:numCache>
            </c:numRef>
          </c:val>
          <c:extLst>
            <c:ext xmlns:c16="http://schemas.microsoft.com/office/drawing/2014/chart" uri="{C3380CC4-5D6E-409C-BE32-E72D297353CC}">
              <c16:uniqueId val="{0000000B-9B3C-9047-801C-79C143DF7D96}"/>
            </c:ext>
          </c:extLst>
        </c:ser>
        <c:ser>
          <c:idx val="2"/>
          <c:order val="2"/>
          <c:tx>
            <c:strRef>
              <c:f>NICCS_Fuel_cons!$AT$4</c:f>
              <c:strCache>
                <c:ptCount val="1"/>
                <c:pt idx="0">
                  <c:v>Gas</c:v>
                </c:pt>
              </c:strCache>
            </c:strRef>
          </c:tx>
          <c:spPr>
            <a:solidFill>
              <a:schemeClr val="accent3"/>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NICCS_Fuel_cons!$AU$4:$BA$4</c:f>
              <c:numCache>
                <c:formatCode>0.0</c:formatCode>
                <c:ptCount val="7"/>
                <c:pt idx="0">
                  <c:v>1.8381231236658088E-3</c:v>
                </c:pt>
                <c:pt idx="1">
                  <c:v>3.101158649011252E-3</c:v>
                </c:pt>
                <c:pt idx="2">
                  <c:v>0.15195381674969638</c:v>
                </c:pt>
                <c:pt idx="3">
                  <c:v>0.34491479842023054</c:v>
                </c:pt>
                <c:pt idx="4">
                  <c:v>0.5854874716937144</c:v>
                </c:pt>
                <c:pt idx="5">
                  <c:v>0.65923128400285713</c:v>
                </c:pt>
                <c:pt idx="6">
                  <c:v>0.73543888306228578</c:v>
                </c:pt>
              </c:numCache>
            </c:numRef>
          </c:val>
          <c:extLst>
            <c:ext xmlns:c16="http://schemas.microsoft.com/office/drawing/2014/chart" uri="{C3380CC4-5D6E-409C-BE32-E72D297353CC}">
              <c16:uniqueId val="{0000000C-9B3C-9047-801C-79C143DF7D96}"/>
            </c:ext>
          </c:extLst>
        </c:ser>
        <c:ser>
          <c:idx val="3"/>
          <c:order val="3"/>
          <c:tx>
            <c:strRef>
              <c:f>NICCS_Fuel_cons!$AT$5</c:f>
              <c:strCache>
                <c:ptCount val="1"/>
                <c:pt idx="0">
                  <c:v>kerosene</c:v>
                </c:pt>
              </c:strCache>
            </c:strRef>
          </c:tx>
          <c:spPr>
            <a:solidFill>
              <a:schemeClr val="accent4"/>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NICCS_Fuel_cons!$AU$5:$BA$5</c:f>
              <c:numCache>
                <c:formatCode>0.0</c:formatCode>
                <c:ptCount val="7"/>
                <c:pt idx="0">
                  <c:v>1.4109146447841009E-4</c:v>
                </c:pt>
                <c:pt idx="1">
                  <c:v>0</c:v>
                </c:pt>
                <c:pt idx="2">
                  <c:v>0</c:v>
                </c:pt>
                <c:pt idx="3">
                  <c:v>0</c:v>
                </c:pt>
                <c:pt idx="4">
                  <c:v>0</c:v>
                </c:pt>
                <c:pt idx="5">
                  <c:v>0</c:v>
                </c:pt>
                <c:pt idx="6">
                  <c:v>0</c:v>
                </c:pt>
              </c:numCache>
            </c:numRef>
          </c:val>
          <c:extLst>
            <c:ext xmlns:c16="http://schemas.microsoft.com/office/drawing/2014/chart" uri="{C3380CC4-5D6E-409C-BE32-E72D297353CC}">
              <c16:uniqueId val="{0000000D-9B3C-9047-801C-79C143DF7D96}"/>
            </c:ext>
          </c:extLst>
        </c:ser>
        <c:ser>
          <c:idx val="4"/>
          <c:order val="4"/>
          <c:tx>
            <c:strRef>
              <c:f>NICCS_Fuel_cons!$AT$6</c:f>
              <c:strCache>
                <c:ptCount val="1"/>
                <c:pt idx="0">
                  <c:v>electric</c:v>
                </c:pt>
              </c:strCache>
            </c:strRef>
          </c:tx>
          <c:spPr>
            <a:solidFill>
              <a:schemeClr val="accent5"/>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NICCS_Fuel_cons!$AU$6:$BA$6</c:f>
              <c:numCache>
                <c:formatCode>0.0</c:formatCode>
                <c:ptCount val="7"/>
                <c:pt idx="0">
                  <c:v>0.3083562253484326</c:v>
                </c:pt>
                <c:pt idx="1">
                  <c:v>0.29081508489027647</c:v>
                </c:pt>
                <c:pt idx="2">
                  <c:v>1.0122558927709426</c:v>
                </c:pt>
                <c:pt idx="3">
                  <c:v>1.9241732907755238</c:v>
                </c:pt>
                <c:pt idx="4">
                  <c:v>3.0377843022040816</c:v>
                </c:pt>
                <c:pt idx="5">
                  <c:v>3.4176160496428571</c:v>
                </c:pt>
                <c:pt idx="6">
                  <c:v>3.8095485370510209</c:v>
                </c:pt>
              </c:numCache>
            </c:numRef>
          </c:val>
          <c:extLst>
            <c:ext xmlns:c16="http://schemas.microsoft.com/office/drawing/2014/chart" uri="{C3380CC4-5D6E-409C-BE32-E72D297353CC}">
              <c16:uniqueId val="{0000000E-9B3C-9047-801C-79C143DF7D96}"/>
            </c:ext>
          </c:extLst>
        </c:ser>
        <c:ser>
          <c:idx val="5"/>
          <c:order val="5"/>
          <c:tx>
            <c:strRef>
              <c:f>NICCS_Fuel_cons!$AT$7</c:f>
              <c:strCache>
                <c:ptCount val="1"/>
                <c:pt idx="0">
                  <c:v>pellets</c:v>
                </c:pt>
              </c:strCache>
            </c:strRef>
          </c:tx>
          <c:spPr>
            <a:solidFill>
              <a:schemeClr val="accent6"/>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NICCS_Fuel_cons!$AU$7:$BA$7</c:f>
              <c:numCache>
                <c:formatCode>0.0</c:formatCode>
                <c:ptCount val="7"/>
                <c:pt idx="0">
                  <c:v>0</c:v>
                </c:pt>
                <c:pt idx="1">
                  <c:v>0</c:v>
                </c:pt>
                <c:pt idx="2">
                  <c:v>0.28401119326176844</c:v>
                </c:pt>
                <c:pt idx="3">
                  <c:v>0.66274688288407135</c:v>
                </c:pt>
                <c:pt idx="4">
                  <c:v>1.1470835788601945</c:v>
                </c:pt>
                <c:pt idx="5">
                  <c:v>1.3110151045470682</c:v>
                </c:pt>
                <c:pt idx="6">
                  <c:v>1.4845397909451188</c:v>
                </c:pt>
              </c:numCache>
            </c:numRef>
          </c:val>
          <c:extLst>
            <c:ext xmlns:c16="http://schemas.microsoft.com/office/drawing/2014/chart" uri="{C3380CC4-5D6E-409C-BE32-E72D297353CC}">
              <c16:uniqueId val="{0000000F-9B3C-9047-801C-79C143DF7D96}"/>
            </c:ext>
          </c:extLst>
        </c:ser>
        <c:ser>
          <c:idx val="6"/>
          <c:order val="6"/>
          <c:tx>
            <c:strRef>
              <c:f>NICCS_Fuel_cons!$AT$8</c:f>
              <c:strCache>
                <c:ptCount val="1"/>
                <c:pt idx="0">
                  <c:v>ethanol</c:v>
                </c:pt>
              </c:strCache>
            </c:strRef>
          </c:tx>
          <c:spPr>
            <a:solidFill>
              <a:schemeClr val="accent1">
                <a:lumMod val="60000"/>
              </a:schemeClr>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NICCS_Fuel_cons!$AU$8:$BA$8</c:f>
              <c:numCache>
                <c:formatCode>0.0</c:formatCode>
                <c:ptCount val="7"/>
                <c:pt idx="0">
                  <c:v>0</c:v>
                </c:pt>
                <c:pt idx="1">
                  <c:v>0</c:v>
                </c:pt>
                <c:pt idx="2">
                  <c:v>5.8126740221970445E-2</c:v>
                </c:pt>
                <c:pt idx="3">
                  <c:v>0.13778141955310347</c:v>
                </c:pt>
                <c:pt idx="4">
                  <c:v>0.24205556793458133</c:v>
                </c:pt>
                <c:pt idx="5">
                  <c:v>0.28065278932536947</c:v>
                </c:pt>
                <c:pt idx="6">
                  <c:v>0.32225551310970441</c:v>
                </c:pt>
              </c:numCache>
            </c:numRef>
          </c:val>
          <c:extLst>
            <c:ext xmlns:c16="http://schemas.microsoft.com/office/drawing/2014/chart" uri="{C3380CC4-5D6E-409C-BE32-E72D297353CC}">
              <c16:uniqueId val="{00000010-9B3C-9047-801C-79C143DF7D96}"/>
            </c:ext>
          </c:extLst>
        </c:ser>
        <c:ser>
          <c:idx val="7"/>
          <c:order val="7"/>
          <c:tx>
            <c:strRef>
              <c:f>NICCS_Fuel_cons!$AT$9</c:f>
              <c:strCache>
                <c:ptCount val="1"/>
                <c:pt idx="0">
                  <c:v>biogas</c:v>
                </c:pt>
              </c:strCache>
            </c:strRef>
          </c:tx>
          <c:spPr>
            <a:solidFill>
              <a:schemeClr val="accent2">
                <a:lumMod val="60000"/>
              </a:schemeClr>
            </a:solidFill>
            <a:ln w="25400">
              <a:noFill/>
            </a:ln>
            <a:effectLst/>
          </c:spPr>
          <c:cat>
            <c:numRef>
              <c:f>NICCS_Fuel_cons!$AU$1:$BA$1</c:f>
              <c:numCache>
                <c:formatCode>General</c:formatCode>
                <c:ptCount val="7"/>
                <c:pt idx="0">
                  <c:v>2020</c:v>
                </c:pt>
                <c:pt idx="1">
                  <c:v>2025</c:v>
                </c:pt>
                <c:pt idx="2">
                  <c:v>2030</c:v>
                </c:pt>
                <c:pt idx="3">
                  <c:v>2035</c:v>
                </c:pt>
                <c:pt idx="4">
                  <c:v>2040</c:v>
                </c:pt>
                <c:pt idx="5">
                  <c:v>2045</c:v>
                </c:pt>
                <c:pt idx="6">
                  <c:v>2050</c:v>
                </c:pt>
              </c:numCache>
            </c:numRef>
          </c:cat>
          <c:val>
            <c:numRef>
              <c:f>NICCS_Fuel_cons!$AU$9:$BA$9</c:f>
              <c:numCache>
                <c:formatCode>0.0</c:formatCode>
                <c:ptCount val="7"/>
                <c:pt idx="0">
                  <c:v>0</c:v>
                </c:pt>
                <c:pt idx="1">
                  <c:v>0</c:v>
                </c:pt>
                <c:pt idx="2">
                  <c:v>2.2939837121412721E-2</c:v>
                </c:pt>
                <c:pt idx="3">
                  <c:v>5.0376637147981802E-2</c:v>
                </c:pt>
                <c:pt idx="4">
                  <c:v>8.1914056081210745E-2</c:v>
                </c:pt>
                <c:pt idx="5">
                  <c:v>8.7721813489315265E-2</c:v>
                </c:pt>
                <c:pt idx="6">
                  <c:v>9.2769405632349047E-2</c:v>
                </c:pt>
              </c:numCache>
            </c:numRef>
          </c:val>
          <c:extLst>
            <c:ext xmlns:c16="http://schemas.microsoft.com/office/drawing/2014/chart" uri="{C3380CC4-5D6E-409C-BE32-E72D297353CC}">
              <c16:uniqueId val="{00000011-9B3C-9047-801C-79C143DF7D96}"/>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80828718039458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NICCS_emissions!$B$40</c:f>
              <c:strCache>
                <c:ptCount val="1"/>
                <c:pt idx="0">
                  <c:v>fuelwood</c:v>
                </c:pt>
              </c:strCache>
            </c:strRef>
          </c:tx>
          <c:spPr>
            <a:solidFill>
              <a:schemeClr val="accent2"/>
            </a:solidFill>
            <a:ln>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NICCS_emissions!$F$40:$AJ$40</c:f>
              <c:numCache>
                <c:formatCode>0.00</c:formatCode>
                <c:ptCount val="31"/>
                <c:pt idx="0">
                  <c:v>15.011186614695003</c:v>
                </c:pt>
                <c:pt idx="1">
                  <c:v>15.154692658711149</c:v>
                </c:pt>
                <c:pt idx="2">
                  <c:v>15.28600808594695</c:v>
                </c:pt>
                <c:pt idx="3">
                  <c:v>15.404741505824774</c:v>
                </c:pt>
                <c:pt idx="4">
                  <c:v>15.51064944187109</c:v>
                </c:pt>
                <c:pt idx="5">
                  <c:v>15.471582601729493</c:v>
                </c:pt>
                <c:pt idx="6">
                  <c:v>14.807264866056325</c:v>
                </c:pt>
                <c:pt idx="7">
                  <c:v>14.093311034746128</c:v>
                </c:pt>
                <c:pt idx="8">
                  <c:v>13.328177758198454</c:v>
                </c:pt>
                <c:pt idx="9">
                  <c:v>12.510459626395573</c:v>
                </c:pt>
                <c:pt idx="10">
                  <c:v>11.639210473925093</c:v>
                </c:pt>
                <c:pt idx="11">
                  <c:v>10.714029401543208</c:v>
                </c:pt>
                <c:pt idx="12">
                  <c:v>9.7348709848056796</c:v>
                </c:pt>
                <c:pt idx="13">
                  <c:v>8.7018154571067079</c:v>
                </c:pt>
                <c:pt idx="14">
                  <c:v>7.6151540163365414</c:v>
                </c:pt>
                <c:pt idx="15">
                  <c:v>6.4762671097033602</c:v>
                </c:pt>
                <c:pt idx="16">
                  <c:v>5.2851218095749779</c:v>
                </c:pt>
                <c:pt idx="17">
                  <c:v>4.0417309642233841</c:v>
                </c:pt>
                <c:pt idx="18">
                  <c:v>2.746242171901434</c:v>
                </c:pt>
                <c:pt idx="19">
                  <c:v>1.3988905166195318</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FE78-D745-804E-FCCE6120B234}"/>
            </c:ext>
          </c:extLst>
        </c:ser>
        <c:ser>
          <c:idx val="0"/>
          <c:order val="1"/>
          <c:tx>
            <c:strRef>
              <c:f>NICCS_emissions!$B$41</c:f>
              <c:strCache>
                <c:ptCount val="1"/>
                <c:pt idx="0">
                  <c:v>charcoal</c:v>
                </c:pt>
              </c:strCache>
            </c:strRef>
          </c:tx>
          <c:spPr>
            <a:solidFill>
              <a:schemeClr val="accent1"/>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NICCS_emissions!$F$41:$AJ$41</c:f>
              <c:numCache>
                <c:formatCode>0.00</c:formatCode>
                <c:ptCount val="31"/>
                <c:pt idx="0">
                  <c:v>6.5445589196493756</c:v>
                </c:pt>
                <c:pt idx="1">
                  <c:v>7.0501011601489045</c:v>
                </c:pt>
                <c:pt idx="2">
                  <c:v>7.5791519340445657</c:v>
                </c:pt>
                <c:pt idx="3">
                  <c:v>8.1321488273687308</c:v>
                </c:pt>
                <c:pt idx="4">
                  <c:v>8.7095028462404525</c:v>
                </c:pt>
                <c:pt idx="5">
                  <c:v>9.363309840739916</c:v>
                </c:pt>
                <c:pt idx="6">
                  <c:v>9.0590066962971125</c:v>
                </c:pt>
                <c:pt idx="7">
                  <c:v>8.7157531473252199</c:v>
                </c:pt>
                <c:pt idx="8">
                  <c:v>8.3316643823489223</c:v>
                </c:pt>
                <c:pt idx="9">
                  <c:v>7.9048935647153105</c:v>
                </c:pt>
                <c:pt idx="10">
                  <c:v>7.4337507725731573</c:v>
                </c:pt>
                <c:pt idx="11">
                  <c:v>6.916717321964553</c:v>
                </c:pt>
                <c:pt idx="12">
                  <c:v>6.3524083226159087</c:v>
                </c:pt>
                <c:pt idx="13">
                  <c:v>5.7394811613432095</c:v>
                </c:pt>
                <c:pt idx="14">
                  <c:v>5.0766363754210353</c:v>
                </c:pt>
                <c:pt idx="15">
                  <c:v>4.3639540881592715</c:v>
                </c:pt>
                <c:pt idx="16">
                  <c:v>3.5997779572929312</c:v>
                </c:pt>
                <c:pt idx="17">
                  <c:v>2.7826788784670979</c:v>
                </c:pt>
                <c:pt idx="18">
                  <c:v>1.9112697314565859</c:v>
                </c:pt>
                <c:pt idx="19">
                  <c:v>0.98417024480688808</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FE78-D745-804E-FCCE6120B234}"/>
            </c:ext>
          </c:extLst>
        </c:ser>
        <c:ser>
          <c:idx val="2"/>
          <c:order val="2"/>
          <c:tx>
            <c:strRef>
              <c:f>NICCS_emissions!$B$42</c:f>
              <c:strCache>
                <c:ptCount val="1"/>
                <c:pt idx="0">
                  <c:v>Imp_fuelwood</c:v>
                </c:pt>
              </c:strCache>
            </c:strRef>
          </c:tx>
          <c:spPr>
            <a:solidFill>
              <a:schemeClr val="accent3"/>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NICCS_emissions!$F$42:$AJ$42</c:f>
              <c:numCache>
                <c:formatCode>0.00</c:formatCode>
                <c:ptCount val="31"/>
                <c:pt idx="0">
                  <c:v>6.3700169834092504E-2</c:v>
                </c:pt>
                <c:pt idx="1">
                  <c:v>7.6827527077211341E-2</c:v>
                </c:pt>
                <c:pt idx="2">
                  <c:v>9.0954784759474827E-2</c:v>
                </c:pt>
                <c:pt idx="3">
                  <c:v>0.10612445310763086</c:v>
                </c:pt>
                <c:pt idx="4">
                  <c:v>0.12237756871052695</c:v>
                </c:pt>
                <c:pt idx="5">
                  <c:v>0.13883314423054924</c:v>
                </c:pt>
                <c:pt idx="6">
                  <c:v>0.25115772612700027</c:v>
                </c:pt>
                <c:pt idx="7">
                  <c:v>0.36805856034442641</c:v>
                </c:pt>
                <c:pt idx="8">
                  <c:v>0.48949769912784463</c:v>
                </c:pt>
                <c:pt idx="9">
                  <c:v>0.61539483576954757</c:v>
                </c:pt>
                <c:pt idx="10">
                  <c:v>0.74563501883244465</c:v>
                </c:pt>
                <c:pt idx="11">
                  <c:v>0.88008673818549865</c:v>
                </c:pt>
                <c:pt idx="12">
                  <c:v>1.0186111820202302</c:v>
                </c:pt>
                <c:pt idx="13">
                  <c:v>1.1610541654539108</c:v>
                </c:pt>
                <c:pt idx="14">
                  <c:v>1.3072625675522098</c:v>
                </c:pt>
                <c:pt idx="15">
                  <c:v>1.4572644987076138</c:v>
                </c:pt>
                <c:pt idx="16">
                  <c:v>1.6109433219156752</c:v>
                </c:pt>
                <c:pt idx="17">
                  <c:v>1.7681516812690043</c:v>
                </c:pt>
                <c:pt idx="18">
                  <c:v>1.9287382021942461</c:v>
                </c:pt>
                <c:pt idx="19">
                  <c:v>2.0925383194892162</c:v>
                </c:pt>
                <c:pt idx="20">
                  <c:v>2.2593777004214863</c:v>
                </c:pt>
                <c:pt idx="21">
                  <c:v>2.2928065716709152</c:v>
                </c:pt>
                <c:pt idx="22">
                  <c:v>2.3255956718922861</c:v>
                </c:pt>
                <c:pt idx="23">
                  <c:v>2.3576901145630864</c:v>
                </c:pt>
                <c:pt idx="24">
                  <c:v>2.3890314924792571</c:v>
                </c:pt>
                <c:pt idx="25">
                  <c:v>2.4195689814431431</c:v>
                </c:pt>
                <c:pt idx="26">
                  <c:v>2.4492540141042287</c:v>
                </c:pt>
                <c:pt idx="27">
                  <c:v>2.478048043513315</c:v>
                </c:pt>
                <c:pt idx="28">
                  <c:v>2.5059201960014859</c:v>
                </c:pt>
                <c:pt idx="29">
                  <c:v>2.5328450143329717</c:v>
                </c:pt>
                <c:pt idx="30">
                  <c:v>2.5587931594949147</c:v>
                </c:pt>
              </c:numCache>
            </c:numRef>
          </c:val>
          <c:extLst>
            <c:ext xmlns:c16="http://schemas.microsoft.com/office/drawing/2014/chart" uri="{C3380CC4-5D6E-409C-BE32-E72D297353CC}">
              <c16:uniqueId val="{00000002-FE78-D745-804E-FCCE6120B234}"/>
            </c:ext>
          </c:extLst>
        </c:ser>
        <c:ser>
          <c:idx val="3"/>
          <c:order val="3"/>
          <c:tx>
            <c:strRef>
              <c:f>NICCS_emissions!$B$43</c:f>
              <c:strCache>
                <c:ptCount val="1"/>
                <c:pt idx="0">
                  <c:v>Imp_charcoal</c:v>
                </c:pt>
              </c:strCache>
            </c:strRef>
          </c:tx>
          <c:spPr>
            <a:solidFill>
              <a:schemeClr val="accent4"/>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NICCS_emissions!$F$43:$AJ$43</c:f>
              <c:numCache>
                <c:formatCode>0.00</c:formatCode>
                <c:ptCount val="31"/>
                <c:pt idx="0">
                  <c:v>1.8123649066601379E-2</c:v>
                </c:pt>
                <c:pt idx="1">
                  <c:v>2.185857813297486E-2</c:v>
                </c:pt>
                <c:pt idx="2">
                  <c:v>2.5877993798170306E-2</c:v>
                </c:pt>
                <c:pt idx="3">
                  <c:v>3.0193990856181466E-2</c:v>
                </c:pt>
                <c:pt idx="4">
                  <c:v>3.481824482902076E-2</c:v>
                </c:pt>
                <c:pt idx="5">
                  <c:v>3.9500101670071876E-2</c:v>
                </c:pt>
                <c:pt idx="6">
                  <c:v>0.2765870450382949</c:v>
                </c:pt>
                <c:pt idx="7">
                  <c:v>0.52589843805426817</c:v>
                </c:pt>
                <c:pt idx="8">
                  <c:v>0.78756223707797224</c:v>
                </c:pt>
                <c:pt idx="9">
                  <c:v>1.0616290506585275</c:v>
                </c:pt>
                <c:pt idx="10">
                  <c:v>1.3480833459986012</c:v>
                </c:pt>
                <c:pt idx="11">
                  <c:v>1.6468735529606464</c:v>
                </c:pt>
                <c:pt idx="12">
                  <c:v>1.9579274934263422</c:v>
                </c:pt>
                <c:pt idx="13">
                  <c:v>2.2811349837229047</c:v>
                </c:pt>
                <c:pt idx="14">
                  <c:v>2.6163647073004084</c:v>
                </c:pt>
                <c:pt idx="15">
                  <c:v>2.9639457227867618</c:v>
                </c:pt>
                <c:pt idx="16">
                  <c:v>3.3238543381187484</c:v>
                </c:pt>
                <c:pt idx="17">
                  <c:v>3.6960336021381752</c:v>
                </c:pt>
                <c:pt idx="18">
                  <c:v>4.0804248419671207</c:v>
                </c:pt>
                <c:pt idx="19">
                  <c:v>4.4769510888608144</c:v>
                </c:pt>
                <c:pt idx="20">
                  <c:v>4.8855189777711434</c:v>
                </c:pt>
                <c:pt idx="21">
                  <c:v>4.9788047220968572</c:v>
                </c:pt>
                <c:pt idx="22">
                  <c:v>5.0717684355613386</c:v>
                </c:pt>
                <c:pt idx="23">
                  <c:v>5.1643158372606432</c:v>
                </c:pt>
                <c:pt idx="24">
                  <c:v>5.2563461647902852</c:v>
                </c:pt>
                <c:pt idx="25">
                  <c:v>5.3477692255774283</c:v>
                </c:pt>
                <c:pt idx="26">
                  <c:v>5.4384962230647318</c:v>
                </c:pt>
                <c:pt idx="27">
                  <c:v>5.5284516726998039</c:v>
                </c:pt>
                <c:pt idx="28">
                  <c:v>5.6175720557773925</c:v>
                </c:pt>
                <c:pt idx="29">
                  <c:v>5.7057995373696428</c:v>
                </c:pt>
                <c:pt idx="30">
                  <c:v>5.7930690531827143</c:v>
                </c:pt>
              </c:numCache>
            </c:numRef>
          </c:val>
          <c:extLst>
            <c:ext xmlns:c16="http://schemas.microsoft.com/office/drawing/2014/chart" uri="{C3380CC4-5D6E-409C-BE32-E72D297353CC}">
              <c16:uniqueId val="{00000003-FE78-D745-804E-FCCE6120B234}"/>
            </c:ext>
          </c:extLst>
        </c:ser>
        <c:ser>
          <c:idx val="4"/>
          <c:order val="4"/>
          <c:tx>
            <c:strRef>
              <c:f>NICCS_emissions!$B$44</c:f>
              <c:strCache>
                <c:ptCount val="1"/>
                <c:pt idx="0">
                  <c:v>Gas</c:v>
                </c:pt>
              </c:strCache>
            </c:strRef>
          </c:tx>
          <c:spPr>
            <a:solidFill>
              <a:schemeClr val="accent5"/>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NICCS_emissions!$F$44:$AJ$44</c:f>
              <c:numCache>
                <c:formatCode>0.00</c:formatCode>
                <c:ptCount val="31"/>
                <c:pt idx="0">
                  <c:v>5.7900878395472974E-5</c:v>
                </c:pt>
                <c:pt idx="1">
                  <c:v>6.6805987835369962E-5</c:v>
                </c:pt>
                <c:pt idx="2">
                  <c:v>7.6359122422384667E-5</c:v>
                </c:pt>
                <c:pt idx="3">
                  <c:v>8.6586949601976737E-5</c:v>
                </c:pt>
                <c:pt idx="4">
                  <c:v>9.7515090245566923E-5</c:v>
                </c:pt>
                <c:pt idx="5">
                  <c:v>9.7686497443854445E-5</c:v>
                </c:pt>
                <c:pt idx="6">
                  <c:v>9.2918427483470556E-4</c:v>
                </c:pt>
                <c:pt idx="7">
                  <c:v>1.8127048818267037E-3</c:v>
                </c:pt>
                <c:pt idx="8">
                  <c:v>2.7494691763763767E-3</c:v>
                </c:pt>
                <c:pt idx="9">
                  <c:v>3.7404793633431938E-3</c:v>
                </c:pt>
                <c:pt idx="10">
                  <c:v>4.7865452276154357E-3</c:v>
                </c:pt>
                <c:pt idx="11">
                  <c:v>5.888352460997363E-3</c:v>
                </c:pt>
                <c:pt idx="12">
                  <c:v>7.0464977793651649E-3</c:v>
                </c:pt>
                <c:pt idx="13">
                  <c:v>8.2614142331829815E-3</c:v>
                </c:pt>
                <c:pt idx="14">
                  <c:v>9.5333387812331083E-3</c:v>
                </c:pt>
                <c:pt idx="15">
                  <c:v>1.0864816150237263E-2</c:v>
                </c:pt>
                <c:pt idx="16">
                  <c:v>1.2256575448321341E-2</c:v>
                </c:pt>
                <c:pt idx="17">
                  <c:v>1.3709428208443199E-2</c:v>
                </c:pt>
                <c:pt idx="18">
                  <c:v>1.522421739423048E-2</c:v>
                </c:pt>
                <c:pt idx="19">
                  <c:v>1.6801765999556469E-2</c:v>
                </c:pt>
                <c:pt idx="20">
                  <c:v>1.8442855358352002E-2</c:v>
                </c:pt>
                <c:pt idx="21">
                  <c:v>1.8899765738982E-2</c:v>
                </c:pt>
                <c:pt idx="22">
                  <c:v>1.9360754577855001E-2</c:v>
                </c:pt>
                <c:pt idx="23">
                  <c:v>1.9825587681407998E-2</c:v>
                </c:pt>
                <c:pt idx="24">
                  <c:v>2.0294012031714E-2</c:v>
                </c:pt>
                <c:pt idx="25">
                  <c:v>2.076578544609E-2</c:v>
                </c:pt>
                <c:pt idx="26">
                  <c:v>2.1240653633343001E-2</c:v>
                </c:pt>
                <c:pt idx="27">
                  <c:v>2.1718370878101002E-2</c:v>
                </c:pt>
                <c:pt idx="28">
                  <c:v>2.2198713559901998E-2</c:v>
                </c:pt>
                <c:pt idx="29">
                  <c:v>2.2681449445013997E-2</c:v>
                </c:pt>
                <c:pt idx="30">
                  <c:v>2.3166324816462004E-2</c:v>
                </c:pt>
              </c:numCache>
            </c:numRef>
          </c:val>
          <c:extLst>
            <c:ext xmlns:c16="http://schemas.microsoft.com/office/drawing/2014/chart" uri="{C3380CC4-5D6E-409C-BE32-E72D297353CC}">
              <c16:uniqueId val="{00000004-FE78-D745-804E-FCCE6120B234}"/>
            </c:ext>
          </c:extLst>
        </c:ser>
        <c:ser>
          <c:idx val="5"/>
          <c:order val="5"/>
          <c:tx>
            <c:strRef>
              <c:f>NICCS_emissions!$B$45</c:f>
              <c:strCache>
                <c:ptCount val="1"/>
                <c:pt idx="0">
                  <c:v>kerosene</c:v>
                </c:pt>
              </c:strCache>
            </c:strRef>
          </c:tx>
          <c:spPr>
            <a:solidFill>
              <a:schemeClr val="accent6"/>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NICCS_emissions!$F$45:$AJ$45</c:f>
              <c:numCache>
                <c:formatCode>0.00</c:formatCode>
                <c:ptCount val="31"/>
                <c:pt idx="0">
                  <c:v>2.281166797686934E-6</c:v>
                </c:pt>
                <c:pt idx="1">
                  <c:v>1.7328576842153884E-6</c:v>
                </c:pt>
                <c:pt idx="2">
                  <c:v>1.1307056182078973E-6</c:v>
                </c:pt>
                <c:pt idx="3">
                  <c:v>4.7195645268279653E-7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FE78-D745-804E-FCCE6120B234}"/>
            </c:ext>
          </c:extLst>
        </c:ser>
        <c:ser>
          <c:idx val="6"/>
          <c:order val="6"/>
          <c:tx>
            <c:strRef>
              <c:f>NICCS_emissions!$B$46</c:f>
              <c:strCache>
                <c:ptCount val="1"/>
                <c:pt idx="0">
                  <c:v>electric</c:v>
                </c:pt>
              </c:strCache>
            </c:strRef>
          </c:tx>
          <c:spPr>
            <a:solidFill>
              <a:schemeClr val="accent1">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NICCS_emissions!$F$46:$AJ$46</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6-FE78-D745-804E-FCCE6120B234}"/>
            </c:ext>
          </c:extLst>
        </c:ser>
        <c:ser>
          <c:idx val="7"/>
          <c:order val="7"/>
          <c:tx>
            <c:strRef>
              <c:f>NICCS_emissions!$B$47</c:f>
              <c:strCache>
                <c:ptCount val="1"/>
                <c:pt idx="0">
                  <c:v>pellets</c:v>
                </c:pt>
              </c:strCache>
            </c:strRef>
          </c:tx>
          <c:spPr>
            <a:solidFill>
              <a:schemeClr val="accent2">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NICCS_emissions!$F$47:$AJ$47</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FE78-D745-804E-FCCE6120B234}"/>
            </c:ext>
          </c:extLst>
        </c:ser>
        <c:ser>
          <c:idx val="8"/>
          <c:order val="8"/>
          <c:tx>
            <c:strRef>
              <c:f>NICCS_emissions!$B$48</c:f>
              <c:strCache>
                <c:ptCount val="1"/>
                <c:pt idx="0">
                  <c:v>ethanol</c:v>
                </c:pt>
              </c:strCache>
            </c:strRef>
          </c:tx>
          <c:spPr>
            <a:solidFill>
              <a:schemeClr val="accent3">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NICCS_emissions!$F$48:$AJ$48</c:f>
              <c:numCache>
                <c:formatCode>0.00</c:formatCode>
                <c:ptCount val="31"/>
                <c:pt idx="0">
                  <c:v>0</c:v>
                </c:pt>
                <c:pt idx="1">
                  <c:v>0</c:v>
                </c:pt>
                <c:pt idx="2">
                  <c:v>0</c:v>
                </c:pt>
                <c:pt idx="3">
                  <c:v>0</c:v>
                </c:pt>
                <c:pt idx="4">
                  <c:v>0</c:v>
                </c:pt>
                <c:pt idx="5">
                  <c:v>0</c:v>
                </c:pt>
                <c:pt idx="6">
                  <c:v>1.2739231042837007E-2</c:v>
                </c:pt>
                <c:pt idx="7">
                  <c:v>2.6452652460526638E-2</c:v>
                </c:pt>
                <c:pt idx="8">
                  <c:v>4.1173896335874732E-2</c:v>
                </c:pt>
                <c:pt idx="9">
                  <c:v>5.6934256849357476E-2</c:v>
                </c:pt>
                <c:pt idx="10">
                  <c:v>7.3762833341680489E-2</c:v>
                </c:pt>
                <c:pt idx="11">
                  <c:v>9.1686860970370057E-2</c:v>
                </c:pt>
                <c:pt idx="12">
                  <c:v>0.11073188519407243</c:v>
                </c:pt>
                <c:pt idx="13">
                  <c:v>0.13092036340106694</c:v>
                </c:pt>
                <c:pt idx="14">
                  <c:v>0.15226941409301792</c:v>
                </c:pt>
                <c:pt idx="15">
                  <c:v>0.17484462141288826</c:v>
                </c:pt>
                <c:pt idx="16">
                  <c:v>0.1986728596884188</c:v>
                </c:pt>
                <c:pt idx="17">
                  <c:v>0.22378605860998463</c:v>
                </c:pt>
                <c:pt idx="18">
                  <c:v>0.25021734428713704</c:v>
                </c:pt>
                <c:pt idx="19">
                  <c:v>0.27800038480242412</c:v>
                </c:pt>
                <c:pt idx="20">
                  <c:v>0.30716851570898362</c:v>
                </c:pt>
                <c:pt idx="21">
                  <c:v>0.31664379740768284</c:v>
                </c:pt>
                <c:pt idx="22">
                  <c:v>0.32628127771340243</c:v>
                </c:pt>
                <c:pt idx="23">
                  <c:v>0.33607922348826702</c:v>
                </c:pt>
                <c:pt idx="24">
                  <c:v>0.34603568856124534</c:v>
                </c:pt>
                <c:pt idx="25">
                  <c:v>0.35614838965389384</c:v>
                </c:pt>
                <c:pt idx="26">
                  <c:v>0.36641453236426247</c:v>
                </c:pt>
                <c:pt idx="27">
                  <c:v>0.3768307229883352</c:v>
                </c:pt>
                <c:pt idx="28">
                  <c:v>0.38739352490332846</c:v>
                </c:pt>
                <c:pt idx="29">
                  <c:v>0.39809882258958718</c:v>
                </c:pt>
                <c:pt idx="30">
                  <c:v>0.40894224613621488</c:v>
                </c:pt>
              </c:numCache>
            </c:numRef>
          </c:val>
          <c:extLst>
            <c:ext xmlns:c16="http://schemas.microsoft.com/office/drawing/2014/chart" uri="{C3380CC4-5D6E-409C-BE32-E72D297353CC}">
              <c16:uniqueId val="{00000008-FE78-D745-804E-FCCE6120B234}"/>
            </c:ext>
          </c:extLst>
        </c:ser>
        <c:ser>
          <c:idx val="9"/>
          <c:order val="9"/>
          <c:tx>
            <c:strRef>
              <c:f>NICCS_emissions!$B$49</c:f>
              <c:strCache>
                <c:ptCount val="1"/>
                <c:pt idx="0">
                  <c:v>biogas</c:v>
                </c:pt>
              </c:strCache>
            </c:strRef>
          </c:tx>
          <c:spPr>
            <a:solidFill>
              <a:schemeClr val="accent4">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NICCS_emissions!$F$49:$AJ$49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FE78-D745-804E-FCCE6120B234}"/>
            </c:ext>
          </c:extLst>
        </c:ser>
        <c:ser>
          <c:idx val="10"/>
          <c:order val="10"/>
          <c:tx>
            <c:strRef>
              <c:f>NICCS_emissions!$B$50</c:f>
              <c:strCache>
                <c:ptCount val="1"/>
                <c:pt idx="0">
                  <c:v>other</c:v>
                </c:pt>
              </c:strCache>
            </c:strRef>
          </c:tx>
          <c:spPr>
            <a:solidFill>
              <a:schemeClr val="accent5">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NICCS_emissions!$F$50:$AJ$50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FE78-D745-804E-FCCE6120B234}"/>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NICCS_emissions!$B$51</c:f>
              <c:strCache>
                <c:ptCount val="1"/>
                <c:pt idx="0">
                  <c:v>fuelwood</c:v>
                </c:pt>
              </c:strCache>
            </c:strRef>
          </c:tx>
          <c:spPr>
            <a:solidFill>
              <a:schemeClr val="accent2"/>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NICCS_emissions!$F$51:$AJ$51</c:f>
              <c:numCache>
                <c:formatCode>0.00</c:formatCode>
                <c:ptCount val="31"/>
                <c:pt idx="0">
                  <c:v>12.909562057759784</c:v>
                </c:pt>
                <c:pt idx="1">
                  <c:v>13.053356870054522</c:v>
                </c:pt>
                <c:pt idx="2">
                  <c:v>13.190123223938871</c:v>
                </c:pt>
                <c:pt idx="3">
                  <c:v>13.319887097347715</c:v>
                </c:pt>
                <c:pt idx="4">
                  <c:v>13.442835847908706</c:v>
                </c:pt>
                <c:pt idx="5">
                  <c:v>13.399040132147926</c:v>
                </c:pt>
                <c:pt idx="6">
                  <c:v>12.79205135130011</c:v>
                </c:pt>
                <c:pt idx="7">
                  <c:v>12.144962279560691</c:v>
                </c:pt>
                <c:pt idx="8">
                  <c:v>11.456744313502275</c:v>
                </c:pt>
                <c:pt idx="9">
                  <c:v>10.726503052408878</c:v>
                </c:pt>
                <c:pt idx="10">
                  <c:v>9.9537810236162212</c:v>
                </c:pt>
                <c:pt idx="11">
                  <c:v>9.1386444053925793</c:v>
                </c:pt>
                <c:pt idx="12">
                  <c:v>8.2814935809948391</c:v>
                </c:pt>
                <c:pt idx="13">
                  <c:v>7.382848698357118</c:v>
                </c:pt>
                <c:pt idx="14">
                  <c:v>6.443439990645742</c:v>
                </c:pt>
                <c:pt idx="15">
                  <c:v>5.4647076636076504</c:v>
                </c:pt>
                <c:pt idx="16">
                  <c:v>4.4471533087526582</c:v>
                </c:pt>
                <c:pt idx="17">
                  <c:v>3.3912535232231606</c:v>
                </c:pt>
                <c:pt idx="18">
                  <c:v>2.2976144204290927</c:v>
                </c:pt>
                <c:pt idx="19">
                  <c:v>1.166932813037918</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111D-144E-89A6-719D27BD5A94}"/>
            </c:ext>
          </c:extLst>
        </c:ser>
        <c:ser>
          <c:idx val="0"/>
          <c:order val="1"/>
          <c:tx>
            <c:strRef>
              <c:f>NICCS_emissions!$B$52</c:f>
              <c:strCache>
                <c:ptCount val="1"/>
                <c:pt idx="0">
                  <c:v>charcoal</c:v>
                </c:pt>
              </c:strCache>
            </c:strRef>
          </c:tx>
          <c:spPr>
            <a:solidFill>
              <a:schemeClr val="accent1"/>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NICCS_emissions!$F$52:$AJ$52</c:f>
              <c:numCache>
                <c:formatCode>0.00</c:formatCode>
                <c:ptCount val="31"/>
                <c:pt idx="0">
                  <c:v>1.4826259992488344</c:v>
                </c:pt>
                <c:pt idx="1">
                  <c:v>1.6625781768802861</c:v>
                </c:pt>
                <c:pt idx="2">
                  <c:v>1.8497496047672688</c:v>
                </c:pt>
                <c:pt idx="3">
                  <c:v>2.0442130087901194</c:v>
                </c:pt>
                <c:pt idx="4">
                  <c:v>2.2460734335584873</c:v>
                </c:pt>
                <c:pt idx="5">
                  <c:v>2.5682356215269215</c:v>
                </c:pt>
                <c:pt idx="6">
                  <c:v>2.4518921974110142</c:v>
                </c:pt>
                <c:pt idx="7">
                  <c:v>2.3278626260423403</c:v>
                </c:pt>
                <c:pt idx="8">
                  <c:v>2.1959497518085129</c:v>
                </c:pt>
                <c:pt idx="9">
                  <c:v>2.0559821421474949</c:v>
                </c:pt>
                <c:pt idx="10">
                  <c:v>1.9078721118534272</c:v>
                </c:pt>
                <c:pt idx="11">
                  <c:v>1.7516323455204519</c:v>
                </c:pt>
                <c:pt idx="12">
                  <c:v>1.5873395858504686</c:v>
                </c:pt>
                <c:pt idx="13">
                  <c:v>1.4150935312128887</c:v>
                </c:pt>
                <c:pt idx="14">
                  <c:v>1.2350341476658244</c:v>
                </c:pt>
                <c:pt idx="15">
                  <c:v>1.0474374839161342</c:v>
                </c:pt>
                <c:pt idx="16">
                  <c:v>0.85239968156577195</c:v>
                </c:pt>
                <c:pt idx="17">
                  <c:v>0.65001209146869088</c:v>
                </c:pt>
                <c:pt idx="18">
                  <c:v>0.44039088926394626</c:v>
                </c:pt>
                <c:pt idx="19">
                  <c:v>0.22366963519887381</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111D-144E-89A6-719D27BD5A94}"/>
            </c:ext>
          </c:extLst>
        </c:ser>
        <c:ser>
          <c:idx val="2"/>
          <c:order val="2"/>
          <c:tx>
            <c:strRef>
              <c:f>NICCS_emissions!$B$53</c:f>
              <c:strCache>
                <c:ptCount val="1"/>
                <c:pt idx="0">
                  <c:v>Imp_fuelwood</c:v>
                </c:pt>
              </c:strCache>
            </c:strRef>
          </c:tx>
          <c:spPr>
            <a:solidFill>
              <a:schemeClr val="accent3"/>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NICCS_emissions!$F$53:$AJ$53</c:f>
              <c:numCache>
                <c:formatCode>0.00</c:formatCode>
                <c:ptCount val="31"/>
                <c:pt idx="0">
                  <c:v>0</c:v>
                </c:pt>
                <c:pt idx="1">
                  <c:v>0</c:v>
                </c:pt>
                <c:pt idx="2">
                  <c:v>0</c:v>
                </c:pt>
                <c:pt idx="3">
                  <c:v>0</c:v>
                </c:pt>
                <c:pt idx="4">
                  <c:v>0</c:v>
                </c:pt>
                <c:pt idx="5">
                  <c:v>0</c:v>
                </c:pt>
                <c:pt idx="6">
                  <c:v>0.11616486945179433</c:v>
                </c:pt>
                <c:pt idx="7">
                  <c:v>0.23754476498915814</c:v>
                </c:pt>
                <c:pt idx="8">
                  <c:v>0.36413622009488011</c:v>
                </c:pt>
                <c:pt idx="9">
                  <c:v>0.49589315897769159</c:v>
                </c:pt>
                <c:pt idx="10">
                  <c:v>0.63273336620074305</c:v>
                </c:pt>
                <c:pt idx="11">
                  <c:v>0.77455661969611456</c:v>
                </c:pt>
                <c:pt idx="12">
                  <c:v>0.92125397092026695</c:v>
                </c:pt>
                <c:pt idx="13">
                  <c:v>1.0727007034909566</c:v>
                </c:pt>
                <c:pt idx="14">
                  <c:v>1.2287731060752003</c:v>
                </c:pt>
                <c:pt idx="15">
                  <c:v>1.3895032921032764</c:v>
                </c:pt>
                <c:pt idx="16">
                  <c:v>1.5548104303379164</c:v>
                </c:pt>
                <c:pt idx="17">
                  <c:v>1.7245782299595431</c:v>
                </c:pt>
                <c:pt idx="18">
                  <c:v>1.8986860308925109</c:v>
                </c:pt>
                <c:pt idx="19">
                  <c:v>2.0770001976946673</c:v>
                </c:pt>
                <c:pt idx="20">
                  <c:v>2.2593777004214863</c:v>
                </c:pt>
                <c:pt idx="21">
                  <c:v>2.2928065716709152</c:v>
                </c:pt>
                <c:pt idx="22">
                  <c:v>2.3255956718922861</c:v>
                </c:pt>
                <c:pt idx="23">
                  <c:v>2.3576901145630864</c:v>
                </c:pt>
                <c:pt idx="24">
                  <c:v>2.3890314924792571</c:v>
                </c:pt>
                <c:pt idx="25">
                  <c:v>2.4195689814431431</c:v>
                </c:pt>
                <c:pt idx="26">
                  <c:v>2.4492540141042287</c:v>
                </c:pt>
                <c:pt idx="27">
                  <c:v>2.478048043513315</c:v>
                </c:pt>
                <c:pt idx="28">
                  <c:v>2.5059201960014859</c:v>
                </c:pt>
                <c:pt idx="29">
                  <c:v>2.5328450143329717</c:v>
                </c:pt>
                <c:pt idx="30">
                  <c:v>2.5587931594949147</c:v>
                </c:pt>
              </c:numCache>
            </c:numRef>
          </c:val>
          <c:extLst>
            <c:ext xmlns:c16="http://schemas.microsoft.com/office/drawing/2014/chart" uri="{C3380CC4-5D6E-409C-BE32-E72D297353CC}">
              <c16:uniqueId val="{00000002-111D-144E-89A6-719D27BD5A94}"/>
            </c:ext>
          </c:extLst>
        </c:ser>
        <c:ser>
          <c:idx val="3"/>
          <c:order val="3"/>
          <c:tx>
            <c:strRef>
              <c:f>NICCS_emissions!$B$54</c:f>
              <c:strCache>
                <c:ptCount val="1"/>
                <c:pt idx="0">
                  <c:v>Imp_charcoal</c:v>
                </c:pt>
              </c:strCache>
            </c:strRef>
          </c:tx>
          <c:spPr>
            <a:solidFill>
              <a:schemeClr val="accent4"/>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NICCS_emissions!$F$54:$AJ$54</c:f>
              <c:numCache>
                <c:formatCode>0.00</c:formatCode>
                <c:ptCount val="31"/>
                <c:pt idx="0">
                  <c:v>0</c:v>
                </c:pt>
                <c:pt idx="1">
                  <c:v>0</c:v>
                </c:pt>
                <c:pt idx="2">
                  <c:v>0</c:v>
                </c:pt>
                <c:pt idx="3">
                  <c:v>0</c:v>
                </c:pt>
                <c:pt idx="4">
                  <c:v>0</c:v>
                </c:pt>
                <c:pt idx="5">
                  <c:v>0</c:v>
                </c:pt>
                <c:pt idx="6">
                  <c:v>0.19247136924368574</c:v>
                </c:pt>
                <c:pt idx="7">
                  <c:v>0.39358341631077853</c:v>
                </c:pt>
                <c:pt idx="8">
                  <c:v>0.60333039759465013</c:v>
                </c:pt>
                <c:pt idx="9">
                  <c:v>0.82163597099052865</c:v>
                </c:pt>
                <c:pt idx="10">
                  <c:v>1.0483639153002324</c:v>
                </c:pt>
                <c:pt idx="11">
                  <c:v>1.2833481744800359</c:v>
                </c:pt>
                <c:pt idx="12">
                  <c:v>1.5264082337542499</c:v>
                </c:pt>
                <c:pt idx="13">
                  <c:v>1.7773374529142569</c:v>
                </c:pt>
                <c:pt idx="14">
                  <c:v>2.0359308569984997</c:v>
                </c:pt>
                <c:pt idx="15">
                  <c:v>2.3022416541406066</c:v>
                </c:pt>
                <c:pt idx="16">
                  <c:v>2.5761359165964315</c:v>
                </c:pt>
                <c:pt idx="17">
                  <c:v>2.8574209643123569</c:v>
                </c:pt>
                <c:pt idx="18">
                  <c:v>3.1458968778972429</c:v>
                </c:pt>
                <c:pt idx="19">
                  <c:v>3.4413422393212496</c:v>
                </c:pt>
                <c:pt idx="20">
                  <c:v>3.7435200649817144</c:v>
                </c:pt>
                <c:pt idx="21">
                  <c:v>3.7989077278096608</c:v>
                </c:pt>
                <c:pt idx="22">
                  <c:v>3.8532353661538385</c:v>
                </c:pt>
                <c:pt idx="23">
                  <c:v>3.9064120395759647</c:v>
                </c:pt>
                <c:pt idx="24">
                  <c:v>3.9583409742872671</c:v>
                </c:pt>
                <c:pt idx="25">
                  <c:v>4.0089379606384821</c:v>
                </c:pt>
                <c:pt idx="26">
                  <c:v>4.058122528307571</c:v>
                </c:pt>
                <c:pt idx="27">
                  <c:v>4.1058308095854104</c:v>
                </c:pt>
                <c:pt idx="28">
                  <c:v>4.1520116504754645</c:v>
                </c:pt>
                <c:pt idx="29">
                  <c:v>4.1966228713665537</c:v>
                </c:pt>
                <c:pt idx="30">
                  <c:v>4.2396158610046601</c:v>
                </c:pt>
              </c:numCache>
            </c:numRef>
          </c:val>
          <c:extLst>
            <c:ext xmlns:c16="http://schemas.microsoft.com/office/drawing/2014/chart" uri="{C3380CC4-5D6E-409C-BE32-E72D297353CC}">
              <c16:uniqueId val="{00000003-111D-144E-89A6-719D27BD5A94}"/>
            </c:ext>
          </c:extLst>
        </c:ser>
        <c:ser>
          <c:idx val="4"/>
          <c:order val="4"/>
          <c:tx>
            <c:strRef>
              <c:f>NICCS_emissions!$B$55</c:f>
              <c:strCache>
                <c:ptCount val="1"/>
                <c:pt idx="0">
                  <c:v>Gas</c:v>
                </c:pt>
              </c:strCache>
            </c:strRef>
          </c:tx>
          <c:spPr>
            <a:solidFill>
              <a:schemeClr val="accent5"/>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NICCS_emissions!$F$55:$AJ$55</c:f>
              <c:numCache>
                <c:formatCode>0.00</c:formatCode>
                <c:ptCount val="31"/>
                <c:pt idx="0">
                  <c:v>3.0051034212694702E-6</c:v>
                </c:pt>
                <c:pt idx="1">
                  <c:v>2.9648261453137442E-6</c:v>
                </c:pt>
                <c:pt idx="2">
                  <c:v>2.9192909044549856E-6</c:v>
                </c:pt>
                <c:pt idx="3">
                  <c:v>2.8684722751621577E-6</c:v>
                </c:pt>
                <c:pt idx="4">
                  <c:v>2.8123761798096263E-6</c:v>
                </c:pt>
                <c:pt idx="5">
                  <c:v>2.767208075118395E-6</c:v>
                </c:pt>
                <c:pt idx="6">
                  <c:v>4.3634782761355442E-4</c:v>
                </c:pt>
                <c:pt idx="7">
                  <c:v>8.8939066458487118E-4</c:v>
                </c:pt>
                <c:pt idx="8">
                  <c:v>1.3618825641845485E-3</c:v>
                </c:pt>
                <c:pt idx="9">
                  <c:v>1.8536513159719923E-3</c:v>
                </c:pt>
                <c:pt idx="10">
                  <c:v>2.3643898709952418E-3</c:v>
                </c:pt>
                <c:pt idx="11">
                  <c:v>2.8937240600034209E-3</c:v>
                </c:pt>
                <c:pt idx="12">
                  <c:v>3.4412472021366244E-3</c:v>
                </c:pt>
                <c:pt idx="13">
                  <c:v>4.0064937714410923E-3</c:v>
                </c:pt>
                <c:pt idx="14">
                  <c:v>4.5890020377402641E-3</c:v>
                </c:pt>
                <c:pt idx="15">
                  <c:v>5.1888921951879479E-3</c:v>
                </c:pt>
                <c:pt idx="16">
                  <c:v>5.8058625608628589E-3</c:v>
                </c:pt>
                <c:pt idx="17">
                  <c:v>6.4394790569769983E-3</c:v>
                </c:pt>
                <c:pt idx="18">
                  <c:v>7.0892913197060448E-3</c:v>
                </c:pt>
                <c:pt idx="19">
                  <c:v>7.7548005599307373E-3</c:v>
                </c:pt>
                <c:pt idx="20">
                  <c:v>8.4354729333120018E-3</c:v>
                </c:pt>
                <c:pt idx="21">
                  <c:v>8.5602809008170008E-3</c:v>
                </c:pt>
                <c:pt idx="22">
                  <c:v>8.6827002587550016E-3</c:v>
                </c:pt>
                <c:pt idx="23">
                  <c:v>8.8025260861980016E-3</c:v>
                </c:pt>
                <c:pt idx="24">
                  <c:v>8.9195403176189989E-3</c:v>
                </c:pt>
                <c:pt idx="25">
                  <c:v>9.0335531989350019E-3</c:v>
                </c:pt>
                <c:pt idx="26">
                  <c:v>9.1443834020880008E-3</c:v>
                </c:pt>
                <c:pt idx="27">
                  <c:v>9.251887010571001E-3</c:v>
                </c:pt>
                <c:pt idx="28">
                  <c:v>9.3559487563619984E-3</c:v>
                </c:pt>
                <c:pt idx="29">
                  <c:v>9.4564735938990011E-3</c:v>
                </c:pt>
                <c:pt idx="30">
                  <c:v>9.5533519848570014E-3</c:v>
                </c:pt>
              </c:numCache>
            </c:numRef>
          </c:val>
          <c:extLst>
            <c:ext xmlns:c16="http://schemas.microsoft.com/office/drawing/2014/chart" uri="{C3380CC4-5D6E-409C-BE32-E72D297353CC}">
              <c16:uniqueId val="{00000004-111D-144E-89A6-719D27BD5A94}"/>
            </c:ext>
          </c:extLst>
        </c:ser>
        <c:ser>
          <c:idx val="5"/>
          <c:order val="5"/>
          <c:tx>
            <c:strRef>
              <c:f>NICCS_emissions!$B$56</c:f>
              <c:strCache>
                <c:ptCount val="1"/>
                <c:pt idx="0">
                  <c:v>kerosene</c:v>
                </c:pt>
              </c:strCache>
            </c:strRef>
          </c:tx>
          <c:spPr>
            <a:solidFill>
              <a:schemeClr val="accent6"/>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NICCS_emissions!$F$56:$AJ$56</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111D-144E-89A6-719D27BD5A94}"/>
            </c:ext>
          </c:extLst>
        </c:ser>
        <c:ser>
          <c:idx val="6"/>
          <c:order val="6"/>
          <c:tx>
            <c:strRef>
              <c:f>NICCS_emissions!$B$57</c:f>
              <c:strCache>
                <c:ptCount val="1"/>
                <c:pt idx="0">
                  <c:v>electric</c:v>
                </c:pt>
              </c:strCache>
            </c:strRef>
          </c:tx>
          <c:spPr>
            <a:solidFill>
              <a:schemeClr val="accent1">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NICCS_emissions!$F$57:$AJ$57</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6-111D-144E-89A6-719D27BD5A94}"/>
            </c:ext>
          </c:extLst>
        </c:ser>
        <c:ser>
          <c:idx val="7"/>
          <c:order val="7"/>
          <c:tx>
            <c:strRef>
              <c:f>NICCS_emissions!$B$58</c:f>
              <c:strCache>
                <c:ptCount val="1"/>
                <c:pt idx="0">
                  <c:v>pellets</c:v>
                </c:pt>
              </c:strCache>
            </c:strRef>
          </c:tx>
          <c:spPr>
            <a:solidFill>
              <a:schemeClr val="accent2">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NICCS_emissions!$F$58:$AJ$58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111D-144E-89A6-719D27BD5A94}"/>
            </c:ext>
          </c:extLst>
        </c:ser>
        <c:ser>
          <c:idx val="8"/>
          <c:order val="8"/>
          <c:tx>
            <c:strRef>
              <c:f>NICCS_emissions!$B$59</c:f>
              <c:strCache>
                <c:ptCount val="1"/>
                <c:pt idx="0">
                  <c:v>ethanol</c:v>
                </c:pt>
              </c:strCache>
            </c:strRef>
          </c:tx>
          <c:spPr>
            <a:solidFill>
              <a:schemeClr val="accent3">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NICCS_emissions!$F$59:$AJ$59</c:f>
              <c:numCache>
                <c:formatCode>0.00</c:formatCode>
                <c:ptCount val="31"/>
                <c:pt idx="0">
                  <c:v>0</c:v>
                </c:pt>
                <c:pt idx="1">
                  <c:v>0</c:v>
                </c:pt>
                <c:pt idx="2">
                  <c:v>0</c:v>
                </c:pt>
                <c:pt idx="3">
                  <c:v>0</c:v>
                </c:pt>
                <c:pt idx="4">
                  <c:v>0</c:v>
                </c:pt>
                <c:pt idx="5">
                  <c:v>0</c:v>
                </c:pt>
                <c:pt idx="6">
                  <c:v>2.0082936847339509E-3</c:v>
                </c:pt>
                <c:pt idx="7">
                  <c:v>4.1067463306305799E-3</c:v>
                </c:pt>
                <c:pt idx="8">
                  <c:v>6.2952980074833104E-3</c:v>
                </c:pt>
                <c:pt idx="9">
                  <c:v>8.5731521429629944E-3</c:v>
                </c:pt>
                <c:pt idx="10">
                  <c:v>1.0938887371527786E-2</c:v>
                </c:pt>
                <c:pt idx="11">
                  <c:v>1.3390771023507194E-2</c:v>
                </c:pt>
                <c:pt idx="12">
                  <c:v>1.5926919563259312E-2</c:v>
                </c:pt>
                <c:pt idx="13">
                  <c:v>1.8545176855938681E-2</c:v>
                </c:pt>
                <c:pt idx="14">
                  <c:v>2.1243404142297927E-2</c:v>
                </c:pt>
                <c:pt idx="15">
                  <c:v>2.402215660911192E-2</c:v>
                </c:pt>
                <c:pt idx="16">
                  <c:v>2.6880036821303237E-2</c:v>
                </c:pt>
                <c:pt idx="17">
                  <c:v>2.9815034307722962E-2</c:v>
                </c:pt>
                <c:pt idx="18">
                  <c:v>3.2825063060190979E-2</c:v>
                </c:pt>
                <c:pt idx="19">
                  <c:v>3.5907812748434485E-2</c:v>
                </c:pt>
                <c:pt idx="20">
                  <c:v>3.9060810627159014E-2</c:v>
                </c:pt>
                <c:pt idx="21">
                  <c:v>3.9638739146640296E-2</c:v>
                </c:pt>
                <c:pt idx="22">
                  <c:v>4.0205607109505909E-2</c:v>
                </c:pt>
                <c:pt idx="23">
                  <c:v>4.0760465620818323E-2</c:v>
                </c:pt>
                <c:pt idx="24">
                  <c:v>4.1302304919023938E-2</c:v>
                </c:pt>
                <c:pt idx="25">
                  <c:v>4.183024633989605E-2</c:v>
                </c:pt>
                <c:pt idx="26">
                  <c:v>4.2343450236269557E-2</c:v>
                </c:pt>
                <c:pt idx="27">
                  <c:v>4.2841250196732711E-2</c:v>
                </c:pt>
                <c:pt idx="28">
                  <c:v>4.3323112467883146E-2</c:v>
                </c:pt>
                <c:pt idx="29">
                  <c:v>4.3788596937266298E-2</c:v>
                </c:pt>
                <c:pt idx="30">
                  <c:v>4.423719638308167E-2</c:v>
                </c:pt>
              </c:numCache>
            </c:numRef>
          </c:val>
          <c:extLst>
            <c:ext xmlns:c16="http://schemas.microsoft.com/office/drawing/2014/chart" uri="{C3380CC4-5D6E-409C-BE32-E72D297353CC}">
              <c16:uniqueId val="{00000008-111D-144E-89A6-719D27BD5A94}"/>
            </c:ext>
          </c:extLst>
        </c:ser>
        <c:ser>
          <c:idx val="9"/>
          <c:order val="9"/>
          <c:tx>
            <c:strRef>
              <c:f>NICCS_emissions!$B$60</c:f>
              <c:strCache>
                <c:ptCount val="1"/>
                <c:pt idx="0">
                  <c:v>biogas</c:v>
                </c:pt>
              </c:strCache>
            </c:strRef>
          </c:tx>
          <c:spPr>
            <a:solidFill>
              <a:schemeClr val="accent4">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NICCS_emissions!$F$60:$AJ$60</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111D-144E-89A6-719D27BD5A94}"/>
            </c:ext>
          </c:extLst>
        </c:ser>
        <c:ser>
          <c:idx val="10"/>
          <c:order val="10"/>
          <c:tx>
            <c:strRef>
              <c:f>NICCS_emissions!$B$61</c:f>
              <c:strCache>
                <c:ptCount val="1"/>
                <c:pt idx="0">
                  <c:v>other</c:v>
                </c:pt>
              </c:strCache>
            </c:strRef>
          </c:tx>
          <c:spPr>
            <a:solidFill>
              <a:schemeClr val="accent5">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NICCS_emissions!$F$61:$AJ$61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111D-144E-89A6-719D27BD5A94}"/>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NICCS_emissions!$B$62</c:f>
              <c:strCache>
                <c:ptCount val="1"/>
                <c:pt idx="0">
                  <c:v>fuelwood</c:v>
                </c:pt>
              </c:strCache>
            </c:strRef>
          </c:tx>
          <c:spPr>
            <a:solidFill>
              <a:schemeClr val="accent2"/>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NICCS_emissions!$F$62:$AJ$62</c:f>
              <c:numCache>
                <c:formatCode>0.00</c:formatCode>
                <c:ptCount val="31"/>
                <c:pt idx="0">
                  <c:v>2.1016245569352185</c:v>
                </c:pt>
                <c:pt idx="1">
                  <c:v>2.101335788656626</c:v>
                </c:pt>
                <c:pt idx="2">
                  <c:v>2.095884862008079</c:v>
                </c:pt>
                <c:pt idx="3">
                  <c:v>2.0848544084770588</c:v>
                </c:pt>
                <c:pt idx="4">
                  <c:v>2.0678135939623843</c:v>
                </c:pt>
                <c:pt idx="5">
                  <c:v>2.0725424695815664</c:v>
                </c:pt>
                <c:pt idx="6">
                  <c:v>2.0152135147562156</c:v>
                </c:pt>
                <c:pt idx="7">
                  <c:v>1.9483487551854375</c:v>
                </c:pt>
                <c:pt idx="8">
                  <c:v>1.8714334446961776</c:v>
                </c:pt>
                <c:pt idx="9">
                  <c:v>1.7839565739866947</c:v>
                </c:pt>
                <c:pt idx="10">
                  <c:v>1.6854294503088716</c:v>
                </c:pt>
                <c:pt idx="11">
                  <c:v>1.5753849961506281</c:v>
                </c:pt>
                <c:pt idx="12">
                  <c:v>1.4533774038108405</c:v>
                </c:pt>
                <c:pt idx="13">
                  <c:v>1.3189667587495904</c:v>
                </c:pt>
                <c:pt idx="14">
                  <c:v>1.1717140256907999</c:v>
                </c:pt>
                <c:pt idx="15">
                  <c:v>1.0115594460957098</c:v>
                </c:pt>
                <c:pt idx="16">
                  <c:v>0.83796850082231955</c:v>
                </c:pt>
                <c:pt idx="17">
                  <c:v>0.65047744100022309</c:v>
                </c:pt>
                <c:pt idx="18">
                  <c:v>0.44862775147234152</c:v>
                </c:pt>
                <c:pt idx="19">
                  <c:v>0.23195770358161383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7269-6F4B-96C7-1B746F25A244}"/>
            </c:ext>
          </c:extLst>
        </c:ser>
        <c:ser>
          <c:idx val="0"/>
          <c:order val="1"/>
          <c:tx>
            <c:strRef>
              <c:f>NICCS_emissions!$B$63</c:f>
              <c:strCache>
                <c:ptCount val="1"/>
                <c:pt idx="0">
                  <c:v>charcoal</c:v>
                </c:pt>
              </c:strCache>
            </c:strRef>
          </c:tx>
          <c:spPr>
            <a:solidFill>
              <a:schemeClr val="accent1"/>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NICCS_emissions!$F$63:$AJ$63</c:f>
              <c:numCache>
                <c:formatCode>0.00</c:formatCode>
                <c:ptCount val="31"/>
                <c:pt idx="0">
                  <c:v>5.0619329204005412</c:v>
                </c:pt>
                <c:pt idx="1">
                  <c:v>5.3875229832686182</c:v>
                </c:pt>
                <c:pt idx="2">
                  <c:v>5.7294023292772964</c:v>
                </c:pt>
                <c:pt idx="3">
                  <c:v>6.087935818578611</c:v>
                </c:pt>
                <c:pt idx="4">
                  <c:v>6.4634294126819647</c:v>
                </c:pt>
                <c:pt idx="5">
                  <c:v>6.7950742192129949</c:v>
                </c:pt>
                <c:pt idx="6">
                  <c:v>6.6071144988860979</c:v>
                </c:pt>
                <c:pt idx="7">
                  <c:v>6.3878905212828796</c:v>
                </c:pt>
                <c:pt idx="8">
                  <c:v>6.1357146305404084</c:v>
                </c:pt>
                <c:pt idx="9">
                  <c:v>5.8489114225678156</c:v>
                </c:pt>
                <c:pt idx="10">
                  <c:v>5.5258786607197301</c:v>
                </c:pt>
                <c:pt idx="11">
                  <c:v>5.1650849764441009</c:v>
                </c:pt>
                <c:pt idx="12">
                  <c:v>4.7650687367654401</c:v>
                </c:pt>
                <c:pt idx="13">
                  <c:v>4.324387630130321</c:v>
                </c:pt>
                <c:pt idx="14">
                  <c:v>3.8416022277552107</c:v>
                </c:pt>
                <c:pt idx="15">
                  <c:v>3.3165166042431369</c:v>
                </c:pt>
                <c:pt idx="16">
                  <c:v>2.7473782757271592</c:v>
                </c:pt>
                <c:pt idx="17">
                  <c:v>2.1326667869984068</c:v>
                </c:pt>
                <c:pt idx="18">
                  <c:v>1.4708788421926395</c:v>
                </c:pt>
                <c:pt idx="19">
                  <c:v>0.76050060960801424</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7269-6F4B-96C7-1B746F25A244}"/>
            </c:ext>
          </c:extLst>
        </c:ser>
        <c:ser>
          <c:idx val="2"/>
          <c:order val="2"/>
          <c:tx>
            <c:strRef>
              <c:f>NICCS_emissions!$B$64</c:f>
              <c:strCache>
                <c:ptCount val="1"/>
                <c:pt idx="0">
                  <c:v>Imp_fuelwood</c:v>
                </c:pt>
              </c:strCache>
            </c:strRef>
          </c:tx>
          <c:spPr>
            <a:solidFill>
              <a:schemeClr val="accent3"/>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NICCS_emissions!$F$64:$AJ$64</c:f>
              <c:numCache>
                <c:formatCode>0.00</c:formatCode>
                <c:ptCount val="31"/>
                <c:pt idx="0">
                  <c:v>6.3700169834092504E-2</c:v>
                </c:pt>
                <c:pt idx="1">
                  <c:v>7.6827527077211341E-2</c:v>
                </c:pt>
                <c:pt idx="2">
                  <c:v>9.0954784759474827E-2</c:v>
                </c:pt>
                <c:pt idx="3">
                  <c:v>0.10612445310763086</c:v>
                </c:pt>
                <c:pt idx="4">
                  <c:v>0.12237756871052695</c:v>
                </c:pt>
                <c:pt idx="5">
                  <c:v>0.13883314423054924</c:v>
                </c:pt>
                <c:pt idx="6">
                  <c:v>0.13499285667520591</c:v>
                </c:pt>
                <c:pt idx="7">
                  <c:v>0.1305137953552683</c:v>
                </c:pt>
                <c:pt idx="8">
                  <c:v>0.12536147903296452</c:v>
                </c:pt>
                <c:pt idx="9">
                  <c:v>0.11950167679185597</c:v>
                </c:pt>
                <c:pt idx="10">
                  <c:v>0.11290165263170159</c:v>
                </c:pt>
                <c:pt idx="11">
                  <c:v>0.10553011848938412</c:v>
                </c:pt>
                <c:pt idx="12">
                  <c:v>9.7357211099963245E-2</c:v>
                </c:pt>
                <c:pt idx="13">
                  <c:v>8.8353461962954155E-2</c:v>
                </c:pt>
                <c:pt idx="14">
                  <c:v>7.8489461477009442E-2</c:v>
                </c:pt>
                <c:pt idx="15">
                  <c:v>6.7761206604337459E-2</c:v>
                </c:pt>
                <c:pt idx="16">
                  <c:v>5.6132891577758699E-2</c:v>
                </c:pt>
                <c:pt idx="17">
                  <c:v>4.3573451309461109E-2</c:v>
                </c:pt>
                <c:pt idx="18">
                  <c:v>3.0052171301735278E-2</c:v>
                </c:pt>
                <c:pt idx="19">
                  <c:v>1.5538121794548792E-2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7269-6F4B-96C7-1B746F25A244}"/>
            </c:ext>
          </c:extLst>
        </c:ser>
        <c:ser>
          <c:idx val="3"/>
          <c:order val="3"/>
          <c:tx>
            <c:strRef>
              <c:f>NICCS_emissions!$B$65</c:f>
              <c:strCache>
                <c:ptCount val="1"/>
                <c:pt idx="0">
                  <c:v>Imp_charcoal</c:v>
                </c:pt>
              </c:strCache>
            </c:strRef>
          </c:tx>
          <c:spPr>
            <a:solidFill>
              <a:schemeClr val="accent4"/>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NICCS_emissions!$F$65:$AJ$65</c:f>
              <c:numCache>
                <c:formatCode>0.00</c:formatCode>
                <c:ptCount val="31"/>
                <c:pt idx="0">
                  <c:v>1.8123649066601379E-2</c:v>
                </c:pt>
                <c:pt idx="1">
                  <c:v>2.185857813297486E-2</c:v>
                </c:pt>
                <c:pt idx="2">
                  <c:v>2.5877993798170306E-2</c:v>
                </c:pt>
                <c:pt idx="3">
                  <c:v>3.0193990856181466E-2</c:v>
                </c:pt>
                <c:pt idx="4">
                  <c:v>3.481824482902076E-2</c:v>
                </c:pt>
                <c:pt idx="5">
                  <c:v>3.9500101670071876E-2</c:v>
                </c:pt>
                <c:pt idx="6">
                  <c:v>8.4115675794609143E-2</c:v>
                </c:pt>
                <c:pt idx="7">
                  <c:v>0.13231502174348966</c:v>
                </c:pt>
                <c:pt idx="8">
                  <c:v>0.18423183948332211</c:v>
                </c:pt>
                <c:pt idx="9">
                  <c:v>0.2399930796679989</c:v>
                </c:pt>
                <c:pt idx="10">
                  <c:v>0.29971943069836887</c:v>
                </c:pt>
                <c:pt idx="11">
                  <c:v>0.36352537848061062</c:v>
                </c:pt>
                <c:pt idx="12">
                  <c:v>0.43151925967209226</c:v>
                </c:pt>
                <c:pt idx="13">
                  <c:v>0.50379753080864775</c:v>
                </c:pt>
                <c:pt idx="14">
                  <c:v>0.58043385030190864</c:v>
                </c:pt>
                <c:pt idx="15">
                  <c:v>0.66170406864615505</c:v>
                </c:pt>
                <c:pt idx="16">
                  <c:v>0.74771842152231704</c:v>
                </c:pt>
                <c:pt idx="17">
                  <c:v>0.8386126378258183</c:v>
                </c:pt>
                <c:pt idx="18">
                  <c:v>0.93452796406987815</c:v>
                </c:pt>
                <c:pt idx="19">
                  <c:v>1.035608849539565</c:v>
                </c:pt>
                <c:pt idx="20">
                  <c:v>1.1419989127894288</c:v>
                </c:pt>
                <c:pt idx="21">
                  <c:v>1.1798969942871964</c:v>
                </c:pt>
                <c:pt idx="22">
                  <c:v>1.2185330694075001</c:v>
                </c:pt>
                <c:pt idx="23">
                  <c:v>1.2579037976846783</c:v>
                </c:pt>
                <c:pt idx="24">
                  <c:v>1.2980051905030177</c:v>
                </c:pt>
                <c:pt idx="25">
                  <c:v>1.3388312649389462</c:v>
                </c:pt>
                <c:pt idx="26">
                  <c:v>1.3803736947571608</c:v>
                </c:pt>
                <c:pt idx="27">
                  <c:v>1.4226208631143931</c:v>
                </c:pt>
                <c:pt idx="28">
                  <c:v>1.4655604053019284</c:v>
                </c:pt>
                <c:pt idx="29">
                  <c:v>1.509176666003089</c:v>
                </c:pt>
                <c:pt idx="30">
                  <c:v>1.5534531921780539</c:v>
                </c:pt>
              </c:numCache>
            </c:numRef>
          </c:val>
          <c:extLst>
            <c:ext xmlns:c16="http://schemas.microsoft.com/office/drawing/2014/chart" uri="{C3380CC4-5D6E-409C-BE32-E72D297353CC}">
              <c16:uniqueId val="{00000003-7269-6F4B-96C7-1B746F25A244}"/>
            </c:ext>
          </c:extLst>
        </c:ser>
        <c:ser>
          <c:idx val="4"/>
          <c:order val="4"/>
          <c:tx>
            <c:strRef>
              <c:f>NICCS_emissions!$B$66</c:f>
              <c:strCache>
                <c:ptCount val="1"/>
                <c:pt idx="0">
                  <c:v>Gas</c:v>
                </c:pt>
              </c:strCache>
            </c:strRef>
          </c:tx>
          <c:spPr>
            <a:solidFill>
              <a:schemeClr val="accent5"/>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NICCS_emissions!$F$66:$AJ$66</c:f>
              <c:numCache>
                <c:formatCode>0.00</c:formatCode>
                <c:ptCount val="31"/>
                <c:pt idx="0">
                  <c:v>5.4895774974203505E-5</c:v>
                </c:pt>
                <c:pt idx="1">
                  <c:v>6.3841161690056215E-5</c:v>
                </c:pt>
                <c:pt idx="2">
                  <c:v>7.3439831517929679E-5</c:v>
                </c:pt>
                <c:pt idx="3">
                  <c:v>8.3718477326814576E-5</c:v>
                </c:pt>
                <c:pt idx="4">
                  <c:v>9.4702714065757291E-5</c:v>
                </c:pt>
                <c:pt idx="5">
                  <c:v>9.4919289368736049E-5</c:v>
                </c:pt>
                <c:pt idx="6">
                  <c:v>4.9283644722115114E-4</c:v>
                </c:pt>
                <c:pt idx="7">
                  <c:v>9.2331421724183244E-4</c:v>
                </c:pt>
                <c:pt idx="8">
                  <c:v>1.3875866121918282E-3</c:v>
                </c:pt>
                <c:pt idx="9">
                  <c:v>1.8868280473712017E-3</c:v>
                </c:pt>
                <c:pt idx="10">
                  <c:v>2.4221553566201939E-3</c:v>
                </c:pt>
                <c:pt idx="11">
                  <c:v>2.9946284009939421E-3</c:v>
                </c:pt>
                <c:pt idx="12">
                  <c:v>3.6052505772285401E-3</c:v>
                </c:pt>
                <c:pt idx="13">
                  <c:v>4.2549204617418901E-3</c:v>
                </c:pt>
                <c:pt idx="14">
                  <c:v>4.9443367434928442E-3</c:v>
                </c:pt>
                <c:pt idx="15">
                  <c:v>5.6759239550493151E-3</c:v>
                </c:pt>
                <c:pt idx="16">
                  <c:v>6.4507128874584825E-3</c:v>
                </c:pt>
                <c:pt idx="17">
                  <c:v>7.2699491514662011E-3</c:v>
                </c:pt>
                <c:pt idx="18">
                  <c:v>8.1349260745244342E-3</c:v>
                </c:pt>
                <c:pt idx="19">
                  <c:v>9.0469654396257322E-3</c:v>
                </c:pt>
                <c:pt idx="20">
                  <c:v>1.000738242504E-2</c:v>
                </c:pt>
                <c:pt idx="21">
                  <c:v>1.0339484838165E-2</c:v>
                </c:pt>
                <c:pt idx="22">
                  <c:v>1.0678054319100001E-2</c:v>
                </c:pt>
                <c:pt idx="23">
                  <c:v>1.1023061595209998E-2</c:v>
                </c:pt>
                <c:pt idx="24">
                  <c:v>1.1374471714094999E-2</c:v>
                </c:pt>
                <c:pt idx="25">
                  <c:v>1.1732232247154998E-2</c:v>
                </c:pt>
                <c:pt idx="26">
                  <c:v>1.2096270231255001E-2</c:v>
                </c:pt>
                <c:pt idx="27">
                  <c:v>1.246648386753E-2</c:v>
                </c:pt>
                <c:pt idx="28">
                  <c:v>1.284276480354E-2</c:v>
                </c:pt>
                <c:pt idx="29">
                  <c:v>1.3224975851114996E-2</c:v>
                </c:pt>
                <c:pt idx="30">
                  <c:v>1.3612972831605001E-2</c:v>
                </c:pt>
              </c:numCache>
            </c:numRef>
          </c:val>
          <c:extLst>
            <c:ext xmlns:c16="http://schemas.microsoft.com/office/drawing/2014/chart" uri="{C3380CC4-5D6E-409C-BE32-E72D297353CC}">
              <c16:uniqueId val="{00000004-7269-6F4B-96C7-1B746F25A244}"/>
            </c:ext>
          </c:extLst>
        </c:ser>
        <c:ser>
          <c:idx val="5"/>
          <c:order val="5"/>
          <c:tx>
            <c:strRef>
              <c:f>NICCS_emissions!$B$67</c:f>
              <c:strCache>
                <c:ptCount val="1"/>
                <c:pt idx="0">
                  <c:v>kerosene</c:v>
                </c:pt>
              </c:strCache>
            </c:strRef>
          </c:tx>
          <c:spPr>
            <a:solidFill>
              <a:schemeClr val="accent6"/>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NICCS_emissions!$F$67:$AJ$67</c:f>
              <c:numCache>
                <c:formatCode>0.00</c:formatCode>
                <c:ptCount val="31"/>
                <c:pt idx="0">
                  <c:v>2.281166797686934E-6</c:v>
                </c:pt>
                <c:pt idx="1">
                  <c:v>1.7328576842153884E-6</c:v>
                </c:pt>
                <c:pt idx="2">
                  <c:v>1.1307056182078973E-6</c:v>
                </c:pt>
                <c:pt idx="3">
                  <c:v>4.7195645268279653E-7</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7269-6F4B-96C7-1B746F25A244}"/>
            </c:ext>
          </c:extLst>
        </c:ser>
        <c:ser>
          <c:idx val="6"/>
          <c:order val="6"/>
          <c:tx>
            <c:strRef>
              <c:f>NICCS_emissions!$B$68</c:f>
              <c:strCache>
                <c:ptCount val="1"/>
                <c:pt idx="0">
                  <c:v>electric</c:v>
                </c:pt>
              </c:strCache>
            </c:strRef>
          </c:tx>
          <c:spPr>
            <a:solidFill>
              <a:schemeClr val="accent1">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NICCS_emissions!$F$68:$AJ$68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6-7269-6F4B-96C7-1B746F25A244}"/>
            </c:ext>
          </c:extLst>
        </c:ser>
        <c:ser>
          <c:idx val="7"/>
          <c:order val="7"/>
          <c:tx>
            <c:strRef>
              <c:f>NICCS_emissions!$B$69</c:f>
              <c:strCache>
                <c:ptCount val="1"/>
                <c:pt idx="0">
                  <c:v>pellets</c:v>
                </c:pt>
              </c:strCache>
            </c:strRef>
          </c:tx>
          <c:spPr>
            <a:solidFill>
              <a:schemeClr val="accent2">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NICCS_emissions!$F$69:$AJ$69</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7-7269-6F4B-96C7-1B746F25A244}"/>
            </c:ext>
          </c:extLst>
        </c:ser>
        <c:ser>
          <c:idx val="8"/>
          <c:order val="8"/>
          <c:tx>
            <c:strRef>
              <c:f>NICCS_emissions!$B$70</c:f>
              <c:strCache>
                <c:ptCount val="1"/>
                <c:pt idx="0">
                  <c:v>ethanol</c:v>
                </c:pt>
              </c:strCache>
            </c:strRef>
          </c:tx>
          <c:spPr>
            <a:solidFill>
              <a:schemeClr val="accent3">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NICCS_emissions!$F$70:$AJ$70</c:f>
              <c:numCache>
                <c:formatCode>0.00</c:formatCode>
                <c:ptCount val="31"/>
                <c:pt idx="0">
                  <c:v>0</c:v>
                </c:pt>
                <c:pt idx="1">
                  <c:v>0</c:v>
                </c:pt>
                <c:pt idx="2">
                  <c:v>0</c:v>
                </c:pt>
                <c:pt idx="3">
                  <c:v>0</c:v>
                </c:pt>
                <c:pt idx="4">
                  <c:v>0</c:v>
                </c:pt>
                <c:pt idx="5">
                  <c:v>0</c:v>
                </c:pt>
                <c:pt idx="6">
                  <c:v>1.0730937358103055E-2</c:v>
                </c:pt>
                <c:pt idx="7">
                  <c:v>2.2345906129896058E-2</c:v>
                </c:pt>
                <c:pt idx="8">
                  <c:v>3.4878598328391422E-2</c:v>
                </c:pt>
                <c:pt idx="9">
                  <c:v>4.836110470639448E-2</c:v>
                </c:pt>
                <c:pt idx="10">
                  <c:v>6.28239459701527E-2</c:v>
                </c:pt>
                <c:pt idx="11">
                  <c:v>7.8296089946862865E-2</c:v>
                </c:pt>
                <c:pt idx="12">
                  <c:v>9.4804965630813115E-2</c:v>
                </c:pt>
                <c:pt idx="13">
                  <c:v>0.11237518654512826</c:v>
                </c:pt>
                <c:pt idx="14">
                  <c:v>0.13102600995072</c:v>
                </c:pt>
                <c:pt idx="15">
                  <c:v>0.15082246480377634</c:v>
                </c:pt>
                <c:pt idx="16">
                  <c:v>0.17179282286711556</c:v>
                </c:pt>
                <c:pt idx="17">
                  <c:v>0.19397102430226165</c:v>
                </c:pt>
                <c:pt idx="18">
                  <c:v>0.21739228122694607</c:v>
                </c:pt>
                <c:pt idx="19">
                  <c:v>0.24209257205398962</c:v>
                </c:pt>
                <c:pt idx="20">
                  <c:v>0.26810770508182463</c:v>
                </c:pt>
                <c:pt idx="21">
                  <c:v>0.27700505826104255</c:v>
                </c:pt>
                <c:pt idx="22">
                  <c:v>0.28607567060389655</c:v>
                </c:pt>
                <c:pt idx="23">
                  <c:v>0.29531875786744871</c:v>
                </c:pt>
                <c:pt idx="24">
                  <c:v>0.30473338364222141</c:v>
                </c:pt>
                <c:pt idx="25">
                  <c:v>0.31431814331399777</c:v>
                </c:pt>
                <c:pt idx="26">
                  <c:v>0.3240710821279929</c:v>
                </c:pt>
                <c:pt idx="27">
                  <c:v>0.33398947279160246</c:v>
                </c:pt>
                <c:pt idx="28">
                  <c:v>0.34407041243544528</c:v>
                </c:pt>
                <c:pt idx="29">
                  <c:v>0.3543102256523209</c:v>
                </c:pt>
                <c:pt idx="30">
                  <c:v>0.36470504975313323</c:v>
                </c:pt>
              </c:numCache>
            </c:numRef>
          </c:val>
          <c:extLst>
            <c:ext xmlns:c16="http://schemas.microsoft.com/office/drawing/2014/chart" uri="{C3380CC4-5D6E-409C-BE32-E72D297353CC}">
              <c16:uniqueId val="{00000008-7269-6F4B-96C7-1B746F25A244}"/>
            </c:ext>
          </c:extLst>
        </c:ser>
        <c:ser>
          <c:idx val="9"/>
          <c:order val="9"/>
          <c:tx>
            <c:strRef>
              <c:f>NICCS_emissions!$B$71</c:f>
              <c:strCache>
                <c:ptCount val="1"/>
                <c:pt idx="0">
                  <c:v>biogas</c:v>
                </c:pt>
              </c:strCache>
            </c:strRef>
          </c:tx>
          <c:spPr>
            <a:solidFill>
              <a:schemeClr val="accent4">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NICCS_emissions!$F$71:$AJ$71</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7269-6F4B-96C7-1B746F25A244}"/>
            </c:ext>
          </c:extLst>
        </c:ser>
        <c:ser>
          <c:idx val="10"/>
          <c:order val="10"/>
          <c:tx>
            <c:strRef>
              <c:f>NICCS_emissions!$B$72</c:f>
              <c:strCache>
                <c:ptCount val="1"/>
                <c:pt idx="0">
                  <c:v>other</c:v>
                </c:pt>
              </c:strCache>
            </c:strRef>
          </c:tx>
          <c:spPr>
            <a:solidFill>
              <a:schemeClr val="accent5">
                <a:lumMod val="60000"/>
              </a:schemeClr>
            </a:solidFill>
            <a:ln w="25400">
              <a:noFill/>
            </a:ln>
            <a:effectLst/>
          </c:spPr>
          <c:cat>
            <c:numRef>
              <c:f>NICCS_emissions!$F$39:$AJ$39</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NICCS_emissions!$F$72:$AJ$72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7269-6F4B-96C7-1B746F25A244}"/>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19742782152231"/>
          <c:h val="0.96956142140263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NICCS_emissions!$B$2</c:f>
              <c:strCache>
                <c:ptCount val="1"/>
                <c:pt idx="0">
                  <c:v>fuelwood</c:v>
                </c:pt>
              </c:strCache>
            </c:strRef>
          </c:tx>
          <c:spPr>
            <a:solidFill>
              <a:schemeClr val="accent2"/>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NICCS_emissions!$F$2:$AJ$2</c:f>
              <c:numCache>
                <c:formatCode>0.00</c:formatCode>
                <c:ptCount val="31"/>
                <c:pt idx="0">
                  <c:v>7972.6728762430157</c:v>
                </c:pt>
                <c:pt idx="1">
                  <c:v>8048.8911509252084</c:v>
                </c:pt>
                <c:pt idx="2">
                  <c:v>8118.634800899571</c:v>
                </c:pt>
                <c:pt idx="3">
                  <c:v>8181.6959525900602</c:v>
                </c:pt>
                <c:pt idx="4">
                  <c:v>8237.945291884047</c:v>
                </c:pt>
                <c:pt idx="5">
                  <c:v>8217.1962901727147</c:v>
                </c:pt>
                <c:pt idx="6">
                  <c:v>7864.3668884501476</c:v>
                </c:pt>
                <c:pt idx="7">
                  <c:v>7485.1749903090395</c:v>
                </c:pt>
                <c:pt idx="8">
                  <c:v>7078.8008989583304</c:v>
                </c:pt>
                <c:pt idx="9">
                  <c:v>6644.4981794481464</c:v>
                </c:pt>
                <c:pt idx="10">
                  <c:v>6181.7643087259457</c:v>
                </c:pt>
                <c:pt idx="11">
                  <c:v>5690.3863630163305</c:v>
                </c:pt>
                <c:pt idx="12">
                  <c:v>5170.3402166959413</c:v>
                </c:pt>
                <c:pt idx="13">
                  <c:v>4621.6684829586657</c:v>
                </c:pt>
                <c:pt idx="14">
                  <c:v>4044.5258214980217</c:v>
                </c:pt>
                <c:pt idx="15">
                  <c:v>3439.6454091304904</c:v>
                </c:pt>
                <c:pt idx="16">
                  <c:v>2807.0097574824513</c:v>
                </c:pt>
                <c:pt idx="17">
                  <c:v>2146.6256904694419</c:v>
                </c:pt>
                <c:pt idx="18">
                  <c:v>1458.5715998014148</c:v>
                </c:pt>
                <c:pt idx="19">
                  <c:v>742.97234222430757</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947C-6C49-8341-6CA4B01F7265}"/>
            </c:ext>
          </c:extLst>
        </c:ser>
        <c:ser>
          <c:idx val="0"/>
          <c:order val="1"/>
          <c:tx>
            <c:strRef>
              <c:f>NICCS_emissions!$B$3</c:f>
              <c:strCache>
                <c:ptCount val="1"/>
                <c:pt idx="0">
                  <c:v>charcoal</c:v>
                </c:pt>
              </c:strCache>
            </c:strRef>
          </c:tx>
          <c:spPr>
            <a:solidFill>
              <a:schemeClr val="accent1"/>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NICCS_emissions!$F$3:$AJ$3</c:f>
              <c:numCache>
                <c:formatCode>0.00</c:formatCode>
                <c:ptCount val="31"/>
                <c:pt idx="0">
                  <c:v>6262.7206011223589</c:v>
                </c:pt>
                <c:pt idx="1">
                  <c:v>6746.4919053745289</c:v>
                </c:pt>
                <c:pt idx="2">
                  <c:v>7252.7593592083149</c:v>
                </c:pt>
                <c:pt idx="3">
                  <c:v>7781.9417042216364</c:v>
                </c:pt>
                <c:pt idx="4">
                  <c:v>8334.432246750428</c:v>
                </c:pt>
                <c:pt idx="5">
                  <c:v>8960.0833538580482</c:v>
                </c:pt>
                <c:pt idx="6">
                  <c:v>8668.8848796619641</c:v>
                </c:pt>
                <c:pt idx="7">
                  <c:v>8340.4133815904352</c:v>
                </c:pt>
                <c:pt idx="8">
                  <c:v>7972.8652166782631</c:v>
                </c:pt>
                <c:pt idx="9">
                  <c:v>7564.4730814149998</c:v>
                </c:pt>
                <c:pt idx="10">
                  <c:v>7113.6198296305301</c:v>
                </c:pt>
                <c:pt idx="11">
                  <c:v>6618.8521787695981</c:v>
                </c:pt>
                <c:pt idx="12">
                  <c:v>6078.8448781998541</c:v>
                </c:pt>
                <c:pt idx="13">
                  <c:v>5492.3131337357627</c:v>
                </c:pt>
                <c:pt idx="14">
                  <c:v>4858.0134433963958</c:v>
                </c:pt>
                <c:pt idx="15">
                  <c:v>4176.0224800193891</c:v>
                </c:pt>
                <c:pt idx="16">
                  <c:v>3444.7552309319594</c:v>
                </c:pt>
                <c:pt idx="17">
                  <c:v>2662.844135478822</c:v>
                </c:pt>
                <c:pt idx="18">
                  <c:v>1828.9618091078378</c:v>
                </c:pt>
                <c:pt idx="19">
                  <c:v>941.78742109849418</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947C-6C49-8341-6CA4B01F7265}"/>
            </c:ext>
          </c:extLst>
        </c:ser>
        <c:ser>
          <c:idx val="2"/>
          <c:order val="2"/>
          <c:tx>
            <c:strRef>
              <c:f>NICCS_emissions!$B$4</c:f>
              <c:strCache>
                <c:ptCount val="1"/>
                <c:pt idx="0">
                  <c:v>Imp_fuelwood</c:v>
                </c:pt>
              </c:strCache>
            </c:strRef>
          </c:tx>
          <c:spPr>
            <a:solidFill>
              <a:schemeClr val="accent3"/>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NICCS_emissions!$F$4:$AJ$4</c:f>
              <c:numCache>
                <c:formatCode>0.00</c:formatCode>
                <c:ptCount val="31"/>
                <c:pt idx="0">
                  <c:v>33.832143273149342</c:v>
                </c:pt>
                <c:pt idx="1">
                  <c:v>40.804285297318842</c:v>
                </c:pt>
                <c:pt idx="2">
                  <c:v>48.307489876017392</c:v>
                </c:pt>
                <c:pt idx="3">
                  <c:v>56.364334846724127</c:v>
                </c:pt>
                <c:pt idx="4">
                  <c:v>64.996615375086918</c:v>
                </c:pt>
                <c:pt idx="5">
                  <c:v>73.736425489966109</c:v>
                </c:pt>
                <c:pt idx="6">
                  <c:v>133.3937444220023</c:v>
                </c:pt>
                <c:pt idx="7">
                  <c:v>195.48158158625913</c:v>
                </c:pt>
                <c:pt idx="8">
                  <c:v>259.9797823444236</c:v>
                </c:pt>
                <c:pt idx="9">
                  <c:v>326.84569456467216</c:v>
                </c:pt>
                <c:pt idx="10">
                  <c:v>396.01826576473923</c:v>
                </c:pt>
                <c:pt idx="11">
                  <c:v>467.42764888445686</c:v>
                </c:pt>
                <c:pt idx="12">
                  <c:v>541.00011883008165</c:v>
                </c:pt>
                <c:pt idx="13">
                  <c:v>616.65378563088655</c:v>
                </c:pt>
                <c:pt idx="14">
                  <c:v>694.30732439555834</c:v>
                </c:pt>
                <c:pt idx="15">
                  <c:v>773.97566498736978</c:v>
                </c:pt>
                <c:pt idx="16">
                  <c:v>855.5968596932189</c:v>
                </c:pt>
                <c:pt idx="17">
                  <c:v>939.09264551657157</c:v>
                </c:pt>
                <c:pt idx="18">
                  <c:v>1024.3826250853799</c:v>
                </c:pt>
                <c:pt idx="19">
                  <c:v>1111.3793952810561</c:v>
                </c:pt>
                <c:pt idx="20">
                  <c:v>1199.9903652989592</c:v>
                </c:pt>
                <c:pt idx="21">
                  <c:v>1217.7449547218125</c:v>
                </c:pt>
                <c:pt idx="22">
                  <c:v>1235.159751878183</c:v>
                </c:pt>
                <c:pt idx="23">
                  <c:v>1252.2056056889096</c:v>
                </c:pt>
                <c:pt idx="24">
                  <c:v>1268.8514951865277</c:v>
                </c:pt>
                <c:pt idx="25">
                  <c:v>1285.0704268553011</c:v>
                </c:pt>
                <c:pt idx="26">
                  <c:v>1300.8366058258391</c:v>
                </c:pt>
                <c:pt idx="27">
                  <c:v>1316.1295592185331</c:v>
                </c:pt>
                <c:pt idx="28">
                  <c:v>1330.932889551354</c:v>
                </c:pt>
                <c:pt idx="29">
                  <c:v>1345.233076093507</c:v>
                </c:pt>
                <c:pt idx="30">
                  <c:v>1359.0145364424791</c:v>
                </c:pt>
              </c:numCache>
            </c:numRef>
          </c:val>
          <c:extLst>
            <c:ext xmlns:c16="http://schemas.microsoft.com/office/drawing/2014/chart" uri="{C3380CC4-5D6E-409C-BE32-E72D297353CC}">
              <c16:uniqueId val="{00000002-947C-6C49-8341-6CA4B01F7265}"/>
            </c:ext>
          </c:extLst>
        </c:ser>
        <c:ser>
          <c:idx val="3"/>
          <c:order val="3"/>
          <c:tx>
            <c:strRef>
              <c:f>NICCS_emissions!$B$5</c:f>
              <c:strCache>
                <c:ptCount val="1"/>
                <c:pt idx="0">
                  <c:v>Imp_charcoal</c:v>
                </c:pt>
              </c:strCache>
            </c:strRef>
          </c:tx>
          <c:spPr>
            <a:solidFill>
              <a:schemeClr val="accent4"/>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NICCS_emissions!$F$5:$AJ$5</c:f>
              <c:numCache>
                <c:formatCode>0.00</c:formatCode>
                <c:ptCount val="31"/>
                <c:pt idx="0">
                  <c:v>17.343162735709225</c:v>
                </c:pt>
                <c:pt idx="1">
                  <c:v>20.917248857461345</c:v>
                </c:pt>
                <c:pt idx="2">
                  <c:v>24.763570297904892</c:v>
                </c:pt>
                <c:pt idx="3">
                  <c:v>28.893700994480255</c:v>
                </c:pt>
                <c:pt idx="4">
                  <c:v>33.318813668395045</c:v>
                </c:pt>
                <c:pt idx="5">
                  <c:v>37.799048570387093</c:v>
                </c:pt>
                <c:pt idx="6">
                  <c:v>264.67595543592245</c:v>
                </c:pt>
                <c:pt idx="7">
                  <c:v>503.2508718367514</c:v>
                </c:pt>
                <c:pt idx="8">
                  <c:v>753.64624375304345</c:v>
                </c:pt>
                <c:pt idx="9">
                  <c:v>1015.910500300811</c:v>
                </c:pt>
                <c:pt idx="10">
                  <c:v>1290.028777595254</c:v>
                </c:pt>
                <c:pt idx="11">
                  <c:v>1575.9517263422822</c:v>
                </c:pt>
                <c:pt idx="12">
                  <c:v>1873.6102767399254</c:v>
                </c:pt>
                <c:pt idx="13">
                  <c:v>2182.8989901228865</c:v>
                </c:pt>
                <c:pt idx="14">
                  <c:v>2503.6922050260332</c:v>
                </c:pt>
                <c:pt idx="15">
                  <c:v>2836.3048093238995</c:v>
                </c:pt>
                <c:pt idx="16">
                  <c:v>3180.7141312407111</c:v>
                </c:pt>
                <c:pt idx="17">
                  <c:v>3536.8656721928237</c:v>
                </c:pt>
                <c:pt idx="18">
                  <c:v>3904.7032860219119</c:v>
                </c:pt>
                <c:pt idx="19">
                  <c:v>4284.1533186056067</c:v>
                </c:pt>
                <c:pt idx="20">
                  <c:v>4675.1264256172053</c:v>
                </c:pt>
                <c:pt idx="21">
                  <c:v>4764.3948637124922</c:v>
                </c:pt>
                <c:pt idx="22">
                  <c:v>4853.3551390524899</c:v>
                </c:pt>
                <c:pt idx="23">
                  <c:v>4941.917030895559</c:v>
                </c:pt>
                <c:pt idx="24">
                  <c:v>5029.9841161222594</c:v>
                </c:pt>
                <c:pt idx="25">
                  <c:v>5117.4700862600275</c:v>
                </c:pt>
                <c:pt idx="26">
                  <c:v>5204.2899687330473</c:v>
                </c:pt>
                <c:pt idx="27">
                  <c:v>5290.3715296952905</c:v>
                </c:pt>
                <c:pt idx="28">
                  <c:v>5375.6539858443493</c:v>
                </c:pt>
                <c:pt idx="29">
                  <c:v>5460.0819928860419</c:v>
                </c:pt>
                <c:pt idx="30">
                  <c:v>5543.59328848941</c:v>
                </c:pt>
              </c:numCache>
            </c:numRef>
          </c:val>
          <c:extLst>
            <c:ext xmlns:c16="http://schemas.microsoft.com/office/drawing/2014/chart" uri="{C3380CC4-5D6E-409C-BE32-E72D297353CC}">
              <c16:uniqueId val="{00000003-947C-6C49-8341-6CA4B01F7265}"/>
            </c:ext>
          </c:extLst>
        </c:ser>
        <c:ser>
          <c:idx val="4"/>
          <c:order val="4"/>
          <c:tx>
            <c:strRef>
              <c:f>NICCS_emissions!$B$6</c:f>
              <c:strCache>
                <c:ptCount val="1"/>
                <c:pt idx="0">
                  <c:v>Gas</c:v>
                </c:pt>
              </c:strCache>
            </c:strRef>
          </c:tx>
          <c:spPr>
            <a:solidFill>
              <a:schemeClr val="accent5"/>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NICCS_emissions!$F$6:$AJ$6</c:f>
              <c:numCache>
                <c:formatCode>0.00</c:formatCode>
                <c:ptCount val="31"/>
                <c:pt idx="0">
                  <c:v>6.8750014127054442</c:v>
                </c:pt>
                <c:pt idx="1">
                  <c:v>7.9323712087459661</c:v>
                </c:pt>
                <c:pt idx="2">
                  <c:v>9.0666858444048692</c:v>
                </c:pt>
                <c:pt idx="3">
                  <c:v>10.281111743582597</c:v>
                </c:pt>
                <c:pt idx="4">
                  <c:v>11.578691062669412</c:v>
                </c:pt>
                <c:pt idx="5">
                  <c:v>11.599043512632706</c:v>
                </c:pt>
                <c:pt idx="6">
                  <c:v>110.3289514628805</c:v>
                </c:pt>
                <c:pt idx="7">
                  <c:v>215.23591642697806</c:v>
                </c:pt>
                <c:pt idx="8">
                  <c:v>326.46489993933454</c:v>
                </c:pt>
                <c:pt idx="9">
                  <c:v>444.13490122786504</c:v>
                </c:pt>
                <c:pt idx="10">
                  <c:v>568.34207206790006</c:v>
                </c:pt>
                <c:pt idx="11">
                  <c:v>699.16782974106991</c:v>
                </c:pt>
                <c:pt idx="12">
                  <c:v>836.6830267561013</c:v>
                </c:pt>
                <c:pt idx="13">
                  <c:v>980.9390824115477</c:v>
                </c:pt>
                <c:pt idx="14">
                  <c:v>1131.9641325838961</c:v>
                </c:pt>
                <c:pt idx="15">
                  <c:v>1290.0603315805006</c:v>
                </c:pt>
                <c:pt idx="16">
                  <c:v>1455.3142518253803</c:v>
                </c:pt>
                <c:pt idx="17">
                  <c:v>1627.8222526551524</c:v>
                </c:pt>
                <c:pt idx="18">
                  <c:v>1807.6844254033417</c:v>
                </c:pt>
                <c:pt idx="19">
                  <c:v>1994.9984902461933</c:v>
                </c:pt>
                <c:pt idx="20">
                  <c:v>2189.8572207655093</c:v>
                </c:pt>
                <c:pt idx="21">
                  <c:v>2244.1095844491078</c:v>
                </c:pt>
                <c:pt idx="22">
                  <c:v>2298.8462137770171</c:v>
                </c:pt>
                <c:pt idx="23">
                  <c:v>2354.0393012077766</c:v>
                </c:pt>
                <c:pt idx="24">
                  <c:v>2409.6588040433526</c:v>
                </c:pt>
                <c:pt idx="25">
                  <c:v>2465.6759661347223</c:v>
                </c:pt>
                <c:pt idx="26">
                  <c:v>2522.0605935995191</c:v>
                </c:pt>
                <c:pt idx="27">
                  <c:v>2578.7835108263116</c:v>
                </c:pt>
                <c:pt idx="28">
                  <c:v>2635.8181656964662</c:v>
                </c:pt>
                <c:pt idx="29">
                  <c:v>2693.1369833738177</c:v>
                </c:pt>
                <c:pt idx="30">
                  <c:v>2750.70983815717</c:v>
                </c:pt>
              </c:numCache>
            </c:numRef>
          </c:val>
          <c:extLst>
            <c:ext xmlns:c16="http://schemas.microsoft.com/office/drawing/2014/chart" uri="{C3380CC4-5D6E-409C-BE32-E72D297353CC}">
              <c16:uniqueId val="{00000004-947C-6C49-8341-6CA4B01F7265}"/>
            </c:ext>
          </c:extLst>
        </c:ser>
        <c:ser>
          <c:idx val="5"/>
          <c:order val="5"/>
          <c:tx>
            <c:strRef>
              <c:f>NICCS_emissions!$B$7</c:f>
              <c:strCache>
                <c:ptCount val="1"/>
                <c:pt idx="0">
                  <c:v>kerosene</c:v>
                </c:pt>
              </c:strCache>
            </c:strRef>
          </c:tx>
          <c:spPr>
            <a:solidFill>
              <a:schemeClr val="accent6"/>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NICCS_emissions!$F$7:$AJ$7</c:f>
              <c:numCache>
                <c:formatCode>0.00</c:formatCode>
                <c:ptCount val="31"/>
                <c:pt idx="0">
                  <c:v>0.50273922189598064</c:v>
                </c:pt>
                <c:pt idx="1">
                  <c:v>0.38189908984396631</c:v>
                </c:pt>
                <c:pt idx="2">
                  <c:v>0.24919267774178164</c:v>
                </c:pt>
                <c:pt idx="3">
                  <c:v>0.1040130077428469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947C-6C49-8341-6CA4B01F7265}"/>
            </c:ext>
          </c:extLst>
        </c:ser>
        <c:ser>
          <c:idx val="6"/>
          <c:order val="6"/>
          <c:tx>
            <c:strRef>
              <c:f>NICCS_emissions!$B$8</c:f>
              <c:strCache>
                <c:ptCount val="1"/>
                <c:pt idx="0">
                  <c:v>electric</c:v>
                </c:pt>
              </c:strCache>
            </c:strRef>
          </c:tx>
          <c:spPr>
            <a:solidFill>
              <a:schemeClr val="accent1">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NICCS_emissions!$F$8:$AJ$8</c:f>
              <c:numCache>
                <c:formatCode>0.00</c:formatCode>
                <c:ptCount val="31"/>
                <c:pt idx="0">
                  <c:v>75.833736395628335</c:v>
                </c:pt>
                <c:pt idx="1">
                  <c:v>75.097148810665061</c:v>
                </c:pt>
                <c:pt idx="2">
                  <c:v>74.125640808506731</c:v>
                </c:pt>
                <c:pt idx="3">
                  <c:v>72.902847681667239</c:v>
                </c:pt>
                <c:pt idx="4">
                  <c:v>71.412010594754037</c:v>
                </c:pt>
                <c:pt idx="5">
                  <c:v>71.519861363336034</c:v>
                </c:pt>
                <c:pt idx="6">
                  <c:v>103.35955348832738</c:v>
                </c:pt>
                <c:pt idx="7">
                  <c:v>136.99364138167383</c:v>
                </c:pt>
                <c:pt idx="8">
                  <c:v>172.45443128283185</c:v>
                </c:pt>
                <c:pt idx="9">
                  <c:v>209.76543058454115</c:v>
                </c:pt>
                <c:pt idx="10">
                  <c:v>248.94307371473755</c:v>
                </c:pt>
                <c:pt idx="11">
                  <c:v>289.99954030178452</c:v>
                </c:pt>
                <c:pt idx="12">
                  <c:v>332.94415382378622</c:v>
                </c:pt>
                <c:pt idx="13">
                  <c:v>377.77984137724405</c:v>
                </c:pt>
                <c:pt idx="14">
                  <c:v>424.5017970549257</c:v>
                </c:pt>
                <c:pt idx="15">
                  <c:v>473.21000231890241</c:v>
                </c:pt>
                <c:pt idx="16">
                  <c:v>523.91645860044798</c:v>
                </c:pt>
                <c:pt idx="17">
                  <c:v>576.63846139566749</c:v>
                </c:pt>
                <c:pt idx="18">
                  <c:v>631.39472534460617</c:v>
                </c:pt>
                <c:pt idx="19">
                  <c:v>688.20301713138019</c:v>
                </c:pt>
                <c:pt idx="20">
                  <c:v>747.07923843540163</c:v>
                </c:pt>
                <c:pt idx="21">
                  <c:v>765.46348227120723</c:v>
                </c:pt>
                <c:pt idx="22">
                  <c:v>784.00665946117783</c:v>
                </c:pt>
                <c:pt idx="23">
                  <c:v>802.69913905198337</c:v>
                </c:pt>
                <c:pt idx="24">
                  <c:v>821.53052086705998</c:v>
                </c:pt>
                <c:pt idx="25">
                  <c:v>840.49087809798766</c:v>
                </c:pt>
                <c:pt idx="26">
                  <c:v>859.56981404885096</c:v>
                </c:pt>
                <c:pt idx="27">
                  <c:v>878.7573288176194</c:v>
                </c:pt>
                <c:pt idx="28">
                  <c:v>898.04434487401227</c:v>
                </c:pt>
                <c:pt idx="29">
                  <c:v>917.42147142941951</c:v>
                </c:pt>
                <c:pt idx="30">
                  <c:v>936.87844057190568</c:v>
                </c:pt>
              </c:numCache>
            </c:numRef>
          </c:val>
          <c:extLst>
            <c:ext xmlns:c16="http://schemas.microsoft.com/office/drawing/2014/chart" uri="{C3380CC4-5D6E-409C-BE32-E72D297353CC}">
              <c16:uniqueId val="{00000006-947C-6C49-8341-6CA4B01F7265}"/>
            </c:ext>
          </c:extLst>
        </c:ser>
        <c:ser>
          <c:idx val="7"/>
          <c:order val="7"/>
          <c:tx>
            <c:strRef>
              <c:f>NICCS_emissions!$B$9</c:f>
              <c:strCache>
                <c:ptCount val="1"/>
                <c:pt idx="0">
                  <c:v>pellets</c:v>
                </c:pt>
              </c:strCache>
            </c:strRef>
          </c:tx>
          <c:spPr>
            <a:solidFill>
              <a:schemeClr val="accent2">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NICCS_emissions!$F$9:$AJ$9</c:f>
              <c:numCache>
                <c:formatCode>0.00</c:formatCode>
                <c:ptCount val="31"/>
                <c:pt idx="0">
                  <c:v>0</c:v>
                </c:pt>
                <c:pt idx="1">
                  <c:v>0</c:v>
                </c:pt>
                <c:pt idx="2">
                  <c:v>0</c:v>
                </c:pt>
                <c:pt idx="3">
                  <c:v>0</c:v>
                </c:pt>
                <c:pt idx="4">
                  <c:v>0</c:v>
                </c:pt>
                <c:pt idx="5">
                  <c:v>0</c:v>
                </c:pt>
                <c:pt idx="6">
                  <c:v>2.4335662229921784</c:v>
                </c:pt>
                <c:pt idx="7">
                  <c:v>5.0361955113030072</c:v>
                </c:pt>
                <c:pt idx="8">
                  <c:v>7.8128722357359424</c:v>
                </c:pt>
                <c:pt idx="9">
                  <c:v>10.768035283721858</c:v>
                </c:pt>
                <c:pt idx="10">
                  <c:v>13.905629375490513</c:v>
                </c:pt>
                <c:pt idx="11">
                  <c:v>17.229238437597623</c:v>
                </c:pt>
                <c:pt idx="12">
                  <c:v>20.742154643214352</c:v>
                </c:pt>
                <c:pt idx="13">
                  <c:v>24.447137799527027</c:v>
                </c:pt>
                <c:pt idx="14">
                  <c:v>28.346158587407231</c:v>
                </c:pt>
                <c:pt idx="15">
                  <c:v>32.449117294660141</c:v>
                </c:pt>
                <c:pt idx="16">
                  <c:v>36.759634251502483</c:v>
                </c:pt>
                <c:pt idx="17">
                  <c:v>41.281916750403525</c:v>
                </c:pt>
                <c:pt idx="18">
                  <c:v>46.020329678133578</c:v>
                </c:pt>
                <c:pt idx="19">
                  <c:v>50.97925824432005</c:v>
                </c:pt>
                <c:pt idx="20">
                  <c:v>56.162994588876671</c:v>
                </c:pt>
                <c:pt idx="21">
                  <c:v>57.727040013153768</c:v>
                </c:pt>
                <c:pt idx="22">
                  <c:v>59.312230232808908</c:v>
                </c:pt>
                <c:pt idx="23">
                  <c:v>60.918052665366176</c:v>
                </c:pt>
                <c:pt idx="24">
                  <c:v>62.54394670396033</c:v>
                </c:pt>
                <c:pt idx="25">
                  <c:v>64.189336836096928</c:v>
                </c:pt>
                <c:pt idx="26">
                  <c:v>65.853582035613584</c:v>
                </c:pt>
                <c:pt idx="27">
                  <c:v>67.535998706650091</c:v>
                </c:pt>
                <c:pt idx="28">
                  <c:v>69.235932507373306</c:v>
                </c:pt>
                <c:pt idx="29">
                  <c:v>70.952653310821788</c:v>
                </c:pt>
                <c:pt idx="30">
                  <c:v>72.685375139508139</c:v>
                </c:pt>
              </c:numCache>
            </c:numRef>
          </c:val>
          <c:extLst>
            <c:ext xmlns:c16="http://schemas.microsoft.com/office/drawing/2014/chart" uri="{C3380CC4-5D6E-409C-BE32-E72D297353CC}">
              <c16:uniqueId val="{00000007-947C-6C49-8341-6CA4B01F7265}"/>
            </c:ext>
          </c:extLst>
        </c:ser>
        <c:ser>
          <c:idx val="8"/>
          <c:order val="8"/>
          <c:tx>
            <c:strRef>
              <c:f>NICCS_emissions!$B$10</c:f>
              <c:strCache>
                <c:ptCount val="1"/>
                <c:pt idx="0">
                  <c:v>ethanol</c:v>
                </c:pt>
              </c:strCache>
            </c:strRef>
          </c:tx>
          <c:spPr>
            <a:solidFill>
              <a:schemeClr val="accent3">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NICCS_emissions!$F$10:$AJ$10</c:f>
              <c:numCache>
                <c:formatCode>0.00</c:formatCode>
                <c:ptCount val="31"/>
                <c:pt idx="0">
                  <c:v>0</c:v>
                </c:pt>
                <c:pt idx="1">
                  <c:v>0</c:v>
                </c:pt>
                <c:pt idx="2">
                  <c:v>0</c:v>
                </c:pt>
                <c:pt idx="3">
                  <c:v>0</c:v>
                </c:pt>
                <c:pt idx="4">
                  <c:v>0</c:v>
                </c:pt>
                <c:pt idx="5">
                  <c:v>0</c:v>
                </c:pt>
                <c:pt idx="6">
                  <c:v>7.949280170730292</c:v>
                </c:pt>
                <c:pt idx="7">
                  <c:v>16.506455135368622</c:v>
                </c:pt>
                <c:pt idx="8">
                  <c:v>25.692511313585833</c:v>
                </c:pt>
                <c:pt idx="9">
                  <c:v>35.526976273999068</c:v>
                </c:pt>
                <c:pt idx="10">
                  <c:v>46.028008005208626</c:v>
                </c:pt>
                <c:pt idx="11">
                  <c:v>57.212601245510925</c:v>
                </c:pt>
                <c:pt idx="12">
                  <c:v>69.096696361101195</c:v>
                </c:pt>
                <c:pt idx="13">
                  <c:v>81.694306762265782</c:v>
                </c:pt>
                <c:pt idx="14">
                  <c:v>95.0161143940432</c:v>
                </c:pt>
                <c:pt idx="15">
                  <c:v>109.10304376164228</c:v>
                </c:pt>
                <c:pt idx="16">
                  <c:v>123.97186444557333</c:v>
                </c:pt>
                <c:pt idx="17">
                  <c:v>139.64250057263041</c:v>
                </c:pt>
                <c:pt idx="18">
                  <c:v>156.13562283517354</c:v>
                </c:pt>
                <c:pt idx="19">
                  <c:v>173.47224011671267</c:v>
                </c:pt>
                <c:pt idx="20">
                  <c:v>191.67315380240581</c:v>
                </c:pt>
                <c:pt idx="21">
                  <c:v>197.58572958239409</c:v>
                </c:pt>
                <c:pt idx="22">
                  <c:v>203.59951729316316</c:v>
                </c:pt>
                <c:pt idx="23">
                  <c:v>209.71343545667864</c:v>
                </c:pt>
                <c:pt idx="24">
                  <c:v>215.92626966221712</c:v>
                </c:pt>
                <c:pt idx="25">
                  <c:v>222.23659514402974</c:v>
                </c:pt>
                <c:pt idx="26">
                  <c:v>228.64266819529979</c:v>
                </c:pt>
                <c:pt idx="27">
                  <c:v>235.14237114472118</c:v>
                </c:pt>
                <c:pt idx="28">
                  <c:v>241.73355953967697</c:v>
                </c:pt>
                <c:pt idx="29">
                  <c:v>248.41366529590243</c:v>
                </c:pt>
                <c:pt idx="30">
                  <c:v>255.17996158899808</c:v>
                </c:pt>
              </c:numCache>
            </c:numRef>
          </c:val>
          <c:extLst>
            <c:ext xmlns:c16="http://schemas.microsoft.com/office/drawing/2014/chart" uri="{C3380CC4-5D6E-409C-BE32-E72D297353CC}">
              <c16:uniqueId val="{00000008-947C-6C49-8341-6CA4B01F7265}"/>
            </c:ext>
          </c:extLst>
        </c:ser>
        <c:ser>
          <c:idx val="9"/>
          <c:order val="9"/>
          <c:tx>
            <c:strRef>
              <c:f>NICCS_emissions!$B$11</c:f>
              <c:strCache>
                <c:ptCount val="1"/>
                <c:pt idx="0">
                  <c:v>biogas</c:v>
                </c:pt>
              </c:strCache>
            </c:strRef>
          </c:tx>
          <c:spPr>
            <a:solidFill>
              <a:schemeClr val="accent4">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NICCS_emissions!$F$11:$AJ$11</c:f>
              <c:numCache>
                <c:formatCode>0.00</c:formatCode>
                <c:ptCount val="31"/>
                <c:pt idx="0">
                  <c:v>0</c:v>
                </c:pt>
                <c:pt idx="1">
                  <c:v>0</c:v>
                </c:pt>
                <c:pt idx="2">
                  <c:v>0</c:v>
                </c:pt>
                <c:pt idx="3">
                  <c:v>0</c:v>
                </c:pt>
                <c:pt idx="4">
                  <c:v>0</c:v>
                </c:pt>
                <c:pt idx="5">
                  <c:v>0</c:v>
                </c:pt>
                <c:pt idx="6">
                  <c:v>7.0462575580383193</c:v>
                </c:pt>
                <c:pt idx="7">
                  <c:v>14.408844976767092</c:v>
                </c:pt>
                <c:pt idx="8">
                  <c:v>22.087551986306831</c:v>
                </c:pt>
                <c:pt idx="9">
                  <c:v>30.079583749509251</c:v>
                </c:pt>
                <c:pt idx="10">
                  <c:v>38.379953292721979</c:v>
                </c:pt>
                <c:pt idx="11">
                  <c:v>46.982581407085256</c:v>
                </c:pt>
                <c:pt idx="12">
                  <c:v>55.880859558521848</c:v>
                </c:pt>
                <c:pt idx="13">
                  <c:v>65.067222777044321</c:v>
                </c:pt>
                <c:pt idx="14">
                  <c:v>74.534167056328229</c:v>
                </c:pt>
                <c:pt idx="15">
                  <c:v>84.283640313173905</c:v>
                </c:pt>
                <c:pt idx="16">
                  <c:v>94.310739535859966</c:v>
                </c:pt>
                <c:pt idx="17">
                  <c:v>104.60841082702284</c:v>
                </c:pt>
                <c:pt idx="18">
                  <c:v>115.16933526163818</c:v>
                </c:pt>
                <c:pt idx="19">
                  <c:v>125.98540686284109</c:v>
                </c:pt>
                <c:pt idx="20">
                  <c:v>137.04794980779127</c:v>
                </c:pt>
                <c:pt idx="21">
                  <c:v>139.07565782149265</c:v>
                </c:pt>
                <c:pt idx="22">
                  <c:v>141.06455899571546</c:v>
                </c:pt>
                <c:pt idx="23">
                  <c:v>143.01132405736777</c:v>
                </c:pt>
                <c:pt idx="24">
                  <c:v>144.91241017801113</c:v>
                </c:pt>
                <c:pt idx="25">
                  <c:v>146.76473449456867</c:v>
                </c:pt>
                <c:pt idx="26">
                  <c:v>148.56535103841622</c:v>
                </c:pt>
                <c:pt idx="27">
                  <c:v>150.31192165229999</c:v>
                </c:pt>
                <c:pt idx="28">
                  <c:v>152.00257362010569</c:v>
                </c:pt>
                <c:pt idx="29">
                  <c:v>153.63576277240591</c:v>
                </c:pt>
                <c:pt idx="30">
                  <c:v>155.20970948131421</c:v>
                </c:pt>
              </c:numCache>
            </c:numRef>
          </c:val>
          <c:extLst>
            <c:ext xmlns:c16="http://schemas.microsoft.com/office/drawing/2014/chart" uri="{C3380CC4-5D6E-409C-BE32-E72D297353CC}">
              <c16:uniqueId val="{00000009-947C-6C49-8341-6CA4B01F7265}"/>
            </c:ext>
          </c:extLst>
        </c:ser>
        <c:ser>
          <c:idx val="10"/>
          <c:order val="10"/>
          <c:tx>
            <c:strRef>
              <c:f>NICCS_emissions!$B$12</c:f>
              <c:strCache>
                <c:ptCount val="1"/>
                <c:pt idx="0">
                  <c:v>other</c:v>
                </c:pt>
              </c:strCache>
            </c:strRef>
          </c:tx>
          <c:spPr>
            <a:solidFill>
              <a:schemeClr val="accent5">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NICCS_emissions!$F$12:$AJ$12</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947C-6C49-8341-6CA4B01F7265}"/>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NICCS_emissions!$B$13</c:f>
              <c:strCache>
                <c:ptCount val="1"/>
                <c:pt idx="0">
                  <c:v>fuelwood</c:v>
                </c:pt>
              </c:strCache>
            </c:strRef>
          </c:tx>
          <c:spPr>
            <a:solidFill>
              <a:schemeClr val="accent2"/>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NICCS_emissions!$F$13:$AJ$13</c:f>
              <c:numCache>
                <c:formatCode>0.00</c:formatCode>
                <c:ptCount val="31"/>
                <c:pt idx="0">
                  <c:v>6856.4676400279768</c:v>
                </c:pt>
                <c:pt idx="1">
                  <c:v>6932.8392839994431</c:v>
                </c:pt>
                <c:pt idx="2">
                  <c:v>7005.4780052401056</c:v>
                </c:pt>
                <c:pt idx="3">
                  <c:v>7074.3976010320976</c:v>
                </c:pt>
                <c:pt idx="4">
                  <c:v>7139.6975799029215</c:v>
                </c:pt>
                <c:pt idx="5">
                  <c:v>7116.4369993702794</c:v>
                </c:pt>
                <c:pt idx="6">
                  <c:v>6794.0558903038045</c:v>
                </c:pt>
                <c:pt idx="7">
                  <c:v>6450.3768978835933</c:v>
                </c:pt>
                <c:pt idx="8">
                  <c:v>6084.8537149550893</c:v>
                </c:pt>
                <c:pt idx="9">
                  <c:v>5697.0113114948954</c:v>
                </c:pt>
                <c:pt idx="10">
                  <c:v>5286.6067167109095</c:v>
                </c:pt>
                <c:pt idx="11">
                  <c:v>4853.6750789027319</c:v>
                </c:pt>
                <c:pt idx="12">
                  <c:v>4398.4290477971454</c:v>
                </c:pt>
                <c:pt idx="13">
                  <c:v>3921.1448819893171</c:v>
                </c:pt>
                <c:pt idx="14">
                  <c:v>3422.2104195834504</c:v>
                </c:pt>
                <c:pt idx="15">
                  <c:v>2902.3905760782045</c:v>
                </c:pt>
                <c:pt idx="16">
                  <c:v>2361.9517544654209</c:v>
                </c:pt>
                <c:pt idx="17">
                  <c:v>1801.1470828426714</c:v>
                </c:pt>
                <c:pt idx="18">
                  <c:v>1220.2984773960211</c:v>
                </c:pt>
                <c:pt idx="19">
                  <c:v>619.77602608695577</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EDAB-074F-B980-335069C1B751}"/>
            </c:ext>
          </c:extLst>
        </c:ser>
        <c:ser>
          <c:idx val="0"/>
          <c:order val="1"/>
          <c:tx>
            <c:strRef>
              <c:f>NICCS_emissions!$B$14</c:f>
              <c:strCache>
                <c:ptCount val="1"/>
                <c:pt idx="0">
                  <c:v>charcoal</c:v>
                </c:pt>
              </c:strCache>
            </c:strRef>
          </c:tx>
          <c:spPr>
            <a:solidFill>
              <a:schemeClr val="accent1"/>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NICCS_emissions!$F$14:$AJ$14</c:f>
              <c:numCache>
                <c:formatCode>0.00</c:formatCode>
                <c:ptCount val="31"/>
                <c:pt idx="0">
                  <c:v>1418.7774154461667</c:v>
                </c:pt>
                <c:pt idx="1">
                  <c:v>1590.980038098955</c:v>
                </c:pt>
                <c:pt idx="2">
                  <c:v>1770.0910174271228</c:v>
                </c:pt>
                <c:pt idx="3">
                  <c:v>1956.1799474055442</c:v>
                </c:pt>
                <c:pt idx="4">
                  <c:v>2149.3473489476937</c:v>
                </c:pt>
                <c:pt idx="5">
                  <c:v>2457.6357754503406</c:v>
                </c:pt>
                <c:pt idx="6">
                  <c:v>2346.3026255831765</c:v>
                </c:pt>
                <c:pt idx="7">
                  <c:v>2227.6143287406167</c:v>
                </c:pt>
                <c:pt idx="8">
                  <c:v>2101.3822197229906</c:v>
                </c:pt>
                <c:pt idx="9">
                  <c:v>1967.4422486300462</c:v>
                </c:pt>
                <c:pt idx="10">
                  <c:v>1825.7105063776273</c:v>
                </c:pt>
                <c:pt idx="11">
                  <c:v>1676.19913130386</c:v>
                </c:pt>
                <c:pt idx="12">
                  <c:v>1518.9815612226705</c:v>
                </c:pt>
                <c:pt idx="13">
                  <c:v>1354.1532010405895</c:v>
                </c:pt>
                <c:pt idx="14">
                  <c:v>1181.8479892439775</c:v>
                </c:pt>
                <c:pt idx="15">
                  <c:v>1002.3300866333683</c:v>
                </c:pt>
                <c:pt idx="16">
                  <c:v>815.69149451833482</c:v>
                </c:pt>
                <c:pt idx="17">
                  <c:v>622.01962977173355</c:v>
                </c:pt>
                <c:pt idx="18">
                  <c:v>421.4256649839549</c:v>
                </c:pt>
                <c:pt idx="19">
                  <c:v>214.0374086937789</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EDAB-074F-B980-335069C1B751}"/>
            </c:ext>
          </c:extLst>
        </c:ser>
        <c:ser>
          <c:idx val="2"/>
          <c:order val="2"/>
          <c:tx>
            <c:strRef>
              <c:f>NICCS_emissions!$B$15</c:f>
              <c:strCache>
                <c:ptCount val="1"/>
                <c:pt idx="0">
                  <c:v>Imp_fuelwood</c:v>
                </c:pt>
              </c:strCache>
            </c:strRef>
          </c:tx>
          <c:spPr>
            <a:solidFill>
              <a:schemeClr val="accent3"/>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NICCS_emissions!$F$15:$AJ$15</c:f>
              <c:numCache>
                <c:formatCode>0.00</c:formatCode>
                <c:ptCount val="31"/>
                <c:pt idx="0">
                  <c:v>0</c:v>
                </c:pt>
                <c:pt idx="1">
                  <c:v>0</c:v>
                </c:pt>
                <c:pt idx="2">
                  <c:v>0</c:v>
                </c:pt>
                <c:pt idx="3">
                  <c:v>0</c:v>
                </c:pt>
                <c:pt idx="4">
                  <c:v>0</c:v>
                </c:pt>
                <c:pt idx="5">
                  <c:v>0</c:v>
                </c:pt>
                <c:pt idx="6">
                  <c:v>61.69695491920637</c:v>
                </c:pt>
                <c:pt idx="7">
                  <c:v>126.16369067510006</c:v>
                </c:pt>
                <c:pt idx="8">
                  <c:v>193.39836614689196</c:v>
                </c:pt>
                <c:pt idx="9">
                  <c:v>263.37650977075918</c:v>
                </c:pt>
                <c:pt idx="10">
                  <c:v>336.05445565937356</c:v>
                </c:pt>
                <c:pt idx="11">
                  <c:v>411.37897432575215</c:v>
                </c:pt>
                <c:pt idx="12">
                  <c:v>489.29220151703623</c:v>
                </c:pt>
                <c:pt idx="13">
                  <c:v>569.72789843788894</c:v>
                </c:pt>
                <c:pt idx="14">
                  <c:v>652.62036009014594</c:v>
                </c:pt>
                <c:pt idx="15">
                  <c:v>737.98664241222957</c:v>
                </c:pt>
                <c:pt idx="16">
                  <c:v>825.78381468657142</c:v>
                </c:pt>
                <c:pt idx="17">
                  <c:v>915.95011306419656</c:v>
                </c:pt>
                <c:pt idx="18">
                  <c:v>1008.4214531168026</c:v>
                </c:pt>
                <c:pt idx="19">
                  <c:v>1103.1268589986887</c:v>
                </c:pt>
                <c:pt idx="20">
                  <c:v>1199.9903652989592</c:v>
                </c:pt>
                <c:pt idx="21">
                  <c:v>1217.7449547218125</c:v>
                </c:pt>
                <c:pt idx="22">
                  <c:v>1235.159751878183</c:v>
                </c:pt>
                <c:pt idx="23">
                  <c:v>1252.2056056889096</c:v>
                </c:pt>
                <c:pt idx="24">
                  <c:v>1268.8514951865277</c:v>
                </c:pt>
                <c:pt idx="25">
                  <c:v>1285.0704268553011</c:v>
                </c:pt>
                <c:pt idx="26">
                  <c:v>1300.8366058258391</c:v>
                </c:pt>
                <c:pt idx="27">
                  <c:v>1316.1295592185331</c:v>
                </c:pt>
                <c:pt idx="28">
                  <c:v>1330.932889551354</c:v>
                </c:pt>
                <c:pt idx="29">
                  <c:v>1345.233076093507</c:v>
                </c:pt>
                <c:pt idx="30">
                  <c:v>1359.0145364424791</c:v>
                </c:pt>
              </c:numCache>
            </c:numRef>
          </c:val>
          <c:extLst>
            <c:ext xmlns:c16="http://schemas.microsoft.com/office/drawing/2014/chart" uri="{C3380CC4-5D6E-409C-BE32-E72D297353CC}">
              <c16:uniqueId val="{00000002-EDAB-074F-B980-335069C1B751}"/>
            </c:ext>
          </c:extLst>
        </c:ser>
        <c:ser>
          <c:idx val="3"/>
          <c:order val="3"/>
          <c:tx>
            <c:strRef>
              <c:f>NICCS_emissions!$B$16</c:f>
              <c:strCache>
                <c:ptCount val="1"/>
                <c:pt idx="0">
                  <c:v>Imp_charcoal</c:v>
                </c:pt>
              </c:strCache>
            </c:strRef>
          </c:tx>
          <c:spPr>
            <a:solidFill>
              <a:schemeClr val="accent4"/>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NICCS_emissions!$F$16:$AJ$16</c:f>
              <c:numCache>
                <c:formatCode>0.00</c:formatCode>
                <c:ptCount val="31"/>
                <c:pt idx="0">
                  <c:v>0</c:v>
                </c:pt>
                <c:pt idx="1">
                  <c:v>0</c:v>
                </c:pt>
                <c:pt idx="2">
                  <c:v>0</c:v>
                </c:pt>
                <c:pt idx="3">
                  <c:v>0</c:v>
                </c:pt>
                <c:pt idx="4">
                  <c:v>0</c:v>
                </c:pt>
                <c:pt idx="5">
                  <c:v>0</c:v>
                </c:pt>
                <c:pt idx="6">
                  <c:v>184.18268122998853</c:v>
                </c:pt>
                <c:pt idx="7">
                  <c:v>376.63393360078231</c:v>
                </c:pt>
                <c:pt idx="8">
                  <c:v>577.34826085144198</c:v>
                </c:pt>
                <c:pt idx="9">
                  <c:v>786.25260851364374</c:v>
                </c:pt>
                <c:pt idx="10">
                  <c:v>1003.2166216903449</c:v>
                </c:pt>
                <c:pt idx="11">
                  <c:v>1228.0813954623984</c:v>
                </c:pt>
                <c:pt idx="12">
                  <c:v>1460.6741888371114</c:v>
                </c:pt>
                <c:pt idx="13">
                  <c:v>1700.7972604682116</c:v>
                </c:pt>
                <c:pt idx="14">
                  <c:v>1948.2544625434145</c:v>
                </c:pt>
                <c:pt idx="15">
                  <c:v>2203.0967118133685</c:v>
                </c:pt>
                <c:pt idx="16">
                  <c:v>2465.1958480685603</c:v>
                </c:pt>
                <c:pt idx="17">
                  <c:v>2734.3674889302774</c:v>
                </c:pt>
                <c:pt idx="18">
                  <c:v>3010.4203244409168</c:v>
                </c:pt>
                <c:pt idx="19">
                  <c:v>3293.1424718328299</c:v>
                </c:pt>
                <c:pt idx="20">
                  <c:v>3582.3071530895377</c:v>
                </c:pt>
                <c:pt idx="21">
                  <c:v>3635.3095725496378</c:v>
                </c:pt>
                <c:pt idx="22">
                  <c:v>3687.2976169764174</c:v>
                </c:pt>
                <c:pt idx="23">
                  <c:v>3738.1842622383333</c:v>
                </c:pt>
                <c:pt idx="24">
                  <c:v>3787.8769020638197</c:v>
                </c:pt>
                <c:pt idx="25">
                  <c:v>3836.2949532521247</c:v>
                </c:pt>
                <c:pt idx="26">
                  <c:v>3883.3614108973716</c:v>
                </c:pt>
                <c:pt idx="27">
                  <c:v>3929.0151577229672</c:v>
                </c:pt>
                <c:pt idx="28">
                  <c:v>3973.2072426549166</c:v>
                </c:pt>
                <c:pt idx="29">
                  <c:v>4015.8973025269443</c:v>
                </c:pt>
                <c:pt idx="30">
                  <c:v>4057.0388195055762</c:v>
                </c:pt>
              </c:numCache>
            </c:numRef>
          </c:val>
          <c:extLst>
            <c:ext xmlns:c16="http://schemas.microsoft.com/office/drawing/2014/chart" uri="{C3380CC4-5D6E-409C-BE32-E72D297353CC}">
              <c16:uniqueId val="{00000003-EDAB-074F-B980-335069C1B751}"/>
            </c:ext>
          </c:extLst>
        </c:ser>
        <c:ser>
          <c:idx val="4"/>
          <c:order val="4"/>
          <c:tx>
            <c:strRef>
              <c:f>NICCS_emissions!$B$17</c:f>
              <c:strCache>
                <c:ptCount val="1"/>
                <c:pt idx="0">
                  <c:v>Gas</c:v>
                </c:pt>
              </c:strCache>
            </c:strRef>
          </c:tx>
          <c:spPr>
            <a:solidFill>
              <a:schemeClr val="accent5"/>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NICCS_emissions!$F$17:$AJ$17</c:f>
              <c:numCache>
                <c:formatCode>0.00</c:formatCode>
                <c:ptCount val="31"/>
                <c:pt idx="0">
                  <c:v>0.35681825283273932</c:v>
                </c:pt>
                <c:pt idx="1">
                  <c:v>0.35203583265589461</c:v>
                </c:pt>
                <c:pt idx="2">
                  <c:v>0.34662909524694496</c:v>
                </c:pt>
                <c:pt idx="3">
                  <c:v>0.34059502188118984</c:v>
                </c:pt>
                <c:pt idx="4">
                  <c:v>0.33393431576613264</c:v>
                </c:pt>
                <c:pt idx="5">
                  <c:v>0.3285711711616508</c:v>
                </c:pt>
                <c:pt idx="6">
                  <c:v>51.810819013562444</c:v>
                </c:pt>
                <c:pt idx="7">
                  <c:v>105.60396050824151</c:v>
                </c:pt>
                <c:pt idx="8">
                  <c:v>161.70643368753679</c:v>
                </c:pt>
                <c:pt idx="9">
                  <c:v>220.09779072655897</c:v>
                </c:pt>
                <c:pt idx="10">
                  <c:v>280.74157342230671</c:v>
                </c:pt>
                <c:pt idx="11">
                  <c:v>343.59335388008043</c:v>
                </c:pt>
                <c:pt idx="12">
                  <c:v>408.60484386032584</c:v>
                </c:pt>
                <c:pt idx="13">
                  <c:v>475.72076800836015</c:v>
                </c:pt>
                <c:pt idx="14">
                  <c:v>544.88630167032477</c:v>
                </c:pt>
                <c:pt idx="15">
                  <c:v>616.11571639097212</c:v>
                </c:pt>
                <c:pt idx="16">
                  <c:v>689.37319111598504</c:v>
                </c:pt>
                <c:pt idx="17">
                  <c:v>764.60718456501661</c:v>
                </c:pt>
                <c:pt idx="18">
                  <c:v>841.76422169564501</c:v>
                </c:pt>
                <c:pt idx="19">
                  <c:v>920.78507757045008</c:v>
                </c:pt>
                <c:pt idx="20">
                  <c:v>1001.6063648853527</c:v>
                </c:pt>
                <c:pt idx="21">
                  <c:v>1016.4257420121227</c:v>
                </c:pt>
                <c:pt idx="22">
                  <c:v>1030.9615017810463</c:v>
                </c:pt>
                <c:pt idx="23">
                  <c:v>1045.1893124080718</c:v>
                </c:pt>
                <c:pt idx="24">
                  <c:v>1059.0832813532631</c:v>
                </c:pt>
                <c:pt idx="25">
                  <c:v>1072.6208777047448</c:v>
                </c:pt>
                <c:pt idx="26">
                  <c:v>1085.7805710351811</c:v>
                </c:pt>
                <c:pt idx="27">
                  <c:v>1098.545273068602</c:v>
                </c:pt>
                <c:pt idx="28">
                  <c:v>1110.9012971764787</c:v>
                </c:pt>
                <c:pt idx="29">
                  <c:v>1122.837357893183</c:v>
                </c:pt>
                <c:pt idx="30">
                  <c:v>1134.3404489196735</c:v>
                </c:pt>
              </c:numCache>
            </c:numRef>
          </c:val>
          <c:extLst>
            <c:ext xmlns:c16="http://schemas.microsoft.com/office/drawing/2014/chart" uri="{C3380CC4-5D6E-409C-BE32-E72D297353CC}">
              <c16:uniqueId val="{00000004-EDAB-074F-B980-335069C1B751}"/>
            </c:ext>
          </c:extLst>
        </c:ser>
        <c:ser>
          <c:idx val="5"/>
          <c:order val="5"/>
          <c:tx>
            <c:strRef>
              <c:f>NICCS_emissions!$B$18</c:f>
              <c:strCache>
                <c:ptCount val="1"/>
                <c:pt idx="0">
                  <c:v>kerosene</c:v>
                </c:pt>
              </c:strCache>
            </c:strRef>
          </c:tx>
          <c:spPr>
            <a:solidFill>
              <a:schemeClr val="accent6"/>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NICCS_emissions!$F$18:$AJ$18</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EDAB-074F-B980-335069C1B751}"/>
            </c:ext>
          </c:extLst>
        </c:ser>
        <c:ser>
          <c:idx val="6"/>
          <c:order val="6"/>
          <c:tx>
            <c:strRef>
              <c:f>NICCS_emissions!$B$19</c:f>
              <c:strCache>
                <c:ptCount val="1"/>
                <c:pt idx="0">
                  <c:v>electric</c:v>
                </c:pt>
              </c:strCache>
            </c:strRef>
          </c:tx>
          <c:spPr>
            <a:solidFill>
              <a:schemeClr val="accent1">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NICCS_emissions!$F$19:$AJ$19</c:f>
              <c:numCache>
                <c:formatCode>0.00</c:formatCode>
                <c:ptCount val="31"/>
                <c:pt idx="0">
                  <c:v>4.1204333057257987</c:v>
                </c:pt>
                <c:pt idx="1">
                  <c:v>3.8712472560093047</c:v>
                </c:pt>
                <c:pt idx="2">
                  <c:v>3.6053263704806477</c:v>
                </c:pt>
                <c:pt idx="3">
                  <c:v>3.3225530228794713</c:v>
                </c:pt>
                <c:pt idx="4">
                  <c:v>3.0228362076738136</c:v>
                </c:pt>
                <c:pt idx="5">
                  <c:v>2.974288014415436</c:v>
                </c:pt>
                <c:pt idx="6">
                  <c:v>20.755208844268587</c:v>
                </c:pt>
                <c:pt idx="7">
                  <c:v>39.331521619403922</c:v>
                </c:pt>
                <c:pt idx="8">
                  <c:v>58.702463385255626</c:v>
                </c:pt>
                <c:pt idx="9">
                  <c:v>78.860729513627433</c:v>
                </c:pt>
                <c:pt idx="10">
                  <c:v>99.793538686758069</c:v>
                </c:pt>
                <c:pt idx="11">
                  <c:v>121.48544873260373</c:v>
                </c:pt>
                <c:pt idx="12">
                  <c:v>143.91974581456898</c:v>
                </c:pt>
                <c:pt idx="13">
                  <c:v>167.07731086832982</c:v>
                </c:pt>
                <c:pt idx="14">
                  <c:v>190.93922646865991</c:v>
                </c:pt>
                <c:pt idx="15">
                  <c:v>215.51076503933069</c:v>
                </c:pt>
                <c:pt idx="16">
                  <c:v>240.77957163318442</c:v>
                </c:pt>
                <c:pt idx="17">
                  <c:v>266.72781696055517</c:v>
                </c:pt>
                <c:pt idx="18">
                  <c:v>293.33702662802449</c:v>
                </c:pt>
                <c:pt idx="19">
                  <c:v>320.58674523476361</c:v>
                </c:pt>
                <c:pt idx="20">
                  <c:v>348.45508947600285</c:v>
                </c:pt>
                <c:pt idx="21">
                  <c:v>353.61069507489344</c:v>
                </c:pt>
                <c:pt idx="22">
                  <c:v>358.66763126105832</c:v>
                </c:pt>
                <c:pt idx="23">
                  <c:v>363.6174330982854</c:v>
                </c:pt>
                <c:pt idx="24">
                  <c:v>368.4510926692563</c:v>
                </c:pt>
                <c:pt idx="25">
                  <c:v>373.1607715544194</c:v>
                </c:pt>
                <c:pt idx="26">
                  <c:v>377.73897939903389</c:v>
                </c:pt>
                <c:pt idx="27">
                  <c:v>382.1797712561218</c:v>
                </c:pt>
                <c:pt idx="28">
                  <c:v>386.47838559906342</c:v>
                </c:pt>
                <c:pt idx="29">
                  <c:v>390.63089625678697</c:v>
                </c:pt>
                <c:pt idx="30">
                  <c:v>394.63277838674441</c:v>
                </c:pt>
              </c:numCache>
            </c:numRef>
          </c:val>
          <c:extLst>
            <c:ext xmlns:c16="http://schemas.microsoft.com/office/drawing/2014/chart" uri="{C3380CC4-5D6E-409C-BE32-E72D297353CC}">
              <c16:uniqueId val="{00000006-EDAB-074F-B980-335069C1B751}"/>
            </c:ext>
          </c:extLst>
        </c:ser>
        <c:ser>
          <c:idx val="7"/>
          <c:order val="7"/>
          <c:tx>
            <c:strRef>
              <c:f>NICCS_emissions!$B$20</c:f>
              <c:strCache>
                <c:ptCount val="1"/>
                <c:pt idx="0">
                  <c:v>pellets</c:v>
                </c:pt>
              </c:strCache>
            </c:strRef>
          </c:tx>
          <c:spPr>
            <a:solidFill>
              <a:schemeClr val="accent2">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NICCS_emissions!$F$20:$AJ$20</c:f>
              <c:numCache>
                <c:formatCode>0.00</c:formatCode>
                <c:ptCount val="31"/>
                <c:pt idx="0">
                  <c:v>0</c:v>
                </c:pt>
                <c:pt idx="1">
                  <c:v>0</c:v>
                </c:pt>
                <c:pt idx="2">
                  <c:v>0</c:v>
                </c:pt>
                <c:pt idx="3">
                  <c:v>0</c:v>
                </c:pt>
                <c:pt idx="4">
                  <c:v>0</c:v>
                </c:pt>
                <c:pt idx="5">
                  <c:v>0</c:v>
                </c:pt>
                <c:pt idx="6">
                  <c:v>0.83807403017019544</c:v>
                </c:pt>
                <c:pt idx="7">
                  <c:v>1.7137719818374968</c:v>
                </c:pt>
                <c:pt idx="8">
                  <c:v>2.6270688457365079</c:v>
                </c:pt>
                <c:pt idx="9">
                  <c:v>3.5776322070479791</c:v>
                </c:pt>
                <c:pt idx="10">
                  <c:v>4.5648689206771182</c:v>
                </c:pt>
                <c:pt idx="11">
                  <c:v>5.588055932289425</c:v>
                </c:pt>
                <c:pt idx="12">
                  <c:v>6.6464072301982693</c:v>
                </c:pt>
                <c:pt idx="13">
                  <c:v>7.7390230452945525</c:v>
                </c:pt>
                <c:pt idx="14">
                  <c:v>8.8650108594193853</c:v>
                </c:pt>
                <c:pt idx="15">
                  <c:v>10.024602355628605</c:v>
                </c:pt>
                <c:pt idx="16">
                  <c:v>11.217214375166035</c:v>
                </c:pt>
                <c:pt idx="17">
                  <c:v>12.44200793533153</c:v>
                </c:pt>
                <c:pt idx="18">
                  <c:v>13.698112531330008</c:v>
                </c:pt>
                <c:pt idx="19">
                  <c:v>14.984564047296615</c:v>
                </c:pt>
                <c:pt idx="20">
                  <c:v>16.300330590520499</c:v>
                </c:pt>
                <c:pt idx="21">
                  <c:v>16.54150392445753</c:v>
                </c:pt>
                <c:pt idx="22">
                  <c:v>16.778061616106143</c:v>
                </c:pt>
                <c:pt idx="23">
                  <c:v>17.009607685430879</c:v>
                </c:pt>
                <c:pt idx="24">
                  <c:v>17.235720752361086</c:v>
                </c:pt>
                <c:pt idx="25">
                  <c:v>17.456034144594202</c:v>
                </c:pt>
                <c:pt idx="26">
                  <c:v>17.670197471901467</c:v>
                </c:pt>
                <c:pt idx="27">
                  <c:v>17.877932636461914</c:v>
                </c:pt>
                <c:pt idx="28">
                  <c:v>18.0790168995056</c:v>
                </c:pt>
                <c:pt idx="29">
                  <c:v>18.273266599239758</c:v>
                </c:pt>
                <c:pt idx="30">
                  <c:v>18.460470068704634</c:v>
                </c:pt>
              </c:numCache>
            </c:numRef>
          </c:val>
          <c:extLst>
            <c:ext xmlns:c16="http://schemas.microsoft.com/office/drawing/2014/chart" uri="{C3380CC4-5D6E-409C-BE32-E72D297353CC}">
              <c16:uniqueId val="{00000007-EDAB-074F-B980-335069C1B751}"/>
            </c:ext>
          </c:extLst>
        </c:ser>
        <c:ser>
          <c:idx val="8"/>
          <c:order val="8"/>
          <c:tx>
            <c:strRef>
              <c:f>NICCS_emissions!$B$21</c:f>
              <c:strCache>
                <c:ptCount val="1"/>
                <c:pt idx="0">
                  <c:v>ethanol</c:v>
                </c:pt>
              </c:strCache>
            </c:strRef>
          </c:tx>
          <c:spPr>
            <a:solidFill>
              <a:schemeClr val="accent3">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NICCS_emissions!$F$21:$AJ$21</c:f>
              <c:numCache>
                <c:formatCode>0.00</c:formatCode>
                <c:ptCount val="31"/>
                <c:pt idx="0">
                  <c:v>0</c:v>
                </c:pt>
                <c:pt idx="1">
                  <c:v>0</c:v>
                </c:pt>
                <c:pt idx="2">
                  <c:v>0</c:v>
                </c:pt>
                <c:pt idx="3">
                  <c:v>0</c:v>
                </c:pt>
                <c:pt idx="4">
                  <c:v>0</c:v>
                </c:pt>
                <c:pt idx="5">
                  <c:v>0</c:v>
                </c:pt>
                <c:pt idx="6">
                  <c:v>1.2531752592739855</c:v>
                </c:pt>
                <c:pt idx="7">
                  <c:v>2.5626097103134824</c:v>
                </c:pt>
                <c:pt idx="8">
                  <c:v>3.9282659566695859</c:v>
                </c:pt>
                <c:pt idx="9">
                  <c:v>5.3496469372089095</c:v>
                </c:pt>
                <c:pt idx="10">
                  <c:v>6.8258657198333381</c:v>
                </c:pt>
                <c:pt idx="11">
                  <c:v>8.35584111866849</c:v>
                </c:pt>
                <c:pt idx="12">
                  <c:v>9.9383978074738106</c:v>
                </c:pt>
                <c:pt idx="13">
                  <c:v>11.572190358105738</c:v>
                </c:pt>
                <c:pt idx="14">
                  <c:v>13.255884184793908</c:v>
                </c:pt>
                <c:pt idx="15">
                  <c:v>14.98982572408584</c:v>
                </c:pt>
                <c:pt idx="16">
                  <c:v>16.773142976493222</c:v>
                </c:pt>
                <c:pt idx="17">
                  <c:v>18.604581408019129</c:v>
                </c:pt>
                <c:pt idx="18">
                  <c:v>20.482839349559171</c:v>
                </c:pt>
                <c:pt idx="19">
                  <c:v>22.40647515502312</c:v>
                </c:pt>
                <c:pt idx="20">
                  <c:v>24.373945831347228</c:v>
                </c:pt>
                <c:pt idx="21">
                  <c:v>24.734573227503546</c:v>
                </c:pt>
                <c:pt idx="22">
                  <c:v>25.088298836331688</c:v>
                </c:pt>
                <c:pt idx="23">
                  <c:v>25.434530547390636</c:v>
                </c:pt>
                <c:pt idx="24">
                  <c:v>25.772638269470939</c:v>
                </c:pt>
                <c:pt idx="25">
                  <c:v>26.102073716095138</c:v>
                </c:pt>
                <c:pt idx="26">
                  <c:v>26.422312947432204</c:v>
                </c:pt>
                <c:pt idx="27">
                  <c:v>26.732940122761214</c:v>
                </c:pt>
                <c:pt idx="28">
                  <c:v>27.033622179959082</c:v>
                </c:pt>
                <c:pt idx="29">
                  <c:v>27.324084488854172</c:v>
                </c:pt>
                <c:pt idx="30">
                  <c:v>27.604010543042964</c:v>
                </c:pt>
              </c:numCache>
            </c:numRef>
          </c:val>
          <c:extLst>
            <c:ext xmlns:c16="http://schemas.microsoft.com/office/drawing/2014/chart" uri="{C3380CC4-5D6E-409C-BE32-E72D297353CC}">
              <c16:uniqueId val="{00000008-EDAB-074F-B980-335069C1B751}"/>
            </c:ext>
          </c:extLst>
        </c:ser>
        <c:ser>
          <c:idx val="9"/>
          <c:order val="9"/>
          <c:tx>
            <c:strRef>
              <c:f>NICCS_emissions!$B$22</c:f>
              <c:strCache>
                <c:ptCount val="1"/>
                <c:pt idx="0">
                  <c:v>biogas</c:v>
                </c:pt>
              </c:strCache>
            </c:strRef>
          </c:tx>
          <c:spPr>
            <a:solidFill>
              <a:schemeClr val="accent4">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NICCS_emissions!$F$22:$AJ$22</c:f>
              <c:numCache>
                <c:formatCode>0.00</c:formatCode>
                <c:ptCount val="31"/>
                <c:pt idx="0">
                  <c:v>0</c:v>
                </c:pt>
                <c:pt idx="1">
                  <c:v>0</c:v>
                </c:pt>
                <c:pt idx="2">
                  <c:v>0</c:v>
                </c:pt>
                <c:pt idx="3">
                  <c:v>0</c:v>
                </c:pt>
                <c:pt idx="4">
                  <c:v>0</c:v>
                </c:pt>
                <c:pt idx="5">
                  <c:v>0</c:v>
                </c:pt>
                <c:pt idx="6">
                  <c:v>7.0462575580383193</c:v>
                </c:pt>
                <c:pt idx="7">
                  <c:v>14.408844976767092</c:v>
                </c:pt>
                <c:pt idx="8">
                  <c:v>22.087551986306831</c:v>
                </c:pt>
                <c:pt idx="9">
                  <c:v>30.079583749509251</c:v>
                </c:pt>
                <c:pt idx="10">
                  <c:v>38.379953292721979</c:v>
                </c:pt>
                <c:pt idx="11">
                  <c:v>46.982581407085256</c:v>
                </c:pt>
                <c:pt idx="12">
                  <c:v>55.880859558521848</c:v>
                </c:pt>
                <c:pt idx="13">
                  <c:v>65.067222777044321</c:v>
                </c:pt>
                <c:pt idx="14">
                  <c:v>74.534167056328229</c:v>
                </c:pt>
                <c:pt idx="15">
                  <c:v>84.283640313173905</c:v>
                </c:pt>
                <c:pt idx="16">
                  <c:v>94.310739535859966</c:v>
                </c:pt>
                <c:pt idx="17">
                  <c:v>104.60841082702284</c:v>
                </c:pt>
                <c:pt idx="18">
                  <c:v>115.16933526163818</c:v>
                </c:pt>
                <c:pt idx="19">
                  <c:v>125.98540686284109</c:v>
                </c:pt>
                <c:pt idx="20">
                  <c:v>137.04794980779127</c:v>
                </c:pt>
                <c:pt idx="21">
                  <c:v>139.07565782149265</c:v>
                </c:pt>
                <c:pt idx="22">
                  <c:v>141.06455899571546</c:v>
                </c:pt>
                <c:pt idx="23">
                  <c:v>143.01132405736777</c:v>
                </c:pt>
                <c:pt idx="24">
                  <c:v>144.91241017801113</c:v>
                </c:pt>
                <c:pt idx="25">
                  <c:v>146.76473449456867</c:v>
                </c:pt>
                <c:pt idx="26">
                  <c:v>148.56535103841622</c:v>
                </c:pt>
                <c:pt idx="27">
                  <c:v>150.31192165229999</c:v>
                </c:pt>
                <c:pt idx="28">
                  <c:v>152.00257362010569</c:v>
                </c:pt>
                <c:pt idx="29">
                  <c:v>153.63576277240591</c:v>
                </c:pt>
                <c:pt idx="30">
                  <c:v>155.20970948131421</c:v>
                </c:pt>
              </c:numCache>
            </c:numRef>
          </c:val>
          <c:extLst>
            <c:ext xmlns:c16="http://schemas.microsoft.com/office/drawing/2014/chart" uri="{C3380CC4-5D6E-409C-BE32-E72D297353CC}">
              <c16:uniqueId val="{00000009-EDAB-074F-B980-335069C1B751}"/>
            </c:ext>
          </c:extLst>
        </c:ser>
        <c:ser>
          <c:idx val="10"/>
          <c:order val="10"/>
          <c:tx>
            <c:strRef>
              <c:f>NICCS_emissions!$B$23</c:f>
              <c:strCache>
                <c:ptCount val="1"/>
                <c:pt idx="0">
                  <c:v>other</c:v>
                </c:pt>
              </c:strCache>
            </c:strRef>
          </c:tx>
          <c:spPr>
            <a:solidFill>
              <a:schemeClr val="accent5">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NICCS_emissions!$F$23:$AJ$23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EDAB-074F-B980-335069C1B751}"/>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136482939632546E-2"/>
          <c:y val="6.2176165803108807E-2"/>
          <c:w val="0.69553018372703401"/>
          <c:h val="0.74715841866916899"/>
        </c:manualLayout>
      </c:layout>
      <c:areaChart>
        <c:grouping val="stacked"/>
        <c:varyColors val="0"/>
        <c:ser>
          <c:idx val="1"/>
          <c:order val="0"/>
          <c:tx>
            <c:strRef>
              <c:f>NICCS_emissions!$B$24</c:f>
              <c:strCache>
                <c:ptCount val="1"/>
                <c:pt idx="0">
                  <c:v>fuelwood</c:v>
                </c:pt>
              </c:strCache>
            </c:strRef>
          </c:tx>
          <c:spPr>
            <a:solidFill>
              <a:schemeClr val="accent2"/>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NICCS_emissions!$F$24:$AJ$24</c:f>
              <c:numCache>
                <c:formatCode>0.00</c:formatCode>
                <c:ptCount val="31"/>
                <c:pt idx="0">
                  <c:v>1116.2052362150387</c:v>
                </c:pt>
                <c:pt idx="1">
                  <c:v>1116.0518669257649</c:v>
                </c:pt>
                <c:pt idx="2">
                  <c:v>1113.1567956594656</c:v>
                </c:pt>
                <c:pt idx="3">
                  <c:v>1107.2983515579624</c:v>
                </c:pt>
                <c:pt idx="4">
                  <c:v>1098.247711981126</c:v>
                </c:pt>
                <c:pt idx="5">
                  <c:v>1100.7592908024349</c:v>
                </c:pt>
                <c:pt idx="6">
                  <c:v>1070.3109981463431</c:v>
                </c:pt>
                <c:pt idx="7">
                  <c:v>1034.7980924254464</c:v>
                </c:pt>
                <c:pt idx="8">
                  <c:v>993.94718400324155</c:v>
                </c:pt>
                <c:pt idx="9">
                  <c:v>947.48686795325136</c:v>
                </c:pt>
                <c:pt idx="10">
                  <c:v>895.1575920150359</c:v>
                </c:pt>
                <c:pt idx="11">
                  <c:v>836.71128411359882</c:v>
                </c:pt>
                <c:pt idx="12">
                  <c:v>771.91116889879606</c:v>
                </c:pt>
                <c:pt idx="13">
                  <c:v>700.52360096934831</c:v>
                </c:pt>
                <c:pt idx="14">
                  <c:v>622.31540191457123</c:v>
                </c:pt>
                <c:pt idx="15">
                  <c:v>537.25483305228613</c:v>
                </c:pt>
                <c:pt idx="16">
                  <c:v>445.05800301703016</c:v>
                </c:pt>
                <c:pt idx="17">
                  <c:v>345.47860762677061</c:v>
                </c:pt>
                <c:pt idx="18">
                  <c:v>238.27312240539371</c:v>
                </c:pt>
                <c:pt idx="19">
                  <c:v>123.19631613735186</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A0BB-5046-BE92-361DAA08371E}"/>
            </c:ext>
          </c:extLst>
        </c:ser>
        <c:ser>
          <c:idx val="0"/>
          <c:order val="1"/>
          <c:tx>
            <c:strRef>
              <c:f>NICCS_emissions!$B$25</c:f>
              <c:strCache>
                <c:ptCount val="1"/>
                <c:pt idx="0">
                  <c:v>charcoal</c:v>
                </c:pt>
              </c:strCache>
            </c:strRef>
          </c:tx>
          <c:spPr>
            <a:solidFill>
              <a:schemeClr val="accent1"/>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NICCS_emissions!$F$25:$AJ$25</c:f>
              <c:numCache>
                <c:formatCode>0.00</c:formatCode>
                <c:ptCount val="31"/>
                <c:pt idx="0">
                  <c:v>4843.9431856761921</c:v>
                </c:pt>
                <c:pt idx="1">
                  <c:v>5155.5118672755734</c:v>
                </c:pt>
                <c:pt idx="2">
                  <c:v>5482.6683417811919</c:v>
                </c:pt>
                <c:pt idx="3">
                  <c:v>5825.7617568160922</c:v>
                </c:pt>
                <c:pt idx="4">
                  <c:v>6185.0848978027334</c:v>
                </c:pt>
                <c:pt idx="5">
                  <c:v>6502.4475784077076</c:v>
                </c:pt>
                <c:pt idx="6">
                  <c:v>6322.5822540787885</c:v>
                </c:pt>
                <c:pt idx="7">
                  <c:v>6112.7990528498176</c:v>
                </c:pt>
                <c:pt idx="8">
                  <c:v>5871.4829969552729</c:v>
                </c:pt>
                <c:pt idx="9">
                  <c:v>5597.0308327849534</c:v>
                </c:pt>
                <c:pt idx="10">
                  <c:v>5287.9093232529031</c:v>
                </c:pt>
                <c:pt idx="11">
                  <c:v>4942.6530474657384</c:v>
                </c:pt>
                <c:pt idx="12">
                  <c:v>4559.8633169771838</c:v>
                </c:pt>
                <c:pt idx="13">
                  <c:v>4138.1599326951728</c:v>
                </c:pt>
                <c:pt idx="14">
                  <c:v>3676.1654541524181</c:v>
                </c:pt>
                <c:pt idx="15">
                  <c:v>3173.6923933860212</c:v>
                </c:pt>
                <c:pt idx="16">
                  <c:v>2629.0637364136246</c:v>
                </c:pt>
                <c:pt idx="17">
                  <c:v>2040.8245057070883</c:v>
                </c:pt>
                <c:pt idx="18">
                  <c:v>1407.5361441238829</c:v>
                </c:pt>
                <c:pt idx="19">
                  <c:v>727.75001240471522</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1-A0BB-5046-BE92-361DAA08371E}"/>
            </c:ext>
          </c:extLst>
        </c:ser>
        <c:ser>
          <c:idx val="2"/>
          <c:order val="2"/>
          <c:tx>
            <c:strRef>
              <c:f>NICCS_emissions!$B$26</c:f>
              <c:strCache>
                <c:ptCount val="1"/>
                <c:pt idx="0">
                  <c:v>Imp_fuelwood</c:v>
                </c:pt>
              </c:strCache>
            </c:strRef>
          </c:tx>
          <c:spPr>
            <a:solidFill>
              <a:schemeClr val="accent3"/>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NICCS_emissions!$F$26:$AJ$26</c:f>
              <c:numCache>
                <c:formatCode>0.00</c:formatCode>
                <c:ptCount val="31"/>
                <c:pt idx="0">
                  <c:v>33.832143273149342</c:v>
                </c:pt>
                <c:pt idx="1">
                  <c:v>40.804285297318842</c:v>
                </c:pt>
                <c:pt idx="2">
                  <c:v>48.307489876017392</c:v>
                </c:pt>
                <c:pt idx="3">
                  <c:v>56.364334846724127</c:v>
                </c:pt>
                <c:pt idx="4">
                  <c:v>64.996615375086918</c:v>
                </c:pt>
                <c:pt idx="5">
                  <c:v>73.736425489966109</c:v>
                </c:pt>
                <c:pt idx="6">
                  <c:v>71.696789502795923</c:v>
                </c:pt>
                <c:pt idx="7">
                  <c:v>69.317890911159068</c:v>
                </c:pt>
                <c:pt idx="8">
                  <c:v>66.581416197531624</c:v>
                </c:pt>
                <c:pt idx="9">
                  <c:v>63.469184793912945</c:v>
                </c:pt>
                <c:pt idx="10">
                  <c:v>59.963810105365681</c:v>
                </c:pt>
                <c:pt idx="11">
                  <c:v>56.048674558704704</c:v>
                </c:pt>
                <c:pt idx="12">
                  <c:v>51.707917313045357</c:v>
                </c:pt>
                <c:pt idx="13">
                  <c:v>46.925887192997628</c:v>
                </c:pt>
                <c:pt idx="14">
                  <c:v>41.686964305412353</c:v>
                </c:pt>
                <c:pt idx="15">
                  <c:v>35.989022575140176</c:v>
                </c:pt>
                <c:pt idx="16">
                  <c:v>29.813045006647513</c:v>
                </c:pt>
                <c:pt idx="17">
                  <c:v>23.142532452375001</c:v>
                </c:pt>
                <c:pt idx="18">
                  <c:v>15.961171968577364</c:v>
                </c:pt>
                <c:pt idx="19">
                  <c:v>8.2525362823674833</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A0BB-5046-BE92-361DAA08371E}"/>
            </c:ext>
          </c:extLst>
        </c:ser>
        <c:ser>
          <c:idx val="3"/>
          <c:order val="3"/>
          <c:tx>
            <c:strRef>
              <c:f>NICCS_emissions!$B$27</c:f>
              <c:strCache>
                <c:ptCount val="1"/>
                <c:pt idx="0">
                  <c:v>Imp_charcoal</c:v>
                </c:pt>
              </c:strCache>
            </c:strRef>
          </c:tx>
          <c:spPr>
            <a:solidFill>
              <a:schemeClr val="accent4"/>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NICCS_emissions!$F$27:$AJ$27</c:f>
              <c:numCache>
                <c:formatCode>0.00</c:formatCode>
                <c:ptCount val="31"/>
                <c:pt idx="0">
                  <c:v>17.343162735709225</c:v>
                </c:pt>
                <c:pt idx="1">
                  <c:v>20.917248857461345</c:v>
                </c:pt>
                <c:pt idx="2">
                  <c:v>24.763570297904892</c:v>
                </c:pt>
                <c:pt idx="3">
                  <c:v>28.893700994480255</c:v>
                </c:pt>
                <c:pt idx="4">
                  <c:v>33.318813668395045</c:v>
                </c:pt>
                <c:pt idx="5">
                  <c:v>37.799048570387093</c:v>
                </c:pt>
                <c:pt idx="6">
                  <c:v>80.493274205933943</c:v>
                </c:pt>
                <c:pt idx="7">
                  <c:v>126.61693823596907</c:v>
                </c:pt>
                <c:pt idx="8">
                  <c:v>176.29798290160144</c:v>
                </c:pt>
                <c:pt idx="9">
                  <c:v>229.65789178716722</c:v>
                </c:pt>
                <c:pt idx="10">
                  <c:v>286.81215590490905</c:v>
                </c:pt>
                <c:pt idx="11">
                  <c:v>347.87033087988368</c:v>
                </c:pt>
                <c:pt idx="12">
                  <c:v>412.93608790281411</c:v>
                </c:pt>
                <c:pt idx="13">
                  <c:v>482.10172965467484</c:v>
                </c:pt>
                <c:pt idx="14">
                  <c:v>555.43774248261855</c:v>
                </c:pt>
                <c:pt idx="15">
                  <c:v>633.20809751053116</c:v>
                </c:pt>
                <c:pt idx="16">
                  <c:v>715.51828317215063</c:v>
                </c:pt>
                <c:pt idx="17">
                  <c:v>802.49818326254615</c:v>
                </c:pt>
                <c:pt idx="18">
                  <c:v>894.28296158099499</c:v>
                </c:pt>
                <c:pt idx="19">
                  <c:v>991.01084677277697</c:v>
                </c:pt>
                <c:pt idx="20">
                  <c:v>1092.8192725276681</c:v>
                </c:pt>
                <c:pt idx="21">
                  <c:v>1129.0852911628549</c:v>
                </c:pt>
                <c:pt idx="22">
                  <c:v>1166.0575220760729</c:v>
                </c:pt>
                <c:pt idx="23">
                  <c:v>1203.732768657226</c:v>
                </c:pt>
                <c:pt idx="24">
                  <c:v>1242.1072140584401</c:v>
                </c:pt>
                <c:pt idx="25">
                  <c:v>1281.1751330079028</c:v>
                </c:pt>
                <c:pt idx="26">
                  <c:v>1320.9285578356755</c:v>
                </c:pt>
                <c:pt idx="27">
                  <c:v>1361.3563719723231</c:v>
                </c:pt>
                <c:pt idx="28">
                  <c:v>1402.4467431894329</c:v>
                </c:pt>
                <c:pt idx="29">
                  <c:v>1444.1846903590974</c:v>
                </c:pt>
                <c:pt idx="30">
                  <c:v>1486.5544689838334</c:v>
                </c:pt>
              </c:numCache>
            </c:numRef>
          </c:val>
          <c:extLst>
            <c:ext xmlns:c16="http://schemas.microsoft.com/office/drawing/2014/chart" uri="{C3380CC4-5D6E-409C-BE32-E72D297353CC}">
              <c16:uniqueId val="{00000003-A0BB-5046-BE92-361DAA08371E}"/>
            </c:ext>
          </c:extLst>
        </c:ser>
        <c:ser>
          <c:idx val="4"/>
          <c:order val="4"/>
          <c:tx>
            <c:strRef>
              <c:f>NICCS_emissions!$B$28</c:f>
              <c:strCache>
                <c:ptCount val="1"/>
                <c:pt idx="0">
                  <c:v>Gas</c:v>
                </c:pt>
              </c:strCache>
            </c:strRef>
          </c:tx>
          <c:spPr>
            <a:solidFill>
              <a:schemeClr val="accent5"/>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NICCS_emissions!$F$28:$AJ$28</c:f>
              <c:numCache>
                <c:formatCode>0.00</c:formatCode>
                <c:ptCount val="31"/>
                <c:pt idx="0">
                  <c:v>6.5181831598727049</c:v>
                </c:pt>
                <c:pt idx="1">
                  <c:v>7.5803353760900718</c:v>
                </c:pt>
                <c:pt idx="2">
                  <c:v>8.7200567491579246</c:v>
                </c:pt>
                <c:pt idx="3">
                  <c:v>9.9405167217014068</c:v>
                </c:pt>
                <c:pt idx="4">
                  <c:v>11.244756746903279</c:v>
                </c:pt>
                <c:pt idx="5">
                  <c:v>11.270472341471056</c:v>
                </c:pt>
                <c:pt idx="6">
                  <c:v>58.518132449318053</c:v>
                </c:pt>
                <c:pt idx="7">
                  <c:v>109.63195591873657</c:v>
                </c:pt>
                <c:pt idx="8">
                  <c:v>164.75846625179776</c:v>
                </c:pt>
                <c:pt idx="9">
                  <c:v>224.0371105013061</c:v>
                </c:pt>
                <c:pt idx="10">
                  <c:v>287.60049864559335</c:v>
                </c:pt>
                <c:pt idx="11">
                  <c:v>355.57447586098954</c:v>
                </c:pt>
                <c:pt idx="12">
                  <c:v>428.0781828957754</c:v>
                </c:pt>
                <c:pt idx="13">
                  <c:v>505.21831440318755</c:v>
                </c:pt>
                <c:pt idx="14">
                  <c:v>587.07783091357123</c:v>
                </c:pt>
                <c:pt idx="15">
                  <c:v>673.94461518952835</c:v>
                </c:pt>
                <c:pt idx="16">
                  <c:v>765.94106070939517</c:v>
                </c:pt>
                <c:pt idx="17">
                  <c:v>863.21506809013579</c:v>
                </c:pt>
                <c:pt idx="18">
                  <c:v>965.92020370769671</c:v>
                </c:pt>
                <c:pt idx="19">
                  <c:v>1074.2134126757433</c:v>
                </c:pt>
                <c:pt idx="20">
                  <c:v>1188.2508558801567</c:v>
                </c:pt>
                <c:pt idx="21">
                  <c:v>1227.6838424369853</c:v>
                </c:pt>
                <c:pt idx="22">
                  <c:v>1267.8847119959707</c:v>
                </c:pt>
                <c:pt idx="23">
                  <c:v>1308.8499887997045</c:v>
                </c:pt>
                <c:pt idx="24">
                  <c:v>1350.5755226900897</c:v>
                </c:pt>
                <c:pt idx="25">
                  <c:v>1393.0550884299773</c:v>
                </c:pt>
                <c:pt idx="26">
                  <c:v>1436.2800225643382</c:v>
                </c:pt>
                <c:pt idx="27">
                  <c:v>1480.2382377577098</c:v>
                </c:pt>
                <c:pt idx="28">
                  <c:v>1524.9168685199877</c:v>
                </c:pt>
                <c:pt idx="29">
                  <c:v>1570.2996254806346</c:v>
                </c:pt>
                <c:pt idx="30">
                  <c:v>1616.3693892374965</c:v>
                </c:pt>
              </c:numCache>
            </c:numRef>
          </c:val>
          <c:extLst>
            <c:ext xmlns:c16="http://schemas.microsoft.com/office/drawing/2014/chart" uri="{C3380CC4-5D6E-409C-BE32-E72D297353CC}">
              <c16:uniqueId val="{00000004-A0BB-5046-BE92-361DAA08371E}"/>
            </c:ext>
          </c:extLst>
        </c:ser>
        <c:ser>
          <c:idx val="5"/>
          <c:order val="5"/>
          <c:tx>
            <c:strRef>
              <c:f>NICCS_emissions!$B$29</c:f>
              <c:strCache>
                <c:ptCount val="1"/>
                <c:pt idx="0">
                  <c:v>kerosene</c:v>
                </c:pt>
              </c:strCache>
            </c:strRef>
          </c:tx>
          <c:spPr>
            <a:solidFill>
              <a:schemeClr val="accent6"/>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NICCS_emissions!$F$29:$AJ$29</c:f>
              <c:numCache>
                <c:formatCode>0.00</c:formatCode>
                <c:ptCount val="31"/>
                <c:pt idx="0">
                  <c:v>0.50273922189598064</c:v>
                </c:pt>
                <c:pt idx="1">
                  <c:v>0.38189908984396631</c:v>
                </c:pt>
                <c:pt idx="2">
                  <c:v>0.24919267774178164</c:v>
                </c:pt>
                <c:pt idx="3">
                  <c:v>0.1040130077428469</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5-A0BB-5046-BE92-361DAA08371E}"/>
            </c:ext>
          </c:extLst>
        </c:ser>
        <c:ser>
          <c:idx val="6"/>
          <c:order val="6"/>
          <c:tx>
            <c:strRef>
              <c:f>NICCS_emissions!$B$30</c:f>
              <c:strCache>
                <c:ptCount val="1"/>
                <c:pt idx="0">
                  <c:v>electric</c:v>
                </c:pt>
              </c:strCache>
            </c:strRef>
          </c:tx>
          <c:spPr>
            <a:solidFill>
              <a:schemeClr val="accent1">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NICCS_emissions!$F$30:$AJ$30</c:f>
              <c:numCache>
                <c:formatCode>0.00</c:formatCode>
                <c:ptCount val="31"/>
                <c:pt idx="0">
                  <c:v>71.713303089902539</c:v>
                </c:pt>
                <c:pt idx="1">
                  <c:v>71.225901554655749</c:v>
                </c:pt>
                <c:pt idx="2">
                  <c:v>70.520314438026077</c:v>
                </c:pt>
                <c:pt idx="3">
                  <c:v>69.580294658787764</c:v>
                </c:pt>
                <c:pt idx="4">
                  <c:v>68.389174387080217</c:v>
                </c:pt>
                <c:pt idx="5">
                  <c:v>68.545573348920598</c:v>
                </c:pt>
                <c:pt idx="6">
                  <c:v>82.604344644058799</c:v>
                </c:pt>
                <c:pt idx="7">
                  <c:v>97.662119762269896</c:v>
                </c:pt>
                <c:pt idx="8">
                  <c:v>113.75196789757622</c:v>
                </c:pt>
                <c:pt idx="9">
                  <c:v>130.90470107091372</c:v>
                </c:pt>
                <c:pt idx="10">
                  <c:v>149.14953502797948</c:v>
                </c:pt>
                <c:pt idx="11">
                  <c:v>168.51409156918078</c:v>
                </c:pt>
                <c:pt idx="12">
                  <c:v>189.02440800921724</c:v>
                </c:pt>
                <c:pt idx="13">
                  <c:v>210.70253050891424</c:v>
                </c:pt>
                <c:pt idx="14">
                  <c:v>233.56257058626579</c:v>
                </c:pt>
                <c:pt idx="15">
                  <c:v>257.69923727957172</c:v>
                </c:pt>
                <c:pt idx="16">
                  <c:v>283.13688696726359</c:v>
                </c:pt>
                <c:pt idx="17">
                  <c:v>309.91064443511232</c:v>
                </c:pt>
                <c:pt idx="18">
                  <c:v>338.05769871658168</c:v>
                </c:pt>
                <c:pt idx="19">
                  <c:v>367.61627189661658</c:v>
                </c:pt>
                <c:pt idx="20">
                  <c:v>398.62414895939878</c:v>
                </c:pt>
                <c:pt idx="21">
                  <c:v>411.85278719631378</c:v>
                </c:pt>
                <c:pt idx="22">
                  <c:v>425.33902820011957</c:v>
                </c:pt>
                <c:pt idx="23">
                  <c:v>439.08170595369791</c:v>
                </c:pt>
                <c:pt idx="24">
                  <c:v>453.07942819780362</c:v>
                </c:pt>
                <c:pt idx="25">
                  <c:v>467.33010654356826</c:v>
                </c:pt>
                <c:pt idx="26">
                  <c:v>481.83083464981712</c:v>
                </c:pt>
                <c:pt idx="27">
                  <c:v>496.5775575614976</c:v>
                </c:pt>
                <c:pt idx="28">
                  <c:v>511.56595927494885</c:v>
                </c:pt>
                <c:pt idx="29">
                  <c:v>526.79057517263254</c:v>
                </c:pt>
                <c:pt idx="30">
                  <c:v>542.24566218516134</c:v>
                </c:pt>
              </c:numCache>
            </c:numRef>
          </c:val>
          <c:extLst>
            <c:ext xmlns:c16="http://schemas.microsoft.com/office/drawing/2014/chart" uri="{C3380CC4-5D6E-409C-BE32-E72D297353CC}">
              <c16:uniqueId val="{00000006-A0BB-5046-BE92-361DAA08371E}"/>
            </c:ext>
          </c:extLst>
        </c:ser>
        <c:ser>
          <c:idx val="7"/>
          <c:order val="7"/>
          <c:tx>
            <c:strRef>
              <c:f>NICCS_emissions!$B$31</c:f>
              <c:strCache>
                <c:ptCount val="1"/>
                <c:pt idx="0">
                  <c:v>pellets</c:v>
                </c:pt>
              </c:strCache>
            </c:strRef>
          </c:tx>
          <c:spPr>
            <a:solidFill>
              <a:schemeClr val="accent2">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NICCS_emissions!$F$31:$AJ$31</c:f>
              <c:numCache>
                <c:formatCode>0.00</c:formatCode>
                <c:ptCount val="31"/>
                <c:pt idx="0">
                  <c:v>0</c:v>
                </c:pt>
                <c:pt idx="1">
                  <c:v>0</c:v>
                </c:pt>
                <c:pt idx="2">
                  <c:v>0</c:v>
                </c:pt>
                <c:pt idx="3">
                  <c:v>0</c:v>
                </c:pt>
                <c:pt idx="4">
                  <c:v>0</c:v>
                </c:pt>
                <c:pt idx="5">
                  <c:v>0</c:v>
                </c:pt>
                <c:pt idx="6">
                  <c:v>1.5954921928219832</c:v>
                </c:pt>
                <c:pt idx="7">
                  <c:v>3.3224235294655107</c:v>
                </c:pt>
                <c:pt idx="8">
                  <c:v>5.1858033899994345</c:v>
                </c:pt>
                <c:pt idx="9">
                  <c:v>7.1904030766738778</c:v>
                </c:pt>
                <c:pt idx="10">
                  <c:v>9.3407604548133936</c:v>
                </c:pt>
                <c:pt idx="11">
                  <c:v>11.641182505308198</c:v>
                </c:pt>
                <c:pt idx="12">
                  <c:v>14.095747413016083</c:v>
                </c:pt>
                <c:pt idx="13">
                  <c:v>16.708114754232476</c:v>
                </c:pt>
                <c:pt idx="14">
                  <c:v>19.481147727987846</c:v>
                </c:pt>
                <c:pt idx="15">
                  <c:v>22.424514939031532</c:v>
                </c:pt>
                <c:pt idx="16">
                  <c:v>25.542419876336446</c:v>
                </c:pt>
                <c:pt idx="17">
                  <c:v>28.839908815071993</c:v>
                </c:pt>
                <c:pt idx="18">
                  <c:v>32.322217146803567</c:v>
                </c:pt>
                <c:pt idx="19">
                  <c:v>35.994694197023435</c:v>
                </c:pt>
                <c:pt idx="20">
                  <c:v>39.862663998356169</c:v>
                </c:pt>
                <c:pt idx="21">
                  <c:v>41.185536088696239</c:v>
                </c:pt>
                <c:pt idx="22">
                  <c:v>42.534168616702765</c:v>
                </c:pt>
                <c:pt idx="23">
                  <c:v>43.908444979935297</c:v>
                </c:pt>
                <c:pt idx="24">
                  <c:v>45.30822595159924</c:v>
                </c:pt>
                <c:pt idx="25">
                  <c:v>46.733302691502722</c:v>
                </c:pt>
                <c:pt idx="26">
                  <c:v>48.183384563712117</c:v>
                </c:pt>
                <c:pt idx="27">
                  <c:v>49.658066070188177</c:v>
                </c:pt>
                <c:pt idx="28">
                  <c:v>51.15691560786771</c:v>
                </c:pt>
                <c:pt idx="29">
                  <c:v>52.679386711582026</c:v>
                </c:pt>
                <c:pt idx="30">
                  <c:v>54.224905070803509</c:v>
                </c:pt>
              </c:numCache>
            </c:numRef>
          </c:val>
          <c:extLst>
            <c:ext xmlns:c16="http://schemas.microsoft.com/office/drawing/2014/chart" uri="{C3380CC4-5D6E-409C-BE32-E72D297353CC}">
              <c16:uniqueId val="{00000007-A0BB-5046-BE92-361DAA08371E}"/>
            </c:ext>
          </c:extLst>
        </c:ser>
        <c:ser>
          <c:idx val="8"/>
          <c:order val="8"/>
          <c:tx>
            <c:strRef>
              <c:f>NICCS_emissions!$B$32</c:f>
              <c:strCache>
                <c:ptCount val="1"/>
                <c:pt idx="0">
                  <c:v>ethanol</c:v>
                </c:pt>
              </c:strCache>
            </c:strRef>
          </c:tx>
          <c:spPr>
            <a:solidFill>
              <a:schemeClr val="accent3">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NICCS_emissions!$F$32:$AJ$32</c:f>
              <c:numCache>
                <c:formatCode>0.00</c:formatCode>
                <c:ptCount val="31"/>
                <c:pt idx="0">
                  <c:v>0</c:v>
                </c:pt>
                <c:pt idx="1">
                  <c:v>0</c:v>
                </c:pt>
                <c:pt idx="2">
                  <c:v>0</c:v>
                </c:pt>
                <c:pt idx="3">
                  <c:v>0</c:v>
                </c:pt>
                <c:pt idx="4">
                  <c:v>0</c:v>
                </c:pt>
                <c:pt idx="5">
                  <c:v>0</c:v>
                </c:pt>
                <c:pt idx="6">
                  <c:v>6.6961049114563069</c:v>
                </c:pt>
                <c:pt idx="7">
                  <c:v>13.943845425055141</c:v>
                </c:pt>
                <c:pt idx="8">
                  <c:v>21.764245356916248</c:v>
                </c:pt>
                <c:pt idx="9">
                  <c:v>30.177329336790159</c:v>
                </c:pt>
                <c:pt idx="10">
                  <c:v>39.202142285375288</c:v>
                </c:pt>
                <c:pt idx="11">
                  <c:v>48.856760126842431</c:v>
                </c:pt>
                <c:pt idx="12">
                  <c:v>59.158298553627382</c:v>
                </c:pt>
                <c:pt idx="13">
                  <c:v>70.122116404160039</c:v>
                </c:pt>
                <c:pt idx="14">
                  <c:v>81.760230209249286</c:v>
                </c:pt>
                <c:pt idx="15">
                  <c:v>94.11321803755645</c:v>
                </c:pt>
                <c:pt idx="16">
                  <c:v>107.19872146908011</c:v>
                </c:pt>
                <c:pt idx="17">
                  <c:v>121.03791916461128</c:v>
                </c:pt>
                <c:pt idx="18">
                  <c:v>135.65278348561435</c:v>
                </c:pt>
                <c:pt idx="19">
                  <c:v>151.06576496168955</c:v>
                </c:pt>
                <c:pt idx="20">
                  <c:v>167.29920797105859</c:v>
                </c:pt>
                <c:pt idx="21">
                  <c:v>172.85115635489055</c:v>
                </c:pt>
                <c:pt idx="22">
                  <c:v>178.51121845683147</c:v>
                </c:pt>
                <c:pt idx="23">
                  <c:v>184.278904909288</c:v>
                </c:pt>
                <c:pt idx="24">
                  <c:v>190.15363139274618</c:v>
                </c:pt>
                <c:pt idx="25">
                  <c:v>196.1345214279346</c:v>
                </c:pt>
                <c:pt idx="26">
                  <c:v>202.22035524786759</c:v>
                </c:pt>
                <c:pt idx="27">
                  <c:v>208.40943102195996</c:v>
                </c:pt>
                <c:pt idx="28">
                  <c:v>214.69993735971789</c:v>
                </c:pt>
                <c:pt idx="29">
                  <c:v>221.08958080704826</c:v>
                </c:pt>
                <c:pt idx="30">
                  <c:v>227.57595104595512</c:v>
                </c:pt>
              </c:numCache>
            </c:numRef>
          </c:val>
          <c:extLst>
            <c:ext xmlns:c16="http://schemas.microsoft.com/office/drawing/2014/chart" uri="{C3380CC4-5D6E-409C-BE32-E72D297353CC}">
              <c16:uniqueId val="{00000008-A0BB-5046-BE92-361DAA08371E}"/>
            </c:ext>
          </c:extLst>
        </c:ser>
        <c:ser>
          <c:idx val="9"/>
          <c:order val="9"/>
          <c:tx>
            <c:strRef>
              <c:f>NICCS_emissions!$B$33</c:f>
              <c:strCache>
                <c:ptCount val="1"/>
                <c:pt idx="0">
                  <c:v>biogas</c:v>
                </c:pt>
              </c:strCache>
            </c:strRef>
          </c:tx>
          <c:spPr>
            <a:solidFill>
              <a:schemeClr val="accent4">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NICCS_emissions!$F$33:$AJ$33</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9-A0BB-5046-BE92-361DAA08371E}"/>
            </c:ext>
          </c:extLst>
        </c:ser>
        <c:ser>
          <c:idx val="10"/>
          <c:order val="10"/>
          <c:tx>
            <c:strRef>
              <c:f>NICCS_emissions!$B$34</c:f>
              <c:strCache>
                <c:ptCount val="1"/>
                <c:pt idx="0">
                  <c:v>other</c:v>
                </c:pt>
              </c:strCache>
            </c:strRef>
          </c:tx>
          <c:spPr>
            <a:solidFill>
              <a:schemeClr val="accent5">
                <a:lumMod val="60000"/>
              </a:schemeClr>
            </a:solidFill>
            <a:ln w="25400">
              <a:noFill/>
            </a:ln>
            <a:effectLst/>
          </c:spPr>
          <c:cat>
            <c:numRef>
              <c:f>NICCS_emissions!$F$1:$AJ$1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NICCS_emissions!$F$34:$AJ$34</c:f>
              <c:numCache>
                <c:formatCode>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A-A0BB-5046-BE92-361DAA08371E}"/>
            </c:ext>
          </c:extLst>
        </c:ser>
        <c:dLbls>
          <c:showLegendKey val="0"/>
          <c:showVal val="0"/>
          <c:showCatName val="0"/>
          <c:showSerName val="0"/>
          <c:showPercent val="0"/>
          <c:showBubbleSize val="0"/>
        </c:dLbls>
        <c:axId val="329929616"/>
        <c:axId val="826498672"/>
      </c:areaChart>
      <c:catAx>
        <c:axId val="329929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98672"/>
        <c:crosses val="autoZero"/>
        <c:auto val="1"/>
        <c:lblAlgn val="ctr"/>
        <c:lblOffset val="100"/>
        <c:noMultiLvlLbl val="0"/>
      </c:catAx>
      <c:valAx>
        <c:axId val="82649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929616"/>
        <c:crosses val="autoZero"/>
        <c:crossBetween val="midCat"/>
      </c:valAx>
      <c:spPr>
        <a:noFill/>
        <a:ln>
          <a:noFill/>
        </a:ln>
        <a:effectLst/>
      </c:spPr>
    </c:plotArea>
    <c:legend>
      <c:legendPos val="b"/>
      <c:layout>
        <c:manualLayout>
          <c:xMode val="edge"/>
          <c:yMode val="edge"/>
          <c:x val="0.77901749781277341"/>
          <c:y val="3.0438578597364454E-2"/>
          <c:w val="0.22098250218722659"/>
          <c:h val="0.275985136689374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93006150069988"/>
          <c:y val="6.9838145231846019E-2"/>
          <c:w val="0.74510047491376441"/>
          <c:h val="0.71649720509401527"/>
        </c:manualLayout>
      </c:layout>
      <c:areaChart>
        <c:grouping val="stacked"/>
        <c:varyColors val="0"/>
        <c:ser>
          <c:idx val="0"/>
          <c:order val="0"/>
          <c:spPr>
            <a:solidFill>
              <a:schemeClr val="accent1"/>
            </a:solidFill>
            <a:ln w="25400">
              <a:noFill/>
            </a:ln>
            <a:effectLst/>
          </c:spPr>
          <c:cat>
            <c:numRef>
              <c:f>Population!$A$43:$A$83</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cat>
          <c:val>
            <c:numRef>
              <c:f>Population!$C$43:$C$83</c:f>
              <c:numCache>
                <c:formatCode>#,##0</c:formatCode>
                <c:ptCount val="41"/>
                <c:pt idx="0">
                  <c:v>12809.513999999999</c:v>
                </c:pt>
                <c:pt idx="1">
                  <c:v>13178.48</c:v>
                </c:pt>
                <c:pt idx="2">
                  <c:v>13551.941999999999</c:v>
                </c:pt>
                <c:pt idx="3">
                  <c:v>13930.476000000001</c:v>
                </c:pt>
                <c:pt idx="4">
                  <c:v>14315.223</c:v>
                </c:pt>
                <c:pt idx="5">
                  <c:v>14706.906999999999</c:v>
                </c:pt>
                <c:pt idx="6">
                  <c:v>15105.299000000001</c:v>
                </c:pt>
                <c:pt idx="7">
                  <c:v>15509.513999999999</c:v>
                </c:pt>
                <c:pt idx="8">
                  <c:v>15918.795</c:v>
                </c:pt>
                <c:pt idx="9">
                  <c:v>16332.17</c:v>
                </c:pt>
                <c:pt idx="10">
                  <c:v>16748.855</c:v>
                </c:pt>
                <c:pt idx="11">
                  <c:v>17168.11</c:v>
                </c:pt>
                <c:pt idx="12">
                  <c:v>17589.673999999999</c:v>
                </c:pt>
                <c:pt idx="13">
                  <c:v>18013.68</c:v>
                </c:pt>
                <c:pt idx="14">
                  <c:v>18440.490000000002</c:v>
                </c:pt>
                <c:pt idx="15">
                  <c:v>18870.099999999999</c:v>
                </c:pt>
                <c:pt idx="16">
                  <c:v>19302.072</c:v>
                </c:pt>
                <c:pt idx="17">
                  <c:v>19735.339</c:v>
                </c:pt>
                <c:pt idx="18">
                  <c:v>20168.414000000001</c:v>
                </c:pt>
                <c:pt idx="19">
                  <c:v>20599.526999999998</c:v>
                </c:pt>
                <c:pt idx="20">
                  <c:v>21027.123</c:v>
                </c:pt>
                <c:pt idx="21">
                  <c:v>21450.185000000001</c:v>
                </c:pt>
                <c:pt idx="22">
                  <c:v>21868.07</c:v>
                </c:pt>
                <c:pt idx="23">
                  <c:v>22280.129000000001</c:v>
                </c:pt>
                <c:pt idx="24">
                  <c:v>22686.02</c:v>
                </c:pt>
                <c:pt idx="25">
                  <c:v>23088.127</c:v>
                </c:pt>
                <c:pt idx="26">
                  <c:v>23486.260999999999</c:v>
                </c:pt>
                <c:pt idx="27">
                  <c:v>23879.805</c:v>
                </c:pt>
                <c:pt idx="28">
                  <c:v>24268.276000000002</c:v>
                </c:pt>
                <c:pt idx="29">
                  <c:v>24651.174999999999</c:v>
                </c:pt>
                <c:pt idx="30">
                  <c:v>25028.031999999999</c:v>
                </c:pt>
                <c:pt idx="31">
                  <c:v>25398.337</c:v>
                </c:pt>
                <c:pt idx="32">
                  <c:v>25761.555</c:v>
                </c:pt>
                <c:pt idx="33">
                  <c:v>26117.078000000001</c:v>
                </c:pt>
                <c:pt idx="34">
                  <c:v>26464.258999999998</c:v>
                </c:pt>
                <c:pt idx="35">
                  <c:v>26802.535</c:v>
                </c:pt>
                <c:pt idx="36">
                  <c:v>27131.367999999999</c:v>
                </c:pt>
                <c:pt idx="37">
                  <c:v>27450.330999999998</c:v>
                </c:pt>
                <c:pt idx="38">
                  <c:v>27759.081999999999</c:v>
                </c:pt>
                <c:pt idx="39">
                  <c:v>28057.339</c:v>
                </c:pt>
                <c:pt idx="40">
                  <c:v>28344.776999999998</c:v>
                </c:pt>
              </c:numCache>
            </c:numRef>
          </c:val>
          <c:extLst>
            <c:ext xmlns:c16="http://schemas.microsoft.com/office/drawing/2014/chart" uri="{C3380CC4-5D6E-409C-BE32-E72D297353CC}">
              <c16:uniqueId val="{00000000-DC62-1146-A45D-05A21DF2F647}"/>
            </c:ext>
          </c:extLst>
        </c:ser>
        <c:ser>
          <c:idx val="1"/>
          <c:order val="1"/>
          <c:spPr>
            <a:solidFill>
              <a:schemeClr val="accent2"/>
            </a:solidFill>
            <a:ln w="25400">
              <a:noFill/>
            </a:ln>
            <a:effectLst/>
          </c:spPr>
          <c:cat>
            <c:numRef>
              <c:f>Population!$A$43:$A$83</c:f>
              <c:numCache>
                <c:formatCode>General</c:formatCode>
                <c:ptCount val="4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pt idx="21">
                  <c:v>2031</c:v>
                </c:pt>
                <c:pt idx="22">
                  <c:v>2032</c:v>
                </c:pt>
                <c:pt idx="23">
                  <c:v>2033</c:v>
                </c:pt>
                <c:pt idx="24">
                  <c:v>2034</c:v>
                </c:pt>
                <c:pt idx="25">
                  <c:v>2035</c:v>
                </c:pt>
                <c:pt idx="26">
                  <c:v>2036</c:v>
                </c:pt>
                <c:pt idx="27">
                  <c:v>2037</c:v>
                </c:pt>
                <c:pt idx="28">
                  <c:v>2038</c:v>
                </c:pt>
                <c:pt idx="29">
                  <c:v>2039</c:v>
                </c:pt>
                <c:pt idx="30">
                  <c:v>2040</c:v>
                </c:pt>
                <c:pt idx="31">
                  <c:v>2041</c:v>
                </c:pt>
                <c:pt idx="32">
                  <c:v>2042</c:v>
                </c:pt>
                <c:pt idx="33">
                  <c:v>2043</c:v>
                </c:pt>
                <c:pt idx="34">
                  <c:v>2044</c:v>
                </c:pt>
                <c:pt idx="35">
                  <c:v>2045</c:v>
                </c:pt>
                <c:pt idx="36">
                  <c:v>2046</c:v>
                </c:pt>
                <c:pt idx="37">
                  <c:v>2047</c:v>
                </c:pt>
                <c:pt idx="38">
                  <c:v>2048</c:v>
                </c:pt>
                <c:pt idx="39">
                  <c:v>2049</c:v>
                </c:pt>
                <c:pt idx="40">
                  <c:v>2050</c:v>
                </c:pt>
              </c:numCache>
            </c:numRef>
          </c:cat>
          <c:val>
            <c:numRef>
              <c:f>Population!$C$2:$C$42</c:f>
              <c:numCache>
                <c:formatCode>#,##0</c:formatCode>
                <c:ptCount val="41"/>
                <c:pt idx="0">
                  <c:v>6755.3370000000004</c:v>
                </c:pt>
                <c:pt idx="1">
                  <c:v>7084.1350000000002</c:v>
                </c:pt>
                <c:pt idx="2">
                  <c:v>7425.0479999999998</c:v>
                </c:pt>
                <c:pt idx="3">
                  <c:v>7778.8419999999996</c:v>
                </c:pt>
                <c:pt idx="4">
                  <c:v>8146.4859999999999</c:v>
                </c:pt>
                <c:pt idx="5">
                  <c:v>8528.7929999999997</c:v>
                </c:pt>
                <c:pt idx="6">
                  <c:v>8926.2459999999992</c:v>
                </c:pt>
                <c:pt idx="7">
                  <c:v>9339.0249999999996</c:v>
                </c:pt>
                <c:pt idx="8">
                  <c:v>9767.2849999999999</c:v>
                </c:pt>
                <c:pt idx="9">
                  <c:v>10211.029</c:v>
                </c:pt>
                <c:pt idx="10">
                  <c:v>10670.252</c:v>
                </c:pt>
                <c:pt idx="11">
                  <c:v>11145.081</c:v>
                </c:pt>
                <c:pt idx="12">
                  <c:v>11635.629000000001</c:v>
                </c:pt>
                <c:pt idx="13">
                  <c:v>12141.777</c:v>
                </c:pt>
                <c:pt idx="14">
                  <c:v>12663.299000000001</c:v>
                </c:pt>
                <c:pt idx="15">
                  <c:v>13199.949000000001</c:v>
                </c:pt>
                <c:pt idx="16">
                  <c:v>13751.596</c:v>
                </c:pt>
                <c:pt idx="17">
                  <c:v>14318.035</c:v>
                </c:pt>
                <c:pt idx="18">
                  <c:v>14898.866</c:v>
                </c:pt>
                <c:pt idx="19">
                  <c:v>15493.575999999999</c:v>
                </c:pt>
                <c:pt idx="20">
                  <c:v>16101.66</c:v>
                </c:pt>
                <c:pt idx="21">
                  <c:v>16722.617999999999</c:v>
                </c:pt>
                <c:pt idx="22">
                  <c:v>17355.954000000002</c:v>
                </c:pt>
                <c:pt idx="23">
                  <c:v>18000.969000000001</c:v>
                </c:pt>
                <c:pt idx="24">
                  <c:v>18656.511999999999</c:v>
                </c:pt>
                <c:pt idx="25">
                  <c:v>19327.758000000002</c:v>
                </c:pt>
                <c:pt idx="26">
                  <c:v>20013.718000000001</c:v>
                </c:pt>
                <c:pt idx="27">
                  <c:v>20714.338</c:v>
                </c:pt>
                <c:pt idx="28">
                  <c:v>21429.705999999998</c:v>
                </c:pt>
                <c:pt idx="29">
                  <c:v>22159.955000000002</c:v>
                </c:pt>
                <c:pt idx="30">
                  <c:v>22905.168000000001</c:v>
                </c:pt>
                <c:pt idx="31">
                  <c:v>23665.293000000001</c:v>
                </c:pt>
                <c:pt idx="32">
                  <c:v>24440.22</c:v>
                </c:pt>
                <c:pt idx="33">
                  <c:v>25229.882000000001</c:v>
                </c:pt>
                <c:pt idx="34">
                  <c:v>26034.199000000001</c:v>
                </c:pt>
                <c:pt idx="35">
                  <c:v>26853.050999999999</c:v>
                </c:pt>
                <c:pt idx="36">
                  <c:v>27686.271000000001</c:v>
                </c:pt>
                <c:pt idx="37">
                  <c:v>28533.626</c:v>
                </c:pt>
                <c:pt idx="38">
                  <c:v>29394.867999999999</c:v>
                </c:pt>
                <c:pt idx="39">
                  <c:v>30269.683000000001</c:v>
                </c:pt>
                <c:pt idx="40">
                  <c:v>31157.741000000002</c:v>
                </c:pt>
              </c:numCache>
            </c:numRef>
          </c:val>
          <c:extLst>
            <c:ext xmlns:c16="http://schemas.microsoft.com/office/drawing/2014/chart" uri="{C3380CC4-5D6E-409C-BE32-E72D297353CC}">
              <c16:uniqueId val="{00000001-DC62-1146-A45D-05A21DF2F647}"/>
            </c:ext>
          </c:extLst>
        </c:ser>
        <c:dLbls>
          <c:showLegendKey val="0"/>
          <c:showVal val="0"/>
          <c:showCatName val="0"/>
          <c:showSerName val="0"/>
          <c:showPercent val="0"/>
          <c:showBubbleSize val="0"/>
        </c:dLbls>
        <c:axId val="2103474127"/>
        <c:axId val="2104212351"/>
      </c:areaChart>
      <c:catAx>
        <c:axId val="210347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4212351"/>
        <c:crosses val="autoZero"/>
        <c:auto val="1"/>
        <c:lblAlgn val="ctr"/>
        <c:lblOffset val="100"/>
        <c:tickLblSkip val="5"/>
        <c:noMultiLvlLbl val="0"/>
      </c:catAx>
      <c:valAx>
        <c:axId val="2104212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03474127"/>
        <c:crosses val="autoZero"/>
        <c:crossBetween val="midCat"/>
        <c:dispUnits>
          <c:builtInUnit val="thousands"/>
          <c:dispUnitsLbl>
            <c:layout>
              <c:manualLayout>
                <c:xMode val="edge"/>
                <c:yMode val="edge"/>
                <c:x val="2.1240875912408759E-2"/>
                <c:y val="0.12076407115777195"/>
              </c:manualLayout>
            </c:layout>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Millions of households</a:t>
                  </a:r>
                </a:p>
              </c:rich>
            </c:tx>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layout>
        <c:manualLayout>
          <c:xMode val="edge"/>
          <c:yMode val="edge"/>
          <c:x val="0.20770733950227024"/>
          <c:y val="8.8541119860017489E-2"/>
          <c:w val="0.39766205669822302"/>
          <c:h val="0.1984959171770195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params!$B$3</c:f>
              <c:strCache>
                <c:ptCount val="1"/>
                <c:pt idx="0">
                  <c:v>fuelwood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params!$C$3:$J$3</c:f>
              <c:numCache>
                <c:formatCode>0.0</c:formatCode>
                <c:ptCount val="8"/>
                <c:pt idx="0">
                  <c:v>89.2</c:v>
                </c:pt>
                <c:pt idx="1">
                  <c:v>84.6</c:v>
                </c:pt>
                <c:pt idx="2">
                  <c:v>87.1</c:v>
                </c:pt>
                <c:pt idx="3">
                  <c:v>80.2</c:v>
                </c:pt>
                <c:pt idx="4">
                  <c:v>80.900000000000006</c:v>
                </c:pt>
                <c:pt idx="5">
                  <c:v>79.5</c:v>
                </c:pt>
                <c:pt idx="6">
                  <c:v>79.222468737665963</c:v>
                </c:pt>
                <c:pt idx="7">
                  <c:v>66.904225078750628</c:v>
                </c:pt>
              </c:numCache>
            </c:numRef>
          </c:yVal>
          <c:smooth val="0"/>
          <c:extLst>
            <c:ext xmlns:c16="http://schemas.microsoft.com/office/drawing/2014/chart" uri="{C3380CC4-5D6E-409C-BE32-E72D297353CC}">
              <c16:uniqueId val="{00000000-5550-E442-86AF-8BED88217DF4}"/>
            </c:ext>
          </c:extLst>
        </c:ser>
        <c:ser>
          <c:idx val="1"/>
          <c:order val="1"/>
          <c:tx>
            <c:strRef>
              <c:f>params!$B$4</c:f>
              <c:strCache>
                <c:ptCount val="1"/>
                <c:pt idx="0">
                  <c:v>charcoal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params!$C$4:$J$4</c:f>
              <c:numCache>
                <c:formatCode>0.0</c:formatCode>
                <c:ptCount val="8"/>
                <c:pt idx="0">
                  <c:v>8.5</c:v>
                </c:pt>
                <c:pt idx="1">
                  <c:v>11.8</c:v>
                </c:pt>
                <c:pt idx="2">
                  <c:v>10.199999999999999</c:v>
                </c:pt>
                <c:pt idx="3">
                  <c:v>16.399999999999999</c:v>
                </c:pt>
                <c:pt idx="4">
                  <c:v>15.7</c:v>
                </c:pt>
                <c:pt idx="5">
                  <c:v>18.3</c:v>
                </c:pt>
                <c:pt idx="6">
                  <c:v>18.364736406671867</c:v>
                </c:pt>
                <c:pt idx="7">
                  <c:v>31.078381357899705</c:v>
                </c:pt>
              </c:numCache>
            </c:numRef>
          </c:yVal>
          <c:smooth val="0"/>
          <c:extLst>
            <c:ext xmlns:c16="http://schemas.microsoft.com/office/drawing/2014/chart" uri="{C3380CC4-5D6E-409C-BE32-E72D297353CC}">
              <c16:uniqueId val="{00000001-5550-E442-86AF-8BED88217DF4}"/>
            </c:ext>
          </c:extLst>
        </c:ser>
        <c:ser>
          <c:idx val="2"/>
          <c:order val="2"/>
          <c:tx>
            <c:strRef>
              <c:f>params!$B$5</c:f>
              <c:strCache>
                <c:ptCount val="1"/>
                <c:pt idx="0">
                  <c:v>Imp_fuelwood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params!$C$5:$J$5</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2-5550-E442-86AF-8BED88217DF4}"/>
            </c:ext>
          </c:extLst>
        </c:ser>
        <c:ser>
          <c:idx val="3"/>
          <c:order val="3"/>
          <c:tx>
            <c:strRef>
              <c:f>params!$B$6</c:f>
              <c:strCache>
                <c:ptCount val="1"/>
                <c:pt idx="0">
                  <c:v>Imp_charcoal</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params!$C$6:$J$6</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3-5550-E442-86AF-8BED88217DF4}"/>
            </c:ext>
          </c:extLst>
        </c:ser>
        <c:ser>
          <c:idx val="4"/>
          <c:order val="4"/>
          <c:tx>
            <c:strRef>
              <c:f>params!$B$7</c:f>
              <c:strCache>
                <c:ptCount val="1"/>
                <c:pt idx="0">
                  <c:v>Gas</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1"/>
            <c:trendlineLbl>
              <c:layout>
                <c:manualLayout>
                  <c:x val="0.14676886980036585"/>
                  <c:y val="-7.12045551708354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params!$C$7:$J$7</c:f>
              <c:numCache>
                <c:formatCode>0.0</c:formatCode>
                <c:ptCount val="8"/>
                <c:pt idx="0">
                  <c:v>0</c:v>
                </c:pt>
                <c:pt idx="1">
                  <c:v>0</c:v>
                </c:pt>
                <c:pt idx="2">
                  <c:v>0</c:v>
                </c:pt>
                <c:pt idx="3">
                  <c:v>0.1</c:v>
                </c:pt>
                <c:pt idx="4">
                  <c:v>0.1</c:v>
                </c:pt>
                <c:pt idx="5">
                  <c:v>0</c:v>
                </c:pt>
                <c:pt idx="6">
                  <c:v>3.0896476109872398E-2</c:v>
                </c:pt>
                <c:pt idx="7">
                  <c:v>0.15532663004256714</c:v>
                </c:pt>
              </c:numCache>
            </c:numRef>
          </c:yVal>
          <c:smooth val="0"/>
          <c:extLst>
            <c:ext xmlns:c16="http://schemas.microsoft.com/office/drawing/2014/chart" uri="{C3380CC4-5D6E-409C-BE32-E72D297353CC}">
              <c16:uniqueId val="{00000004-5550-E442-86AF-8BED88217DF4}"/>
            </c:ext>
          </c:extLst>
        </c:ser>
        <c:ser>
          <c:idx val="5"/>
          <c:order val="5"/>
          <c:tx>
            <c:strRef>
              <c:f>params!$B$8</c:f>
              <c:strCache>
                <c:ptCount val="1"/>
                <c:pt idx="0">
                  <c:v>kerosene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params!$C$8:$J$8</c:f>
              <c:numCache>
                <c:formatCode>0.0</c:formatCode>
                <c:ptCount val="8"/>
                <c:pt idx="0">
                  <c:v>0.1</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5-5550-E442-86AF-8BED88217DF4}"/>
            </c:ext>
          </c:extLst>
        </c:ser>
        <c:ser>
          <c:idx val="6"/>
          <c:order val="6"/>
          <c:tx>
            <c:strRef>
              <c:f>params!$B$9</c:f>
              <c:strCache>
                <c:ptCount val="1"/>
                <c:pt idx="0">
                  <c:v>electric</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trendline>
            <c:spPr>
              <a:ln w="19050" cap="rnd">
                <a:solidFill>
                  <a:schemeClr val="accent1">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params!$C$9:$J$9</c:f>
              <c:numCache>
                <c:formatCode>0.0</c:formatCode>
                <c:ptCount val="8"/>
                <c:pt idx="0">
                  <c:v>2</c:v>
                </c:pt>
                <c:pt idx="1">
                  <c:v>1.7</c:v>
                </c:pt>
                <c:pt idx="2">
                  <c:v>2.1</c:v>
                </c:pt>
                <c:pt idx="3">
                  <c:v>2.8</c:v>
                </c:pt>
                <c:pt idx="4">
                  <c:v>2.1</c:v>
                </c:pt>
                <c:pt idx="5">
                  <c:v>1.7</c:v>
                </c:pt>
                <c:pt idx="6">
                  <c:v>1.1961816790220225</c:v>
                </c:pt>
                <c:pt idx="7">
                  <c:v>1.2261577293890615</c:v>
                </c:pt>
              </c:numCache>
            </c:numRef>
          </c:yVal>
          <c:smooth val="0"/>
          <c:extLst>
            <c:ext xmlns:c16="http://schemas.microsoft.com/office/drawing/2014/chart" uri="{C3380CC4-5D6E-409C-BE32-E72D297353CC}">
              <c16:uniqueId val="{00000006-5550-E442-86AF-8BED88217DF4}"/>
            </c:ext>
          </c:extLst>
        </c:ser>
        <c:ser>
          <c:idx val="7"/>
          <c:order val="7"/>
          <c:tx>
            <c:strRef>
              <c:f>params!$B$10</c:f>
              <c:strCache>
                <c:ptCount val="1"/>
                <c:pt idx="0">
                  <c:v>pellets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params!$C$10:$J$10</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7-5550-E442-86AF-8BED88217DF4}"/>
            </c:ext>
          </c:extLst>
        </c:ser>
        <c:ser>
          <c:idx val="8"/>
          <c:order val="8"/>
          <c:tx>
            <c:strRef>
              <c:f>params!$B$11</c:f>
              <c:strCache>
                <c:ptCount val="1"/>
                <c:pt idx="0">
                  <c:v>ethanol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params!$C$11:$J$11</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8-5550-E442-86AF-8BED88217DF4}"/>
            </c:ext>
          </c:extLst>
        </c:ser>
        <c:ser>
          <c:idx val="9"/>
          <c:order val="9"/>
          <c:tx>
            <c:strRef>
              <c:f>params!$B$12</c:f>
              <c:strCache>
                <c:ptCount val="1"/>
                <c:pt idx="0">
                  <c:v>biogas</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trendline>
            <c:spPr>
              <a:ln w="19050" cap="rnd">
                <a:solidFill>
                  <a:schemeClr val="accent4">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params!$C$12:$J$12</c:f>
              <c:numCache>
                <c:formatCode>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9-5550-E442-86AF-8BED88217DF4}"/>
            </c:ext>
          </c:extLst>
        </c:ser>
        <c:ser>
          <c:idx val="10"/>
          <c:order val="10"/>
          <c:tx>
            <c:strRef>
              <c:f>params!$B$13</c:f>
              <c:strCache>
                <c:ptCount val="1"/>
                <c:pt idx="0">
                  <c:v>other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trendline>
            <c:spPr>
              <a:ln w="19050" cap="rnd">
                <a:solidFill>
                  <a:schemeClr val="accent5">
                    <a:lumMod val="60000"/>
                  </a:schemeClr>
                </a:solidFill>
                <a:prstDash val="sysDot"/>
              </a:ln>
              <a:effectLst/>
            </c:spPr>
            <c:trendlineType val="linear"/>
            <c:dispRSqr val="0"/>
            <c:dispEq val="1"/>
            <c:trendlineLbl>
              <c:layout>
                <c:manualLayout>
                  <c:x val="-0.3275737691879424"/>
                  <c:y val="3.56613787397129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params!$C$13:$J$13</c:f>
              <c:numCache>
                <c:formatCode>0.0</c:formatCode>
                <c:ptCount val="8"/>
                <c:pt idx="0">
                  <c:v>0</c:v>
                </c:pt>
                <c:pt idx="1">
                  <c:v>1.7</c:v>
                </c:pt>
                <c:pt idx="2">
                  <c:v>0.2</c:v>
                </c:pt>
                <c:pt idx="3">
                  <c:v>0.5</c:v>
                </c:pt>
                <c:pt idx="4">
                  <c:v>0.9</c:v>
                </c:pt>
                <c:pt idx="5">
                  <c:v>0.2</c:v>
                </c:pt>
                <c:pt idx="6">
                  <c:v>1.1857167005307365</c:v>
                </c:pt>
                <c:pt idx="7">
                  <c:v>0.58925960141774558</c:v>
                </c:pt>
              </c:numCache>
            </c:numRef>
          </c:yVal>
          <c:smooth val="0"/>
          <c:extLst>
            <c:ext xmlns:c16="http://schemas.microsoft.com/office/drawing/2014/chart" uri="{C3380CC4-5D6E-409C-BE32-E72D297353CC}">
              <c16:uniqueId val="{0000000A-5550-E442-86AF-8BED88217DF4}"/>
            </c:ext>
          </c:extLst>
        </c:ser>
        <c:dLbls>
          <c:showLegendKey val="0"/>
          <c:showVal val="0"/>
          <c:showCatName val="0"/>
          <c:showSerName val="0"/>
          <c:showPercent val="0"/>
          <c:showBubbleSize val="0"/>
        </c:dLbls>
        <c:axId val="1310661055"/>
        <c:axId val="1310662767"/>
      </c:scatterChart>
      <c:valAx>
        <c:axId val="13106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2767"/>
        <c:crosses val="autoZero"/>
        <c:crossBetween val="midCat"/>
      </c:valAx>
      <c:valAx>
        <c:axId val="1310662767"/>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params!$B$14</c:f>
              <c:strCache>
                <c:ptCount val="1"/>
                <c:pt idx="0">
                  <c:v>fuelwood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params!$C$14:$J$14</c:f>
              <c:numCache>
                <c:formatCode>0%</c:formatCode>
                <c:ptCount val="8"/>
                <c:pt idx="0">
                  <c:v>0.97499999999999998</c:v>
                </c:pt>
                <c:pt idx="1">
                  <c:v>0.94099999999999995</c:v>
                </c:pt>
                <c:pt idx="2">
                  <c:v>0.96099999999999997</c:v>
                </c:pt>
                <c:pt idx="3">
                  <c:v>0.92200000000000004</c:v>
                </c:pt>
                <c:pt idx="4">
                  <c:v>0.91400000000000003</c:v>
                </c:pt>
                <c:pt idx="5">
                  <c:v>0.92500000000000004</c:v>
                </c:pt>
                <c:pt idx="6">
                  <c:v>0.9093952843680283</c:v>
                </c:pt>
                <c:pt idx="7">
                  <c:v>0.76004607889734932</c:v>
                </c:pt>
              </c:numCache>
            </c:numRef>
          </c:yVal>
          <c:smooth val="0"/>
          <c:extLst>
            <c:ext xmlns:c16="http://schemas.microsoft.com/office/drawing/2014/chart" uri="{C3380CC4-5D6E-409C-BE32-E72D297353CC}">
              <c16:uniqueId val="{00000001-677D-2C4A-A9D4-69820C8581D2}"/>
            </c:ext>
          </c:extLst>
        </c:ser>
        <c:ser>
          <c:idx val="1"/>
          <c:order val="1"/>
          <c:tx>
            <c:strRef>
              <c:f>params!$B$15</c:f>
              <c:strCache>
                <c:ptCount val="1"/>
                <c:pt idx="0">
                  <c:v>charcoal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params!$C$15:$J$15</c:f>
              <c:numCache>
                <c:formatCode>0%</c:formatCode>
                <c:ptCount val="8"/>
                <c:pt idx="0">
                  <c:v>0.02</c:v>
                </c:pt>
                <c:pt idx="1">
                  <c:v>3.7000000000000005E-2</c:v>
                </c:pt>
                <c:pt idx="2">
                  <c:v>2.7000000000000003E-2</c:v>
                </c:pt>
                <c:pt idx="3">
                  <c:v>6.0999999999999999E-2</c:v>
                </c:pt>
                <c:pt idx="4">
                  <c:v>6.9000000000000006E-2</c:v>
                </c:pt>
                <c:pt idx="5">
                  <c:v>7.0000000000000007E-2</c:v>
                </c:pt>
                <c:pt idx="6">
                  <c:v>7.4571708025895564E-2</c:v>
                </c:pt>
                <c:pt idx="7">
                  <c:v>0.23018685204695924</c:v>
                </c:pt>
              </c:numCache>
            </c:numRef>
          </c:yVal>
          <c:smooth val="0"/>
          <c:extLst>
            <c:ext xmlns:c16="http://schemas.microsoft.com/office/drawing/2014/chart" uri="{C3380CC4-5D6E-409C-BE32-E72D297353CC}">
              <c16:uniqueId val="{00000003-677D-2C4A-A9D4-69820C8581D2}"/>
            </c:ext>
          </c:extLst>
        </c:ser>
        <c:ser>
          <c:idx val="2"/>
          <c:order val="2"/>
          <c:tx>
            <c:strRef>
              <c:f>params!$B$16</c:f>
              <c:strCache>
                <c:ptCount val="1"/>
                <c:pt idx="0">
                  <c:v>Imp_fuelwood</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params!$C$16:$J$16</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4-677D-2C4A-A9D4-69820C8581D2}"/>
            </c:ext>
          </c:extLst>
        </c:ser>
        <c:ser>
          <c:idx val="3"/>
          <c:order val="3"/>
          <c:tx>
            <c:strRef>
              <c:f>params!$B$17</c:f>
              <c:strCache>
                <c:ptCount val="1"/>
                <c:pt idx="0">
                  <c:v>Imp_charcoal</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params!$C$17:$J$17</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5-677D-2C4A-A9D4-69820C8581D2}"/>
            </c:ext>
          </c:extLst>
        </c:ser>
        <c:ser>
          <c:idx val="4"/>
          <c:order val="4"/>
          <c:tx>
            <c:strRef>
              <c:f>params!$B$18</c:f>
              <c:strCache>
                <c:ptCount val="1"/>
                <c:pt idx="0">
                  <c:v>Gas</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1"/>
            <c:trendlineLbl>
              <c:layout>
                <c:manualLayout>
                  <c:x val="0.14676886980036585"/>
                  <c:y val="-7.12045551708354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params!$C$18:$J$18</c:f>
              <c:numCache>
                <c:formatCode>0%</c:formatCode>
                <c:ptCount val="8"/>
                <c:pt idx="0">
                  <c:v>0</c:v>
                </c:pt>
                <c:pt idx="1">
                  <c:v>0</c:v>
                </c:pt>
                <c:pt idx="2">
                  <c:v>0</c:v>
                </c:pt>
                <c:pt idx="3">
                  <c:v>1E-3</c:v>
                </c:pt>
                <c:pt idx="4">
                  <c:v>0</c:v>
                </c:pt>
                <c:pt idx="5">
                  <c:v>0</c:v>
                </c:pt>
                <c:pt idx="6">
                  <c:v>0</c:v>
                </c:pt>
                <c:pt idx="7">
                  <c:v>1.5703233961987395E-4</c:v>
                </c:pt>
              </c:numCache>
            </c:numRef>
          </c:yVal>
          <c:smooth val="0"/>
          <c:extLst>
            <c:ext xmlns:c16="http://schemas.microsoft.com/office/drawing/2014/chart" uri="{C3380CC4-5D6E-409C-BE32-E72D297353CC}">
              <c16:uniqueId val="{00000007-677D-2C4A-A9D4-69820C8581D2}"/>
            </c:ext>
          </c:extLst>
        </c:ser>
        <c:ser>
          <c:idx val="5"/>
          <c:order val="5"/>
          <c:tx>
            <c:strRef>
              <c:f>params!$B$19</c:f>
              <c:strCache>
                <c:ptCount val="1"/>
                <c:pt idx="0">
                  <c:v>kerosene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params!$C$19:$J$19</c:f>
              <c:numCache>
                <c:formatCode>0%</c:formatCode>
                <c:ptCount val="8"/>
                <c:pt idx="0">
                  <c:v>0</c:v>
                </c:pt>
                <c:pt idx="1">
                  <c:v>0</c:v>
                </c:pt>
                <c:pt idx="6">
                  <c:v>0</c:v>
                </c:pt>
                <c:pt idx="7">
                  <c:v>0</c:v>
                </c:pt>
              </c:numCache>
            </c:numRef>
          </c:yVal>
          <c:smooth val="0"/>
          <c:extLst>
            <c:ext xmlns:c16="http://schemas.microsoft.com/office/drawing/2014/chart" uri="{C3380CC4-5D6E-409C-BE32-E72D297353CC}">
              <c16:uniqueId val="{00000008-677D-2C4A-A9D4-69820C8581D2}"/>
            </c:ext>
          </c:extLst>
        </c:ser>
        <c:ser>
          <c:idx val="6"/>
          <c:order val="6"/>
          <c:tx>
            <c:strRef>
              <c:f>params!$B$20</c:f>
              <c:strCache>
                <c:ptCount val="1"/>
                <c:pt idx="0">
                  <c:v>electric</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trendline>
            <c:spPr>
              <a:ln w="19050" cap="rnd">
                <a:solidFill>
                  <a:schemeClr val="accent1">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params!$C$20:$J$20</c:f>
              <c:numCache>
                <c:formatCode>0%</c:formatCode>
                <c:ptCount val="8"/>
                <c:pt idx="0">
                  <c:v>3.0000000000000001E-3</c:v>
                </c:pt>
                <c:pt idx="1">
                  <c:v>2E-3</c:v>
                </c:pt>
                <c:pt idx="2">
                  <c:v>6.0000000000000001E-3</c:v>
                </c:pt>
                <c:pt idx="3">
                  <c:v>0.01</c:v>
                </c:pt>
                <c:pt idx="4">
                  <c:v>3.0000000000000001E-3</c:v>
                </c:pt>
                <c:pt idx="5">
                  <c:v>1E-3</c:v>
                </c:pt>
                <c:pt idx="6">
                  <c:v>2.4247783748481489E-3</c:v>
                </c:pt>
                <c:pt idx="7">
                  <c:v>1.9693026578878662E-3</c:v>
                </c:pt>
              </c:numCache>
            </c:numRef>
          </c:yVal>
          <c:smooth val="0"/>
          <c:extLst>
            <c:ext xmlns:c16="http://schemas.microsoft.com/office/drawing/2014/chart" uri="{C3380CC4-5D6E-409C-BE32-E72D297353CC}">
              <c16:uniqueId val="{0000000A-677D-2C4A-A9D4-69820C8581D2}"/>
            </c:ext>
          </c:extLst>
        </c:ser>
        <c:ser>
          <c:idx val="7"/>
          <c:order val="7"/>
          <c:tx>
            <c:strRef>
              <c:f>params!$B$21</c:f>
              <c:strCache>
                <c:ptCount val="1"/>
                <c:pt idx="0">
                  <c:v>pellets</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params!$C$21:$J$21</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B-677D-2C4A-A9D4-69820C8581D2}"/>
            </c:ext>
          </c:extLst>
        </c:ser>
        <c:ser>
          <c:idx val="8"/>
          <c:order val="8"/>
          <c:tx>
            <c:strRef>
              <c:f>params!$B$22</c:f>
              <c:strCache>
                <c:ptCount val="1"/>
                <c:pt idx="0">
                  <c:v>ethanol</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params!$C$22:$J$22</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C-677D-2C4A-A9D4-69820C8581D2}"/>
            </c:ext>
          </c:extLst>
        </c:ser>
        <c:ser>
          <c:idx val="9"/>
          <c:order val="9"/>
          <c:tx>
            <c:strRef>
              <c:f>params!$B$23</c:f>
              <c:strCache>
                <c:ptCount val="1"/>
                <c:pt idx="0">
                  <c:v>biogas</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trendline>
            <c:spPr>
              <a:ln w="19050" cap="rnd">
                <a:solidFill>
                  <a:schemeClr val="accent4">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params!$C$23:$J$23</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E-677D-2C4A-A9D4-69820C8581D2}"/>
            </c:ext>
          </c:extLst>
        </c:ser>
        <c:ser>
          <c:idx val="10"/>
          <c:order val="10"/>
          <c:tx>
            <c:strRef>
              <c:f>params!$B$24</c:f>
              <c:strCache>
                <c:ptCount val="1"/>
                <c:pt idx="0">
                  <c:v>other</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trendline>
            <c:spPr>
              <a:ln w="19050" cap="rnd">
                <a:solidFill>
                  <a:schemeClr val="accent5">
                    <a:lumMod val="60000"/>
                  </a:schemeClr>
                </a:solidFill>
                <a:prstDash val="sysDot"/>
              </a:ln>
              <a:effectLst/>
            </c:spPr>
            <c:trendlineType val="linear"/>
            <c:dispRSqr val="0"/>
            <c:dispEq val="1"/>
            <c:trendlineLbl>
              <c:layout>
                <c:manualLayout>
                  <c:x val="-0.3275737691879424"/>
                  <c:y val="3.56613787397129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params!$C$24:$J$24</c:f>
              <c:numCache>
                <c:formatCode>0%</c:formatCode>
                <c:ptCount val="8"/>
                <c:pt idx="1">
                  <c:v>1.9E-2</c:v>
                </c:pt>
                <c:pt idx="2">
                  <c:v>3.0000000000000001E-3</c:v>
                </c:pt>
                <c:pt idx="3">
                  <c:v>5.0000000000000001E-3</c:v>
                </c:pt>
                <c:pt idx="4">
                  <c:v>1.1000000000000001E-2</c:v>
                </c:pt>
                <c:pt idx="5">
                  <c:v>2E-3</c:v>
                </c:pt>
                <c:pt idx="6">
                  <c:v>1.3608229231231653E-2</c:v>
                </c:pt>
                <c:pt idx="7">
                  <c:v>7.1692612387864764E-3</c:v>
                </c:pt>
              </c:numCache>
            </c:numRef>
          </c:yVal>
          <c:smooth val="0"/>
          <c:extLst>
            <c:ext xmlns:c16="http://schemas.microsoft.com/office/drawing/2014/chart" uri="{C3380CC4-5D6E-409C-BE32-E72D297353CC}">
              <c16:uniqueId val="{00000010-677D-2C4A-A9D4-69820C8581D2}"/>
            </c:ext>
          </c:extLst>
        </c:ser>
        <c:dLbls>
          <c:showLegendKey val="0"/>
          <c:showVal val="0"/>
          <c:showCatName val="0"/>
          <c:showSerName val="0"/>
          <c:showPercent val="0"/>
          <c:showBubbleSize val="0"/>
        </c:dLbls>
        <c:axId val="1310661055"/>
        <c:axId val="1310662767"/>
      </c:scatterChart>
      <c:valAx>
        <c:axId val="13106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2767"/>
        <c:crosses val="autoZero"/>
        <c:crossBetween val="midCat"/>
      </c:valAx>
      <c:valAx>
        <c:axId val="1310662767"/>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params!$A$25</c:f>
              <c:strCache>
                <c:ptCount val="1"/>
                <c:pt idx="0">
                  <c:v>URBAN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params!#REF!</c:f>
              <c:numCache>
                <c:formatCode>General</c:formatCode>
                <c:ptCount val="1"/>
                <c:pt idx="0">
                  <c:v>1</c:v>
                </c:pt>
              </c:numCache>
            </c:numRef>
          </c:yVal>
          <c:smooth val="0"/>
          <c:extLst>
            <c:ext xmlns:c16="http://schemas.microsoft.com/office/drawing/2014/chart" uri="{C3380CC4-5D6E-409C-BE32-E72D297353CC}">
              <c16:uniqueId val="{00000001-B7F8-1447-8A31-888A0B751245}"/>
            </c:ext>
          </c:extLst>
        </c:ser>
        <c:ser>
          <c:idx val="1"/>
          <c:order val="1"/>
          <c:tx>
            <c:strRef>
              <c:f>params!$B$25</c:f>
              <c:strCache>
                <c:ptCount val="1"/>
                <c:pt idx="0">
                  <c:v>fuelwood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params!$C$25:$J$25</c:f>
              <c:numCache>
                <c:formatCode>0%</c:formatCode>
                <c:ptCount val="8"/>
                <c:pt idx="0">
                  <c:v>0.47100000000000003</c:v>
                </c:pt>
                <c:pt idx="1">
                  <c:v>0.36700000000000005</c:v>
                </c:pt>
                <c:pt idx="2">
                  <c:v>0.34600000000000003</c:v>
                </c:pt>
                <c:pt idx="3">
                  <c:v>0.23399999999999999</c:v>
                </c:pt>
                <c:pt idx="4">
                  <c:v>0.23</c:v>
                </c:pt>
                <c:pt idx="5">
                  <c:v>0.17399999999999999</c:v>
                </c:pt>
                <c:pt idx="6">
                  <c:v>0.1884951215033287</c:v>
                </c:pt>
                <c:pt idx="7">
                  <c:v>0.25785095912773393</c:v>
                </c:pt>
              </c:numCache>
            </c:numRef>
          </c:yVal>
          <c:smooth val="0"/>
          <c:extLst>
            <c:ext xmlns:c16="http://schemas.microsoft.com/office/drawing/2014/chart" uri="{C3380CC4-5D6E-409C-BE32-E72D297353CC}">
              <c16:uniqueId val="{00000003-B7F8-1447-8A31-888A0B751245}"/>
            </c:ext>
          </c:extLst>
        </c:ser>
        <c:ser>
          <c:idx val="2"/>
          <c:order val="2"/>
          <c:tx>
            <c:strRef>
              <c:f>params!$B$26</c:f>
              <c:strCache>
                <c:ptCount val="1"/>
                <c:pt idx="0">
                  <c:v>charcoal</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params!$C$26:$J$26</c:f>
              <c:numCache>
                <c:formatCode>0%</c:formatCode>
                <c:ptCount val="8"/>
                <c:pt idx="0">
                  <c:v>0.41399999999999998</c:v>
                </c:pt>
                <c:pt idx="1">
                  <c:v>0.52800000000000002</c:v>
                </c:pt>
                <c:pt idx="2">
                  <c:v>0.54100000000000004</c:v>
                </c:pt>
                <c:pt idx="3">
                  <c:v>0.65300000000000002</c:v>
                </c:pt>
                <c:pt idx="4">
                  <c:v>0.64400000000000002</c:v>
                </c:pt>
                <c:pt idx="5">
                  <c:v>0.72700000000000009</c:v>
                </c:pt>
                <c:pt idx="6">
                  <c:v>0.74566718951597255</c:v>
                </c:pt>
                <c:pt idx="7">
                  <c:v>0.67495276563901774</c:v>
                </c:pt>
              </c:numCache>
            </c:numRef>
          </c:yVal>
          <c:smooth val="0"/>
          <c:extLst>
            <c:ext xmlns:c16="http://schemas.microsoft.com/office/drawing/2014/chart" uri="{C3380CC4-5D6E-409C-BE32-E72D297353CC}">
              <c16:uniqueId val="{00000004-B7F8-1447-8A31-888A0B751245}"/>
            </c:ext>
          </c:extLst>
        </c:ser>
        <c:ser>
          <c:idx val="3"/>
          <c:order val="3"/>
          <c:tx>
            <c:strRef>
              <c:f>params!$B$27</c:f>
              <c:strCache>
                <c:ptCount val="1"/>
                <c:pt idx="0">
                  <c:v>Imp_fuelwood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params!$C$27:$J$27</c:f>
              <c:numCache>
                <c:formatCode>0%</c:formatCode>
                <c:ptCount val="8"/>
                <c:pt idx="0">
                  <c:v>0</c:v>
                </c:pt>
                <c:pt idx="1">
                  <c:v>0</c:v>
                </c:pt>
                <c:pt idx="2">
                  <c:v>0</c:v>
                </c:pt>
                <c:pt idx="3">
                  <c:v>0</c:v>
                </c:pt>
                <c:pt idx="4">
                  <c:v>0</c:v>
                </c:pt>
                <c:pt idx="5">
                  <c:v>0</c:v>
                </c:pt>
                <c:pt idx="6">
                  <c:v>0</c:v>
                </c:pt>
                <c:pt idx="7">
                  <c:v>0.03</c:v>
                </c:pt>
              </c:numCache>
            </c:numRef>
          </c:yVal>
          <c:smooth val="0"/>
          <c:extLst>
            <c:ext xmlns:c16="http://schemas.microsoft.com/office/drawing/2014/chart" uri="{C3380CC4-5D6E-409C-BE32-E72D297353CC}">
              <c16:uniqueId val="{00000005-B7F8-1447-8A31-888A0B751245}"/>
            </c:ext>
          </c:extLst>
        </c:ser>
        <c:ser>
          <c:idx val="4"/>
          <c:order val="4"/>
          <c:tx>
            <c:strRef>
              <c:f>params!$B$28</c:f>
              <c:strCache>
                <c:ptCount val="1"/>
                <c:pt idx="0">
                  <c:v>Imp_charcoal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ysDot"/>
              </a:ln>
              <a:effectLst/>
            </c:spPr>
            <c:trendlineType val="linear"/>
            <c:dispRSqr val="0"/>
            <c:dispEq val="1"/>
            <c:trendlineLbl>
              <c:layout>
                <c:manualLayout>
                  <c:x val="0.14676886980036585"/>
                  <c:y val="-7.120455517083547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params!$C$28:$J$28</c:f>
              <c:numCache>
                <c:formatCode>0%</c:formatCode>
                <c:ptCount val="8"/>
                <c:pt idx="0">
                  <c:v>0</c:v>
                </c:pt>
                <c:pt idx="1">
                  <c:v>0</c:v>
                </c:pt>
                <c:pt idx="2">
                  <c:v>0</c:v>
                </c:pt>
                <c:pt idx="3">
                  <c:v>0</c:v>
                </c:pt>
                <c:pt idx="4">
                  <c:v>0</c:v>
                </c:pt>
                <c:pt idx="5">
                  <c:v>0</c:v>
                </c:pt>
                <c:pt idx="6">
                  <c:v>0</c:v>
                </c:pt>
                <c:pt idx="7">
                  <c:v>0.01</c:v>
                </c:pt>
              </c:numCache>
            </c:numRef>
          </c:yVal>
          <c:smooth val="0"/>
          <c:extLst>
            <c:ext xmlns:c16="http://schemas.microsoft.com/office/drawing/2014/chart" uri="{C3380CC4-5D6E-409C-BE32-E72D297353CC}">
              <c16:uniqueId val="{00000007-B7F8-1447-8A31-888A0B751245}"/>
            </c:ext>
          </c:extLst>
        </c:ser>
        <c:ser>
          <c:idx val="5"/>
          <c:order val="5"/>
          <c:tx>
            <c:strRef>
              <c:f>params!$B$29</c:f>
              <c:strCache>
                <c:ptCount val="1"/>
                <c:pt idx="0">
                  <c:v>Gas</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params!$C$29:$J$29</c:f>
              <c:numCache>
                <c:formatCode>0%</c:formatCode>
                <c:ptCount val="8"/>
                <c:pt idx="0">
                  <c:v>2E-3</c:v>
                </c:pt>
                <c:pt idx="1">
                  <c:v>0</c:v>
                </c:pt>
                <c:pt idx="2">
                  <c:v>1E-3</c:v>
                </c:pt>
                <c:pt idx="3">
                  <c:v>1E-3</c:v>
                </c:pt>
                <c:pt idx="4">
                  <c:v>2E-3</c:v>
                </c:pt>
                <c:pt idx="5">
                  <c:v>2E-3</c:v>
                </c:pt>
                <c:pt idx="6">
                  <c:v>1.9009269587653432E-3</c:v>
                </c:pt>
                <c:pt idx="7">
                  <c:v>7.8620036110144814E-3</c:v>
                </c:pt>
              </c:numCache>
            </c:numRef>
          </c:yVal>
          <c:smooth val="0"/>
          <c:extLst>
            <c:ext xmlns:c16="http://schemas.microsoft.com/office/drawing/2014/chart" uri="{C3380CC4-5D6E-409C-BE32-E72D297353CC}">
              <c16:uniqueId val="{00000008-B7F8-1447-8A31-888A0B751245}"/>
            </c:ext>
          </c:extLst>
        </c:ser>
        <c:ser>
          <c:idx val="6"/>
          <c:order val="6"/>
          <c:tx>
            <c:strRef>
              <c:f>params!$B$30</c:f>
              <c:strCache>
                <c:ptCount val="1"/>
                <c:pt idx="0">
                  <c:v>kerosene</c:v>
                </c:pt>
              </c:strCache>
            </c:strRef>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trendline>
            <c:spPr>
              <a:ln w="19050" cap="rnd">
                <a:solidFill>
                  <a:schemeClr val="accent1">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params!$C$30:$J$30</c:f>
              <c:numCache>
                <c:formatCode>0%</c:formatCode>
                <c:ptCount val="8"/>
                <c:pt idx="0">
                  <c:v>2E-3</c:v>
                </c:pt>
                <c:pt idx="1">
                  <c:v>2E-3</c:v>
                </c:pt>
                <c:pt idx="6">
                  <c:v>0</c:v>
                </c:pt>
                <c:pt idx="7">
                  <c:v>0</c:v>
                </c:pt>
              </c:numCache>
            </c:numRef>
          </c:yVal>
          <c:smooth val="0"/>
          <c:extLst>
            <c:ext xmlns:c16="http://schemas.microsoft.com/office/drawing/2014/chart" uri="{C3380CC4-5D6E-409C-BE32-E72D297353CC}">
              <c16:uniqueId val="{0000000A-B7F8-1447-8A31-888A0B751245}"/>
            </c:ext>
          </c:extLst>
        </c:ser>
        <c:ser>
          <c:idx val="7"/>
          <c:order val="7"/>
          <c:tx>
            <c:strRef>
              <c:f>params!$B$31</c:f>
              <c:strCache>
                <c:ptCount val="1"/>
                <c:pt idx="0">
                  <c:v>electric</c:v>
                </c:pt>
              </c:strCache>
            </c:strRef>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params!$C$31:$J$31</c:f>
              <c:numCache>
                <c:formatCode>0%</c:formatCode>
                <c:ptCount val="8"/>
                <c:pt idx="0">
                  <c:v>0.106</c:v>
                </c:pt>
                <c:pt idx="1">
                  <c:v>9.1999999999999998E-2</c:v>
                </c:pt>
                <c:pt idx="2">
                  <c:v>0.11</c:v>
                </c:pt>
                <c:pt idx="3">
                  <c:v>0.111</c:v>
                </c:pt>
                <c:pt idx="4">
                  <c:v>0.11900000000000001</c:v>
                </c:pt>
                <c:pt idx="5">
                  <c:v>9.5000000000000001E-2</c:v>
                </c:pt>
                <c:pt idx="6">
                  <c:v>6.1102063661659906E-2</c:v>
                </c:pt>
                <c:pt idx="7">
                  <c:v>5.8766145174121924E-2</c:v>
                </c:pt>
              </c:numCache>
            </c:numRef>
          </c:yVal>
          <c:smooth val="0"/>
          <c:extLst>
            <c:ext xmlns:c16="http://schemas.microsoft.com/office/drawing/2014/chart" uri="{C3380CC4-5D6E-409C-BE32-E72D297353CC}">
              <c16:uniqueId val="{0000000B-B7F8-1447-8A31-888A0B751245}"/>
            </c:ext>
          </c:extLst>
        </c:ser>
        <c:ser>
          <c:idx val="8"/>
          <c:order val="8"/>
          <c:tx>
            <c:strRef>
              <c:f>params!$B$32</c:f>
              <c:strCache>
                <c:ptCount val="1"/>
                <c:pt idx="0">
                  <c:v>pellets</c:v>
                </c:pt>
              </c:strCache>
            </c:strRef>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params!$C$32:$J$32</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C-B7F8-1447-8A31-888A0B751245}"/>
            </c:ext>
          </c:extLst>
        </c:ser>
        <c:ser>
          <c:idx val="9"/>
          <c:order val="9"/>
          <c:tx>
            <c:strRef>
              <c:f>params!$B$33</c:f>
              <c:strCache>
                <c:ptCount val="1"/>
                <c:pt idx="0">
                  <c:v>ethanol</c:v>
                </c:pt>
              </c:strCache>
            </c:strRef>
          </c:tx>
          <c:spPr>
            <a:ln w="19050"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trendline>
            <c:spPr>
              <a:ln w="19050" cap="rnd">
                <a:solidFill>
                  <a:schemeClr val="accent4">
                    <a:lumMod val="60000"/>
                  </a:schemeClr>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params!$C$33:$J$33</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E-B7F8-1447-8A31-888A0B751245}"/>
            </c:ext>
          </c:extLst>
        </c:ser>
        <c:ser>
          <c:idx val="10"/>
          <c:order val="10"/>
          <c:tx>
            <c:strRef>
              <c:f>params!$B$34</c:f>
              <c:strCache>
                <c:ptCount val="1"/>
                <c:pt idx="0">
                  <c:v>biogas</c:v>
                </c:pt>
              </c:strCache>
            </c:strRef>
          </c:tx>
          <c:spPr>
            <a:ln w="19050"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trendline>
            <c:spPr>
              <a:ln w="19050" cap="rnd">
                <a:solidFill>
                  <a:schemeClr val="accent5">
                    <a:lumMod val="60000"/>
                  </a:schemeClr>
                </a:solidFill>
                <a:prstDash val="sysDot"/>
              </a:ln>
              <a:effectLst/>
            </c:spPr>
            <c:trendlineType val="linear"/>
            <c:dispRSqr val="0"/>
            <c:dispEq val="1"/>
            <c:trendlineLbl>
              <c:layout>
                <c:manualLayout>
                  <c:x val="-0.3275737691879424"/>
                  <c:y val="3.566137873971299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params!$C$34:$J$34</c:f>
              <c:numCache>
                <c:formatCode>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10-B7F8-1447-8A31-888A0B751245}"/>
            </c:ext>
          </c:extLst>
        </c:ser>
        <c:dLbls>
          <c:showLegendKey val="0"/>
          <c:showVal val="0"/>
          <c:showCatName val="0"/>
          <c:showSerName val="0"/>
          <c:showPercent val="0"/>
          <c:showBubbleSize val="0"/>
        </c:dLbls>
        <c:axId val="1310661055"/>
        <c:axId val="1310662767"/>
      </c:scatterChart>
      <c:valAx>
        <c:axId val="13106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2767"/>
        <c:crosses val="autoZero"/>
        <c:crossBetween val="midCat"/>
      </c:valAx>
      <c:valAx>
        <c:axId val="1310662767"/>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params!$B$14</c:f>
              <c:strCache>
                <c:ptCount val="1"/>
                <c:pt idx="0">
                  <c:v>fuelwood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2067525650202815E-2"/>
                  <c:y val="-0.174093220747782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params!$C$2:$J$2</c:f>
              <c:numCache>
                <c:formatCode>General</c:formatCode>
                <c:ptCount val="8"/>
                <c:pt idx="0">
                  <c:v>2004</c:v>
                </c:pt>
                <c:pt idx="1">
                  <c:v>2010</c:v>
                </c:pt>
                <c:pt idx="2">
                  <c:v>2012</c:v>
                </c:pt>
                <c:pt idx="3">
                  <c:v>2014</c:v>
                </c:pt>
                <c:pt idx="4">
                  <c:v>2015</c:v>
                </c:pt>
                <c:pt idx="5">
                  <c:v>2017</c:v>
                </c:pt>
                <c:pt idx="6">
                  <c:v>2020</c:v>
                </c:pt>
                <c:pt idx="7">
                  <c:v>2024</c:v>
                </c:pt>
              </c:numCache>
            </c:numRef>
          </c:xVal>
          <c:yVal>
            <c:numRef>
              <c:f>params!$C$14:$J$14</c:f>
              <c:numCache>
                <c:formatCode>0%</c:formatCode>
                <c:ptCount val="8"/>
                <c:pt idx="0">
                  <c:v>0.97499999999999998</c:v>
                </c:pt>
                <c:pt idx="1">
                  <c:v>0.94099999999999995</c:v>
                </c:pt>
                <c:pt idx="2">
                  <c:v>0.96099999999999997</c:v>
                </c:pt>
                <c:pt idx="3">
                  <c:v>0.92200000000000004</c:v>
                </c:pt>
                <c:pt idx="4">
                  <c:v>0.91400000000000003</c:v>
                </c:pt>
                <c:pt idx="5">
                  <c:v>0.92500000000000004</c:v>
                </c:pt>
                <c:pt idx="6">
                  <c:v>0.9093952843680283</c:v>
                </c:pt>
                <c:pt idx="7">
                  <c:v>0.76004607889734932</c:v>
                </c:pt>
              </c:numCache>
            </c:numRef>
          </c:yVal>
          <c:smooth val="0"/>
          <c:extLst>
            <c:ext xmlns:c16="http://schemas.microsoft.com/office/drawing/2014/chart" uri="{C3380CC4-5D6E-409C-BE32-E72D297353CC}">
              <c16:uniqueId val="{00000001-0D87-594F-B6EE-0810ACC498FC}"/>
            </c:ext>
          </c:extLst>
        </c:ser>
        <c:dLbls>
          <c:showLegendKey val="0"/>
          <c:showVal val="0"/>
          <c:showCatName val="0"/>
          <c:showSerName val="0"/>
          <c:showPercent val="0"/>
          <c:showBubbleSize val="0"/>
        </c:dLbls>
        <c:axId val="1310661055"/>
        <c:axId val="1310662767"/>
      </c:scatterChart>
      <c:valAx>
        <c:axId val="131066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2767"/>
        <c:crosses val="autoZero"/>
        <c:crossBetween val="midCat"/>
      </c:valAx>
      <c:valAx>
        <c:axId val="1310662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6610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4" Type="http://schemas.openxmlformats.org/officeDocument/2006/relationships/chart" Target="../charts/chart3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5" Type="http://schemas.openxmlformats.org/officeDocument/2006/relationships/image" Target="../media/image1.png"/><Relationship Id="rId4"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8</xdr:col>
      <xdr:colOff>152400</xdr:colOff>
      <xdr:row>2</xdr:row>
      <xdr:rowOff>12700</xdr:rowOff>
    </xdr:from>
    <xdr:to>
      <xdr:col>13</xdr:col>
      <xdr:colOff>596900</xdr:colOff>
      <xdr:row>13</xdr:row>
      <xdr:rowOff>12700</xdr:rowOff>
    </xdr:to>
    <xdr:graphicFrame macro="">
      <xdr:nvGraphicFramePr>
        <xdr:cNvPr id="2" name="Chart 1">
          <a:extLst>
            <a:ext uri="{FF2B5EF4-FFF2-40B4-BE49-F238E27FC236}">
              <a16:creationId xmlns:a16="http://schemas.microsoft.com/office/drawing/2014/main" id="{B176F895-4979-3C41-85F8-E1630743E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152400</xdr:colOff>
      <xdr:row>13</xdr:row>
      <xdr:rowOff>12700</xdr:rowOff>
    </xdr:from>
    <xdr:to>
      <xdr:col>13</xdr:col>
      <xdr:colOff>596900</xdr:colOff>
      <xdr:row>24</xdr:row>
      <xdr:rowOff>25400</xdr:rowOff>
    </xdr:to>
    <xdr:graphicFrame macro="">
      <xdr:nvGraphicFramePr>
        <xdr:cNvPr id="3" name="Chart 2">
          <a:extLst>
            <a:ext uri="{FF2B5EF4-FFF2-40B4-BE49-F238E27FC236}">
              <a16:creationId xmlns:a16="http://schemas.microsoft.com/office/drawing/2014/main" id="{8FB12004-2F77-6342-B2B4-6A88BA1B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24</xdr:row>
      <xdr:rowOff>25400</xdr:rowOff>
    </xdr:from>
    <xdr:to>
      <xdr:col>13</xdr:col>
      <xdr:colOff>596900</xdr:colOff>
      <xdr:row>35</xdr:row>
      <xdr:rowOff>38100</xdr:rowOff>
    </xdr:to>
    <xdr:graphicFrame macro="">
      <xdr:nvGraphicFramePr>
        <xdr:cNvPr id="4" name="Chart 3">
          <a:extLst>
            <a:ext uri="{FF2B5EF4-FFF2-40B4-BE49-F238E27FC236}">
              <a16:creationId xmlns:a16="http://schemas.microsoft.com/office/drawing/2014/main" id="{2120F115-8A9F-3C47-B46D-F794175EE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40</xdr:row>
      <xdr:rowOff>0</xdr:rowOff>
    </xdr:from>
    <xdr:to>
      <xdr:col>13</xdr:col>
      <xdr:colOff>558800</xdr:colOff>
      <xdr:row>51</xdr:row>
      <xdr:rowOff>12700</xdr:rowOff>
    </xdr:to>
    <xdr:graphicFrame macro="">
      <xdr:nvGraphicFramePr>
        <xdr:cNvPr id="11" name="Chart 10">
          <a:extLst>
            <a:ext uri="{FF2B5EF4-FFF2-40B4-BE49-F238E27FC236}">
              <a16:creationId xmlns:a16="http://schemas.microsoft.com/office/drawing/2014/main" id="{2EE262BD-631E-C0F2-744D-8CA2417AE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127000</xdr:colOff>
      <xdr:row>51</xdr:row>
      <xdr:rowOff>0</xdr:rowOff>
    </xdr:from>
    <xdr:to>
      <xdr:col>13</xdr:col>
      <xdr:colOff>571500</xdr:colOff>
      <xdr:row>62</xdr:row>
      <xdr:rowOff>12700</xdr:rowOff>
    </xdr:to>
    <xdr:graphicFrame macro="">
      <xdr:nvGraphicFramePr>
        <xdr:cNvPr id="14" name="Chart 13">
          <a:extLst>
            <a:ext uri="{FF2B5EF4-FFF2-40B4-BE49-F238E27FC236}">
              <a16:creationId xmlns:a16="http://schemas.microsoft.com/office/drawing/2014/main" id="{819A2EDC-8D24-2D44-A779-0C333BA1C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127000</xdr:colOff>
      <xdr:row>62</xdr:row>
      <xdr:rowOff>0</xdr:rowOff>
    </xdr:from>
    <xdr:to>
      <xdr:col>13</xdr:col>
      <xdr:colOff>571500</xdr:colOff>
      <xdr:row>73</xdr:row>
      <xdr:rowOff>12700</xdr:rowOff>
    </xdr:to>
    <xdr:graphicFrame macro="">
      <xdr:nvGraphicFramePr>
        <xdr:cNvPr id="15" name="Chart 14">
          <a:extLst>
            <a:ext uri="{FF2B5EF4-FFF2-40B4-BE49-F238E27FC236}">
              <a16:creationId xmlns:a16="http://schemas.microsoft.com/office/drawing/2014/main" id="{3AAB2681-6396-2D46-BA19-934254E67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40</xdr:row>
      <xdr:rowOff>0</xdr:rowOff>
    </xdr:from>
    <xdr:to>
      <xdr:col>19</xdr:col>
      <xdr:colOff>444500</xdr:colOff>
      <xdr:row>53</xdr:row>
      <xdr:rowOff>88900</xdr:rowOff>
    </xdr:to>
    <xdr:graphicFrame macro="">
      <xdr:nvGraphicFramePr>
        <xdr:cNvPr id="16" name="Chart 15">
          <a:extLst>
            <a:ext uri="{FF2B5EF4-FFF2-40B4-BE49-F238E27FC236}">
              <a16:creationId xmlns:a16="http://schemas.microsoft.com/office/drawing/2014/main" id="{91A36F64-822A-024F-B96F-E55A20379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55</xdr:row>
      <xdr:rowOff>0</xdr:rowOff>
    </xdr:from>
    <xdr:to>
      <xdr:col>19</xdr:col>
      <xdr:colOff>444500</xdr:colOff>
      <xdr:row>68</xdr:row>
      <xdr:rowOff>88900</xdr:rowOff>
    </xdr:to>
    <xdr:graphicFrame macro="">
      <xdr:nvGraphicFramePr>
        <xdr:cNvPr id="5" name="Chart 4">
          <a:extLst>
            <a:ext uri="{FF2B5EF4-FFF2-40B4-BE49-F238E27FC236}">
              <a16:creationId xmlns:a16="http://schemas.microsoft.com/office/drawing/2014/main" id="{200F1D75-B4CD-634E-90D2-9632727C7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0</xdr:colOff>
      <xdr:row>70</xdr:row>
      <xdr:rowOff>0</xdr:rowOff>
    </xdr:from>
    <xdr:to>
      <xdr:col>19</xdr:col>
      <xdr:colOff>444500</xdr:colOff>
      <xdr:row>83</xdr:row>
      <xdr:rowOff>88900</xdr:rowOff>
    </xdr:to>
    <xdr:graphicFrame macro="">
      <xdr:nvGraphicFramePr>
        <xdr:cNvPr id="6" name="Chart 5">
          <a:extLst>
            <a:ext uri="{FF2B5EF4-FFF2-40B4-BE49-F238E27FC236}">
              <a16:creationId xmlns:a16="http://schemas.microsoft.com/office/drawing/2014/main" id="{37AF6E8B-11C0-A749-9917-EC9C04737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78</xdr:row>
      <xdr:rowOff>0</xdr:rowOff>
    </xdr:from>
    <xdr:to>
      <xdr:col>14</xdr:col>
      <xdr:colOff>444500</xdr:colOff>
      <xdr:row>89</xdr:row>
      <xdr:rowOff>12700</xdr:rowOff>
    </xdr:to>
    <xdr:graphicFrame macro="">
      <xdr:nvGraphicFramePr>
        <xdr:cNvPr id="12" name="Chart 11">
          <a:extLst>
            <a:ext uri="{FF2B5EF4-FFF2-40B4-BE49-F238E27FC236}">
              <a16:creationId xmlns:a16="http://schemas.microsoft.com/office/drawing/2014/main" id="{61ACC067-DE82-A948-8F0E-012913246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37</xdr:col>
      <xdr:colOff>0</xdr:colOff>
      <xdr:row>36</xdr:row>
      <xdr:rowOff>0</xdr:rowOff>
    </xdr:from>
    <xdr:to>
      <xdr:col>42</xdr:col>
      <xdr:colOff>444500</xdr:colOff>
      <xdr:row>48</xdr:row>
      <xdr:rowOff>0</xdr:rowOff>
    </xdr:to>
    <xdr:graphicFrame macro="">
      <xdr:nvGraphicFramePr>
        <xdr:cNvPr id="2" name="Chart 1">
          <a:extLst>
            <a:ext uri="{FF2B5EF4-FFF2-40B4-BE49-F238E27FC236}">
              <a16:creationId xmlns:a16="http://schemas.microsoft.com/office/drawing/2014/main" id="{1AF3E753-4F77-D983-3892-7F0F3FA26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0</xdr:colOff>
      <xdr:row>1</xdr:row>
      <xdr:rowOff>0</xdr:rowOff>
    </xdr:from>
    <xdr:to>
      <xdr:col>42</xdr:col>
      <xdr:colOff>444500</xdr:colOff>
      <xdr:row>14</xdr:row>
      <xdr:rowOff>0</xdr:rowOff>
    </xdr:to>
    <xdr:graphicFrame macro="">
      <xdr:nvGraphicFramePr>
        <xdr:cNvPr id="3" name="Chart 2">
          <a:extLst>
            <a:ext uri="{FF2B5EF4-FFF2-40B4-BE49-F238E27FC236}">
              <a16:creationId xmlns:a16="http://schemas.microsoft.com/office/drawing/2014/main" id="{E2FBA49C-E0ED-D542-BE5B-E3163BCB9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48</xdr:col>
      <xdr:colOff>419100</xdr:colOff>
      <xdr:row>35</xdr:row>
      <xdr:rowOff>203200</xdr:rowOff>
    </xdr:from>
    <xdr:to>
      <xdr:col>54</xdr:col>
      <xdr:colOff>38100</xdr:colOff>
      <xdr:row>47</xdr:row>
      <xdr:rowOff>203200</xdr:rowOff>
    </xdr:to>
    <xdr:graphicFrame macro="">
      <xdr:nvGraphicFramePr>
        <xdr:cNvPr id="2" name="Chart 1">
          <a:extLst>
            <a:ext uri="{FF2B5EF4-FFF2-40B4-BE49-F238E27FC236}">
              <a16:creationId xmlns:a16="http://schemas.microsoft.com/office/drawing/2014/main" id="{816D003B-12D6-C741-8706-A3DDF42B5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381000</xdr:colOff>
      <xdr:row>1</xdr:row>
      <xdr:rowOff>50800</xdr:rowOff>
    </xdr:from>
    <xdr:to>
      <xdr:col>54</xdr:col>
      <xdr:colOff>0</xdr:colOff>
      <xdr:row>12</xdr:row>
      <xdr:rowOff>50800</xdr:rowOff>
    </xdr:to>
    <xdr:graphicFrame macro="">
      <xdr:nvGraphicFramePr>
        <xdr:cNvPr id="3" name="Chart 2">
          <a:extLst>
            <a:ext uri="{FF2B5EF4-FFF2-40B4-BE49-F238E27FC236}">
              <a16:creationId xmlns:a16="http://schemas.microsoft.com/office/drawing/2014/main" id="{0BDC37C5-6B3D-8240-9A76-A9CA5099E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381000</xdr:colOff>
      <xdr:row>12</xdr:row>
      <xdr:rowOff>50800</xdr:rowOff>
    </xdr:from>
    <xdr:to>
      <xdr:col>54</xdr:col>
      <xdr:colOff>0</xdr:colOff>
      <xdr:row>23</xdr:row>
      <xdr:rowOff>50800</xdr:rowOff>
    </xdr:to>
    <xdr:graphicFrame macro="">
      <xdr:nvGraphicFramePr>
        <xdr:cNvPr id="4" name="Chart 3">
          <a:extLst>
            <a:ext uri="{FF2B5EF4-FFF2-40B4-BE49-F238E27FC236}">
              <a16:creationId xmlns:a16="http://schemas.microsoft.com/office/drawing/2014/main" id="{77C60F09-717C-AE49-85E0-C9EF72C2C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381000</xdr:colOff>
      <xdr:row>23</xdr:row>
      <xdr:rowOff>50800</xdr:rowOff>
    </xdr:from>
    <xdr:to>
      <xdr:col>54</xdr:col>
      <xdr:colOff>0</xdr:colOff>
      <xdr:row>34</xdr:row>
      <xdr:rowOff>50800</xdr:rowOff>
    </xdr:to>
    <xdr:graphicFrame macro="">
      <xdr:nvGraphicFramePr>
        <xdr:cNvPr id="5" name="Chart 4">
          <a:extLst>
            <a:ext uri="{FF2B5EF4-FFF2-40B4-BE49-F238E27FC236}">
              <a16:creationId xmlns:a16="http://schemas.microsoft.com/office/drawing/2014/main" id="{18463701-B94A-9446-ADA5-A40DAE90E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48</xdr:col>
      <xdr:colOff>381000</xdr:colOff>
      <xdr:row>47</xdr:row>
      <xdr:rowOff>203200</xdr:rowOff>
    </xdr:from>
    <xdr:to>
      <xdr:col>54</xdr:col>
      <xdr:colOff>0</xdr:colOff>
      <xdr:row>59</xdr:row>
      <xdr:rowOff>190500</xdr:rowOff>
    </xdr:to>
    <xdr:graphicFrame macro="">
      <xdr:nvGraphicFramePr>
        <xdr:cNvPr id="6" name="Chart 5">
          <a:extLst>
            <a:ext uri="{FF2B5EF4-FFF2-40B4-BE49-F238E27FC236}">
              <a16:creationId xmlns:a16="http://schemas.microsoft.com/office/drawing/2014/main" id="{675FA8B5-B53C-5546-B5DA-F4618D7CB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381000</xdr:colOff>
      <xdr:row>59</xdr:row>
      <xdr:rowOff>190500</xdr:rowOff>
    </xdr:from>
    <xdr:to>
      <xdr:col>54</xdr:col>
      <xdr:colOff>0</xdr:colOff>
      <xdr:row>71</xdr:row>
      <xdr:rowOff>190500</xdr:rowOff>
    </xdr:to>
    <xdr:graphicFrame macro="">
      <xdr:nvGraphicFramePr>
        <xdr:cNvPr id="7" name="Chart 6">
          <a:extLst>
            <a:ext uri="{FF2B5EF4-FFF2-40B4-BE49-F238E27FC236}">
              <a16:creationId xmlns:a16="http://schemas.microsoft.com/office/drawing/2014/main" id="{14D1CBA7-65A6-7F49-B4FF-9734987D3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46</xdr:col>
      <xdr:colOff>0</xdr:colOff>
      <xdr:row>1</xdr:row>
      <xdr:rowOff>0</xdr:rowOff>
    </xdr:from>
    <xdr:to>
      <xdr:col>51</xdr:col>
      <xdr:colOff>444500</xdr:colOff>
      <xdr:row>12</xdr:row>
      <xdr:rowOff>0</xdr:rowOff>
    </xdr:to>
    <xdr:graphicFrame macro="">
      <xdr:nvGraphicFramePr>
        <xdr:cNvPr id="2" name="Chart 1">
          <a:extLst>
            <a:ext uri="{FF2B5EF4-FFF2-40B4-BE49-F238E27FC236}">
              <a16:creationId xmlns:a16="http://schemas.microsoft.com/office/drawing/2014/main" id="{A94B6463-F2BF-0D41-9121-7217C3057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0</xdr:colOff>
      <xdr:row>12</xdr:row>
      <xdr:rowOff>0</xdr:rowOff>
    </xdr:from>
    <xdr:to>
      <xdr:col>51</xdr:col>
      <xdr:colOff>444500</xdr:colOff>
      <xdr:row>23</xdr:row>
      <xdr:rowOff>0</xdr:rowOff>
    </xdr:to>
    <xdr:graphicFrame macro="">
      <xdr:nvGraphicFramePr>
        <xdr:cNvPr id="3" name="Chart 2">
          <a:extLst>
            <a:ext uri="{FF2B5EF4-FFF2-40B4-BE49-F238E27FC236}">
              <a16:creationId xmlns:a16="http://schemas.microsoft.com/office/drawing/2014/main" id="{2E870FA9-5A63-0241-8AC7-FAA14D6B2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46</xdr:col>
      <xdr:colOff>0</xdr:colOff>
      <xdr:row>23</xdr:row>
      <xdr:rowOff>0</xdr:rowOff>
    </xdr:from>
    <xdr:to>
      <xdr:col>51</xdr:col>
      <xdr:colOff>444500</xdr:colOff>
      <xdr:row>34</xdr:row>
      <xdr:rowOff>0</xdr:rowOff>
    </xdr:to>
    <xdr:graphicFrame macro="">
      <xdr:nvGraphicFramePr>
        <xdr:cNvPr id="4" name="Chart 3">
          <a:extLst>
            <a:ext uri="{FF2B5EF4-FFF2-40B4-BE49-F238E27FC236}">
              <a16:creationId xmlns:a16="http://schemas.microsoft.com/office/drawing/2014/main" id="{89673F58-D90F-444E-BB41-6A4B4904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53</xdr:col>
      <xdr:colOff>476250</xdr:colOff>
      <xdr:row>2</xdr:row>
      <xdr:rowOff>139706</xdr:rowOff>
    </xdr:from>
    <xdr:to>
      <xdr:col>59</xdr:col>
      <xdr:colOff>95250</xdr:colOff>
      <xdr:row>16</xdr:row>
      <xdr:rowOff>25406</xdr:rowOff>
    </xdr:to>
    <xdr:graphicFrame macro="">
      <xdr:nvGraphicFramePr>
        <xdr:cNvPr id="2" name="Chart 1">
          <a:extLst>
            <a:ext uri="{FF2B5EF4-FFF2-40B4-BE49-F238E27FC236}">
              <a16:creationId xmlns:a16="http://schemas.microsoft.com/office/drawing/2014/main" id="{3780CE4C-06E4-A3C1-F7AC-1D6D3A5C0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0</xdr:colOff>
      <xdr:row>38</xdr:row>
      <xdr:rowOff>0</xdr:rowOff>
    </xdr:from>
    <xdr:to>
      <xdr:col>59</xdr:col>
      <xdr:colOff>444500</xdr:colOff>
      <xdr:row>51</xdr:row>
      <xdr:rowOff>76200</xdr:rowOff>
    </xdr:to>
    <xdr:graphicFrame macro="">
      <xdr:nvGraphicFramePr>
        <xdr:cNvPr id="3" name="Chart 2">
          <a:extLst>
            <a:ext uri="{FF2B5EF4-FFF2-40B4-BE49-F238E27FC236}">
              <a16:creationId xmlns:a16="http://schemas.microsoft.com/office/drawing/2014/main" id="{75969CA3-C723-E942-8206-921A770E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0</xdr:colOff>
      <xdr:row>76</xdr:row>
      <xdr:rowOff>0</xdr:rowOff>
    </xdr:from>
    <xdr:to>
      <xdr:col>59</xdr:col>
      <xdr:colOff>444500</xdr:colOff>
      <xdr:row>89</xdr:row>
      <xdr:rowOff>76200</xdr:rowOff>
    </xdr:to>
    <xdr:graphicFrame macro="">
      <xdr:nvGraphicFramePr>
        <xdr:cNvPr id="4" name="Chart 3">
          <a:extLst>
            <a:ext uri="{FF2B5EF4-FFF2-40B4-BE49-F238E27FC236}">
              <a16:creationId xmlns:a16="http://schemas.microsoft.com/office/drawing/2014/main" id="{2AE1FCA3-ACC2-AA4D-9F8D-DC379AA0A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25</xdr:col>
      <xdr:colOff>438150</xdr:colOff>
      <xdr:row>1</xdr:row>
      <xdr:rowOff>82550</xdr:rowOff>
    </xdr:from>
    <xdr:to>
      <xdr:col>31</xdr:col>
      <xdr:colOff>57150</xdr:colOff>
      <xdr:row>13</xdr:row>
      <xdr:rowOff>0</xdr:rowOff>
    </xdr:to>
    <xdr:graphicFrame macro="">
      <xdr:nvGraphicFramePr>
        <xdr:cNvPr id="2" name="Chart 1">
          <a:extLst>
            <a:ext uri="{FF2B5EF4-FFF2-40B4-BE49-F238E27FC236}">
              <a16:creationId xmlns:a16="http://schemas.microsoft.com/office/drawing/2014/main" id="{DDBFC1AA-86AD-0398-C629-F4CB8BB76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508000</xdr:colOff>
      <xdr:row>15</xdr:row>
      <xdr:rowOff>0</xdr:rowOff>
    </xdr:from>
    <xdr:to>
      <xdr:col>31</xdr:col>
      <xdr:colOff>127000</xdr:colOff>
      <xdr:row>26</xdr:row>
      <xdr:rowOff>120650</xdr:rowOff>
    </xdr:to>
    <xdr:graphicFrame macro="">
      <xdr:nvGraphicFramePr>
        <xdr:cNvPr id="3" name="Chart 2">
          <a:extLst>
            <a:ext uri="{FF2B5EF4-FFF2-40B4-BE49-F238E27FC236}">
              <a16:creationId xmlns:a16="http://schemas.microsoft.com/office/drawing/2014/main" id="{FCE87000-A751-0D47-A17D-6D47E3811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0</xdr:colOff>
      <xdr:row>7</xdr:row>
      <xdr:rowOff>0</xdr:rowOff>
    </xdr:from>
    <xdr:to>
      <xdr:col>40</xdr:col>
      <xdr:colOff>444500</xdr:colOff>
      <xdr:row>18</xdr:row>
      <xdr:rowOff>120650</xdr:rowOff>
    </xdr:to>
    <xdr:graphicFrame macro="">
      <xdr:nvGraphicFramePr>
        <xdr:cNvPr id="4" name="Chart 3">
          <a:extLst>
            <a:ext uri="{FF2B5EF4-FFF2-40B4-BE49-F238E27FC236}">
              <a16:creationId xmlns:a16="http://schemas.microsoft.com/office/drawing/2014/main" id="{974044AE-3FB3-074B-B488-354CF5E6E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39</xdr:col>
      <xdr:colOff>812800</xdr:colOff>
      <xdr:row>23</xdr:row>
      <xdr:rowOff>0</xdr:rowOff>
    </xdr:from>
    <xdr:to>
      <xdr:col>45</xdr:col>
      <xdr:colOff>431800</xdr:colOff>
      <xdr:row>34</xdr:row>
      <xdr:rowOff>0</xdr:rowOff>
    </xdr:to>
    <xdr:graphicFrame macro="">
      <xdr:nvGraphicFramePr>
        <xdr:cNvPr id="2" name="Chart 1">
          <a:extLst>
            <a:ext uri="{FF2B5EF4-FFF2-40B4-BE49-F238E27FC236}">
              <a16:creationId xmlns:a16="http://schemas.microsoft.com/office/drawing/2014/main" id="{D6F40308-CEA2-9642-B9FA-E026679EF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812800</xdr:colOff>
      <xdr:row>59</xdr:row>
      <xdr:rowOff>139700</xdr:rowOff>
    </xdr:from>
    <xdr:to>
      <xdr:col>45</xdr:col>
      <xdr:colOff>431800</xdr:colOff>
      <xdr:row>71</xdr:row>
      <xdr:rowOff>139700</xdr:rowOff>
    </xdr:to>
    <xdr:graphicFrame macro="">
      <xdr:nvGraphicFramePr>
        <xdr:cNvPr id="3" name="Chart 2">
          <a:extLst>
            <a:ext uri="{FF2B5EF4-FFF2-40B4-BE49-F238E27FC236}">
              <a16:creationId xmlns:a16="http://schemas.microsoft.com/office/drawing/2014/main" id="{DE7F9E53-FC1F-A84F-91F8-F8836C166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762000</xdr:colOff>
      <xdr:row>36</xdr:row>
      <xdr:rowOff>165100</xdr:rowOff>
    </xdr:from>
    <xdr:to>
      <xdr:col>45</xdr:col>
      <xdr:colOff>381000</xdr:colOff>
      <xdr:row>48</xdr:row>
      <xdr:rowOff>165100</xdr:rowOff>
    </xdr:to>
    <xdr:graphicFrame macro="">
      <xdr:nvGraphicFramePr>
        <xdr:cNvPr id="4" name="Chart 3">
          <a:extLst>
            <a:ext uri="{FF2B5EF4-FFF2-40B4-BE49-F238E27FC236}">
              <a16:creationId xmlns:a16="http://schemas.microsoft.com/office/drawing/2014/main" id="{BDE2EFD3-ADF6-1A45-99FE-92E4D171B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39</xdr:col>
      <xdr:colOff>762000</xdr:colOff>
      <xdr:row>48</xdr:row>
      <xdr:rowOff>139700</xdr:rowOff>
    </xdr:from>
    <xdr:to>
      <xdr:col>45</xdr:col>
      <xdr:colOff>381000</xdr:colOff>
      <xdr:row>60</xdr:row>
      <xdr:rowOff>139700</xdr:rowOff>
    </xdr:to>
    <xdr:graphicFrame macro="">
      <xdr:nvGraphicFramePr>
        <xdr:cNvPr id="5" name="Chart 4">
          <a:extLst>
            <a:ext uri="{FF2B5EF4-FFF2-40B4-BE49-F238E27FC236}">
              <a16:creationId xmlns:a16="http://schemas.microsoft.com/office/drawing/2014/main" id="{A167839C-9B54-D94D-9502-0D86BFA25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12700</xdr:colOff>
      <xdr:row>1</xdr:row>
      <xdr:rowOff>38100</xdr:rowOff>
    </xdr:from>
    <xdr:to>
      <xdr:col>45</xdr:col>
      <xdr:colOff>457200</xdr:colOff>
      <xdr:row>12</xdr:row>
      <xdr:rowOff>38100</xdr:rowOff>
    </xdr:to>
    <xdr:graphicFrame macro="">
      <xdr:nvGraphicFramePr>
        <xdr:cNvPr id="6" name="Chart 5">
          <a:extLst>
            <a:ext uri="{FF2B5EF4-FFF2-40B4-BE49-F238E27FC236}">
              <a16:creationId xmlns:a16="http://schemas.microsoft.com/office/drawing/2014/main" id="{E1622E69-6257-2949-8089-1BE1A4321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0</xdr:colOff>
      <xdr:row>11</xdr:row>
      <xdr:rowOff>203200</xdr:rowOff>
    </xdr:from>
    <xdr:to>
      <xdr:col>45</xdr:col>
      <xdr:colOff>444500</xdr:colOff>
      <xdr:row>22</xdr:row>
      <xdr:rowOff>203200</xdr:rowOff>
    </xdr:to>
    <xdr:graphicFrame macro="">
      <xdr:nvGraphicFramePr>
        <xdr:cNvPr id="7" name="Chart 6">
          <a:extLst>
            <a:ext uri="{FF2B5EF4-FFF2-40B4-BE49-F238E27FC236}">
              <a16:creationId xmlns:a16="http://schemas.microsoft.com/office/drawing/2014/main" id="{DF2E42C4-4747-D948-B567-87EB11623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37</xdr:col>
      <xdr:colOff>127006</xdr:colOff>
      <xdr:row>38</xdr:row>
      <xdr:rowOff>190500</xdr:rowOff>
    </xdr:from>
    <xdr:to>
      <xdr:col>42</xdr:col>
      <xdr:colOff>571506</xdr:colOff>
      <xdr:row>49</xdr:row>
      <xdr:rowOff>203200</xdr:rowOff>
    </xdr:to>
    <xdr:graphicFrame macro="">
      <xdr:nvGraphicFramePr>
        <xdr:cNvPr id="3" name="Chart 2">
          <a:extLst>
            <a:ext uri="{FF2B5EF4-FFF2-40B4-BE49-F238E27FC236}">
              <a16:creationId xmlns:a16="http://schemas.microsoft.com/office/drawing/2014/main" id="{B1BB5835-91BE-46A1-19E8-BC5DE10EF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127000</xdr:colOff>
      <xdr:row>50</xdr:row>
      <xdr:rowOff>0</xdr:rowOff>
    </xdr:from>
    <xdr:to>
      <xdr:col>42</xdr:col>
      <xdr:colOff>571500</xdr:colOff>
      <xdr:row>61</xdr:row>
      <xdr:rowOff>12700</xdr:rowOff>
    </xdr:to>
    <xdr:graphicFrame macro="">
      <xdr:nvGraphicFramePr>
        <xdr:cNvPr id="5" name="Chart 4">
          <a:extLst>
            <a:ext uri="{FF2B5EF4-FFF2-40B4-BE49-F238E27FC236}">
              <a16:creationId xmlns:a16="http://schemas.microsoft.com/office/drawing/2014/main" id="{EB69EDCF-EEE3-1D47-9580-13A8E8029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127000</xdr:colOff>
      <xdr:row>61</xdr:row>
      <xdr:rowOff>0</xdr:rowOff>
    </xdr:from>
    <xdr:to>
      <xdr:col>42</xdr:col>
      <xdr:colOff>571500</xdr:colOff>
      <xdr:row>72</xdr:row>
      <xdr:rowOff>12700</xdr:rowOff>
    </xdr:to>
    <xdr:graphicFrame macro="">
      <xdr:nvGraphicFramePr>
        <xdr:cNvPr id="6" name="Chart 5">
          <a:extLst>
            <a:ext uri="{FF2B5EF4-FFF2-40B4-BE49-F238E27FC236}">
              <a16:creationId xmlns:a16="http://schemas.microsoft.com/office/drawing/2014/main" id="{CF05AF0A-ACE1-3D4C-8154-21CE9FE6E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0</xdr:colOff>
      <xdr:row>1</xdr:row>
      <xdr:rowOff>0</xdr:rowOff>
    </xdr:from>
    <xdr:to>
      <xdr:col>42</xdr:col>
      <xdr:colOff>444500</xdr:colOff>
      <xdr:row>12</xdr:row>
      <xdr:rowOff>12700</xdr:rowOff>
    </xdr:to>
    <xdr:graphicFrame macro="">
      <xdr:nvGraphicFramePr>
        <xdr:cNvPr id="2" name="Chart 1">
          <a:extLst>
            <a:ext uri="{FF2B5EF4-FFF2-40B4-BE49-F238E27FC236}">
              <a16:creationId xmlns:a16="http://schemas.microsoft.com/office/drawing/2014/main" id="{FB246673-497B-B64F-8521-0A2E6DC47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12</xdr:row>
      <xdr:rowOff>0</xdr:rowOff>
    </xdr:from>
    <xdr:to>
      <xdr:col>42</xdr:col>
      <xdr:colOff>444500</xdr:colOff>
      <xdr:row>23</xdr:row>
      <xdr:rowOff>12700</xdr:rowOff>
    </xdr:to>
    <xdr:graphicFrame macro="">
      <xdr:nvGraphicFramePr>
        <xdr:cNvPr id="4" name="Chart 3">
          <a:extLst>
            <a:ext uri="{FF2B5EF4-FFF2-40B4-BE49-F238E27FC236}">
              <a16:creationId xmlns:a16="http://schemas.microsoft.com/office/drawing/2014/main" id="{F40A93C1-07C7-5845-A5E3-8EEBE76DB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0</xdr:colOff>
      <xdr:row>23</xdr:row>
      <xdr:rowOff>0</xdr:rowOff>
    </xdr:from>
    <xdr:to>
      <xdr:col>42</xdr:col>
      <xdr:colOff>444500</xdr:colOff>
      <xdr:row>34</xdr:row>
      <xdr:rowOff>12700</xdr:rowOff>
    </xdr:to>
    <xdr:graphicFrame macro="">
      <xdr:nvGraphicFramePr>
        <xdr:cNvPr id="7" name="Chart 6">
          <a:extLst>
            <a:ext uri="{FF2B5EF4-FFF2-40B4-BE49-F238E27FC236}">
              <a16:creationId xmlns:a16="http://schemas.microsoft.com/office/drawing/2014/main" id="{29B57594-B8A9-BE44-A1E4-C46F72421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53</xdr:col>
      <xdr:colOff>736600</xdr:colOff>
      <xdr:row>15</xdr:row>
      <xdr:rowOff>63500</xdr:rowOff>
    </xdr:from>
    <xdr:to>
      <xdr:col>59</xdr:col>
      <xdr:colOff>355600</xdr:colOff>
      <xdr:row>26</xdr:row>
      <xdr:rowOff>76200</xdr:rowOff>
    </xdr:to>
    <xdr:graphicFrame macro="">
      <xdr:nvGraphicFramePr>
        <xdr:cNvPr id="8" name="Chart 7">
          <a:extLst>
            <a:ext uri="{FF2B5EF4-FFF2-40B4-BE49-F238E27FC236}">
              <a16:creationId xmlns:a16="http://schemas.microsoft.com/office/drawing/2014/main" id="{1AEDDF1B-448D-F74F-8C27-4EF31BF79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37</xdr:col>
      <xdr:colOff>127006</xdr:colOff>
      <xdr:row>38</xdr:row>
      <xdr:rowOff>190500</xdr:rowOff>
    </xdr:from>
    <xdr:to>
      <xdr:col>42</xdr:col>
      <xdr:colOff>571506</xdr:colOff>
      <xdr:row>49</xdr:row>
      <xdr:rowOff>203200</xdr:rowOff>
    </xdr:to>
    <xdr:graphicFrame macro="">
      <xdr:nvGraphicFramePr>
        <xdr:cNvPr id="2" name="Chart 1">
          <a:extLst>
            <a:ext uri="{FF2B5EF4-FFF2-40B4-BE49-F238E27FC236}">
              <a16:creationId xmlns:a16="http://schemas.microsoft.com/office/drawing/2014/main" id="{8E10A811-DB03-FD42-AF27-49106BD9D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127000</xdr:colOff>
      <xdr:row>50</xdr:row>
      <xdr:rowOff>0</xdr:rowOff>
    </xdr:from>
    <xdr:to>
      <xdr:col>42</xdr:col>
      <xdr:colOff>571500</xdr:colOff>
      <xdr:row>61</xdr:row>
      <xdr:rowOff>12700</xdr:rowOff>
    </xdr:to>
    <xdr:graphicFrame macro="">
      <xdr:nvGraphicFramePr>
        <xdr:cNvPr id="3" name="Chart 2">
          <a:extLst>
            <a:ext uri="{FF2B5EF4-FFF2-40B4-BE49-F238E27FC236}">
              <a16:creationId xmlns:a16="http://schemas.microsoft.com/office/drawing/2014/main" id="{0D6A71EB-A4EE-9F4B-A06E-09B7EE69C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127000</xdr:colOff>
      <xdr:row>61</xdr:row>
      <xdr:rowOff>0</xdr:rowOff>
    </xdr:from>
    <xdr:to>
      <xdr:col>42</xdr:col>
      <xdr:colOff>571500</xdr:colOff>
      <xdr:row>72</xdr:row>
      <xdr:rowOff>12700</xdr:rowOff>
    </xdr:to>
    <xdr:graphicFrame macro="">
      <xdr:nvGraphicFramePr>
        <xdr:cNvPr id="4" name="Chart 3">
          <a:extLst>
            <a:ext uri="{FF2B5EF4-FFF2-40B4-BE49-F238E27FC236}">
              <a16:creationId xmlns:a16="http://schemas.microsoft.com/office/drawing/2014/main" id="{C858205C-DA2B-E345-BC17-6952C9318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0</xdr:colOff>
      <xdr:row>1</xdr:row>
      <xdr:rowOff>0</xdr:rowOff>
    </xdr:from>
    <xdr:to>
      <xdr:col>42</xdr:col>
      <xdr:colOff>444500</xdr:colOff>
      <xdr:row>12</xdr:row>
      <xdr:rowOff>12700</xdr:rowOff>
    </xdr:to>
    <xdr:graphicFrame macro="">
      <xdr:nvGraphicFramePr>
        <xdr:cNvPr id="5" name="Chart 4">
          <a:extLst>
            <a:ext uri="{FF2B5EF4-FFF2-40B4-BE49-F238E27FC236}">
              <a16:creationId xmlns:a16="http://schemas.microsoft.com/office/drawing/2014/main" id="{1E98D6CA-1679-C44C-BBC8-DBD0C3A37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12</xdr:row>
      <xdr:rowOff>0</xdr:rowOff>
    </xdr:from>
    <xdr:to>
      <xdr:col>42</xdr:col>
      <xdr:colOff>444500</xdr:colOff>
      <xdr:row>23</xdr:row>
      <xdr:rowOff>12700</xdr:rowOff>
    </xdr:to>
    <xdr:graphicFrame macro="">
      <xdr:nvGraphicFramePr>
        <xdr:cNvPr id="6" name="Chart 5">
          <a:extLst>
            <a:ext uri="{FF2B5EF4-FFF2-40B4-BE49-F238E27FC236}">
              <a16:creationId xmlns:a16="http://schemas.microsoft.com/office/drawing/2014/main" id="{4D519650-09DF-034A-BD0E-610ECA56A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0</xdr:colOff>
      <xdr:row>23</xdr:row>
      <xdr:rowOff>0</xdr:rowOff>
    </xdr:from>
    <xdr:to>
      <xdr:col>42</xdr:col>
      <xdr:colOff>444500</xdr:colOff>
      <xdr:row>34</xdr:row>
      <xdr:rowOff>12700</xdr:rowOff>
    </xdr:to>
    <xdr:graphicFrame macro="">
      <xdr:nvGraphicFramePr>
        <xdr:cNvPr id="7" name="Chart 6">
          <a:extLst>
            <a:ext uri="{FF2B5EF4-FFF2-40B4-BE49-F238E27FC236}">
              <a16:creationId xmlns:a16="http://schemas.microsoft.com/office/drawing/2014/main" id="{DCFFE5CB-8F99-7240-91E8-29306BE66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9</xdr:col>
      <xdr:colOff>190500</xdr:colOff>
      <xdr:row>5</xdr:row>
      <xdr:rowOff>76200</xdr:rowOff>
    </xdr:from>
    <xdr:to>
      <xdr:col>13</xdr:col>
      <xdr:colOff>762000</xdr:colOff>
      <xdr:row>16</xdr:row>
      <xdr:rowOff>116416</xdr:rowOff>
    </xdr:to>
    <xdr:graphicFrame macro="">
      <xdr:nvGraphicFramePr>
        <xdr:cNvPr id="4" name="Chart 3">
          <a:extLst>
            <a:ext uri="{FF2B5EF4-FFF2-40B4-BE49-F238E27FC236}">
              <a16:creationId xmlns:a16="http://schemas.microsoft.com/office/drawing/2014/main" id="{D27065A6-BDC1-7F48-82F3-27D7D31EA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6350</xdr:colOff>
      <xdr:row>38</xdr:row>
      <xdr:rowOff>6350</xdr:rowOff>
    </xdr:from>
    <xdr:to>
      <xdr:col>4</xdr:col>
      <xdr:colOff>44450</xdr:colOff>
      <xdr:row>51</xdr:row>
      <xdr:rowOff>107950</xdr:rowOff>
    </xdr:to>
    <xdr:graphicFrame macro="">
      <xdr:nvGraphicFramePr>
        <xdr:cNvPr id="2" name="Chart 1">
          <a:extLst>
            <a:ext uri="{FF2B5EF4-FFF2-40B4-BE49-F238E27FC236}">
              <a16:creationId xmlns:a16="http://schemas.microsoft.com/office/drawing/2014/main" id="{CA17FFAB-3BF8-8EB5-75D4-1EE0E6893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38</xdr:row>
      <xdr:rowOff>0</xdr:rowOff>
    </xdr:from>
    <xdr:to>
      <xdr:col>7</xdr:col>
      <xdr:colOff>38100</xdr:colOff>
      <xdr:row>51</xdr:row>
      <xdr:rowOff>101600</xdr:rowOff>
    </xdr:to>
    <xdr:graphicFrame macro="">
      <xdr:nvGraphicFramePr>
        <xdr:cNvPr id="5" name="Chart 4">
          <a:extLst>
            <a:ext uri="{FF2B5EF4-FFF2-40B4-BE49-F238E27FC236}">
              <a16:creationId xmlns:a16="http://schemas.microsoft.com/office/drawing/2014/main" id="{0433E163-257F-CE4B-95B7-177D0B593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38</xdr:row>
      <xdr:rowOff>0</xdr:rowOff>
    </xdr:from>
    <xdr:to>
      <xdr:col>11</xdr:col>
      <xdr:colOff>38100</xdr:colOff>
      <xdr:row>51</xdr:row>
      <xdr:rowOff>101600</xdr:rowOff>
    </xdr:to>
    <xdr:graphicFrame macro="">
      <xdr:nvGraphicFramePr>
        <xdr:cNvPr id="6" name="Chart 5">
          <a:extLst>
            <a:ext uri="{FF2B5EF4-FFF2-40B4-BE49-F238E27FC236}">
              <a16:creationId xmlns:a16="http://schemas.microsoft.com/office/drawing/2014/main" id="{BEC3EFE7-C1CA-0344-9FD6-6F9863D5C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158750</xdr:colOff>
      <xdr:row>51</xdr:row>
      <xdr:rowOff>105833</xdr:rowOff>
    </xdr:from>
    <xdr:to>
      <xdr:col>13</xdr:col>
      <xdr:colOff>196850</xdr:colOff>
      <xdr:row>65</xdr:row>
      <xdr:rowOff>6350</xdr:rowOff>
    </xdr:to>
    <xdr:graphicFrame macro="">
      <xdr:nvGraphicFramePr>
        <xdr:cNvPr id="7" name="Chart 6">
          <a:extLst>
            <a:ext uri="{FF2B5EF4-FFF2-40B4-BE49-F238E27FC236}">
              <a16:creationId xmlns:a16="http://schemas.microsoft.com/office/drawing/2014/main" id="{2EC482BC-4EF8-B946-9651-FDB4099A2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296333</xdr:colOff>
      <xdr:row>2</xdr:row>
      <xdr:rowOff>63499</xdr:rowOff>
    </xdr:from>
    <xdr:to>
      <xdr:col>13</xdr:col>
      <xdr:colOff>512233</xdr:colOff>
      <xdr:row>5</xdr:row>
      <xdr:rowOff>135466</xdr:rowOff>
    </xdr:to>
    <xdr:pic>
      <xdr:nvPicPr>
        <xdr:cNvPr id="8" name="Picture 7">
          <a:extLst>
            <a:ext uri="{FF2B5EF4-FFF2-40B4-BE49-F238E27FC236}">
              <a16:creationId xmlns:a16="http://schemas.microsoft.com/office/drawing/2014/main" id="{E3471207-F6B7-52EB-8DE2-0A8351B87158}"/>
            </a:ext>
          </a:extLst>
        </xdr:cNvPr>
        <xdr:cNvPicPr>
          <a:picLocks noChangeAspect="1"/>
        </xdr:cNvPicPr>
      </xdr:nvPicPr>
      <xdr:blipFill>
        <a:blip xmlns:r="http://schemas.openxmlformats.org/officeDocument/2006/relationships" r:embed="rId5"/>
        <a:stretch>
          <a:fillRect/>
        </a:stretch>
      </xdr:blipFill>
      <xdr:spPr>
        <a:xfrm>
          <a:off x="7725833" y="507999"/>
          <a:ext cx="2692400" cy="685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eiorg-my.sharepoint.com/personal/rob_bailis_sei_org/Documents/CCAC%20July%20backup/NICCS%20files/UG%20emissions%20model_2030-40-50%20CURRENT.xlsx" TargetMode="External"/><Relationship Id="rId1" Type="http://schemas.openxmlformats.org/officeDocument/2006/relationships/externalLinkPath" Target="/personal/rob_bailis_sei_org/Documents/CCAC%20July%20backup/NICCS%20files/UG%20emissions%20model_2030-40-50%20CURREN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eiorg-my.sharepoint.com/personal/rob_bailis_sei_org/Documents/Bridge%20carbon/MWI%20inputs/MWI%20fuel%20choice%20projections.xlsx" TargetMode="External"/><Relationship Id="rId1" Type="http://schemas.openxmlformats.org/officeDocument/2006/relationships/externalLinkPath" Target="MWI%20fuel%20choice%20projec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setup &amp; summary"/>
      <sheetName val="bau emissions"/>
      <sheetName val="scenario 1 emissions"/>
      <sheetName val="scenario 2 emissions"/>
      <sheetName val="scenario 3 emissions"/>
      <sheetName val="fuel consumption"/>
      <sheetName val="bau no. of users"/>
      <sheetName val="scenario 1 no. of users"/>
      <sheetName val="scenario 2 no. of users"/>
      <sheetName val="scenario 3 no. of users"/>
      <sheetName val="Costs"/>
      <sheetName val="Costs 2"/>
      <sheetName val="Fuel sufficiency"/>
      <sheetName val="parameters"/>
      <sheetName val="efs"/>
    </sheetNames>
    <sheetDataSet>
      <sheetData sheetId="0" refreshError="1"/>
      <sheetData sheetId="1">
        <row r="3">
          <cell r="B3">
            <v>2020</v>
          </cell>
          <cell r="E3">
            <v>2025</v>
          </cell>
          <cell r="F3">
            <v>2025</v>
          </cell>
          <cell r="G3">
            <v>2025</v>
          </cell>
        </row>
        <row r="4">
          <cell r="B4">
            <v>2050</v>
          </cell>
          <cell r="E4">
            <v>2030</v>
          </cell>
          <cell r="F4">
            <v>2030</v>
          </cell>
          <cell r="G4">
            <v>2040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2">
          <cell r="Z2">
            <v>4.8</v>
          </cell>
        </row>
        <row r="3">
          <cell r="Z3">
            <v>4</v>
          </cell>
        </row>
        <row r="118">
          <cell r="L118">
            <v>3700</v>
          </cell>
        </row>
        <row r="119">
          <cell r="B119" t="str">
            <v>Imp_charcoal</v>
          </cell>
        </row>
        <row r="120">
          <cell r="B120" t="str">
            <v>Imp_biomass</v>
          </cell>
        </row>
        <row r="121">
          <cell r="B121" t="str">
            <v>pellets</v>
          </cell>
        </row>
        <row r="122">
          <cell r="B122" t="str">
            <v>biogas</v>
          </cell>
        </row>
        <row r="123">
          <cell r="B123" t="str">
            <v>gas</v>
          </cell>
        </row>
        <row r="124">
          <cell r="B124" t="str">
            <v>ethanol</v>
          </cell>
        </row>
        <row r="126">
          <cell r="B126" t="str">
            <v>electricity</v>
          </cell>
        </row>
        <row r="127">
          <cell r="B127" t="str">
            <v>electricity</v>
          </cell>
        </row>
        <row r="128">
          <cell r="B128" t="str">
            <v>ecoca</v>
          </cell>
        </row>
      </sheetData>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Me"/>
      <sheetName val="Summary"/>
      <sheetName val="EED_BAU_KNBS-pop"/>
      <sheetName val="BAU_Scenario"/>
      <sheetName val="BAU_Fuel_cons"/>
      <sheetName val="BAU_emissions"/>
      <sheetName val="BAU_for_CSV"/>
      <sheetName val="NICCS_scenario"/>
      <sheetName val="NICCS_Fuel_cons"/>
      <sheetName val="NICCS_emissions"/>
      <sheetName val="Population"/>
      <sheetName val="params"/>
      <sheetName val="nonresidential"/>
      <sheetName val="efs"/>
    </sheetNames>
    <sheetDataSet>
      <sheetData sheetId="0"/>
      <sheetData sheetId="1"/>
      <sheetData sheetId="2"/>
      <sheetData sheetId="3"/>
      <sheetData sheetId="4"/>
      <sheetData sheetId="5"/>
      <sheetData sheetId="6">
        <row r="17">
          <cell r="Q17">
            <v>9.8573992393287728</v>
          </cell>
          <cell r="R17">
            <v>10.676246777682627</v>
          </cell>
          <cell r="S17">
            <v>11.400528741957219</v>
          </cell>
          <cell r="T17">
            <v>11.864019556443059</v>
          </cell>
          <cell r="U17">
            <v>11.689891148255995</v>
          </cell>
          <cell r="V17">
            <v>11.11024605381321</v>
          </cell>
          <cell r="W17">
            <v>10.116268362674456</v>
          </cell>
          <cell r="X17">
            <v>8.6978010041781797</v>
          </cell>
          <cell r="Y17">
            <v>6.8488727257099118</v>
          </cell>
        </row>
        <row r="18">
          <cell r="Q18">
            <v>3.270291682886417</v>
          </cell>
          <cell r="R18">
            <v>5.3251710707225524</v>
          </cell>
          <cell r="S18">
            <v>7.9953006956679076</v>
          </cell>
          <cell r="T18">
            <v>11.426468494882981</v>
          </cell>
          <cell r="U18">
            <v>15.849838358943279</v>
          </cell>
          <cell r="V18">
            <v>20.9895656628685</v>
          </cell>
          <cell r="W18">
            <v>26.85570245382419</v>
          </cell>
          <cell r="X18">
            <v>33.437104473137943</v>
          </cell>
          <cell r="Y18">
            <v>40.670958010977181</v>
          </cell>
        </row>
        <row r="19">
          <cell r="Q19">
            <v>0</v>
          </cell>
          <cell r="R19">
            <v>5.2094225848262387E-3</v>
          </cell>
          <cell r="S19">
            <v>2.8772089932218803E-2</v>
          </cell>
          <cell r="T19">
            <v>6.2708148530495583E-2</v>
          </cell>
          <cell r="U19">
            <v>0.10753875410286323</v>
          </cell>
          <cell r="V19">
            <v>0.166350892512761</v>
          </cell>
          <cell r="W19">
            <v>0.24130457014259418</v>
          </cell>
          <cell r="X19">
            <v>0.33467068684605122</v>
          </cell>
          <cell r="Y19">
            <v>0.4483955018368555</v>
          </cell>
        </row>
        <row r="20">
          <cell r="Q20">
            <v>0</v>
          </cell>
          <cell r="R20">
            <v>5.7882473164735991E-4</v>
          </cell>
          <cell r="S20">
            <v>3.1968988813573921E-3</v>
          </cell>
          <cell r="T20">
            <v>6.9675720589438776E-3</v>
          </cell>
          <cell r="U20">
            <v>1.1948750455873621E-2</v>
          </cell>
          <cell r="V20">
            <v>1.8483432501417832E-2</v>
          </cell>
          <cell r="W20">
            <v>2.6811618904732666E-2</v>
          </cell>
          <cell r="X20">
            <v>3.7185631871783482E-2</v>
          </cell>
          <cell r="Y20">
            <v>4.9821722426317279E-2</v>
          </cell>
        </row>
      </sheetData>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ob Bailis" id="{B0EA0D7F-A7DE-FF40-AD48-A2495B367430}" userId="S::rob.bailis@sei.org::f1cd3a2a-2058-4d05-866e-1fee19f49a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27" dT="2025-11-10T18:29:05.17" personId="{B0EA0D7F-A7DE-FF40-AD48-A2495B367430}" id="{5B21744A-8965-E140-9D3A-517E219FE7BF}">
    <text>Assumes adoption doubles by 2050</text>
  </threadedComment>
  <threadedComment ref="K28" dT="2025-11-10T18:29:05.17" personId="{B0EA0D7F-A7DE-FF40-AD48-A2495B367430}" id="{17361C05-4300-FA4C-B5D7-D570403AFC21}">
    <text>Assumes adoption doubles by 2050</text>
  </threadedComment>
  <threadedComment ref="D68" dT="2025-06-24T15:07:23.43" personId="{B0EA0D7F-A7DE-FF40-AD48-A2495B367430}" id="{86DCED2D-A95B-DB40-A0D6-6BE5623A43E8}">
    <text>Other included LPG in this dataset. I adjusted so that LPG is a little lower than in 2021</text>
  </threadedComment>
  <threadedComment ref="G68" dT="2025-06-24T15:07:23.43" personId="{B0EA0D7F-A7DE-FF40-AD48-A2495B367430}" id="{06EE2955-8E97-4846-84A6-54D5BD1AADF4}">
    <text>Other included LPG in this dataset. I adjusted so that LPG is a little lower than in 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11-12T21:19:34.38" personId="{B0EA0D7F-A7DE-FF40-AD48-A2495B367430}" id="{1F136FB5-0725-F241-9FB0-4ADE7687EE22}">
    <text>includes brewing and distilling, firing pottery, sweet and
confectionery making, fish smoking, cloth dyeing, cassava drying, nut roasting and vegetable oil manufacture.</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2-05-02T20:55:12.15" personId="{B0EA0D7F-A7DE-FF40-AD48-A2495B367430}" id="{7C6265D4-5890-464E-B9F8-65055D95C243}">
    <text>Dynamic values linked to Github CSVs</text>
  </threadedComment>
  <threadedComment ref="D2" dT="2024-05-15T16:22:17.95" personId="{B0EA0D7F-A7DE-FF40-AD48-A2495B367430}" id="{1D517ED6-EA7A-C34E-9140-9702EDDBE42C}">
    <text>Just adding these here (they’re not in any other EF excel files). Currnetly, the EFs are the same as bau technology and ERs are only generated by efficiency gains. Can add alternate EFs later.</text>
  </threadedComment>
  <threadedComment ref="K46" dT="2024-08-28T23:43:00.19" personId="{B0EA0D7F-A7DE-FF40-AD48-A2495B367430}" id="{BB8D2AFA-EBE3-394D-A9AA-D1A5605259A8}">
    <text xml:space="preserve">Rob Bailis:
includes combustion EF from Smith et al (2000) and 10% CH4 leakage based on default leakage rate from TOOL14 </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BCB88-1ABC-D34B-BFB1-A7212F1BC46F}">
  <dimension ref="A1:B14"/>
  <sheetViews>
    <sheetView workbookViewId="0">
      <selection activeCell="B4" sqref="B4"/>
    </sheetView>
  </sheetViews>
  <sheetFormatPr baseColWidth="10" defaultRowHeight="16"/>
  <cols>
    <col min="1" max="1" width="20" customWidth="1"/>
  </cols>
  <sheetData>
    <row r="1" spans="1:2">
      <c r="A1" t="s">
        <v>38</v>
      </c>
    </row>
    <row r="3" spans="1:2">
      <c r="A3" t="s">
        <v>39</v>
      </c>
    </row>
    <row r="4" spans="1:2">
      <c r="A4" t="s">
        <v>136</v>
      </c>
      <c r="B4" t="s">
        <v>158</v>
      </c>
    </row>
    <row r="5" spans="1:2">
      <c r="A5" t="s">
        <v>138</v>
      </c>
      <c r="B5" t="s">
        <v>147</v>
      </c>
    </row>
    <row r="6" spans="1:2">
      <c r="A6" t="s">
        <v>139</v>
      </c>
      <c r="B6" t="s">
        <v>148</v>
      </c>
    </row>
    <row r="7" spans="1:2">
      <c r="A7" t="s">
        <v>140</v>
      </c>
      <c r="B7" t="s">
        <v>149</v>
      </c>
    </row>
    <row r="8" spans="1:2">
      <c r="A8" t="s">
        <v>137</v>
      </c>
      <c r="B8" t="s">
        <v>151</v>
      </c>
    </row>
    <row r="9" spans="1:2">
      <c r="A9" t="s">
        <v>141</v>
      </c>
      <c r="B9" t="s">
        <v>152</v>
      </c>
    </row>
    <row r="10" spans="1:2">
      <c r="A10" t="s">
        <v>142</v>
      </c>
      <c r="B10" t="s">
        <v>153</v>
      </c>
    </row>
    <row r="11" spans="1:2">
      <c r="A11" t="s">
        <v>143</v>
      </c>
      <c r="B11" t="s">
        <v>154</v>
      </c>
    </row>
    <row r="12" spans="1:2">
      <c r="A12" t="s">
        <v>24</v>
      </c>
      <c r="B12" t="s">
        <v>156</v>
      </c>
    </row>
    <row r="13" spans="1:2">
      <c r="A13" t="s">
        <v>144</v>
      </c>
      <c r="B13" t="s">
        <v>155</v>
      </c>
    </row>
    <row r="14" spans="1:2">
      <c r="A14" t="s">
        <v>145</v>
      </c>
      <c r="B14"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5BDAD-BEAA-F64B-92E0-5037C4604861}">
  <dimension ref="A1:Y191"/>
  <sheetViews>
    <sheetView workbookViewId="0">
      <pane xSplit="2" ySplit="2" topLeftCell="C3" activePane="bottomRight" state="frozen"/>
      <selection pane="topRight" activeCell="C1" sqref="C1"/>
      <selection pane="bottomLeft" activeCell="A3" sqref="A3"/>
      <selection pane="bottomRight" activeCell="E15" sqref="E15"/>
    </sheetView>
  </sheetViews>
  <sheetFormatPr baseColWidth="10" defaultRowHeight="16"/>
  <cols>
    <col min="21" max="21" width="27.5" bestFit="1" customWidth="1"/>
    <col min="22" max="22" width="18.1640625" bestFit="1" customWidth="1"/>
  </cols>
  <sheetData>
    <row r="1" spans="1:25">
      <c r="A1" t="s">
        <v>67</v>
      </c>
      <c r="C1" s="34">
        <v>2030</v>
      </c>
      <c r="E1" s="34">
        <v>2040</v>
      </c>
      <c r="I1" t="s">
        <v>53</v>
      </c>
      <c r="U1" s="25"/>
    </row>
    <row r="2" spans="1:25">
      <c r="C2" t="s">
        <v>53</v>
      </c>
      <c r="E2" t="s">
        <v>53</v>
      </c>
    </row>
    <row r="3" spans="1:25">
      <c r="A3" s="3" t="s">
        <v>4</v>
      </c>
      <c r="B3" s="3" t="s">
        <v>36</v>
      </c>
      <c r="C3" s="54">
        <f>_xlfn.XLOOKUP(C$1,BAU_Scenario!$N$1:$AS$1,BAU_Scenario!$N2:$AS2,0)</f>
        <v>16.659931374822982</v>
      </c>
      <c r="D3" s="54"/>
      <c r="E3" s="54">
        <f>_xlfn.XLOOKUP(E$1,BAU_Scenario!$N$1:$AS$1,BAU_Scenario!$N2:$AS2,0)</f>
        <v>13.480129489588395</v>
      </c>
      <c r="F3" s="54"/>
      <c r="G3" s="21"/>
      <c r="H3" s="21"/>
      <c r="U3" s="25"/>
      <c r="V3" s="25"/>
      <c r="W3" s="25"/>
      <c r="X3" s="25"/>
      <c r="Y3" s="25"/>
    </row>
    <row r="4" spans="1:25">
      <c r="A4" s="3" t="s">
        <v>4</v>
      </c>
      <c r="B4" s="3" t="s">
        <v>8</v>
      </c>
      <c r="C4" s="54">
        <f>_xlfn.XLOOKUP(C$1,BAU_Scenario!$N$1:$AS$1,BAU_Scenario!$N3:$AS3,0)</f>
        <v>19.13014696976137</v>
      </c>
      <c r="D4" s="54"/>
      <c r="E4" s="54">
        <f>_xlfn.XLOOKUP(E$1,BAU_Scenario!$N$1:$AS$1,BAU_Scenario!$N3:$AS3,0)</f>
        <v>32.459671091158235</v>
      </c>
      <c r="F4" s="54"/>
      <c r="G4" s="21"/>
      <c r="H4" s="21"/>
      <c r="V4" s="55"/>
      <c r="W4" s="55"/>
      <c r="X4" s="55"/>
      <c r="Y4" s="55"/>
    </row>
    <row r="5" spans="1:25">
      <c r="A5" s="3" t="s">
        <v>4</v>
      </c>
      <c r="B5" t="s">
        <v>37</v>
      </c>
      <c r="C5" s="54">
        <f>_xlfn.XLOOKUP(C$1,BAU_Scenario!$N$1:$AS$1,BAU_Scenario!$N4:$AS4,0)</f>
        <v>0.44835391533684138</v>
      </c>
      <c r="D5" s="54"/>
      <c r="E5" s="54">
        <f>_xlfn.XLOOKUP(E$1,BAU_Scenario!$N$1:$AS$1,BAU_Scenario!$N4:$AS4,0)</f>
        <v>1.006054512298139</v>
      </c>
      <c r="F5" s="54"/>
      <c r="G5" s="21"/>
      <c r="H5" s="21"/>
      <c r="V5" s="55"/>
      <c r="W5" s="55"/>
      <c r="X5" s="55"/>
      <c r="Y5" s="55"/>
    </row>
    <row r="6" spans="1:25">
      <c r="A6" s="3" t="s">
        <v>4</v>
      </c>
      <c r="B6" t="s">
        <v>10</v>
      </c>
      <c r="C6" s="54">
        <f>_xlfn.XLOOKUP(C$1,BAU_Scenario!$N$1:$AS$1,BAU_Scenario!$N5:$AS5,0)</f>
        <v>0.14945130511227955</v>
      </c>
      <c r="D6" s="54"/>
      <c r="E6" s="54">
        <f>_xlfn.XLOOKUP(E$1,BAU_Scenario!$N$1:$AS$1,BAU_Scenario!$N5:$AS5,0)</f>
        <v>0.33535150409937942</v>
      </c>
      <c r="F6" s="54"/>
      <c r="G6" s="21"/>
      <c r="H6" s="21"/>
      <c r="V6" s="55"/>
      <c r="W6" s="55"/>
      <c r="X6" s="55"/>
      <c r="Y6" s="55"/>
    </row>
    <row r="7" spans="1:25">
      <c r="A7" s="3" t="s">
        <v>4</v>
      </c>
      <c r="B7" t="s">
        <v>11</v>
      </c>
      <c r="C7" s="54">
        <f>_xlfn.XLOOKUP(C$1,BAU_Scenario!$N$1:$AS$1,BAU_Scenario!$N6:$AS6,0)</f>
        <v>7.617955860075544E-2</v>
      </c>
      <c r="D7" s="54"/>
      <c r="E7" s="54">
        <f>_xlfn.XLOOKUP(E$1,BAU_Scenario!$N$1:$AS$1,BAU_Scenario!$N6:$AS6,0)</f>
        <v>5.3954537469672256E-2</v>
      </c>
      <c r="F7" s="54"/>
      <c r="G7" s="21"/>
      <c r="H7" s="21"/>
      <c r="V7" s="55"/>
      <c r="W7" s="55"/>
      <c r="X7" s="55"/>
      <c r="Y7" s="55"/>
    </row>
    <row r="8" spans="1:25">
      <c r="A8" s="3" t="s">
        <v>4</v>
      </c>
      <c r="B8" s="3" t="s">
        <v>12</v>
      </c>
      <c r="C8" s="54">
        <f>_xlfn.XLOOKUP(C$1,BAU_Scenario!$N$1:$AS$1,BAU_Scenario!$N7:$AS7,0)</f>
        <v>0</v>
      </c>
      <c r="D8" s="54"/>
      <c r="E8" s="54">
        <f>_xlfn.XLOOKUP(E$1,BAU_Scenario!$N$1:$AS$1,BAU_Scenario!$N7:$AS7,0)</f>
        <v>0</v>
      </c>
      <c r="F8" s="54"/>
      <c r="G8" s="21"/>
      <c r="H8" s="21"/>
      <c r="V8" s="55"/>
      <c r="W8" s="55"/>
      <c r="X8" s="55"/>
      <c r="Y8" s="55"/>
    </row>
    <row r="9" spans="1:25">
      <c r="A9" s="3" t="s">
        <v>4</v>
      </c>
      <c r="B9" s="3" t="s">
        <v>13</v>
      </c>
      <c r="C9" s="54">
        <f>_xlfn.XLOOKUP(C$1,BAU_Scenario!$N$1:$AS$1,BAU_Scenario!$N8:$AS8,0)</f>
        <v>0.79918952525631826</v>
      </c>
      <c r="D9" s="54"/>
      <c r="E9" s="54">
        <f>_xlfn.XLOOKUP(E$1,BAU_Scenario!$N$1:$AS$1,BAU_Scenario!$N8:$AS8,0)</f>
        <v>0.56489882068151809</v>
      </c>
      <c r="F9" s="54"/>
      <c r="G9" s="21"/>
      <c r="H9" s="21"/>
      <c r="V9" s="55"/>
      <c r="W9" s="55"/>
      <c r="X9" s="55"/>
      <c r="Y9" s="55"/>
    </row>
    <row r="10" spans="1:25">
      <c r="A10" s="3" t="s">
        <v>4</v>
      </c>
      <c r="B10" t="s">
        <v>14</v>
      </c>
      <c r="C10" s="54">
        <f>_xlfn.XLOOKUP(C$1,BAU_Scenario!$N$1:$AS$1,BAU_Scenario!$N9:$AS9,0)</f>
        <v>0</v>
      </c>
      <c r="D10" s="54"/>
      <c r="E10" s="54">
        <f>_xlfn.XLOOKUP(E$1,BAU_Scenario!$N$1:$AS$1,BAU_Scenario!$N9:$AS9,0)</f>
        <v>0</v>
      </c>
      <c r="F10" s="54"/>
      <c r="G10" s="21"/>
      <c r="H10" s="21"/>
      <c r="V10" s="55"/>
      <c r="W10" s="55"/>
      <c r="X10" s="55"/>
      <c r="Y10" s="55"/>
    </row>
    <row r="11" spans="1:25">
      <c r="A11" s="3" t="s">
        <v>4</v>
      </c>
      <c r="B11" t="s">
        <v>15</v>
      </c>
      <c r="C11" s="54">
        <f>_xlfn.XLOOKUP(C$1,BAU_Scenario!$N$1:$AS$1,BAU_Scenario!$N10:$AS10,0)</f>
        <v>0</v>
      </c>
      <c r="D11" s="54"/>
      <c r="E11" s="54">
        <f>_xlfn.XLOOKUP(E$1,BAU_Scenario!$N$1:$AS$1,BAU_Scenario!$N10:$AS10,0)</f>
        <v>0</v>
      </c>
      <c r="F11" s="54"/>
      <c r="G11" s="21"/>
      <c r="H11" s="21"/>
    </row>
    <row r="12" spans="1:25">
      <c r="A12" s="3" t="s">
        <v>4</v>
      </c>
      <c r="B12" t="s">
        <v>16</v>
      </c>
      <c r="C12" s="54">
        <f>_xlfn.XLOOKUP(C$1,BAU_Scenario!$N$1:$AS$1,BAU_Scenario!$N11:$AS11,0)</f>
        <v>0</v>
      </c>
      <c r="D12" s="54"/>
      <c r="E12" s="54">
        <f>_xlfn.XLOOKUP(E$1,BAU_Scenario!$N$1:$AS$1,BAU_Scenario!$N11:$AS11,0)</f>
        <v>0</v>
      </c>
      <c r="F12" s="54"/>
      <c r="G12" s="21"/>
      <c r="H12" s="21"/>
      <c r="U12" s="25"/>
    </row>
    <row r="13" spans="1:25" ht="17" thickBot="1">
      <c r="A13" s="31" t="s">
        <v>4</v>
      </c>
      <c r="B13" s="31" t="s">
        <v>17</v>
      </c>
      <c r="C13" s="54">
        <f>_xlfn.XLOOKUP(C$1,BAU_Scenario!$N$1:$AS$1,BAU_Scenario!$N12:$AS12,0)</f>
        <v>0.10929425797913202</v>
      </c>
      <c r="D13" s="54"/>
      <c r="E13" s="54">
        <f>_xlfn.XLOOKUP(E$1,BAU_Scenario!$N$1:$AS$1,BAU_Scenario!$N12:$AS12,0)</f>
        <v>6.5045041732955416E-2</v>
      </c>
      <c r="F13" s="54"/>
      <c r="G13" s="21"/>
      <c r="H13" s="21"/>
      <c r="V13" s="55"/>
      <c r="W13" s="55"/>
      <c r="X13" s="55"/>
      <c r="Y13" s="55"/>
    </row>
    <row r="14" spans="1:25">
      <c r="A14" s="28" t="s">
        <v>18</v>
      </c>
      <c r="B14" s="28" t="s">
        <v>36</v>
      </c>
      <c r="C14" s="54">
        <f>_xlfn.XLOOKUP(C$1,BAU_Scenario!$N$1:$AS$1,BAU_Scenario!$N13:$AS13,0)</f>
        <v>14.40823903113831</v>
      </c>
      <c r="D14" s="54"/>
      <c r="E14" s="54">
        <f>_xlfn.XLOOKUP(E$1,BAU_Scenario!$N$1:$AS$1,BAU_Scenario!$N13:$AS13,0)</f>
        <v>11.878574388548779</v>
      </c>
      <c r="F14" s="54"/>
      <c r="G14" s="21"/>
      <c r="H14" s="21"/>
      <c r="V14" s="55"/>
      <c r="W14" s="55"/>
      <c r="X14" s="55"/>
      <c r="Y14" s="55"/>
    </row>
    <row r="15" spans="1:25">
      <c r="A15" s="3" t="s">
        <v>18</v>
      </c>
      <c r="B15" s="3" t="s">
        <v>8</v>
      </c>
      <c r="C15" s="54">
        <f>_xlfn.XLOOKUP(C$1,BAU_Scenario!$N$1:$AS$1,BAU_Scenario!$N14:$AS14,0)</f>
        <v>6.4205771480699658</v>
      </c>
      <c r="D15" s="54"/>
      <c r="E15" s="54">
        <f>_xlfn.XLOOKUP(E$1,BAU_Scenario!$N$1:$AS$1,BAU_Scenario!$N14:$AS14,0)</f>
        <v>12.906297752403624</v>
      </c>
      <c r="F15" s="54"/>
      <c r="G15" s="21"/>
      <c r="H15" s="21"/>
      <c r="V15" s="55"/>
      <c r="W15" s="55"/>
      <c r="X15" s="55"/>
      <c r="Y15" s="55"/>
    </row>
    <row r="16" spans="1:25">
      <c r="A16" s="3" t="s">
        <v>18</v>
      </c>
      <c r="B16" t="s">
        <v>37</v>
      </c>
      <c r="C16" s="54">
        <f>_xlfn.XLOOKUP(C$1,BAU_Scenario!$N$1:$AS$1,BAU_Scenario!$N15:$AS15,0)</f>
        <v>0</v>
      </c>
      <c r="D16" s="54"/>
      <c r="E16" s="54">
        <f>_xlfn.XLOOKUP(E$1,BAU_Scenario!$N$1:$AS$1,BAU_Scenario!$N15:$AS15,0)</f>
        <v>0</v>
      </c>
      <c r="F16" s="54"/>
      <c r="G16" s="21"/>
      <c r="H16" s="21"/>
      <c r="V16" s="55"/>
      <c r="W16" s="55"/>
      <c r="X16" s="55"/>
      <c r="Y16" s="55"/>
    </row>
    <row r="17" spans="1:25">
      <c r="A17" s="3" t="s">
        <v>18</v>
      </c>
      <c r="B17" t="s">
        <v>10</v>
      </c>
      <c r="C17" s="54">
        <f>_xlfn.XLOOKUP(C$1,BAU_Scenario!$N$1:$AS$1,BAU_Scenario!$N16:$AS16,0)</f>
        <v>0</v>
      </c>
      <c r="D17" s="54"/>
      <c r="E17" s="54">
        <f>_xlfn.XLOOKUP(E$1,BAU_Scenario!$N$1:$AS$1,BAU_Scenario!$N16:$AS16,0)</f>
        <v>0</v>
      </c>
      <c r="F17" s="54"/>
      <c r="G17" s="21"/>
      <c r="H17" s="21"/>
      <c r="V17" s="55"/>
      <c r="W17" s="55"/>
      <c r="X17" s="55"/>
      <c r="Y17" s="55"/>
    </row>
    <row r="18" spans="1:25">
      <c r="A18" s="3" t="s">
        <v>18</v>
      </c>
      <c r="B18" t="s">
        <v>11</v>
      </c>
      <c r="C18" s="54">
        <f>_xlfn.XLOOKUP(C$1,BAU_Scenario!$N$1:$AS$1,BAU_Scenario!$N17:$AS17,0)</f>
        <v>1.9761435368821668E-3</v>
      </c>
      <c r="D18" s="54"/>
      <c r="E18" s="54">
        <f>_xlfn.XLOOKUP(E$1,BAU_Scenario!$N$1:$AS$1,BAU_Scenario!$N17:$AS17,0)</f>
        <v>1.1760758634854615E-3</v>
      </c>
      <c r="F18" s="54"/>
      <c r="G18" s="21"/>
      <c r="H18" s="21"/>
      <c r="V18" s="55"/>
      <c r="W18" s="55"/>
      <c r="X18" s="55"/>
      <c r="Y18" s="55"/>
    </row>
    <row r="19" spans="1:25">
      <c r="A19" s="3" t="s">
        <v>18</v>
      </c>
      <c r="B19" s="3" t="s">
        <v>12</v>
      </c>
      <c r="C19" s="54">
        <f>_xlfn.XLOOKUP(C$1,BAU_Scenario!$N$1:$AS$1,BAU_Scenario!$N18:$AS18,0)</f>
        <v>0</v>
      </c>
      <c r="D19" s="54"/>
      <c r="E19" s="54">
        <f>_xlfn.XLOOKUP(E$1,BAU_Scenario!$N$1:$AS$1,BAU_Scenario!$N18:$AS18,0)</f>
        <v>0</v>
      </c>
      <c r="F19" s="54"/>
      <c r="G19" s="21"/>
      <c r="H19" s="21"/>
      <c r="V19" s="55"/>
      <c r="W19" s="55"/>
      <c r="X19" s="55"/>
      <c r="Y19" s="55"/>
    </row>
    <row r="20" spans="1:25">
      <c r="A20" s="3" t="s">
        <v>18</v>
      </c>
      <c r="B20" s="3" t="s">
        <v>13</v>
      </c>
      <c r="C20" s="54">
        <f>_xlfn.XLOOKUP(C$1,BAU_Scenario!$N$1:$AS$1,BAU_Scenario!$N19:$AS19,0)</f>
        <v>3.0470426530603782E-2</v>
      </c>
      <c r="D20" s="54"/>
      <c r="E20" s="54">
        <f>_xlfn.XLOOKUP(E$1,BAU_Scenario!$N$1:$AS$1,BAU_Scenario!$N19:$AS19,0)</f>
        <v>1.8134074030517627E-2</v>
      </c>
      <c r="F20" s="54"/>
      <c r="G20" s="21"/>
      <c r="H20" s="21"/>
    </row>
    <row r="21" spans="1:25">
      <c r="A21" s="3" t="s">
        <v>18</v>
      </c>
      <c r="B21" t="s">
        <v>14</v>
      </c>
      <c r="C21" s="54">
        <f>_xlfn.XLOOKUP(C$1,BAU_Scenario!$N$1:$AS$1,BAU_Scenario!$N20:$AS20,0)</f>
        <v>0</v>
      </c>
      <c r="D21" s="54"/>
      <c r="E21" s="54">
        <f>_xlfn.XLOOKUP(E$1,BAU_Scenario!$N$1:$AS$1,BAU_Scenario!$N20:$AS20,0)</f>
        <v>0</v>
      </c>
      <c r="F21" s="54"/>
      <c r="G21" s="21"/>
      <c r="H21" s="21"/>
    </row>
    <row r="22" spans="1:25">
      <c r="A22" s="3" t="s">
        <v>18</v>
      </c>
      <c r="B22" t="s">
        <v>15</v>
      </c>
      <c r="C22" s="54">
        <f>_xlfn.XLOOKUP(C$1,BAU_Scenario!$N$1:$AS$1,BAU_Scenario!$N21:$AS21,0)</f>
        <v>0</v>
      </c>
      <c r="D22" s="54"/>
      <c r="E22" s="54">
        <f>_xlfn.XLOOKUP(E$1,BAU_Scenario!$N$1:$AS$1,BAU_Scenario!$N21:$AS21,0)</f>
        <v>0</v>
      </c>
      <c r="F22" s="54"/>
      <c r="G22" s="21"/>
      <c r="H22" s="21"/>
    </row>
    <row r="23" spans="1:25">
      <c r="A23" s="3" t="s">
        <v>18</v>
      </c>
      <c r="B23" t="s">
        <v>16</v>
      </c>
      <c r="C23" s="54">
        <f>_xlfn.XLOOKUP(C$1,BAU_Scenario!$N$1:$AS$1,BAU_Scenario!$N22:$AS22,0)</f>
        <v>0</v>
      </c>
      <c r="D23" s="54"/>
      <c r="E23" s="54">
        <f>_xlfn.XLOOKUP(E$1,BAU_Scenario!$N$1:$AS$1,BAU_Scenario!$N22:$AS22,0)</f>
        <v>0</v>
      </c>
      <c r="F23" s="54"/>
      <c r="G23" s="21"/>
      <c r="H23" s="21"/>
      <c r="X23" s="25"/>
      <c r="Y23" s="25"/>
    </row>
    <row r="24" spans="1:25" ht="17" thickBot="1">
      <c r="A24" s="31" t="s">
        <v>18</v>
      </c>
      <c r="B24" s="31" t="s">
        <v>17</v>
      </c>
      <c r="C24" s="54">
        <f>_xlfn.XLOOKUP(C$1,BAU_Scenario!$N$1:$AS$1,BAU_Scenario!$N23:$AS23,0)</f>
        <v>0.10929425797913202</v>
      </c>
      <c r="D24" s="54"/>
      <c r="E24" s="54">
        <f>_xlfn.XLOOKUP(E$1,BAU_Scenario!$N$1:$AS$1,BAU_Scenario!$N23:$AS23,0)</f>
        <v>6.5045041732955416E-2</v>
      </c>
      <c r="F24" s="54"/>
      <c r="G24" s="21"/>
      <c r="H24" s="21"/>
      <c r="X24" s="55"/>
      <c r="Y24" s="21"/>
    </row>
    <row r="25" spans="1:25">
      <c r="A25" s="86" t="s">
        <v>19</v>
      </c>
      <c r="B25" s="87" t="s">
        <v>36</v>
      </c>
      <c r="C25" s="54">
        <f>_xlfn.XLOOKUP(C$1,BAU_Scenario!$N$1:$AS$1,BAU_Scenario!$N24:$AS24,0)</f>
        <v>2.2516923436846712</v>
      </c>
      <c r="D25" s="54"/>
      <c r="E25" s="54">
        <f>_xlfn.XLOOKUP(E$1,BAU_Scenario!$N$1:$AS$1,BAU_Scenario!$N24:$AS24,0)</f>
        <v>1.6015551010396156</v>
      </c>
      <c r="F25" s="54"/>
      <c r="G25" s="21"/>
      <c r="H25" s="21"/>
      <c r="X25" s="55"/>
      <c r="Y25" s="21"/>
    </row>
    <row r="26" spans="1:25">
      <c r="A26" s="90" t="s">
        <v>19</v>
      </c>
      <c r="B26" s="3" t="s">
        <v>8</v>
      </c>
      <c r="C26" s="54">
        <f>_xlfn.XLOOKUP(C$1,BAU_Scenario!$N$1:$AS$1,BAU_Scenario!$N25:$AS25,0)</f>
        <v>12.709569821691405</v>
      </c>
      <c r="D26" s="54"/>
      <c r="E26" s="54">
        <f>_xlfn.XLOOKUP(E$1,BAU_Scenario!$N$1:$AS$1,BAU_Scenario!$N25:$AS25,0)</f>
        <v>19.553373338754611</v>
      </c>
      <c r="F26" s="54"/>
      <c r="G26" s="21"/>
      <c r="H26" s="21"/>
      <c r="X26" s="55"/>
      <c r="Y26" s="21"/>
    </row>
    <row r="27" spans="1:25">
      <c r="A27" s="90" t="s">
        <v>19</v>
      </c>
      <c r="B27" t="s">
        <v>37</v>
      </c>
      <c r="C27" s="54">
        <f>_xlfn.XLOOKUP(C$1,BAU_Scenario!$N$1:$AS$1,BAU_Scenario!$N26:$AS26,0)</f>
        <v>0.44835391533684138</v>
      </c>
      <c r="D27" s="54"/>
      <c r="E27" s="54">
        <f>_xlfn.XLOOKUP(E$1,BAU_Scenario!$N$1:$AS$1,BAU_Scenario!$N26:$AS26,0)</f>
        <v>1.006054512298139</v>
      </c>
      <c r="F27" s="54"/>
      <c r="G27" s="21"/>
      <c r="H27" s="21"/>
      <c r="X27" s="55"/>
      <c r="Y27" s="21"/>
    </row>
    <row r="28" spans="1:25">
      <c r="A28" s="90" t="s">
        <v>19</v>
      </c>
      <c r="B28" t="s">
        <v>10</v>
      </c>
      <c r="C28" s="54">
        <f>_xlfn.XLOOKUP(C$1,BAU_Scenario!$N$1:$AS$1,BAU_Scenario!$N27:$AS27,0)</f>
        <v>0.14945130511227955</v>
      </c>
      <c r="D28" s="54"/>
      <c r="E28" s="54">
        <f>_xlfn.XLOOKUP(E$1,BAU_Scenario!$N$1:$AS$1,BAU_Scenario!$N27:$AS27,0)</f>
        <v>0.33535150409937942</v>
      </c>
      <c r="F28" s="54"/>
      <c r="G28" s="21"/>
      <c r="H28" s="21"/>
      <c r="X28" s="55"/>
      <c r="Y28" s="21"/>
    </row>
    <row r="29" spans="1:25">
      <c r="A29" s="90" t="s">
        <v>19</v>
      </c>
      <c r="B29" t="s">
        <v>11</v>
      </c>
      <c r="C29" s="54">
        <f>_xlfn.XLOOKUP(C$1,BAU_Scenario!$N$1:$AS$1,BAU_Scenario!$N28:$AS28,0)</f>
        <v>7.4203415063873276E-2</v>
      </c>
      <c r="D29" s="54"/>
      <c r="E29" s="54">
        <f>_xlfn.XLOOKUP(E$1,BAU_Scenario!$N$1:$AS$1,BAU_Scenario!$N28:$AS28,0)</f>
        <v>5.2778461606186794E-2</v>
      </c>
      <c r="F29" s="54"/>
      <c r="G29" s="21"/>
      <c r="H29" s="21"/>
      <c r="X29" s="55"/>
      <c r="Y29" s="21"/>
    </row>
    <row r="30" spans="1:25">
      <c r="A30" s="90" t="s">
        <v>19</v>
      </c>
      <c r="B30" s="3" t="s">
        <v>12</v>
      </c>
      <c r="C30" s="54">
        <f>_xlfn.XLOOKUP(C$1,BAU_Scenario!$N$1:$AS$1,BAU_Scenario!$N29:$AS29,0)</f>
        <v>0</v>
      </c>
      <c r="D30" s="54"/>
      <c r="E30" s="54">
        <f>_xlfn.XLOOKUP(E$1,BAU_Scenario!$N$1:$AS$1,BAU_Scenario!$N29:$AS29,0)</f>
        <v>0</v>
      </c>
      <c r="F30" s="54"/>
      <c r="G30" s="21"/>
      <c r="H30" s="21"/>
      <c r="X30" s="55"/>
      <c r="Y30" s="21"/>
    </row>
    <row r="31" spans="1:25">
      <c r="A31" s="90" t="s">
        <v>19</v>
      </c>
      <c r="B31" s="3" t="s">
        <v>13</v>
      </c>
      <c r="C31" s="54">
        <f>_xlfn.XLOOKUP(C$1,BAU_Scenario!$N$1:$AS$1,BAU_Scenario!$N30:$AS30,0)</f>
        <v>0.76871909872571442</v>
      </c>
      <c r="D31" s="54"/>
      <c r="E31" s="54">
        <f>_xlfn.XLOOKUP(E$1,BAU_Scenario!$N$1:$AS$1,BAU_Scenario!$N30:$AS30,0)</f>
        <v>0.5467647466510005</v>
      </c>
      <c r="F31" s="54"/>
      <c r="G31" s="21"/>
      <c r="H31" s="21"/>
      <c r="X31" s="55"/>
      <c r="Y31" s="21"/>
    </row>
    <row r="32" spans="1:25">
      <c r="A32" s="90" t="s">
        <v>19</v>
      </c>
      <c r="B32" t="s">
        <v>14</v>
      </c>
      <c r="C32" s="54">
        <f>_xlfn.XLOOKUP(C$1,BAU_Scenario!$N$1:$AS$1,BAU_Scenario!$N31:$AS31,0)</f>
        <v>0</v>
      </c>
      <c r="D32" s="54"/>
      <c r="E32" s="54">
        <f>_xlfn.XLOOKUP(E$1,BAU_Scenario!$N$1:$AS$1,BAU_Scenario!$N31:$AS31,0)</f>
        <v>0</v>
      </c>
      <c r="F32" s="54"/>
      <c r="G32" s="21"/>
      <c r="H32" s="21"/>
      <c r="X32" s="55"/>
      <c r="Y32" s="21"/>
    </row>
    <row r="33" spans="1:25">
      <c r="A33" s="90" t="s">
        <v>19</v>
      </c>
      <c r="B33" t="s">
        <v>15</v>
      </c>
      <c r="C33" s="54">
        <f>_xlfn.XLOOKUP(C$1,BAU_Scenario!$N$1:$AS$1,BAU_Scenario!$N32:$AS32,0)</f>
        <v>0</v>
      </c>
      <c r="D33" s="54"/>
      <c r="E33" s="54">
        <f>_xlfn.XLOOKUP(E$1,BAU_Scenario!$N$1:$AS$1,BAU_Scenario!$N32:$AS32,0)</f>
        <v>0</v>
      </c>
      <c r="F33" s="54"/>
      <c r="G33" s="21"/>
      <c r="H33" s="21"/>
      <c r="X33" s="55"/>
      <c r="Y33" s="21"/>
    </row>
    <row r="34" spans="1:25">
      <c r="A34" s="90" t="s">
        <v>19</v>
      </c>
      <c r="B34" t="s">
        <v>16</v>
      </c>
      <c r="C34" s="54">
        <f>_xlfn.XLOOKUP(C$1,BAU_Scenario!$N$1:$AS$1,BAU_Scenario!$N33:$AS33,0)</f>
        <v>0</v>
      </c>
      <c r="D34" s="54"/>
      <c r="E34" s="54">
        <f>_xlfn.XLOOKUP(E$1,BAU_Scenario!$N$1:$AS$1,BAU_Scenario!$N33:$AS33,0)</f>
        <v>0</v>
      </c>
      <c r="F34" s="54"/>
      <c r="G34" s="21"/>
      <c r="H34" s="21"/>
      <c r="X34" s="55"/>
      <c r="Y34" s="21"/>
    </row>
    <row r="35" spans="1:25" ht="17" thickBot="1">
      <c r="A35" s="92" t="s">
        <v>19</v>
      </c>
      <c r="B35" s="31" t="s">
        <v>17</v>
      </c>
      <c r="C35" s="54">
        <f>_xlfn.XLOOKUP(C$1,BAU_Scenario!$N$1:$AS$1,BAU_Scenario!$N34:$AS34,0)</f>
        <v>0</v>
      </c>
      <c r="D35" s="54"/>
      <c r="E35" s="54">
        <f>_xlfn.XLOOKUP(E$1,BAU_Scenario!$N$1:$AS$1,BAU_Scenario!$N34:$AS34,0)</f>
        <v>0</v>
      </c>
      <c r="F35" s="54"/>
      <c r="G35" s="21"/>
      <c r="H35" s="21"/>
      <c r="X35" s="55"/>
      <c r="Y35" s="21"/>
    </row>
    <row r="36" spans="1:25">
      <c r="B36" t="s">
        <v>126</v>
      </c>
      <c r="C36" s="54">
        <f>SUM(C3:C6)</f>
        <v>36.387883565033469</v>
      </c>
      <c r="D36" s="54"/>
      <c r="E36" s="54">
        <f>SUM(E3:E6)</f>
        <v>47.281206597144148</v>
      </c>
      <c r="F36" s="54"/>
      <c r="G36" s="21"/>
      <c r="H36" s="21"/>
      <c r="X36" s="55"/>
      <c r="Y36" s="21"/>
    </row>
    <row r="37" spans="1:25">
      <c r="A37" t="s">
        <v>70</v>
      </c>
      <c r="B37" s="3" t="s">
        <v>4</v>
      </c>
      <c r="C37" s="21">
        <f>SUM(C5:C7,C9:C12)/SUM(C3:C13)</f>
        <v>3.94186221232731E-2</v>
      </c>
      <c r="D37" s="21"/>
      <c r="E37" s="21">
        <f>SUM(E5:E7,E9:E12)/SUM(E3:E13)</f>
        <v>4.0868447482188514E-2</v>
      </c>
      <c r="F37" s="21"/>
      <c r="G37" s="21"/>
      <c r="H37" s="21"/>
      <c r="X37" s="55"/>
      <c r="Y37" s="21"/>
    </row>
    <row r="38" spans="1:25">
      <c r="A38" s="104"/>
      <c r="B38" s="3" t="s">
        <v>18</v>
      </c>
      <c r="C38" s="21">
        <f>SUM(C16:C18,C20:C23)/SUM(C14:C24)</f>
        <v>1.5472440744545249E-3</v>
      </c>
      <c r="D38" s="21"/>
      <c r="E38" s="21">
        <f>SUM(E16:E18,E20:E23)/SUM(E14:E24)</f>
        <v>7.7646762546202113E-4</v>
      </c>
      <c r="F38" s="21"/>
      <c r="G38" s="21"/>
      <c r="H38" s="21"/>
      <c r="X38" s="55"/>
      <c r="Y38" s="21"/>
    </row>
    <row r="39" spans="1:25">
      <c r="B39" s="104" t="s">
        <v>19</v>
      </c>
      <c r="C39" s="21">
        <f>SUM(C27:C29,C31:C34)/SUM(C25:C35)</f>
        <v>8.7838594161830638E-2</v>
      </c>
      <c r="D39" s="21"/>
      <c r="E39" s="21">
        <f>SUM(E27:E29,E31:E34)/SUM(E25:E35)</f>
        <v>8.403877318948455E-2</v>
      </c>
      <c r="F39" s="21"/>
      <c r="G39" s="21"/>
      <c r="H39" s="21"/>
      <c r="X39" s="55"/>
      <c r="Y39" s="21"/>
    </row>
    <row r="40" spans="1:25">
      <c r="A40" s="141" t="s">
        <v>69</v>
      </c>
      <c r="B40" s="34"/>
      <c r="C40" t="s">
        <v>53</v>
      </c>
      <c r="E40" t="s">
        <v>53</v>
      </c>
      <c r="X40" s="55"/>
      <c r="Y40" s="21"/>
    </row>
    <row r="41" spans="1:25">
      <c r="A41" s="3" t="s">
        <v>4</v>
      </c>
      <c r="B41" s="3" t="s">
        <v>36</v>
      </c>
      <c r="C41" s="54">
        <f>BAU_Fuel_cons!Y40</f>
        <v>0</v>
      </c>
      <c r="D41" s="54"/>
      <c r="E41" s="54">
        <f>BAU_Fuel_cons!AI40</f>
        <v>0</v>
      </c>
      <c r="F41" s="54"/>
      <c r="G41" s="21"/>
      <c r="H41" s="21"/>
      <c r="X41" s="55"/>
      <c r="Y41" s="21"/>
    </row>
    <row r="42" spans="1:25">
      <c r="A42" s="3" t="s">
        <v>4</v>
      </c>
      <c r="B42" s="3" t="s">
        <v>8</v>
      </c>
      <c r="C42" s="54">
        <f>BAU_Fuel_cons!Y41</f>
        <v>0</v>
      </c>
      <c r="D42" s="54"/>
      <c r="E42" s="54">
        <f>BAU_Fuel_cons!AI41</f>
        <v>0</v>
      </c>
      <c r="F42" s="54"/>
      <c r="G42" s="21"/>
      <c r="H42" s="21"/>
      <c r="X42" s="55"/>
      <c r="Y42" s="21"/>
    </row>
    <row r="43" spans="1:25">
      <c r="A43" s="3" t="s">
        <v>4</v>
      </c>
      <c r="B43" t="s">
        <v>37</v>
      </c>
      <c r="C43" s="54">
        <f>BAU_Fuel_cons!Y42</f>
        <v>0</v>
      </c>
      <c r="D43" s="54"/>
      <c r="E43" s="54">
        <f>BAU_Fuel_cons!AI42</f>
        <v>0</v>
      </c>
      <c r="F43" s="54"/>
      <c r="G43" s="21"/>
      <c r="H43" s="21"/>
      <c r="X43" s="55"/>
      <c r="Y43" s="21"/>
    </row>
    <row r="44" spans="1:25">
      <c r="A44" s="3" t="s">
        <v>4</v>
      </c>
      <c r="B44" t="s">
        <v>10</v>
      </c>
      <c r="C44" s="54">
        <f>BAU_Fuel_cons!Y43</f>
        <v>0</v>
      </c>
      <c r="D44" s="54"/>
      <c r="E44" s="54">
        <f>BAU_Fuel_cons!AI43</f>
        <v>0</v>
      </c>
      <c r="F44" s="54"/>
      <c r="G44" s="21"/>
      <c r="H44" s="21"/>
      <c r="X44" s="55"/>
      <c r="Y44" s="21"/>
    </row>
    <row r="45" spans="1:25">
      <c r="A45" s="3" t="s">
        <v>4</v>
      </c>
      <c r="B45" t="s">
        <v>11</v>
      </c>
      <c r="C45" s="54">
        <f>BAU_Fuel_cons!Y44</f>
        <v>0</v>
      </c>
      <c r="D45" s="54"/>
      <c r="E45" s="54">
        <f>BAU_Fuel_cons!AI44</f>
        <v>0</v>
      </c>
      <c r="F45" s="54"/>
      <c r="G45" s="21"/>
      <c r="H45" s="21"/>
      <c r="X45" s="55"/>
      <c r="Y45" s="21"/>
    </row>
    <row r="46" spans="1:25">
      <c r="A46" s="3" t="s">
        <v>4</v>
      </c>
      <c r="B46" s="3" t="s">
        <v>12</v>
      </c>
      <c r="C46" s="54">
        <f>BAU_Fuel_cons!Y45</f>
        <v>0</v>
      </c>
      <c r="D46" s="54"/>
      <c r="E46" s="54">
        <f>BAU_Fuel_cons!AI45</f>
        <v>0</v>
      </c>
      <c r="F46" s="54"/>
      <c r="G46" s="21"/>
      <c r="H46" s="21"/>
    </row>
    <row r="47" spans="1:25">
      <c r="A47" s="3" t="s">
        <v>4</v>
      </c>
      <c r="B47" s="3" t="s">
        <v>13</v>
      </c>
      <c r="C47" s="54">
        <f>BAU_Fuel_cons!Y46</f>
        <v>0</v>
      </c>
      <c r="D47" s="54"/>
      <c r="E47" s="54">
        <f>BAU_Fuel_cons!AI46</f>
        <v>0</v>
      </c>
      <c r="F47" s="54"/>
      <c r="G47" s="21"/>
      <c r="H47" s="21"/>
    </row>
    <row r="48" spans="1:25">
      <c r="A48" s="3" t="s">
        <v>4</v>
      </c>
      <c r="B48" t="s">
        <v>14</v>
      </c>
      <c r="C48" s="54">
        <f>BAU_Fuel_cons!Y47</f>
        <v>0</v>
      </c>
      <c r="D48" s="54"/>
      <c r="E48" s="54">
        <f>BAU_Fuel_cons!AI47</f>
        <v>0</v>
      </c>
      <c r="F48" s="54"/>
      <c r="G48" s="21"/>
      <c r="H48" s="21"/>
    </row>
    <row r="49" spans="1:8">
      <c r="A49" s="3" t="s">
        <v>4</v>
      </c>
      <c r="B49" t="s">
        <v>15</v>
      </c>
      <c r="C49" s="54">
        <f>BAU_Fuel_cons!Y48</f>
        <v>0</v>
      </c>
      <c r="D49" s="54"/>
      <c r="E49" s="54">
        <f>BAU_Fuel_cons!AI48</f>
        <v>0</v>
      </c>
      <c r="F49" s="54"/>
      <c r="G49" s="21"/>
      <c r="H49" s="21"/>
    </row>
    <row r="50" spans="1:8">
      <c r="A50" s="3" t="s">
        <v>4</v>
      </c>
      <c r="B50" t="s">
        <v>16</v>
      </c>
      <c r="C50" s="54">
        <f>BAU_Fuel_cons!Y49</f>
        <v>0</v>
      </c>
      <c r="D50" s="54"/>
      <c r="E50" s="54">
        <f>BAU_Fuel_cons!AI49</f>
        <v>0</v>
      </c>
      <c r="F50" s="54"/>
      <c r="G50" s="21"/>
      <c r="H50" s="21"/>
    </row>
    <row r="51" spans="1:8" ht="17" thickBot="1">
      <c r="A51" s="31" t="s">
        <v>4</v>
      </c>
      <c r="B51" s="31" t="s">
        <v>17</v>
      </c>
      <c r="C51" s="54">
        <f>BAU_Fuel_cons!Y50</f>
        <v>0</v>
      </c>
      <c r="D51" s="54"/>
      <c r="E51" s="54">
        <f>BAU_Fuel_cons!AI50</f>
        <v>0</v>
      </c>
      <c r="F51" s="54"/>
      <c r="G51" s="21"/>
      <c r="H51" s="21"/>
    </row>
    <row r="52" spans="1:8">
      <c r="A52" s="28" t="s">
        <v>18</v>
      </c>
      <c r="B52" s="28" t="s">
        <v>36</v>
      </c>
      <c r="C52" s="54">
        <f>BAU_Fuel_cons!Y51</f>
        <v>0</v>
      </c>
      <c r="D52" s="54"/>
      <c r="E52" s="54">
        <f>BAU_Fuel_cons!AI51</f>
        <v>0</v>
      </c>
      <c r="F52" s="54"/>
      <c r="G52" s="21"/>
      <c r="H52" s="21"/>
    </row>
    <row r="53" spans="1:8">
      <c r="A53" s="3" t="s">
        <v>18</v>
      </c>
      <c r="B53" s="3" t="s">
        <v>8</v>
      </c>
      <c r="C53" s="54">
        <f>BAU_Fuel_cons!Y52</f>
        <v>0</v>
      </c>
      <c r="D53" s="54"/>
      <c r="E53" s="54">
        <f>BAU_Fuel_cons!AI52</f>
        <v>0</v>
      </c>
      <c r="F53" s="54"/>
      <c r="G53" s="21"/>
      <c r="H53" s="21"/>
    </row>
    <row r="54" spans="1:8">
      <c r="A54" s="3" t="s">
        <v>18</v>
      </c>
      <c r="B54" t="s">
        <v>37</v>
      </c>
      <c r="C54" s="54">
        <f>BAU_Fuel_cons!Y53</f>
        <v>0</v>
      </c>
      <c r="D54" s="54"/>
      <c r="E54" s="54">
        <f>BAU_Fuel_cons!AI53</f>
        <v>0</v>
      </c>
      <c r="F54" s="54"/>
      <c r="G54" s="21"/>
      <c r="H54" s="21"/>
    </row>
    <row r="55" spans="1:8">
      <c r="A55" s="3" t="s">
        <v>18</v>
      </c>
      <c r="B55" t="s">
        <v>10</v>
      </c>
      <c r="C55" s="54">
        <f>BAU_Fuel_cons!Y54</f>
        <v>0</v>
      </c>
      <c r="D55" s="54"/>
      <c r="E55" s="54">
        <f>BAU_Fuel_cons!AI54</f>
        <v>0</v>
      </c>
      <c r="F55" s="54"/>
      <c r="G55" s="21"/>
      <c r="H55" s="21"/>
    </row>
    <row r="56" spans="1:8">
      <c r="A56" s="3" t="s">
        <v>18</v>
      </c>
      <c r="B56" t="s">
        <v>11</v>
      </c>
      <c r="C56" s="54">
        <f>BAU_Fuel_cons!Y55</f>
        <v>0</v>
      </c>
      <c r="D56" s="54"/>
      <c r="E56" s="54">
        <f>BAU_Fuel_cons!AI55</f>
        <v>0</v>
      </c>
      <c r="F56" s="54"/>
      <c r="G56" s="21"/>
      <c r="H56" s="21"/>
    </row>
    <row r="57" spans="1:8">
      <c r="A57" s="3" t="s">
        <v>18</v>
      </c>
      <c r="B57" s="3" t="s">
        <v>12</v>
      </c>
      <c r="C57" s="54">
        <f>BAU_Fuel_cons!Y56</f>
        <v>0</v>
      </c>
      <c r="D57" s="54"/>
      <c r="E57" s="54">
        <f>BAU_Fuel_cons!AI56</f>
        <v>0</v>
      </c>
      <c r="F57" s="54"/>
      <c r="G57" s="21"/>
      <c r="H57" s="21"/>
    </row>
    <row r="58" spans="1:8">
      <c r="A58" s="3" t="s">
        <v>18</v>
      </c>
      <c r="B58" s="3" t="s">
        <v>13</v>
      </c>
      <c r="C58" s="54">
        <f>BAU_Fuel_cons!Y57</f>
        <v>0</v>
      </c>
      <c r="D58" s="54"/>
      <c r="E58" s="54">
        <f>BAU_Fuel_cons!AI57</f>
        <v>0</v>
      </c>
      <c r="F58" s="54"/>
      <c r="G58" s="21"/>
      <c r="H58" s="21"/>
    </row>
    <row r="59" spans="1:8">
      <c r="A59" s="3" t="s">
        <v>18</v>
      </c>
      <c r="B59" t="s">
        <v>14</v>
      </c>
      <c r="C59" s="54">
        <f>BAU_Fuel_cons!Y58</f>
        <v>0</v>
      </c>
      <c r="D59" s="54"/>
      <c r="E59" s="54">
        <f>BAU_Fuel_cons!AI58</f>
        <v>0</v>
      </c>
      <c r="F59" s="54"/>
      <c r="G59" s="21"/>
      <c r="H59" s="21"/>
    </row>
    <row r="60" spans="1:8">
      <c r="A60" s="3" t="s">
        <v>18</v>
      </c>
      <c r="B60" t="s">
        <v>15</v>
      </c>
      <c r="C60" s="54">
        <f>BAU_Fuel_cons!Y59</f>
        <v>0</v>
      </c>
      <c r="D60" s="54"/>
      <c r="E60" s="54">
        <f>BAU_Fuel_cons!AI59</f>
        <v>0</v>
      </c>
      <c r="F60" s="54"/>
      <c r="G60" s="21"/>
      <c r="H60" s="21"/>
    </row>
    <row r="61" spans="1:8">
      <c r="A61" s="3" t="s">
        <v>18</v>
      </c>
      <c r="B61" t="s">
        <v>16</v>
      </c>
      <c r="C61" s="54">
        <f>BAU_Fuel_cons!Y60</f>
        <v>0</v>
      </c>
      <c r="D61" s="54"/>
      <c r="E61" s="54">
        <f>BAU_Fuel_cons!AI60</f>
        <v>0</v>
      </c>
      <c r="F61" s="54"/>
      <c r="G61" s="21"/>
      <c r="H61" s="21"/>
    </row>
    <row r="62" spans="1:8" ht="17" thickBot="1">
      <c r="A62" s="31" t="s">
        <v>18</v>
      </c>
      <c r="B62" s="31" t="s">
        <v>17</v>
      </c>
      <c r="C62" s="54">
        <f>BAU_Fuel_cons!Y61</f>
        <v>0</v>
      </c>
      <c r="D62" s="54"/>
      <c r="E62" s="54">
        <f>BAU_Fuel_cons!AI61</f>
        <v>0</v>
      </c>
      <c r="F62" s="54"/>
      <c r="G62" s="21"/>
      <c r="H62" s="21"/>
    </row>
    <row r="63" spans="1:8">
      <c r="A63" s="86" t="s">
        <v>19</v>
      </c>
      <c r="B63" s="87" t="s">
        <v>36</v>
      </c>
      <c r="C63" s="54">
        <f>BAU_Fuel_cons!Y62</f>
        <v>0</v>
      </c>
      <c r="D63" s="54"/>
      <c r="E63" s="54">
        <f>BAU_Fuel_cons!AI62</f>
        <v>0</v>
      </c>
      <c r="F63" s="54"/>
      <c r="G63" s="21"/>
      <c r="H63" s="21"/>
    </row>
    <row r="64" spans="1:8">
      <c r="A64" s="90" t="s">
        <v>19</v>
      </c>
      <c r="B64" s="3" t="s">
        <v>8</v>
      </c>
      <c r="C64" s="54">
        <f>BAU_Fuel_cons!Y63</f>
        <v>0</v>
      </c>
      <c r="D64" s="54"/>
      <c r="E64" s="54">
        <f>BAU_Fuel_cons!AI63</f>
        <v>0</v>
      </c>
      <c r="F64" s="54"/>
      <c r="G64" s="21"/>
      <c r="H64" s="21"/>
    </row>
    <row r="65" spans="1:8">
      <c r="A65" s="90" t="s">
        <v>19</v>
      </c>
      <c r="B65" t="s">
        <v>37</v>
      </c>
      <c r="C65" s="54">
        <f>BAU_Fuel_cons!Y64</f>
        <v>0</v>
      </c>
      <c r="D65" s="54"/>
      <c r="E65" s="54">
        <f>BAU_Fuel_cons!AI64</f>
        <v>0</v>
      </c>
      <c r="F65" s="54"/>
      <c r="G65" s="21"/>
      <c r="H65" s="21"/>
    </row>
    <row r="66" spans="1:8">
      <c r="A66" s="90" t="s">
        <v>19</v>
      </c>
      <c r="B66" t="s">
        <v>10</v>
      </c>
      <c r="C66" s="54">
        <f>BAU_Fuel_cons!Y65</f>
        <v>0</v>
      </c>
      <c r="D66" s="54"/>
      <c r="E66" s="54">
        <f>BAU_Fuel_cons!AI65</f>
        <v>0</v>
      </c>
      <c r="F66" s="54"/>
      <c r="G66" s="21"/>
      <c r="H66" s="21"/>
    </row>
    <row r="67" spans="1:8">
      <c r="A67" s="90" t="s">
        <v>19</v>
      </c>
      <c r="B67" t="s">
        <v>11</v>
      </c>
      <c r="C67" s="54">
        <f>BAU_Fuel_cons!Y66</f>
        <v>0</v>
      </c>
      <c r="D67" s="54"/>
      <c r="E67" s="54">
        <f>BAU_Fuel_cons!AI66</f>
        <v>0</v>
      </c>
      <c r="F67" s="54"/>
      <c r="G67" s="21"/>
      <c r="H67" s="21"/>
    </row>
    <row r="68" spans="1:8">
      <c r="A68" s="90" t="s">
        <v>19</v>
      </c>
      <c r="B68" s="3" t="s">
        <v>12</v>
      </c>
      <c r="C68" s="54">
        <f>BAU_Fuel_cons!Y67</f>
        <v>0</v>
      </c>
      <c r="D68" s="54"/>
      <c r="E68" s="54">
        <f>BAU_Fuel_cons!AI67</f>
        <v>0</v>
      </c>
      <c r="F68" s="54"/>
      <c r="G68" s="21"/>
      <c r="H68" s="21"/>
    </row>
    <row r="69" spans="1:8">
      <c r="A69" s="90" t="s">
        <v>19</v>
      </c>
      <c r="B69" s="3" t="s">
        <v>13</v>
      </c>
      <c r="C69" s="54">
        <f>BAU_Fuel_cons!Y68</f>
        <v>0</v>
      </c>
      <c r="D69" s="54"/>
      <c r="E69" s="54">
        <f>BAU_Fuel_cons!AI68</f>
        <v>0</v>
      </c>
      <c r="F69" s="54"/>
      <c r="G69" s="21"/>
      <c r="H69" s="21"/>
    </row>
    <row r="70" spans="1:8">
      <c r="A70" s="90" t="s">
        <v>19</v>
      </c>
      <c r="B70" t="s">
        <v>14</v>
      </c>
      <c r="C70" s="54">
        <f>BAU_Fuel_cons!Y69</f>
        <v>0</v>
      </c>
      <c r="D70" s="54"/>
      <c r="E70" s="54">
        <f>BAU_Fuel_cons!AI69</f>
        <v>0</v>
      </c>
      <c r="F70" s="54"/>
      <c r="G70" s="21"/>
      <c r="H70" s="21"/>
    </row>
    <row r="71" spans="1:8">
      <c r="A71" s="90" t="s">
        <v>19</v>
      </c>
      <c r="B71" t="s">
        <v>15</v>
      </c>
      <c r="C71" s="54">
        <f>BAU_Fuel_cons!Y70</f>
        <v>0</v>
      </c>
      <c r="D71" s="54"/>
      <c r="E71" s="54">
        <f>BAU_Fuel_cons!AI70</f>
        <v>0</v>
      </c>
      <c r="F71" s="54"/>
      <c r="G71" s="21"/>
      <c r="H71" s="21"/>
    </row>
    <row r="72" spans="1:8">
      <c r="A72" s="90" t="s">
        <v>19</v>
      </c>
      <c r="B72" t="s">
        <v>16</v>
      </c>
      <c r="C72" s="54">
        <f>BAU_Fuel_cons!Y71</f>
        <v>0</v>
      </c>
      <c r="D72" s="54"/>
      <c r="E72" s="54">
        <f>BAU_Fuel_cons!AI71</f>
        <v>0</v>
      </c>
      <c r="F72" s="54"/>
      <c r="G72" s="21"/>
      <c r="H72" s="21"/>
    </row>
    <row r="73" spans="1:8" ht="17" thickBot="1">
      <c r="A73" s="92" t="s">
        <v>19</v>
      </c>
      <c r="B73" s="31" t="s">
        <v>17</v>
      </c>
      <c r="C73" s="54">
        <f>BAU_Fuel_cons!Y72</f>
        <v>0</v>
      </c>
      <c r="D73" s="54"/>
      <c r="E73" s="54">
        <f>BAU_Fuel_cons!AI72</f>
        <v>0</v>
      </c>
      <c r="F73" s="54"/>
      <c r="G73" s="21"/>
      <c r="H73" s="21"/>
    </row>
    <row r="74" spans="1:8">
      <c r="B74" t="s">
        <v>126</v>
      </c>
      <c r="C74" s="55">
        <f>SUM(C41:C44)</f>
        <v>0</v>
      </c>
      <c r="D74" s="55"/>
      <c r="E74" s="55">
        <f>SUM(E41:E44)</f>
        <v>0</v>
      </c>
      <c r="F74" s="55"/>
      <c r="G74" s="21"/>
      <c r="H74" s="21"/>
    </row>
    <row r="75" spans="1:8">
      <c r="A75" t="s">
        <v>70</v>
      </c>
      <c r="B75" s="3" t="s">
        <v>4</v>
      </c>
      <c r="C75" s="55">
        <f>SUM(C41:C51)</f>
        <v>0</v>
      </c>
      <c r="D75" s="55"/>
      <c r="E75" s="55">
        <f>SUM(E41:E51)</f>
        <v>0</v>
      </c>
      <c r="F75" s="55"/>
      <c r="G75" s="21"/>
      <c r="H75" s="21"/>
    </row>
    <row r="76" spans="1:8">
      <c r="B76" s="3" t="s">
        <v>18</v>
      </c>
      <c r="C76" s="55">
        <f>SUM(C52:C62)</f>
        <v>0</v>
      </c>
      <c r="D76" s="55"/>
      <c r="E76" s="55">
        <f>SUM(E52:E62)</f>
        <v>0</v>
      </c>
      <c r="F76" s="55"/>
      <c r="G76" s="21"/>
      <c r="H76" s="21"/>
    </row>
    <row r="77" spans="1:8">
      <c r="B77" s="90" t="s">
        <v>19</v>
      </c>
      <c r="C77" s="55">
        <f>SUM(C63:C73)</f>
        <v>0</v>
      </c>
      <c r="D77" s="55"/>
      <c r="E77" s="55">
        <f>SUM(E63:E73)</f>
        <v>0</v>
      </c>
      <c r="F77" s="55"/>
      <c r="G77" s="21"/>
      <c r="H77" s="21"/>
    </row>
    <row r="78" spans="1:8">
      <c r="A78" s="141" t="s">
        <v>124</v>
      </c>
      <c r="B78" s="34"/>
      <c r="C78" t="s">
        <v>53</v>
      </c>
      <c r="E78" t="s">
        <v>53</v>
      </c>
    </row>
    <row r="79" spans="1:8">
      <c r="A79" s="3" t="s">
        <v>4</v>
      </c>
      <c r="B79" s="3" t="s">
        <v>36</v>
      </c>
      <c r="C79" s="54">
        <f>BAU_emissions!P2</f>
        <v>7947.7628963563711</v>
      </c>
      <c r="D79" s="54"/>
      <c r="E79" s="54">
        <f>BAU_emissions!Z2</f>
        <v>6430.8111831324013</v>
      </c>
      <c r="F79" s="54"/>
      <c r="G79" s="21"/>
      <c r="H79" s="21"/>
    </row>
    <row r="80" spans="1:8">
      <c r="A80" s="3" t="s">
        <v>4</v>
      </c>
      <c r="B80" s="3" t="s">
        <v>8</v>
      </c>
      <c r="C80" s="54">
        <f>BAU_emissions!P3</f>
        <v>12446.055819154786</v>
      </c>
      <c r="D80" s="54"/>
      <c r="E80" s="54">
        <f>BAU_emissions!Z3</f>
        <v>21118.231810270288</v>
      </c>
      <c r="F80" s="54"/>
      <c r="G80" s="21"/>
      <c r="H80" s="21"/>
    </row>
    <row r="81" spans="1:8">
      <c r="A81" s="3" t="s">
        <v>4</v>
      </c>
      <c r="B81" t="s">
        <v>37</v>
      </c>
      <c r="C81" s="54">
        <f>BAU_emissions!P4</f>
        <v>126.4512430204084</v>
      </c>
      <c r="D81" s="54"/>
      <c r="E81" s="54">
        <f>BAU_emissions!Z4</f>
        <v>283.74201557003101</v>
      </c>
      <c r="F81" s="54"/>
      <c r="G81" s="21"/>
      <c r="H81" s="21"/>
    </row>
    <row r="82" spans="1:8">
      <c r="A82" s="3" t="s">
        <v>4</v>
      </c>
      <c r="B82" t="s">
        <v>10</v>
      </c>
      <c r="C82" s="54">
        <f>BAU_emissions!P5</f>
        <v>64.821920034144838</v>
      </c>
      <c r="D82" s="54"/>
      <c r="E82" s="54">
        <f>BAU_emissions!Z5</f>
        <v>145.45291769602667</v>
      </c>
      <c r="F82" s="54"/>
      <c r="G82" s="21"/>
      <c r="H82" s="21"/>
    </row>
    <row r="83" spans="1:8">
      <c r="A83" s="3" t="s">
        <v>4</v>
      </c>
      <c r="B83" t="s">
        <v>11</v>
      </c>
      <c r="C83" s="54">
        <f>BAU_emissions!P6</f>
        <v>11.291329002123664</v>
      </c>
      <c r="D83" s="54"/>
      <c r="E83" s="54">
        <f>BAU_emissions!Z6</f>
        <v>7.9971378794709489</v>
      </c>
      <c r="F83" s="54"/>
      <c r="G83" s="21"/>
      <c r="H83" s="21"/>
    </row>
    <row r="84" spans="1:8">
      <c r="A84" s="3" t="s">
        <v>4</v>
      </c>
      <c r="B84" s="3" t="s">
        <v>12</v>
      </c>
      <c r="C84" s="54">
        <f>BAU_emissions!P7</f>
        <v>0</v>
      </c>
      <c r="D84" s="54"/>
      <c r="E84" s="54">
        <f>BAU_emissions!Z7</f>
        <v>0</v>
      </c>
      <c r="F84" s="54"/>
      <c r="G84" s="21"/>
      <c r="H84" s="21"/>
    </row>
    <row r="85" spans="1:8">
      <c r="A85" s="3" t="s">
        <v>4</v>
      </c>
      <c r="B85" s="3" t="s">
        <v>13</v>
      </c>
      <c r="C85" s="54">
        <f>BAU_emissions!P8</f>
        <v>69.542437838169477</v>
      </c>
      <c r="D85" s="54"/>
      <c r="E85" s="54">
        <f>BAU_emissions!Z8</f>
        <v>49.155350365109335</v>
      </c>
      <c r="F85" s="54"/>
      <c r="G85" s="21"/>
      <c r="H85" s="21"/>
    </row>
    <row r="86" spans="1:8">
      <c r="A86" s="3" t="s">
        <v>4</v>
      </c>
      <c r="B86" t="s">
        <v>14</v>
      </c>
      <c r="C86" s="54">
        <f>BAU_emissions!P9</f>
        <v>0</v>
      </c>
      <c r="D86" s="54"/>
      <c r="E86" s="54">
        <f>BAU_emissions!Z9</f>
        <v>0</v>
      </c>
      <c r="F86" s="54"/>
      <c r="G86" s="21"/>
      <c r="H86" s="21"/>
    </row>
    <row r="87" spans="1:8">
      <c r="A87" s="3" t="s">
        <v>4</v>
      </c>
      <c r="B87" t="s">
        <v>15</v>
      </c>
      <c r="C87" s="54">
        <f>BAU_emissions!P10</f>
        <v>0</v>
      </c>
      <c r="D87" s="54"/>
      <c r="E87" s="54">
        <f>BAU_emissions!Z10</f>
        <v>0</v>
      </c>
      <c r="F87" s="54"/>
      <c r="G87" s="21"/>
      <c r="H87" s="21"/>
    </row>
    <row r="88" spans="1:8">
      <c r="A88" s="3" t="s">
        <v>4</v>
      </c>
      <c r="B88" t="s">
        <v>16</v>
      </c>
      <c r="C88" s="54">
        <f>BAU_emissions!P11</f>
        <v>0</v>
      </c>
      <c r="D88" s="54"/>
      <c r="E88" s="54">
        <f>BAU_emissions!Z11</f>
        <v>0</v>
      </c>
      <c r="F88" s="54"/>
      <c r="G88" s="21"/>
      <c r="H88" s="21"/>
    </row>
    <row r="89" spans="1:8" ht="17" thickBot="1">
      <c r="A89" s="31" t="s">
        <v>4</v>
      </c>
      <c r="B89" s="31" t="s">
        <v>17</v>
      </c>
      <c r="C89" s="54">
        <f>BAU_emissions!P12</f>
        <v>0</v>
      </c>
      <c r="D89" s="54"/>
      <c r="E89" s="54">
        <f>BAU_emissions!Z12</f>
        <v>0</v>
      </c>
      <c r="F89" s="54"/>
      <c r="G89" s="21"/>
      <c r="H89" s="21"/>
    </row>
    <row r="90" spans="1:8">
      <c r="A90" s="28" t="s">
        <v>18</v>
      </c>
      <c r="B90" s="28" t="s">
        <v>36</v>
      </c>
      <c r="C90" s="54">
        <f>BAU_emissions!P13</f>
        <v>6873.573785938328</v>
      </c>
      <c r="D90" s="54"/>
      <c r="E90" s="54">
        <f>BAU_emissions!Z13</f>
        <v>5666.7756104679738</v>
      </c>
      <c r="F90" s="54"/>
      <c r="G90" s="21"/>
      <c r="H90" s="21"/>
    </row>
    <row r="91" spans="1:8">
      <c r="A91" s="3" t="s">
        <v>18</v>
      </c>
      <c r="B91" s="3" t="s">
        <v>8</v>
      </c>
      <c r="C91" s="54">
        <f>BAU_emissions!P14</f>
        <v>4177.221518600034</v>
      </c>
      <c r="D91" s="54"/>
      <c r="E91" s="54">
        <f>BAU_emissions!Z14</f>
        <v>8396.8253092334289</v>
      </c>
      <c r="F91" s="54"/>
      <c r="G91" s="21"/>
      <c r="H91" s="21"/>
    </row>
    <row r="92" spans="1:8">
      <c r="A92" s="3" t="s">
        <v>18</v>
      </c>
      <c r="B92" t="s">
        <v>37</v>
      </c>
      <c r="C92" s="54">
        <f>BAU_emissions!P15</f>
        <v>0</v>
      </c>
      <c r="D92" s="54"/>
      <c r="E92" s="54">
        <f>BAU_emissions!Z15</f>
        <v>0</v>
      </c>
      <c r="F92" s="54"/>
      <c r="G92" s="21"/>
      <c r="H92" s="21"/>
    </row>
    <row r="93" spans="1:8">
      <c r="A93" s="3" t="s">
        <v>18</v>
      </c>
      <c r="B93" t="s">
        <v>10</v>
      </c>
      <c r="C93" s="54">
        <f>BAU_emissions!P16</f>
        <v>0</v>
      </c>
      <c r="D93" s="54"/>
      <c r="E93" s="54">
        <f>BAU_emissions!Z16</f>
        <v>0</v>
      </c>
      <c r="F93" s="54"/>
      <c r="G93" s="21"/>
      <c r="H93" s="21"/>
    </row>
    <row r="94" spans="1:8">
      <c r="A94" s="3" t="s">
        <v>18</v>
      </c>
      <c r="B94" t="s">
        <v>11</v>
      </c>
      <c r="C94" s="54">
        <f>BAU_emissions!P17</f>
        <v>0.29290386082829795</v>
      </c>
      <c r="D94" s="54"/>
      <c r="E94" s="54">
        <f>BAU_emissions!Z17</f>
        <v>0.1743178846134629</v>
      </c>
      <c r="F94" s="54"/>
      <c r="G94" s="21"/>
      <c r="H94" s="21"/>
    </row>
    <row r="95" spans="1:8">
      <c r="A95" s="3" t="s">
        <v>18</v>
      </c>
      <c r="B95" s="3" t="s">
        <v>12</v>
      </c>
      <c r="C95" s="54">
        <f>BAU_emissions!P18</f>
        <v>0</v>
      </c>
      <c r="D95" s="54"/>
      <c r="E95" s="54">
        <f>BAU_emissions!Z18</f>
        <v>0</v>
      </c>
      <c r="F95" s="54"/>
      <c r="G95" s="21"/>
      <c r="H95" s="21"/>
    </row>
    <row r="96" spans="1:8">
      <c r="A96" s="3" t="s">
        <v>18</v>
      </c>
      <c r="B96" s="3" t="s">
        <v>13</v>
      </c>
      <c r="C96" s="54">
        <f>BAU_emissions!P19</f>
        <v>2.6514208156412158</v>
      </c>
      <c r="D96" s="54"/>
      <c r="E96" s="54">
        <f>BAU_emissions!Z19</f>
        <v>1.5779582641746661</v>
      </c>
      <c r="F96" s="54"/>
      <c r="G96" s="21"/>
      <c r="H96" s="21"/>
    </row>
    <row r="97" spans="1:8">
      <c r="A97" s="3" t="s">
        <v>18</v>
      </c>
      <c r="B97" t="s">
        <v>14</v>
      </c>
      <c r="C97" s="54">
        <f>BAU_emissions!P20</f>
        <v>0</v>
      </c>
      <c r="D97" s="54"/>
      <c r="E97" s="54">
        <f>BAU_emissions!Z20</f>
        <v>0</v>
      </c>
      <c r="F97" s="54"/>
      <c r="G97" s="21"/>
      <c r="H97" s="21"/>
    </row>
    <row r="98" spans="1:8">
      <c r="A98" s="3" t="s">
        <v>18</v>
      </c>
      <c r="B98" t="s">
        <v>15</v>
      </c>
      <c r="C98" s="54">
        <f>BAU_emissions!P21</f>
        <v>0</v>
      </c>
      <c r="D98" s="54"/>
      <c r="E98" s="54">
        <f>BAU_emissions!Z21</f>
        <v>0</v>
      </c>
      <c r="F98" s="54"/>
      <c r="G98" s="21"/>
      <c r="H98" s="21"/>
    </row>
    <row r="99" spans="1:8">
      <c r="A99" s="3" t="s">
        <v>18</v>
      </c>
      <c r="B99" t="s">
        <v>16</v>
      </c>
      <c r="C99" s="54">
        <f>BAU_emissions!P22</f>
        <v>0</v>
      </c>
      <c r="D99" s="54"/>
      <c r="E99" s="54">
        <f>BAU_emissions!Z22</f>
        <v>0</v>
      </c>
      <c r="F99" s="54"/>
      <c r="G99" s="21"/>
      <c r="H99" s="21"/>
    </row>
    <row r="100" spans="1:8" ht="17" thickBot="1">
      <c r="A100" s="31" t="s">
        <v>18</v>
      </c>
      <c r="B100" s="31" t="s">
        <v>17</v>
      </c>
      <c r="C100" s="54">
        <f>BAU_emissions!P23</f>
        <v>0</v>
      </c>
      <c r="D100" s="54"/>
      <c r="E100" s="54">
        <f>BAU_emissions!Z23</f>
        <v>0</v>
      </c>
      <c r="F100" s="54"/>
      <c r="G100" s="21"/>
      <c r="H100" s="21"/>
    </row>
    <row r="101" spans="1:8">
      <c r="A101" s="86" t="s">
        <v>19</v>
      </c>
      <c r="B101" s="87" t="s">
        <v>36</v>
      </c>
      <c r="C101" s="54">
        <f>BAU_emissions!P24</f>
        <v>1074.1891104180434</v>
      </c>
      <c r="D101" s="54"/>
      <c r="E101" s="54">
        <f>BAU_emissions!Z24</f>
        <v>764.03557266442738</v>
      </c>
      <c r="F101" s="54"/>
      <c r="G101" s="21"/>
      <c r="H101" s="21"/>
    </row>
    <row r="102" spans="1:8">
      <c r="A102" s="90" t="s">
        <v>19</v>
      </c>
      <c r="B102" s="3" t="s">
        <v>8</v>
      </c>
      <c r="C102" s="54">
        <f>BAU_emissions!P25</f>
        <v>8268.8343005547522</v>
      </c>
      <c r="D102" s="54"/>
      <c r="E102" s="54">
        <f>BAU_emissions!Z25</f>
        <v>12721.406501036859</v>
      </c>
      <c r="F102" s="54"/>
      <c r="G102" s="21"/>
      <c r="H102" s="21"/>
    </row>
    <row r="103" spans="1:8">
      <c r="A103" s="90" t="s">
        <v>19</v>
      </c>
      <c r="B103" t="s">
        <v>37</v>
      </c>
      <c r="C103" s="54">
        <f>BAU_emissions!P26</f>
        <v>126.4512430204084</v>
      </c>
      <c r="D103" s="54"/>
      <c r="E103" s="54">
        <f>BAU_emissions!Z26</f>
        <v>283.74201557003101</v>
      </c>
      <c r="F103" s="54"/>
      <c r="G103" s="21"/>
      <c r="H103" s="21"/>
    </row>
    <row r="104" spans="1:8">
      <c r="A104" s="90" t="s">
        <v>19</v>
      </c>
      <c r="B104" t="s">
        <v>10</v>
      </c>
      <c r="C104" s="54">
        <f>BAU_emissions!P27</f>
        <v>64.821920034144838</v>
      </c>
      <c r="D104" s="54"/>
      <c r="E104" s="54">
        <f>BAU_emissions!Z27</f>
        <v>145.45291769602667</v>
      </c>
      <c r="F104" s="54"/>
      <c r="G104" s="21"/>
      <c r="H104" s="21"/>
    </row>
    <row r="105" spans="1:8">
      <c r="A105" s="90" t="s">
        <v>19</v>
      </c>
      <c r="B105" t="s">
        <v>11</v>
      </c>
      <c r="C105" s="54">
        <f>BAU_emissions!P28</f>
        <v>10.998425141295366</v>
      </c>
      <c r="D105" s="54"/>
      <c r="E105" s="54">
        <f>BAU_emissions!Z28</f>
        <v>7.8228199948574861</v>
      </c>
      <c r="F105" s="54"/>
      <c r="G105" s="21"/>
      <c r="H105" s="21"/>
    </row>
    <row r="106" spans="1:8">
      <c r="A106" s="90" t="s">
        <v>19</v>
      </c>
      <c r="B106" s="3" t="s">
        <v>12</v>
      </c>
      <c r="C106" s="54">
        <f>BAU_emissions!P29</f>
        <v>0</v>
      </c>
      <c r="D106" s="54"/>
      <c r="E106" s="54">
        <f>BAU_emissions!Z29</f>
        <v>0</v>
      </c>
      <c r="F106" s="54"/>
      <c r="G106" s="21"/>
      <c r="H106" s="21"/>
    </row>
    <row r="107" spans="1:8">
      <c r="A107" s="90" t="s">
        <v>19</v>
      </c>
      <c r="B107" s="3" t="s">
        <v>13</v>
      </c>
      <c r="C107" s="54">
        <f>BAU_emissions!P30</f>
        <v>66.89101702252826</v>
      </c>
      <c r="D107" s="54"/>
      <c r="E107" s="54">
        <f>BAU_emissions!Z30</f>
        <v>47.577392100934667</v>
      </c>
      <c r="F107" s="54"/>
      <c r="G107" s="21"/>
      <c r="H107" s="21"/>
    </row>
    <row r="108" spans="1:8">
      <c r="A108" s="90" t="s">
        <v>19</v>
      </c>
      <c r="B108" t="s">
        <v>14</v>
      </c>
      <c r="C108" s="54">
        <f>BAU_emissions!P31</f>
        <v>0</v>
      </c>
      <c r="D108" s="54"/>
      <c r="E108" s="54">
        <f>BAU_emissions!Z31</f>
        <v>0</v>
      </c>
      <c r="F108" s="54"/>
      <c r="G108" s="21"/>
      <c r="H108" s="21"/>
    </row>
    <row r="109" spans="1:8">
      <c r="A109" s="90" t="s">
        <v>19</v>
      </c>
      <c r="B109" t="s">
        <v>15</v>
      </c>
      <c r="C109" s="54">
        <f>BAU_emissions!P32</f>
        <v>0</v>
      </c>
      <c r="D109" s="54"/>
      <c r="E109" s="54">
        <f>BAU_emissions!Z32</f>
        <v>0</v>
      </c>
      <c r="F109" s="54"/>
      <c r="G109" s="21"/>
      <c r="H109" s="21"/>
    </row>
    <row r="110" spans="1:8">
      <c r="A110" s="90" t="s">
        <v>19</v>
      </c>
      <c r="B110" t="s">
        <v>16</v>
      </c>
      <c r="C110" s="54">
        <f>BAU_emissions!P33</f>
        <v>0</v>
      </c>
      <c r="D110" s="54"/>
      <c r="E110" s="54">
        <f>BAU_emissions!Z33</f>
        <v>0</v>
      </c>
      <c r="F110" s="54"/>
      <c r="G110" s="21"/>
      <c r="H110" s="21"/>
    </row>
    <row r="111" spans="1:8" ht="17" thickBot="1">
      <c r="A111" s="92" t="s">
        <v>19</v>
      </c>
      <c r="B111" s="31" t="s">
        <v>17</v>
      </c>
      <c r="C111" s="54">
        <f>BAU_emissions!P34</f>
        <v>0</v>
      </c>
      <c r="D111" s="54"/>
      <c r="E111" s="54">
        <f>BAU_emissions!Z34</f>
        <v>0</v>
      </c>
      <c r="F111" s="54"/>
      <c r="G111" s="21"/>
      <c r="H111" s="21"/>
    </row>
    <row r="112" spans="1:8">
      <c r="B112" t="s">
        <v>126</v>
      </c>
      <c r="C112" s="54">
        <f>SUM(C79:C82)</f>
        <v>20585.091878565712</v>
      </c>
      <c r="D112" s="54"/>
      <c r="E112" s="54">
        <f>SUM(E79:E82)</f>
        <v>27978.237926668749</v>
      </c>
      <c r="F112" s="54"/>
      <c r="G112" s="21"/>
      <c r="H112" s="21"/>
    </row>
    <row r="113" spans="1:16">
      <c r="A113" t="s">
        <v>70</v>
      </c>
      <c r="B113" s="3" t="s">
        <v>4</v>
      </c>
      <c r="C113" s="54">
        <f>SUM(C79:C89)</f>
        <v>20665.925645406005</v>
      </c>
      <c r="D113" s="54"/>
      <c r="E113" s="54">
        <f>SUM(E79:E89)</f>
        <v>28035.39041491333</v>
      </c>
      <c r="F113" s="54"/>
      <c r="G113" s="21"/>
      <c r="H113" s="21"/>
    </row>
    <row r="114" spans="1:16">
      <c r="B114" s="3" t="s">
        <v>18</v>
      </c>
      <c r="C114" s="54">
        <f>SUM(C90:C100)</f>
        <v>11053.739629214831</v>
      </c>
      <c r="D114" s="54"/>
      <c r="E114" s="54">
        <f>SUM(E90:E100)</f>
        <v>14065.353195850192</v>
      </c>
      <c r="F114" s="54"/>
      <c r="G114" s="21"/>
      <c r="H114" s="21"/>
    </row>
    <row r="115" spans="1:16">
      <c r="B115" s="90" t="s">
        <v>19</v>
      </c>
      <c r="C115" s="54">
        <f>SUM(C101:C111)</f>
        <v>9612.1860161911718</v>
      </c>
      <c r="D115" s="54"/>
      <c r="E115" s="54">
        <f>SUM(E101:E111)</f>
        <v>13970.037219063135</v>
      </c>
      <c r="F115" s="54"/>
      <c r="G115" s="21"/>
      <c r="H115" s="21"/>
    </row>
    <row r="116" spans="1:16">
      <c r="A116" s="141" t="s">
        <v>125</v>
      </c>
      <c r="B116" s="34"/>
      <c r="C116" t="s">
        <v>53</v>
      </c>
      <c r="E116" t="s">
        <v>53</v>
      </c>
    </row>
    <row r="117" spans="1:16">
      <c r="A117" s="3" t="s">
        <v>4</v>
      </c>
      <c r="B117" s="3" t="s">
        <v>36</v>
      </c>
      <c r="C117" s="54">
        <f>BAU_emissions!P40</f>
        <v>14.964285360567175</v>
      </c>
      <c r="D117" s="54"/>
      <c r="E117" s="54">
        <f>BAU_emissions!Z40</f>
        <v>12.108123367449394</v>
      </c>
      <c r="F117" s="54"/>
      <c r="G117" s="21"/>
      <c r="H117" s="21"/>
      <c r="L117" s="3"/>
      <c r="M117" s="54"/>
      <c r="N117" s="54"/>
      <c r="O117" s="54"/>
      <c r="P117" s="54"/>
    </row>
    <row r="118" spans="1:16">
      <c r="A118" s="3" t="s">
        <v>4</v>
      </c>
      <c r="B118" s="3" t="s">
        <v>8</v>
      </c>
      <c r="C118" s="54">
        <f>BAU_emissions!P41</f>
        <v>13.006159912531608</v>
      </c>
      <c r="D118" s="54"/>
      <c r="E118" s="54">
        <f>BAU_emissions!Z41</f>
        <v>22.068605828648771</v>
      </c>
      <c r="F118" s="54"/>
      <c r="G118" s="21"/>
      <c r="H118" s="21"/>
      <c r="L118" s="3"/>
      <c r="M118" s="54"/>
      <c r="N118" s="54"/>
      <c r="O118" s="54"/>
      <c r="P118" s="54"/>
    </row>
    <row r="119" spans="1:16">
      <c r="A119" s="3" t="s">
        <v>4</v>
      </c>
      <c r="B119" t="s">
        <v>37</v>
      </c>
      <c r="C119" s="54">
        <f>BAU_emissions!P42</f>
        <v>0.23808617713335622</v>
      </c>
      <c r="D119" s="54"/>
      <c r="E119" s="54">
        <f>BAU_emissions!Z42</f>
        <v>0.53423794156202153</v>
      </c>
      <c r="F119" s="54"/>
      <c r="G119" s="21"/>
      <c r="H119" s="21"/>
      <c r="M119" s="54"/>
      <c r="N119" s="54"/>
      <c r="O119" s="18"/>
      <c r="P119" s="54"/>
    </row>
    <row r="120" spans="1:16">
      <c r="A120" s="3" t="s">
        <v>4</v>
      </c>
      <c r="B120" t="s">
        <v>10</v>
      </c>
      <c r="C120" s="54">
        <f>BAU_emissions!P43</f>
        <v>6.7739070919471275E-2</v>
      </c>
      <c r="D120" s="54"/>
      <c r="E120" s="54">
        <f>BAU_emissions!Z43</f>
        <v>0.15199866807501533</v>
      </c>
      <c r="F120" s="54"/>
      <c r="G120" s="21"/>
      <c r="H120" s="21"/>
      <c r="L120" s="3"/>
      <c r="M120" s="54"/>
      <c r="N120" s="54"/>
      <c r="O120" s="18"/>
      <c r="P120" s="18"/>
    </row>
    <row r="121" spans="1:16">
      <c r="A121" s="3" t="s">
        <v>4</v>
      </c>
      <c r="B121" t="s">
        <v>11</v>
      </c>
      <c r="C121" s="54">
        <f>BAU_emissions!P44</f>
        <v>9.5094943001323019E-5</v>
      </c>
      <c r="D121" s="54"/>
      <c r="E121" s="54">
        <f>BAU_emissions!Z44</f>
        <v>6.7351449123391892E-5</v>
      </c>
      <c r="F121" s="54"/>
      <c r="G121" s="21"/>
      <c r="H121" s="21"/>
      <c r="M121" s="54"/>
      <c r="N121" s="54"/>
      <c r="O121" s="18"/>
      <c r="P121" s="18"/>
    </row>
    <row r="122" spans="1:16">
      <c r="A122" s="3" t="s">
        <v>4</v>
      </c>
      <c r="B122" s="3" t="s">
        <v>12</v>
      </c>
      <c r="C122" s="54">
        <f>BAU_emissions!P45</f>
        <v>0</v>
      </c>
      <c r="D122" s="54"/>
      <c r="E122" s="54">
        <f>BAU_emissions!Z45</f>
        <v>0</v>
      </c>
      <c r="F122" s="54"/>
      <c r="G122" s="21"/>
      <c r="H122" s="21"/>
      <c r="M122" s="54"/>
      <c r="N122" s="54"/>
      <c r="O122" s="18"/>
      <c r="P122" s="18"/>
    </row>
    <row r="123" spans="1:16">
      <c r="A123" s="3" t="s">
        <v>4</v>
      </c>
      <c r="B123" s="3" t="s">
        <v>13</v>
      </c>
      <c r="C123" s="54">
        <f>BAU_emissions!P46</f>
        <v>0</v>
      </c>
      <c r="D123" s="54"/>
      <c r="E123" s="54">
        <f>BAU_emissions!Z46</f>
        <v>0</v>
      </c>
      <c r="F123" s="54"/>
      <c r="G123" s="21"/>
      <c r="H123" s="21"/>
      <c r="M123" s="54"/>
      <c r="N123" s="54"/>
      <c r="O123" s="18"/>
      <c r="P123" s="18"/>
    </row>
    <row r="124" spans="1:16">
      <c r="A124" s="3" t="s">
        <v>4</v>
      </c>
      <c r="B124" t="s">
        <v>14</v>
      </c>
      <c r="C124" s="54">
        <f>BAU_emissions!P47</f>
        <v>0</v>
      </c>
      <c r="D124" s="54"/>
      <c r="E124" s="54">
        <f>BAU_emissions!Z47</f>
        <v>0</v>
      </c>
      <c r="F124" s="54"/>
      <c r="G124" s="21"/>
      <c r="H124" s="21"/>
    </row>
    <row r="125" spans="1:16">
      <c r="A125" s="3" t="s">
        <v>4</v>
      </c>
      <c r="B125" t="s">
        <v>15</v>
      </c>
      <c r="C125" s="54">
        <f>BAU_emissions!P48</f>
        <v>0</v>
      </c>
      <c r="D125" s="54"/>
      <c r="E125" s="54">
        <f>BAU_emissions!Z48</f>
        <v>0</v>
      </c>
      <c r="F125" s="54"/>
      <c r="G125" s="21"/>
      <c r="H125" s="21"/>
    </row>
    <row r="126" spans="1:16">
      <c r="A126" s="3" t="s">
        <v>4</v>
      </c>
      <c r="B126" t="s">
        <v>16</v>
      </c>
      <c r="C126" s="54">
        <f>BAU_emissions!P49</f>
        <v>0</v>
      </c>
      <c r="D126" s="54"/>
      <c r="E126" s="54">
        <f>BAU_emissions!Z49</f>
        <v>0</v>
      </c>
      <c r="F126" s="54"/>
      <c r="G126" s="21"/>
      <c r="H126" s="21"/>
    </row>
    <row r="127" spans="1:16" ht="17" thickBot="1">
      <c r="A127" s="31" t="s">
        <v>4</v>
      </c>
      <c r="B127" s="31" t="s">
        <v>17</v>
      </c>
      <c r="C127" s="54">
        <f>BAU_emissions!P50</f>
        <v>0</v>
      </c>
      <c r="D127" s="54"/>
      <c r="E127" s="54">
        <f>BAU_emissions!Z50</f>
        <v>0</v>
      </c>
      <c r="F127" s="54"/>
      <c r="G127" s="21"/>
      <c r="H127" s="21"/>
    </row>
    <row r="128" spans="1:16">
      <c r="A128" s="28" t="s">
        <v>18</v>
      </c>
      <c r="B128" s="28" t="s">
        <v>36</v>
      </c>
      <c r="C128" s="54">
        <f>BAU_emissions!P51</f>
        <v>12.941770020196527</v>
      </c>
      <c r="D128" s="54"/>
      <c r="E128" s="54">
        <f>BAU_emissions!Z51</f>
        <v>10.669574371452498</v>
      </c>
      <c r="F128" s="54"/>
      <c r="G128" s="21"/>
      <c r="H128" s="21"/>
    </row>
    <row r="129" spans="1:8">
      <c r="A129" s="3" t="s">
        <v>18</v>
      </c>
      <c r="B129" s="3" t="s">
        <v>8</v>
      </c>
      <c r="C129" s="54">
        <f>BAU_emissions!P52</f>
        <v>4.3652070865185708</v>
      </c>
      <c r="D129" s="54"/>
      <c r="E129" s="54">
        <f>BAU_emissions!Z52</f>
        <v>8.7747037548558229</v>
      </c>
      <c r="F129" s="54"/>
      <c r="G129" s="21"/>
      <c r="H129" s="21"/>
    </row>
    <row r="130" spans="1:8">
      <c r="A130" s="3" t="s">
        <v>18</v>
      </c>
      <c r="B130" t="s">
        <v>37</v>
      </c>
      <c r="C130" s="54">
        <f>BAU_emissions!P53</f>
        <v>0</v>
      </c>
      <c r="D130" s="54"/>
      <c r="E130" s="54">
        <f>BAU_emissions!Z53</f>
        <v>0</v>
      </c>
      <c r="F130" s="54"/>
      <c r="G130" s="21"/>
      <c r="H130" s="21"/>
    </row>
    <row r="131" spans="1:8">
      <c r="A131" s="3" t="s">
        <v>18</v>
      </c>
      <c r="B131" t="s">
        <v>10</v>
      </c>
      <c r="C131" s="54">
        <f>BAU_emissions!P54</f>
        <v>0</v>
      </c>
      <c r="D131" s="54"/>
      <c r="E131" s="54">
        <f>BAU_emissions!Z54</f>
        <v>0</v>
      </c>
      <c r="F131" s="54"/>
      <c r="G131" s="21"/>
      <c r="H131" s="21"/>
    </row>
    <row r="132" spans="1:8">
      <c r="A132" s="3" t="s">
        <v>18</v>
      </c>
      <c r="B132" t="s">
        <v>11</v>
      </c>
      <c r="C132" s="54">
        <f>BAU_emissions!P55</f>
        <v>2.4668199770900089E-6</v>
      </c>
      <c r="D132" s="54"/>
      <c r="E132" s="54">
        <f>BAU_emissions!Z55</f>
        <v>1.4680955003889016E-6</v>
      </c>
      <c r="F132" s="54"/>
      <c r="G132" s="21"/>
      <c r="H132" s="21"/>
    </row>
    <row r="133" spans="1:8">
      <c r="A133" s="3" t="s">
        <v>18</v>
      </c>
      <c r="B133" s="3" t="s">
        <v>12</v>
      </c>
      <c r="C133" s="54">
        <f>BAU_emissions!P56</f>
        <v>0</v>
      </c>
      <c r="D133" s="54"/>
      <c r="E133" s="54">
        <f>BAU_emissions!Z56</f>
        <v>0</v>
      </c>
      <c r="F133" s="54"/>
      <c r="G133" s="21"/>
      <c r="H133" s="21"/>
    </row>
    <row r="134" spans="1:8">
      <c r="A134" s="3" t="s">
        <v>18</v>
      </c>
      <c r="B134" s="3" t="s">
        <v>13</v>
      </c>
      <c r="C134" s="54">
        <f>BAU_emissions!P57</f>
        <v>0</v>
      </c>
      <c r="D134" s="54"/>
      <c r="E134" s="54">
        <f>BAU_emissions!Z57</f>
        <v>0</v>
      </c>
      <c r="F134" s="54"/>
      <c r="G134" s="21"/>
      <c r="H134" s="21"/>
    </row>
    <row r="135" spans="1:8">
      <c r="A135" s="3" t="s">
        <v>18</v>
      </c>
      <c r="B135" t="s">
        <v>14</v>
      </c>
      <c r="C135" s="54">
        <f>BAU_emissions!P58</f>
        <v>0</v>
      </c>
      <c r="D135" s="54"/>
      <c r="E135" s="54">
        <f>BAU_emissions!Z58</f>
        <v>0</v>
      </c>
      <c r="F135" s="54"/>
      <c r="G135" s="21"/>
      <c r="H135" s="21"/>
    </row>
    <row r="136" spans="1:8">
      <c r="A136" s="3" t="s">
        <v>18</v>
      </c>
      <c r="B136" t="s">
        <v>15</v>
      </c>
      <c r="C136" s="54">
        <f>BAU_emissions!P59</f>
        <v>0</v>
      </c>
      <c r="D136" s="54"/>
      <c r="E136" s="54">
        <f>BAU_emissions!Z59</f>
        <v>0</v>
      </c>
      <c r="F136" s="54"/>
      <c r="G136" s="21"/>
      <c r="H136" s="21"/>
    </row>
    <row r="137" spans="1:8">
      <c r="A137" s="3" t="s">
        <v>18</v>
      </c>
      <c r="B137" t="s">
        <v>16</v>
      </c>
      <c r="C137" s="54">
        <f>BAU_emissions!P60</f>
        <v>0</v>
      </c>
      <c r="D137" s="54"/>
      <c r="E137" s="54">
        <f>BAU_emissions!Z60</f>
        <v>0</v>
      </c>
      <c r="F137" s="54"/>
      <c r="G137" s="21"/>
      <c r="H137" s="21"/>
    </row>
    <row r="138" spans="1:8" ht="17" thickBot="1">
      <c r="A138" s="31" t="s">
        <v>18</v>
      </c>
      <c r="B138" s="31" t="s">
        <v>17</v>
      </c>
      <c r="C138" s="54">
        <f>BAU_emissions!P61</f>
        <v>0</v>
      </c>
      <c r="D138" s="54"/>
      <c r="E138" s="54">
        <f>BAU_emissions!Z61</f>
        <v>0</v>
      </c>
      <c r="F138" s="54"/>
      <c r="G138" s="21"/>
      <c r="H138" s="21"/>
    </row>
    <row r="139" spans="1:8">
      <c r="A139" s="86" t="s">
        <v>19</v>
      </c>
      <c r="B139" s="87" t="s">
        <v>36</v>
      </c>
      <c r="C139" s="54">
        <f>BAU_emissions!P62</f>
        <v>2.0225153403706466</v>
      </c>
      <c r="D139" s="54"/>
      <c r="E139" s="54">
        <f>BAU_emissions!Z62</f>
        <v>1.4385489959968969</v>
      </c>
      <c r="F139" s="54"/>
      <c r="G139" s="21"/>
      <c r="H139" s="21"/>
    </row>
    <row r="140" spans="1:8">
      <c r="A140" s="90" t="s">
        <v>19</v>
      </c>
      <c r="B140" s="3" t="s">
        <v>8</v>
      </c>
      <c r="C140" s="54">
        <f>BAU_emissions!P63</f>
        <v>8.6409528260130362</v>
      </c>
      <c r="D140" s="54"/>
      <c r="E140" s="54">
        <f>BAU_emissions!Z63</f>
        <v>13.293902073792946</v>
      </c>
      <c r="F140" s="54"/>
      <c r="G140" s="21"/>
      <c r="H140" s="21"/>
    </row>
    <row r="141" spans="1:8">
      <c r="A141" s="90" t="s">
        <v>19</v>
      </c>
      <c r="B141" t="s">
        <v>37</v>
      </c>
      <c r="C141" s="54">
        <f>BAU_emissions!P64</f>
        <v>0.23808617713335622</v>
      </c>
      <c r="D141" s="54"/>
      <c r="E141" s="54">
        <f>BAU_emissions!Z64</f>
        <v>0.53423794156202153</v>
      </c>
      <c r="F141" s="54"/>
      <c r="G141" s="21"/>
      <c r="H141" s="21"/>
    </row>
    <row r="142" spans="1:8">
      <c r="A142" s="90" t="s">
        <v>19</v>
      </c>
      <c r="B142" t="s">
        <v>10</v>
      </c>
      <c r="C142" s="54">
        <f>BAU_emissions!P65</f>
        <v>6.7739070919471275E-2</v>
      </c>
      <c r="D142" s="54"/>
      <c r="E142" s="54">
        <f>BAU_emissions!Z65</f>
        <v>0.15199866807501533</v>
      </c>
      <c r="F142" s="54"/>
      <c r="G142" s="21"/>
      <c r="H142" s="21"/>
    </row>
    <row r="143" spans="1:8">
      <c r="A143" s="90" t="s">
        <v>19</v>
      </c>
      <c r="B143" t="s">
        <v>11</v>
      </c>
      <c r="C143" s="54">
        <f>BAU_emissions!P66</f>
        <v>9.2628123024233007E-5</v>
      </c>
      <c r="D143" s="54"/>
      <c r="E143" s="54">
        <f>BAU_emissions!Z66</f>
        <v>6.5883353623002983E-5</v>
      </c>
      <c r="F143" s="54"/>
      <c r="G143" s="21"/>
      <c r="H143" s="21"/>
    </row>
    <row r="144" spans="1:8">
      <c r="A144" s="90" t="s">
        <v>19</v>
      </c>
      <c r="B144" s="3" t="s">
        <v>12</v>
      </c>
      <c r="C144" s="54">
        <f>BAU_emissions!P67</f>
        <v>0</v>
      </c>
      <c r="D144" s="54"/>
      <c r="E144" s="54">
        <f>BAU_emissions!Z67</f>
        <v>0</v>
      </c>
      <c r="F144" s="54"/>
      <c r="G144" s="21"/>
      <c r="H144" s="21"/>
    </row>
    <row r="145" spans="1:8">
      <c r="A145" s="90" t="s">
        <v>19</v>
      </c>
      <c r="B145" s="3" t="s">
        <v>13</v>
      </c>
      <c r="C145" s="54">
        <f>BAU_emissions!P68</f>
        <v>0</v>
      </c>
      <c r="D145" s="54"/>
      <c r="E145" s="54">
        <f>BAU_emissions!Z68</f>
        <v>0</v>
      </c>
      <c r="F145" s="54"/>
      <c r="G145" s="21"/>
      <c r="H145" s="21"/>
    </row>
    <row r="146" spans="1:8">
      <c r="A146" s="90" t="s">
        <v>19</v>
      </c>
      <c r="B146" t="s">
        <v>14</v>
      </c>
      <c r="C146" s="54">
        <f>BAU_emissions!P69</f>
        <v>0</v>
      </c>
      <c r="D146" s="54"/>
      <c r="E146" s="54">
        <f>BAU_emissions!Z69</f>
        <v>0</v>
      </c>
      <c r="F146" s="54"/>
      <c r="G146" s="21"/>
      <c r="H146" s="21"/>
    </row>
    <row r="147" spans="1:8">
      <c r="A147" s="90" t="s">
        <v>19</v>
      </c>
      <c r="B147" t="s">
        <v>15</v>
      </c>
      <c r="C147" s="54">
        <f>BAU_emissions!P70</f>
        <v>0</v>
      </c>
      <c r="D147" s="54"/>
      <c r="E147" s="54">
        <f>BAU_emissions!Z70</f>
        <v>0</v>
      </c>
      <c r="F147" s="54"/>
      <c r="G147" s="21"/>
      <c r="H147" s="21"/>
    </row>
    <row r="148" spans="1:8">
      <c r="A148" s="90" t="s">
        <v>19</v>
      </c>
      <c r="B148" t="s">
        <v>16</v>
      </c>
      <c r="C148" s="54">
        <f>BAU_emissions!P71</f>
        <v>0</v>
      </c>
      <c r="D148" s="54"/>
      <c r="E148" s="54">
        <f>BAU_emissions!Z71</f>
        <v>0</v>
      </c>
      <c r="F148" s="54"/>
      <c r="G148" s="21"/>
      <c r="H148" s="21"/>
    </row>
    <row r="149" spans="1:8" ht="17" thickBot="1">
      <c r="A149" s="92" t="s">
        <v>19</v>
      </c>
      <c r="B149" s="31" t="s">
        <v>17</v>
      </c>
      <c r="C149" s="54">
        <f>BAU_emissions!P72</f>
        <v>0</v>
      </c>
      <c r="D149" s="54"/>
      <c r="E149" s="54">
        <f>BAU_emissions!Z72</f>
        <v>0</v>
      </c>
      <c r="F149" s="54"/>
      <c r="G149" s="21"/>
      <c r="H149" s="21"/>
    </row>
    <row r="150" spans="1:8">
      <c r="B150" t="s">
        <v>126</v>
      </c>
      <c r="C150" s="54">
        <f>SUM(C117:C120)</f>
        <v>28.276270521151613</v>
      </c>
      <c r="D150" s="54"/>
      <c r="E150" s="54">
        <f>SUM(E117:E120)</f>
        <v>34.8629658057352</v>
      </c>
      <c r="F150" s="54"/>
      <c r="G150" s="21"/>
      <c r="H150" s="21"/>
    </row>
    <row r="151" spans="1:8">
      <c r="A151" t="s">
        <v>70</v>
      </c>
      <c r="B151" s="3" t="s">
        <v>4</v>
      </c>
      <c r="C151" s="54">
        <f>SUM(C117:C127)</f>
        <v>28.276365616094616</v>
      </c>
      <c r="D151" s="54"/>
      <c r="E151" s="54">
        <f>SUM(E117:E127)</f>
        <v>34.863033157184326</v>
      </c>
      <c r="F151" s="54"/>
      <c r="G151" s="21"/>
      <c r="H151" s="21"/>
    </row>
    <row r="152" spans="1:8">
      <c r="B152" s="3" t="s">
        <v>18</v>
      </c>
      <c r="C152" s="54">
        <f>SUM(C128:C138)</f>
        <v>17.306979573535077</v>
      </c>
      <c r="D152" s="54"/>
      <c r="E152" s="54">
        <f>SUM(E128:E138)</f>
        <v>19.44427959440382</v>
      </c>
      <c r="F152" s="54"/>
      <c r="G152" s="21"/>
      <c r="H152" s="21"/>
    </row>
    <row r="153" spans="1:8">
      <c r="B153" s="90" t="s">
        <v>19</v>
      </c>
      <c r="C153" s="54">
        <f>SUM(C139:C149)</f>
        <v>10.969386042559535</v>
      </c>
      <c r="D153" s="54"/>
      <c r="E153" s="54">
        <f>SUM(E139:E149)</f>
        <v>15.418753562780502</v>
      </c>
      <c r="F153" s="54"/>
      <c r="G153" s="21"/>
      <c r="H153" s="21"/>
    </row>
    <row r="154" spans="1:8">
      <c r="A154" s="141" t="s">
        <v>131</v>
      </c>
      <c r="B154" s="34"/>
      <c r="C154" t="s">
        <v>53</v>
      </c>
      <c r="E154" t="s">
        <v>53</v>
      </c>
    </row>
    <row r="155" spans="1:8">
      <c r="A155" s="3" t="s">
        <v>4</v>
      </c>
      <c r="B155" s="3" t="s">
        <v>36</v>
      </c>
      <c r="C155" s="54">
        <f>_xlfn.XLOOKUP(C$1,BAU_emissions!$E$1:$AJ$1,BAU_emissions!$E78:$AJ78,0)</f>
        <v>2428.1460385534856</v>
      </c>
      <c r="D155" s="54"/>
      <c r="E155" s="54">
        <f>_xlfn.XLOOKUP(E$1,BAU_emissions!$E$1:$AJ$1,BAU_emissions!$E78:$AJ78,0)</f>
        <v>1964.6973497620343</v>
      </c>
      <c r="F155" s="54"/>
      <c r="G155" s="21"/>
      <c r="H155" s="21"/>
    </row>
    <row r="156" spans="1:8">
      <c r="A156" s="3" t="s">
        <v>4</v>
      </c>
      <c r="B156" s="3" t="s">
        <v>8</v>
      </c>
      <c r="C156" s="54">
        <f>_xlfn.XLOOKUP(C$1,BAU_emissions!$E$1:$AJ$1,BAU_emissions!$E79:$AJ79,0)</f>
        <v>5552.4115415024717</v>
      </c>
      <c r="D156" s="54"/>
      <c r="E156" s="54">
        <f>_xlfn.XLOOKUP(E$1,BAU_emissions!$E$1:$AJ$1,BAU_emissions!$E79:$AJ79,0)</f>
        <v>9421.2267519327543</v>
      </c>
      <c r="F156" s="54"/>
      <c r="G156" s="21"/>
      <c r="H156" s="21"/>
    </row>
    <row r="157" spans="1:8">
      <c r="A157" s="3" t="s">
        <v>4</v>
      </c>
      <c r="B157" t="s">
        <v>37</v>
      </c>
      <c r="C157" s="54">
        <f>_xlfn.XLOOKUP(C$1,BAU_emissions!$E$1:$AJ$1,BAU_emissions!$E80:$AJ80,0)</f>
        <v>38.63251695026424</v>
      </c>
      <c r="D157" s="54"/>
      <c r="E157" s="54">
        <f>_xlfn.XLOOKUP(E$1,BAU_emissions!$E$1:$AJ$1,BAU_emissions!$E80:$AJ80,0)</f>
        <v>86.686915558767751</v>
      </c>
      <c r="F157" s="54"/>
      <c r="G157" s="21"/>
      <c r="H157" s="21"/>
    </row>
    <row r="158" spans="1:8">
      <c r="A158" s="3" t="s">
        <v>4</v>
      </c>
      <c r="B158" t="s">
        <v>10</v>
      </c>
      <c r="C158" s="54">
        <f>_xlfn.XLOOKUP(C$1,BAU_emissions!$E$1:$AJ$1,BAU_emissions!$E81:$AJ81,0)</f>
        <v>28.918235798526108</v>
      </c>
      <c r="D158" s="54"/>
      <c r="E158" s="54">
        <f>_xlfn.XLOOKUP(E$1,BAU_emissions!$E$1:$AJ$1,BAU_emissions!$E81:$AJ81,0)</f>
        <v>64.889188245298485</v>
      </c>
      <c r="F158" s="54"/>
      <c r="G158" s="21"/>
      <c r="H158" s="21"/>
    </row>
    <row r="159" spans="1:8">
      <c r="A159" s="3" t="s">
        <v>4</v>
      </c>
      <c r="B159" t="s">
        <v>11</v>
      </c>
      <c r="C159" s="54">
        <f>_xlfn.XLOOKUP(C$1,BAU_emissions!$E$1:$AJ$1,BAU_emissions!$E82:$AJ82,0)</f>
        <v>0.47365432609773261</v>
      </c>
      <c r="D159" s="54"/>
      <c r="E159" s="54">
        <f>_xlfn.XLOOKUP(E$1,BAU_emissions!$E$1:$AJ$1,BAU_emissions!$E82:$AJ82,0)</f>
        <v>0.33546794644802591</v>
      </c>
      <c r="F159" s="54"/>
      <c r="G159" s="21"/>
      <c r="H159" s="21"/>
    </row>
    <row r="160" spans="1:8">
      <c r="A160" s="3" t="s">
        <v>4</v>
      </c>
      <c r="B160" s="3" t="s">
        <v>12</v>
      </c>
      <c r="C160" s="54">
        <f>_xlfn.XLOOKUP(C$1,BAU_emissions!$E$1:$AJ$1,BAU_emissions!$E83:$AJ83,0)</f>
        <v>0</v>
      </c>
      <c r="D160" s="54"/>
      <c r="E160" s="54">
        <f>_xlfn.XLOOKUP(E$1,BAU_emissions!$E$1:$AJ$1,BAU_emissions!$E83:$AJ83,0)</f>
        <v>0</v>
      </c>
      <c r="F160" s="54"/>
      <c r="G160" s="21"/>
      <c r="H160" s="21"/>
    </row>
    <row r="161" spans="1:8">
      <c r="A161" s="3" t="s">
        <v>4</v>
      </c>
      <c r="B161" s="3" t="s">
        <v>13</v>
      </c>
      <c r="C161" s="54">
        <f>_xlfn.XLOOKUP(C$1,BAU_emissions!$E$1:$AJ$1,BAU_emissions!$E84:$AJ84,0)</f>
        <v>0</v>
      </c>
      <c r="D161" s="54"/>
      <c r="E161" s="54">
        <f>_xlfn.XLOOKUP(E$1,BAU_emissions!$E$1:$AJ$1,BAU_emissions!$E84:$AJ84,0)</f>
        <v>0</v>
      </c>
      <c r="F161" s="54"/>
      <c r="G161" s="21"/>
      <c r="H161" s="21"/>
    </row>
    <row r="162" spans="1:8">
      <c r="A162" s="3" t="s">
        <v>4</v>
      </c>
      <c r="B162" t="s">
        <v>14</v>
      </c>
      <c r="C162" s="54">
        <f>_xlfn.XLOOKUP(C$1,BAU_emissions!$E$1:$AJ$1,BAU_emissions!$E85:$AJ85,0)</f>
        <v>0</v>
      </c>
      <c r="D162" s="54"/>
      <c r="E162" s="54">
        <f>_xlfn.XLOOKUP(E$1,BAU_emissions!$E$1:$AJ$1,BAU_emissions!$E85:$AJ85,0)</f>
        <v>0</v>
      </c>
      <c r="F162" s="54"/>
      <c r="G162" s="21"/>
      <c r="H162" s="21"/>
    </row>
    <row r="163" spans="1:8">
      <c r="A163" s="3" t="s">
        <v>4</v>
      </c>
      <c r="B163" t="s">
        <v>15</v>
      </c>
      <c r="C163" s="54">
        <f>_xlfn.XLOOKUP(C$1,BAU_emissions!$E$1:$AJ$1,BAU_emissions!$E86:$AJ86,0)</f>
        <v>0</v>
      </c>
      <c r="D163" s="54"/>
      <c r="E163" s="54">
        <f>_xlfn.XLOOKUP(E$1,BAU_emissions!$E$1:$AJ$1,BAU_emissions!$E86:$AJ86,0)</f>
        <v>0</v>
      </c>
      <c r="F163" s="54"/>
      <c r="G163" s="21"/>
      <c r="H163" s="21"/>
    </row>
    <row r="164" spans="1:8">
      <c r="A164" s="3" t="s">
        <v>4</v>
      </c>
      <c r="B164" t="s">
        <v>16</v>
      </c>
      <c r="C164" s="54">
        <f>_xlfn.XLOOKUP(C$1,BAU_emissions!$E$1:$AJ$1,BAU_emissions!$E87:$AJ87,0)</f>
        <v>0</v>
      </c>
      <c r="D164" s="54"/>
      <c r="E164" s="54">
        <f>_xlfn.XLOOKUP(E$1,BAU_emissions!$E$1:$AJ$1,BAU_emissions!$E87:$AJ87,0)</f>
        <v>0</v>
      </c>
      <c r="F164" s="54"/>
      <c r="G164" s="21"/>
      <c r="H164" s="21"/>
    </row>
    <row r="165" spans="1:8" ht="17" thickBot="1">
      <c r="A165" s="31" t="s">
        <v>4</v>
      </c>
      <c r="B165" s="31" t="s">
        <v>17</v>
      </c>
      <c r="C165" s="54">
        <f>_xlfn.XLOOKUP(C$1,BAU_emissions!$E$1:$AJ$1,BAU_emissions!$E88:$AJ88,0)</f>
        <v>0</v>
      </c>
      <c r="D165" s="54"/>
      <c r="E165" s="54">
        <f>_xlfn.XLOOKUP(E$1,BAU_emissions!$E$1:$AJ$1,BAU_emissions!$E88:$AJ88,0)</f>
        <v>0</v>
      </c>
      <c r="F165" s="54"/>
      <c r="G165" s="21"/>
      <c r="H165" s="21"/>
    </row>
    <row r="166" spans="1:8">
      <c r="A166" s="28" t="s">
        <v>18</v>
      </c>
      <c r="B166" s="28" t="s">
        <v>36</v>
      </c>
      <c r="C166" s="54">
        <f>_xlfn.XLOOKUP(C$1,BAU_emissions!$E$1:$AJ$1,BAU_emissions!$E89:$AJ89,0)</f>
        <v>2099.9671450544574</v>
      </c>
      <c r="D166" s="54"/>
      <c r="E166" s="54">
        <f>_xlfn.XLOOKUP(E$1,BAU_emissions!$E$1:$AJ$1,BAU_emissions!$E89:$AJ89,0)</f>
        <v>1731.2744390295588</v>
      </c>
      <c r="F166" s="54"/>
      <c r="G166" s="21"/>
      <c r="H166" s="21"/>
    </row>
    <row r="167" spans="1:8">
      <c r="A167" s="3" t="s">
        <v>18</v>
      </c>
      <c r="B167" s="3" t="s">
        <v>8</v>
      </c>
      <c r="C167" s="54">
        <f>_xlfn.XLOOKUP(C$1,BAU_emissions!$E$1:$AJ$1,BAU_emissions!$E90:$AJ90,0)</f>
        <v>1863.5343845711916</v>
      </c>
      <c r="D167" s="54"/>
      <c r="E167" s="54">
        <f>_xlfn.XLOOKUP(E$1,BAU_emissions!$E$1:$AJ$1,BAU_emissions!$E90:$AJ90,0)</f>
        <v>3745.9762704273253</v>
      </c>
      <c r="F167" s="54"/>
      <c r="G167" s="21"/>
      <c r="H167" s="21"/>
    </row>
    <row r="168" spans="1:8">
      <c r="A168" s="3" t="s">
        <v>18</v>
      </c>
      <c r="B168" t="s">
        <v>37</v>
      </c>
      <c r="C168" s="54">
        <f>_xlfn.XLOOKUP(C$1,BAU_emissions!$E$1:$AJ$1,BAU_emissions!$E91:$AJ91,0)</f>
        <v>0</v>
      </c>
      <c r="D168" s="54"/>
      <c r="E168" s="54">
        <f>_xlfn.XLOOKUP(E$1,BAU_emissions!$E$1:$AJ$1,BAU_emissions!$E91:$AJ91,0)</f>
        <v>0</v>
      </c>
      <c r="F168" s="54"/>
      <c r="G168" s="21"/>
      <c r="H168" s="21"/>
    </row>
    <row r="169" spans="1:8">
      <c r="A169" s="3" t="s">
        <v>18</v>
      </c>
      <c r="B169" t="s">
        <v>10</v>
      </c>
      <c r="C169" s="54">
        <f>_xlfn.XLOOKUP(C$1,BAU_emissions!$E$1:$AJ$1,BAU_emissions!$E92:$AJ92,0)</f>
        <v>0</v>
      </c>
      <c r="D169" s="54"/>
      <c r="E169" s="54">
        <f>_xlfn.XLOOKUP(E$1,BAU_emissions!$E$1:$AJ$1,BAU_emissions!$E92:$AJ92,0)</f>
        <v>0</v>
      </c>
      <c r="F169" s="54"/>
      <c r="G169" s="21"/>
      <c r="H169" s="21"/>
    </row>
    <row r="170" spans="1:8">
      <c r="A170" s="3" t="s">
        <v>18</v>
      </c>
      <c r="B170" t="s">
        <v>11</v>
      </c>
      <c r="C170" s="54">
        <f>_xlfn.XLOOKUP(C$1,BAU_emissions!$E$1:$AJ$1,BAU_emissions!$E93:$AJ93,0)</f>
        <v>1.2286877903031464E-2</v>
      </c>
      <c r="D170" s="54"/>
      <c r="E170" s="54">
        <f>_xlfn.XLOOKUP(E$1,BAU_emissions!$E$1:$AJ$1,BAU_emissions!$E93:$AJ93,0)</f>
        <v>7.3123739595084914E-3</v>
      </c>
      <c r="F170" s="54"/>
      <c r="G170" s="21"/>
      <c r="H170" s="21"/>
    </row>
    <row r="171" spans="1:8">
      <c r="A171" s="3" t="s">
        <v>18</v>
      </c>
      <c r="B171" s="3" t="s">
        <v>12</v>
      </c>
      <c r="C171" s="54">
        <f>_xlfn.XLOOKUP(C$1,BAU_emissions!$E$1:$AJ$1,BAU_emissions!$E94:$AJ94,0)</f>
        <v>0</v>
      </c>
      <c r="D171" s="54"/>
      <c r="E171" s="54">
        <f>_xlfn.XLOOKUP(E$1,BAU_emissions!$E$1:$AJ$1,BAU_emissions!$E94:$AJ94,0)</f>
        <v>0</v>
      </c>
      <c r="F171" s="54"/>
      <c r="G171" s="21"/>
      <c r="H171" s="21"/>
    </row>
    <row r="172" spans="1:8">
      <c r="A172" s="3" t="s">
        <v>18</v>
      </c>
      <c r="B172" s="3" t="s">
        <v>13</v>
      </c>
      <c r="C172" s="54">
        <f>_xlfn.XLOOKUP(C$1,BAU_emissions!$E$1:$AJ$1,BAU_emissions!$E95:$AJ95,0)</f>
        <v>0</v>
      </c>
      <c r="D172" s="54"/>
      <c r="E172" s="54">
        <f>_xlfn.XLOOKUP(E$1,BAU_emissions!$E$1:$AJ$1,BAU_emissions!$E95:$AJ95,0)</f>
        <v>0</v>
      </c>
      <c r="F172" s="54"/>
      <c r="G172" s="21"/>
      <c r="H172" s="21"/>
    </row>
    <row r="173" spans="1:8">
      <c r="A173" s="3" t="s">
        <v>18</v>
      </c>
      <c r="B173" t="s">
        <v>14</v>
      </c>
      <c r="C173" s="54">
        <f>_xlfn.XLOOKUP(C$1,BAU_emissions!$E$1:$AJ$1,BAU_emissions!$E96:$AJ96,0)</f>
        <v>0</v>
      </c>
      <c r="D173" s="54"/>
      <c r="E173" s="54">
        <f>_xlfn.XLOOKUP(E$1,BAU_emissions!$E$1:$AJ$1,BAU_emissions!$E96:$AJ96,0)</f>
        <v>0</v>
      </c>
      <c r="F173" s="54"/>
      <c r="G173" s="21"/>
      <c r="H173" s="21"/>
    </row>
    <row r="174" spans="1:8">
      <c r="A174" s="3" t="s">
        <v>18</v>
      </c>
      <c r="B174" t="s">
        <v>15</v>
      </c>
      <c r="C174" s="54">
        <f>_xlfn.XLOOKUP(C$1,BAU_emissions!$E$1:$AJ$1,BAU_emissions!$E97:$AJ97,0)</f>
        <v>0</v>
      </c>
      <c r="D174" s="54"/>
      <c r="E174" s="54">
        <f>_xlfn.XLOOKUP(E$1,BAU_emissions!$E$1:$AJ$1,BAU_emissions!$E97:$AJ97,0)</f>
        <v>0</v>
      </c>
      <c r="F174" s="54"/>
      <c r="G174" s="21"/>
      <c r="H174" s="21"/>
    </row>
    <row r="175" spans="1:8">
      <c r="A175" s="3" t="s">
        <v>18</v>
      </c>
      <c r="B175" t="s">
        <v>16</v>
      </c>
      <c r="C175" s="54">
        <f>_xlfn.XLOOKUP(C$1,BAU_emissions!$E$1:$AJ$1,BAU_emissions!$E98:$AJ98,0)</f>
        <v>0</v>
      </c>
      <c r="D175" s="54"/>
      <c r="E175" s="54">
        <f>_xlfn.XLOOKUP(E$1,BAU_emissions!$E$1:$AJ$1,BAU_emissions!$E98:$AJ98,0)</f>
        <v>0</v>
      </c>
      <c r="F175" s="54"/>
      <c r="G175" s="21"/>
      <c r="H175" s="21"/>
    </row>
    <row r="176" spans="1:8" ht="17" thickBot="1">
      <c r="A176" s="31" t="s">
        <v>18</v>
      </c>
      <c r="B176" s="31" t="s">
        <v>17</v>
      </c>
      <c r="C176" s="54">
        <f>_xlfn.XLOOKUP(C$1,BAU_emissions!$E$1:$AJ$1,BAU_emissions!$E99:$AJ99,0)</f>
        <v>0</v>
      </c>
      <c r="D176" s="54"/>
      <c r="E176" s="54">
        <f>_xlfn.XLOOKUP(E$1,BAU_emissions!$E$1:$AJ$1,BAU_emissions!$E99:$AJ99,0)</f>
        <v>0</v>
      </c>
      <c r="F176" s="54"/>
      <c r="G176" s="21"/>
      <c r="H176" s="21"/>
    </row>
    <row r="177" spans="1:8">
      <c r="A177" s="86" t="s">
        <v>19</v>
      </c>
      <c r="B177" s="87" t="s">
        <v>36</v>
      </c>
      <c r="C177" s="54">
        <f>_xlfn.XLOOKUP(C$1,BAU_emissions!$E$1:$AJ$1,BAU_emissions!$E100:$AJ100,0)</f>
        <v>328.17889349902805</v>
      </c>
      <c r="D177" s="54"/>
      <c r="E177" s="54">
        <f>_xlfn.XLOOKUP(E$1,BAU_emissions!$E$1:$AJ$1,BAU_emissions!$E100:$AJ100,0)</f>
        <v>233.42291073247532</v>
      </c>
      <c r="F177" s="54"/>
      <c r="G177" s="21"/>
      <c r="H177" s="21"/>
    </row>
    <row r="178" spans="1:8">
      <c r="A178" s="90" t="s">
        <v>19</v>
      </c>
      <c r="B178" s="3" t="s">
        <v>8</v>
      </c>
      <c r="C178" s="54">
        <f>_xlfn.XLOOKUP(C$1,BAU_emissions!$E$1:$AJ$1,BAU_emissions!$E101:$AJ101,0)</f>
        <v>3688.8771569312798</v>
      </c>
      <c r="D178" s="54"/>
      <c r="E178" s="54">
        <f>_xlfn.XLOOKUP(E$1,BAU_emissions!$E$1:$AJ$1,BAU_emissions!$E101:$AJ101,0)</f>
        <v>5675.2504815054281</v>
      </c>
      <c r="F178" s="54"/>
      <c r="G178" s="21"/>
      <c r="H178" s="21"/>
    </row>
    <row r="179" spans="1:8">
      <c r="A179" s="90" t="s">
        <v>19</v>
      </c>
      <c r="B179" t="s">
        <v>37</v>
      </c>
      <c r="C179" s="54">
        <f>_xlfn.XLOOKUP(C$1,BAU_emissions!$E$1:$AJ$1,BAU_emissions!$E102:$AJ102,0)</f>
        <v>38.63251695026424</v>
      </c>
      <c r="D179" s="54"/>
      <c r="E179" s="54">
        <f>_xlfn.XLOOKUP(E$1,BAU_emissions!$E$1:$AJ$1,BAU_emissions!$E102:$AJ102,0)</f>
        <v>86.686915558767751</v>
      </c>
      <c r="F179" s="54"/>
      <c r="G179" s="21"/>
      <c r="H179" s="21"/>
    </row>
    <row r="180" spans="1:8">
      <c r="A180" s="90" t="s">
        <v>19</v>
      </c>
      <c r="B180" t="s">
        <v>10</v>
      </c>
      <c r="C180" s="54">
        <f>_xlfn.XLOOKUP(C$1,BAU_emissions!$E$1:$AJ$1,BAU_emissions!$E103:$AJ103,0)</f>
        <v>28.918235798526108</v>
      </c>
      <c r="D180" s="54"/>
      <c r="E180" s="54">
        <f>_xlfn.XLOOKUP(E$1,BAU_emissions!$E$1:$AJ$1,BAU_emissions!$E103:$AJ103,0)</f>
        <v>64.889188245298485</v>
      </c>
      <c r="F180" s="54"/>
      <c r="G180" s="21"/>
      <c r="H180" s="21"/>
    </row>
    <row r="181" spans="1:8">
      <c r="A181" s="90" t="s">
        <v>19</v>
      </c>
      <c r="B181" t="s">
        <v>11</v>
      </c>
      <c r="C181" s="54">
        <f>_xlfn.XLOOKUP(C$1,BAU_emissions!$E$1:$AJ$1,BAU_emissions!$E104:$AJ104,0)</f>
        <v>0.46136744819470116</v>
      </c>
      <c r="D181" s="54"/>
      <c r="E181" s="54">
        <f>_xlfn.XLOOKUP(E$1,BAU_emissions!$E$1:$AJ$1,BAU_emissions!$E104:$AJ104,0)</f>
        <v>0.3281555724885174</v>
      </c>
      <c r="F181" s="54"/>
      <c r="G181" s="21"/>
      <c r="H181" s="21"/>
    </row>
    <row r="182" spans="1:8">
      <c r="A182" s="90" t="s">
        <v>19</v>
      </c>
      <c r="B182" s="3" t="s">
        <v>12</v>
      </c>
      <c r="C182" s="54">
        <f>_xlfn.XLOOKUP(C$1,BAU_emissions!$E$1:$AJ$1,BAU_emissions!$E105:$AJ105,0)</f>
        <v>0</v>
      </c>
      <c r="D182" s="54"/>
      <c r="E182" s="54">
        <f>_xlfn.XLOOKUP(E$1,BAU_emissions!$E$1:$AJ$1,BAU_emissions!$E105:$AJ105,0)</f>
        <v>0</v>
      </c>
      <c r="F182" s="54"/>
      <c r="G182" s="21"/>
      <c r="H182" s="21"/>
    </row>
    <row r="183" spans="1:8">
      <c r="A183" s="90" t="s">
        <v>19</v>
      </c>
      <c r="B183" s="3" t="s">
        <v>13</v>
      </c>
      <c r="C183" s="54">
        <f>_xlfn.XLOOKUP(C$1,BAU_emissions!$E$1:$AJ$1,BAU_emissions!$E106:$AJ106,0)</f>
        <v>0</v>
      </c>
      <c r="D183" s="54"/>
      <c r="E183" s="54">
        <f>_xlfn.XLOOKUP(E$1,BAU_emissions!$E$1:$AJ$1,BAU_emissions!$E106:$AJ106,0)</f>
        <v>0</v>
      </c>
      <c r="F183" s="54"/>
      <c r="G183" s="21"/>
      <c r="H183" s="21"/>
    </row>
    <row r="184" spans="1:8">
      <c r="A184" s="90" t="s">
        <v>19</v>
      </c>
      <c r="B184" t="s">
        <v>14</v>
      </c>
      <c r="C184" s="54">
        <f>_xlfn.XLOOKUP(C$1,BAU_emissions!$E$1:$AJ$1,BAU_emissions!$E107:$AJ107,0)</f>
        <v>0</v>
      </c>
      <c r="D184" s="54"/>
      <c r="E184" s="54">
        <f>_xlfn.XLOOKUP(E$1,BAU_emissions!$E$1:$AJ$1,BAU_emissions!$E107:$AJ107,0)</f>
        <v>0</v>
      </c>
      <c r="F184" s="54"/>
      <c r="G184" s="21"/>
      <c r="H184" s="21"/>
    </row>
    <row r="185" spans="1:8">
      <c r="A185" s="90" t="s">
        <v>19</v>
      </c>
      <c r="B185" t="s">
        <v>15</v>
      </c>
      <c r="C185" s="54">
        <f>_xlfn.XLOOKUP(C$1,BAU_emissions!$E$1:$AJ$1,BAU_emissions!$E108:$AJ108,0)</f>
        <v>0</v>
      </c>
      <c r="D185" s="54"/>
      <c r="E185" s="54">
        <f>_xlfn.XLOOKUP(E$1,BAU_emissions!$E$1:$AJ$1,BAU_emissions!$E108:$AJ108,0)</f>
        <v>0</v>
      </c>
      <c r="F185" s="54"/>
      <c r="G185" s="21"/>
      <c r="H185" s="21"/>
    </row>
    <row r="186" spans="1:8">
      <c r="A186" s="90" t="s">
        <v>19</v>
      </c>
      <c r="B186" t="s">
        <v>16</v>
      </c>
      <c r="C186" s="54">
        <f>_xlfn.XLOOKUP(C$1,BAU_emissions!$E$1:$AJ$1,BAU_emissions!$E109:$AJ109,0)</f>
        <v>0</v>
      </c>
      <c r="D186" s="54"/>
      <c r="E186" s="54">
        <f>_xlfn.XLOOKUP(E$1,BAU_emissions!$E$1:$AJ$1,BAU_emissions!$E109:$AJ109,0)</f>
        <v>0</v>
      </c>
      <c r="F186" s="54"/>
      <c r="G186" s="21"/>
      <c r="H186" s="21"/>
    </row>
    <row r="187" spans="1:8" ht="17" thickBot="1">
      <c r="A187" s="92" t="s">
        <v>19</v>
      </c>
      <c r="B187" s="31" t="s">
        <v>17</v>
      </c>
      <c r="C187" s="54">
        <f>_xlfn.XLOOKUP(C$1,BAU_emissions!$E$1:$AJ$1,BAU_emissions!$E110:$AJ110,0)</f>
        <v>0</v>
      </c>
      <c r="D187" s="54"/>
      <c r="E187" s="54">
        <f>_xlfn.XLOOKUP(E$1,BAU_emissions!$E$1:$AJ$1,BAU_emissions!$E110:$AJ110,0)</f>
        <v>0</v>
      </c>
      <c r="F187" s="54"/>
      <c r="G187" s="21"/>
      <c r="H187" s="21"/>
    </row>
    <row r="188" spans="1:8">
      <c r="B188" t="s">
        <v>126</v>
      </c>
      <c r="C188" s="54">
        <f>SUM(C155:C158)</f>
        <v>8048.108332804748</v>
      </c>
      <c r="D188" s="54"/>
      <c r="E188" s="54">
        <f>SUM(E155:E158)</f>
        <v>11537.500205498856</v>
      </c>
      <c r="F188" s="54"/>
      <c r="G188" s="21"/>
      <c r="H188" s="21"/>
    </row>
    <row r="189" spans="1:8">
      <c r="A189" t="s">
        <v>70</v>
      </c>
      <c r="B189" s="3" t="s">
        <v>4</v>
      </c>
      <c r="C189" s="54">
        <f>SUM(C155:C165)</f>
        <v>8048.5819871308458</v>
      </c>
      <c r="D189" s="54"/>
      <c r="E189" s="54">
        <f>SUM(E155:E165)</f>
        <v>11537.835673445305</v>
      </c>
      <c r="F189" s="54"/>
      <c r="G189" s="21"/>
      <c r="H189" s="21"/>
    </row>
    <row r="190" spans="1:8">
      <c r="B190" s="3" t="s">
        <v>18</v>
      </c>
      <c r="C190" s="54">
        <f>SUM(C166:C176)</f>
        <v>3963.5138165035519</v>
      </c>
      <c r="D190" s="54"/>
      <c r="E190" s="54">
        <f>SUM(E166:E176)</f>
        <v>5477.258021830844</v>
      </c>
      <c r="F190" s="54"/>
      <c r="G190" s="21"/>
      <c r="H190" s="21"/>
    </row>
    <row r="191" spans="1:8">
      <c r="B191" s="90" t="s">
        <v>19</v>
      </c>
      <c r="C191" s="54">
        <f>SUM(C177:C187)</f>
        <v>4085.0681706272931</v>
      </c>
      <c r="D191" s="54"/>
      <c r="E191" s="54">
        <f>SUM(E177:E187)</f>
        <v>6060.5776516144579</v>
      </c>
      <c r="F191" s="54"/>
      <c r="G191" s="21"/>
      <c r="H191"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B554-0C72-8C4F-A0EB-83FB88BA0739}">
  <dimension ref="A1:AK73"/>
  <sheetViews>
    <sheetView zoomScaleNormal="100" workbookViewId="0">
      <pane xSplit="4" ySplit="1" topLeftCell="E22" activePane="bottomRight" state="frozen"/>
      <selection pane="topRight" activeCell="E1" sqref="E1"/>
      <selection pane="bottomLeft" activeCell="A2" sqref="A2"/>
      <selection pane="bottomRight" activeCell="P38" sqref="P38"/>
    </sheetView>
  </sheetViews>
  <sheetFormatPr baseColWidth="10" defaultRowHeight="16"/>
  <cols>
    <col min="3" max="3" width="8.33203125" bestFit="1" customWidth="1"/>
    <col min="4" max="4" width="11" bestFit="1" customWidth="1"/>
    <col min="5" max="5" width="7.6640625" bestFit="1" customWidth="1"/>
    <col min="6" max="36" width="5.6640625" bestFit="1" customWidth="1"/>
  </cols>
  <sheetData>
    <row r="1" spans="1:37">
      <c r="A1" s="1" t="s">
        <v>0</v>
      </c>
      <c r="B1" s="2" t="s">
        <v>1</v>
      </c>
      <c r="C1" s="2" t="s">
        <v>2</v>
      </c>
      <c r="D1" s="2" t="s">
        <v>3</v>
      </c>
      <c r="E1" s="2">
        <v>2019</v>
      </c>
      <c r="F1" s="2">
        <v>2020</v>
      </c>
      <c r="G1" s="2">
        <v>2021</v>
      </c>
      <c r="H1" s="2">
        <v>2022</v>
      </c>
      <c r="I1" s="2">
        <v>2023</v>
      </c>
      <c r="J1" s="2">
        <v>2024</v>
      </c>
      <c r="K1" s="2">
        <v>2025</v>
      </c>
      <c r="L1" s="2">
        <v>2026</v>
      </c>
      <c r="M1" s="2">
        <v>2027</v>
      </c>
      <c r="N1" s="2">
        <v>2028</v>
      </c>
      <c r="O1" s="2">
        <v>2029</v>
      </c>
      <c r="P1" s="2">
        <v>2030</v>
      </c>
      <c r="Q1" s="2">
        <v>2031</v>
      </c>
      <c r="R1" s="2">
        <v>2032</v>
      </c>
      <c r="S1" s="2">
        <v>2033</v>
      </c>
      <c r="T1" s="2">
        <v>2034</v>
      </c>
      <c r="U1" s="2">
        <v>2035</v>
      </c>
      <c r="V1" s="2">
        <v>2036</v>
      </c>
      <c r="W1" s="2">
        <v>2037</v>
      </c>
      <c r="X1" s="2">
        <v>2038</v>
      </c>
      <c r="Y1" s="2">
        <v>2039</v>
      </c>
      <c r="Z1" s="2">
        <v>2040</v>
      </c>
      <c r="AA1" s="2">
        <v>2041</v>
      </c>
      <c r="AB1" s="2">
        <v>2042</v>
      </c>
      <c r="AC1" s="2">
        <v>2043</v>
      </c>
      <c r="AD1" s="2">
        <v>2044</v>
      </c>
      <c r="AE1" s="2">
        <v>2045</v>
      </c>
      <c r="AF1" s="2">
        <v>2046</v>
      </c>
      <c r="AG1" s="2">
        <v>2047</v>
      </c>
      <c r="AH1" s="2">
        <v>2048</v>
      </c>
      <c r="AI1" s="2">
        <v>2049</v>
      </c>
      <c r="AJ1" s="2">
        <v>2050</v>
      </c>
      <c r="AK1" s="25" t="s">
        <v>31</v>
      </c>
    </row>
    <row r="2" spans="1:37">
      <c r="A2" s="3" t="s">
        <v>4</v>
      </c>
      <c r="B2" s="3" t="s">
        <v>5</v>
      </c>
      <c r="C2" s="4" t="s">
        <v>6</v>
      </c>
      <c r="D2" s="3" t="s">
        <v>7</v>
      </c>
      <c r="E2" s="5" t="e" cm="1">
        <f t="array" ref="E2">E38*_xlfn.XLOOKUP(1,(Population!$A:$A=E$1)*(Population!$B:$B=$A2),Population!$F:$F)/10^3</f>
        <v>#REF!</v>
      </c>
      <c r="F2" s="5" t="e" cm="1">
        <f t="array" ref="F2">F38*_xlfn.XLOOKUP(1,(Population!$A:$A=F$1)*(Population!$B:$B=$A2),Population!$F:$F)/10^3</f>
        <v>#REF!</v>
      </c>
      <c r="G2" s="5" t="e" cm="1">
        <f t="array" ref="G2">G38*_xlfn.XLOOKUP(1,(Population!$A:$A=G$1)*(Population!$B:$B=$A2),Population!$F:$F)/10^3</f>
        <v>#REF!</v>
      </c>
      <c r="H2" s="5" t="e" cm="1">
        <f t="array" ref="H2">H38*_xlfn.XLOOKUP(1,(Population!$A:$A=H$1)*(Population!$B:$B=$A2),Population!$F:$F)/10^3</f>
        <v>#REF!</v>
      </c>
      <c r="I2" s="5" t="e" cm="1">
        <f t="array" ref="I2">I38*_xlfn.XLOOKUP(1,(Population!$A:$A=I$1)*(Population!$B:$B=$A2),Population!$F:$F)/10^3</f>
        <v>#REF!</v>
      </c>
      <c r="J2" s="5" t="e" cm="1">
        <f t="array" ref="J2">J38*_xlfn.XLOOKUP(1,(Population!$A:$A=J$1)*(Population!$B:$B=$A2),Population!$F:$F)/10^3</f>
        <v>#REF!</v>
      </c>
      <c r="K2" s="5" t="e" cm="1">
        <f t="array" ref="K2">K38*_xlfn.XLOOKUP(1,(Population!$A:$A=K$1)*(Population!$B:$B=$A2),Population!$F:$F)/10^3</f>
        <v>#REF!</v>
      </c>
      <c r="L2" s="5" t="e" cm="1">
        <f t="array" ref="L2">L38*_xlfn.XLOOKUP(1,(Population!$A:$A=L$1)*(Population!$B:$B=$A2),Population!$F:$F)/10^3</f>
        <v>#REF!</v>
      </c>
      <c r="M2" s="5" t="e" cm="1">
        <f t="array" ref="M2">M38*_xlfn.XLOOKUP(1,(Population!$A:$A=M$1)*(Population!$B:$B=$A2),Population!$F:$F)/10^3</f>
        <v>#REF!</v>
      </c>
      <c r="N2" s="5" t="e" cm="1">
        <f t="array" ref="N2">N38*_xlfn.XLOOKUP(1,(Population!$A:$A=N$1)*(Population!$B:$B=$A2),Population!$F:$F)/10^3</f>
        <v>#REF!</v>
      </c>
      <c r="O2" s="5" t="e" cm="1">
        <f t="array" ref="O2">O38*_xlfn.XLOOKUP(1,(Population!$A:$A=O$1)*(Population!$B:$B=$A2),Population!$F:$F)/10^3</f>
        <v>#REF!</v>
      </c>
      <c r="P2" s="5" t="e" cm="1">
        <f t="array" ref="P2">P38*_xlfn.XLOOKUP(1,(Population!$A:$A=P$1)*(Population!$B:$B=$A2),Population!$F:$F)/10^3</f>
        <v>#N/A</v>
      </c>
      <c r="Q2" s="5" t="e" cm="1">
        <f t="array" ref="Q2">Q38*_xlfn.XLOOKUP(1,(Population!$A:$A=Q$1)*(Population!$B:$B=$A2),Population!$F:$F)/10^3</f>
        <v>#N/A</v>
      </c>
      <c r="R2" s="5" t="e" cm="1">
        <f t="array" ref="R2">R38*_xlfn.XLOOKUP(1,(Population!$A:$A=R$1)*(Population!$B:$B=$A2),Population!$F:$F)/10^3</f>
        <v>#N/A</v>
      </c>
      <c r="S2" s="5" t="e" cm="1">
        <f t="array" ref="S2">S38*_xlfn.XLOOKUP(1,(Population!$A:$A=S$1)*(Population!$B:$B=$A2),Population!$F:$F)/10^3</f>
        <v>#N/A</v>
      </c>
      <c r="T2" s="5" t="e" cm="1">
        <f t="array" ref="T2">T38*_xlfn.XLOOKUP(1,(Population!$A:$A=T$1)*(Population!$B:$B=$A2),Population!$F:$F)/10^3</f>
        <v>#N/A</v>
      </c>
      <c r="U2" s="5" t="e" cm="1">
        <f t="array" ref="U2">U38*_xlfn.XLOOKUP(1,(Population!$A:$A=U$1)*(Population!$B:$B=$A2),Population!$F:$F)/10^3</f>
        <v>#N/A</v>
      </c>
      <c r="V2" s="5" t="e" cm="1">
        <f t="array" ref="V2">V38*_xlfn.XLOOKUP(1,(Population!$A:$A=V$1)*(Population!$B:$B=$A2),Population!$F:$F)/10^3</f>
        <v>#N/A</v>
      </c>
      <c r="W2" s="5" t="e" cm="1">
        <f t="array" ref="W2">W38*_xlfn.XLOOKUP(1,(Population!$A:$A=W$1)*(Population!$B:$B=$A2),Population!$F:$F)/10^3</f>
        <v>#N/A</v>
      </c>
      <c r="X2" s="5" t="e" cm="1">
        <f t="array" ref="X2">X38*_xlfn.XLOOKUP(1,(Population!$A:$A=X$1)*(Population!$B:$B=$A2),Population!$F:$F)/10^3</f>
        <v>#N/A</v>
      </c>
      <c r="Y2" s="5" t="e" cm="1">
        <f t="array" ref="Y2">Y38*_xlfn.XLOOKUP(1,(Population!$A:$A=Y$1)*(Population!$B:$B=$A2),Population!$F:$F)/10^3</f>
        <v>#N/A</v>
      </c>
      <c r="Z2" s="5" t="e" cm="1">
        <f t="array" ref="Z2">Z38*_xlfn.XLOOKUP(1,(Population!$A:$A=Z$1)*(Population!$B:$B=$A2),Population!$F:$F)/10^3</f>
        <v>#N/A</v>
      </c>
      <c r="AA2" s="5" t="e" cm="1">
        <f t="array" ref="AA2">AA38*_xlfn.XLOOKUP(1,(Population!$A:$A=AA$1)*(Population!$B:$B=$A2),Population!$F:$F)/10^3</f>
        <v>#N/A</v>
      </c>
      <c r="AB2" s="5" t="e" cm="1">
        <f t="array" ref="AB2">AB38*_xlfn.XLOOKUP(1,(Population!$A:$A=AB$1)*(Population!$B:$B=$A2),Population!$F:$F)/10^3</f>
        <v>#N/A</v>
      </c>
      <c r="AC2" s="5" t="e" cm="1">
        <f t="array" ref="AC2">AC38*_xlfn.XLOOKUP(1,(Population!$A:$A=AC$1)*(Population!$B:$B=$A2),Population!$F:$F)/10^3</f>
        <v>#N/A</v>
      </c>
      <c r="AD2" s="5" t="e" cm="1">
        <f t="array" ref="AD2">AD38*_xlfn.XLOOKUP(1,(Population!$A:$A=AD$1)*(Population!$B:$B=$A2),Population!$F:$F)/10^3</f>
        <v>#N/A</v>
      </c>
      <c r="AE2" s="5" t="e" cm="1">
        <f t="array" ref="AE2">AE38*_xlfn.XLOOKUP(1,(Population!$A:$A=AE$1)*(Population!$B:$B=$A2),Population!$F:$F)/10^3</f>
        <v>#N/A</v>
      </c>
      <c r="AF2" s="5" t="e" cm="1">
        <f t="array" ref="AF2">AF38*_xlfn.XLOOKUP(1,(Population!$A:$A=AF$1)*(Population!$B:$B=$A2),Population!$F:$F)/10^3</f>
        <v>#N/A</v>
      </c>
      <c r="AG2" s="5" t="e" cm="1">
        <f t="array" ref="AG2">AG38*_xlfn.XLOOKUP(1,(Population!$A:$A=AG$1)*(Population!$B:$B=$A2),Population!$F:$F)/10^3</f>
        <v>#N/A</v>
      </c>
      <c r="AH2" s="5" t="e" cm="1">
        <f t="array" ref="AH2">AH38*_xlfn.XLOOKUP(1,(Population!$A:$A=AH$1)*(Population!$B:$B=$A2),Population!$F:$F)/10^3</f>
        <v>#N/A</v>
      </c>
      <c r="AI2" s="5" t="e" cm="1">
        <f t="array" ref="AI2">AI38*_xlfn.XLOOKUP(1,(Population!$A:$A=AI$1)*(Population!$B:$B=$A2),Population!$F:$F)/10^3</f>
        <v>#N/A</v>
      </c>
      <c r="AJ2" s="5" t="e" cm="1">
        <f t="array" ref="AJ2">AJ38*_xlfn.XLOOKUP(1,(Population!$A:$A=AJ$1)*(Population!$B:$B=$A2),Population!$F:$F)/10^3</f>
        <v>#N/A</v>
      </c>
    </row>
    <row r="3" spans="1:37">
      <c r="A3" s="3" t="s">
        <v>4</v>
      </c>
      <c r="B3" s="3" t="s">
        <v>8</v>
      </c>
      <c r="C3" s="4" t="s">
        <v>6</v>
      </c>
      <c r="D3" s="3" t="s">
        <v>7</v>
      </c>
      <c r="E3" s="5" t="e" cm="1">
        <f t="array" ref="E3">E39*_xlfn.XLOOKUP(1,(Population!$A:$A=E$1)*(Population!$B:$B=$A3),Population!$F:$F)/10^3</f>
        <v>#REF!</v>
      </c>
      <c r="F3" s="5" t="e" cm="1">
        <f t="array" ref="F3">F39*_xlfn.XLOOKUP(1,(Population!$A:$A=F$1)*(Population!$B:$B=$A3),Population!$F:$F)/10^3</f>
        <v>#REF!</v>
      </c>
      <c r="G3" s="5" t="e" cm="1">
        <f t="array" ref="G3">G39*_xlfn.XLOOKUP(1,(Population!$A:$A=G$1)*(Population!$B:$B=$A3),Population!$F:$F)/10^3</f>
        <v>#REF!</v>
      </c>
      <c r="H3" s="5" t="e" cm="1">
        <f t="array" ref="H3">H39*_xlfn.XLOOKUP(1,(Population!$A:$A=H$1)*(Population!$B:$B=$A3),Population!$F:$F)/10^3</f>
        <v>#REF!</v>
      </c>
      <c r="I3" s="5" t="e" cm="1">
        <f t="array" ref="I3">I39*_xlfn.XLOOKUP(1,(Population!$A:$A=I$1)*(Population!$B:$B=$A3),Population!$F:$F)/10^3</f>
        <v>#REF!</v>
      </c>
      <c r="J3" s="5" t="e" cm="1">
        <f t="array" ref="J3">J39*_xlfn.XLOOKUP(1,(Population!$A:$A=J$1)*(Population!$B:$B=$A3),Population!$F:$F)/10^3</f>
        <v>#REF!</v>
      </c>
      <c r="K3" s="5" t="e" cm="1">
        <f t="array" ref="K3">K39*_xlfn.XLOOKUP(1,(Population!$A:$A=K$1)*(Population!$B:$B=$A3),Population!$F:$F)/10^3</f>
        <v>#REF!</v>
      </c>
      <c r="L3" s="5" t="e" cm="1">
        <f t="array" ref="L3">L39*_xlfn.XLOOKUP(1,(Population!$A:$A=L$1)*(Population!$B:$B=$A3),Population!$F:$F)/10^3</f>
        <v>#REF!</v>
      </c>
      <c r="M3" s="5" t="e" cm="1">
        <f t="array" ref="M3">M39*_xlfn.XLOOKUP(1,(Population!$A:$A=M$1)*(Population!$B:$B=$A3),Population!$F:$F)/10^3</f>
        <v>#REF!</v>
      </c>
      <c r="N3" s="5" t="e" cm="1">
        <f t="array" ref="N3">N39*_xlfn.XLOOKUP(1,(Population!$A:$A=N$1)*(Population!$B:$B=$A3),Population!$F:$F)/10^3</f>
        <v>#REF!</v>
      </c>
      <c r="O3" s="5" t="e" cm="1">
        <f t="array" ref="O3">O39*_xlfn.XLOOKUP(1,(Population!$A:$A=O$1)*(Population!$B:$B=$A3),Population!$F:$F)/10^3</f>
        <v>#REF!</v>
      </c>
      <c r="P3" s="5" t="e" cm="1">
        <f t="array" ref="P3">P39*_xlfn.XLOOKUP(1,(Population!$A:$A=P$1)*(Population!$B:$B=$A3),Population!$F:$F)/10^3</f>
        <v>#N/A</v>
      </c>
      <c r="Q3" s="5" t="e" cm="1">
        <f t="array" ref="Q3">Q39*_xlfn.XLOOKUP(1,(Population!$A:$A=Q$1)*(Population!$B:$B=$A3),Population!$F:$F)/10^3</f>
        <v>#N/A</v>
      </c>
      <c r="R3" s="5" t="e" cm="1">
        <f t="array" ref="R3">R39*_xlfn.XLOOKUP(1,(Population!$A:$A=R$1)*(Population!$B:$B=$A3),Population!$F:$F)/10^3</f>
        <v>#N/A</v>
      </c>
      <c r="S3" s="5" t="e" cm="1">
        <f t="array" ref="S3">S39*_xlfn.XLOOKUP(1,(Population!$A:$A=S$1)*(Population!$B:$B=$A3),Population!$F:$F)/10^3</f>
        <v>#N/A</v>
      </c>
      <c r="T3" s="5" t="e" cm="1">
        <f t="array" ref="T3">T39*_xlfn.XLOOKUP(1,(Population!$A:$A=T$1)*(Population!$B:$B=$A3),Population!$F:$F)/10^3</f>
        <v>#N/A</v>
      </c>
      <c r="U3" s="5" t="e" cm="1">
        <f t="array" ref="U3">U39*_xlfn.XLOOKUP(1,(Population!$A:$A=U$1)*(Population!$B:$B=$A3),Population!$F:$F)/10^3</f>
        <v>#N/A</v>
      </c>
      <c r="V3" s="5" t="e" cm="1">
        <f t="array" ref="V3">V39*_xlfn.XLOOKUP(1,(Population!$A:$A=V$1)*(Population!$B:$B=$A3),Population!$F:$F)/10^3</f>
        <v>#N/A</v>
      </c>
      <c r="W3" s="5" t="e" cm="1">
        <f t="array" ref="W3">W39*_xlfn.XLOOKUP(1,(Population!$A:$A=W$1)*(Population!$B:$B=$A3),Population!$F:$F)/10^3</f>
        <v>#N/A</v>
      </c>
      <c r="X3" s="5" t="e" cm="1">
        <f t="array" ref="X3">X39*_xlfn.XLOOKUP(1,(Population!$A:$A=X$1)*(Population!$B:$B=$A3),Population!$F:$F)/10^3</f>
        <v>#N/A</v>
      </c>
      <c r="Y3" s="5" t="e" cm="1">
        <f t="array" ref="Y3">Y39*_xlfn.XLOOKUP(1,(Population!$A:$A=Y$1)*(Population!$B:$B=$A3),Population!$F:$F)/10^3</f>
        <v>#N/A</v>
      </c>
      <c r="Z3" s="5" t="e" cm="1">
        <f t="array" ref="Z3">Z39*_xlfn.XLOOKUP(1,(Population!$A:$A=Z$1)*(Population!$B:$B=$A3),Population!$F:$F)/10^3</f>
        <v>#N/A</v>
      </c>
      <c r="AA3" s="5" t="e" cm="1">
        <f t="array" ref="AA3">AA39*_xlfn.XLOOKUP(1,(Population!$A:$A=AA$1)*(Population!$B:$B=$A3),Population!$F:$F)/10^3</f>
        <v>#N/A</v>
      </c>
      <c r="AB3" s="5" t="e" cm="1">
        <f t="array" ref="AB3">AB39*_xlfn.XLOOKUP(1,(Population!$A:$A=AB$1)*(Population!$B:$B=$A3),Population!$F:$F)/10^3</f>
        <v>#N/A</v>
      </c>
      <c r="AC3" s="5" t="e" cm="1">
        <f t="array" ref="AC3">AC39*_xlfn.XLOOKUP(1,(Population!$A:$A=AC$1)*(Population!$B:$B=$A3),Population!$F:$F)/10^3</f>
        <v>#N/A</v>
      </c>
      <c r="AD3" s="5" t="e" cm="1">
        <f t="array" ref="AD3">AD39*_xlfn.XLOOKUP(1,(Population!$A:$A=AD$1)*(Population!$B:$B=$A3),Population!$F:$F)/10^3</f>
        <v>#N/A</v>
      </c>
      <c r="AE3" s="5" t="e" cm="1">
        <f t="array" ref="AE3">AE39*_xlfn.XLOOKUP(1,(Population!$A:$A=AE$1)*(Population!$B:$B=$A3),Population!$F:$F)/10^3</f>
        <v>#N/A</v>
      </c>
      <c r="AF3" s="5" t="e" cm="1">
        <f t="array" ref="AF3">AF39*_xlfn.XLOOKUP(1,(Population!$A:$A=AF$1)*(Population!$B:$B=$A3),Population!$F:$F)/10^3</f>
        <v>#N/A</v>
      </c>
      <c r="AG3" s="5" t="e" cm="1">
        <f t="array" ref="AG3">AG39*_xlfn.XLOOKUP(1,(Population!$A:$A=AG$1)*(Population!$B:$B=$A3),Population!$F:$F)/10^3</f>
        <v>#N/A</v>
      </c>
      <c r="AH3" s="5" t="e" cm="1">
        <f t="array" ref="AH3">AH39*_xlfn.XLOOKUP(1,(Population!$A:$A=AH$1)*(Population!$B:$B=$A3),Population!$F:$F)/10^3</f>
        <v>#N/A</v>
      </c>
      <c r="AI3" s="5" t="e" cm="1">
        <f t="array" ref="AI3">AI39*_xlfn.XLOOKUP(1,(Population!$A:$A=AI$1)*(Population!$B:$B=$A3),Population!$F:$F)/10^3</f>
        <v>#N/A</v>
      </c>
      <c r="AJ3" s="5" t="e" cm="1">
        <f t="array" ref="AJ3">AJ39*_xlfn.XLOOKUP(1,(Population!$A:$A=AJ$1)*(Population!$B:$B=$A3),Population!$F:$F)/10^3</f>
        <v>#N/A</v>
      </c>
    </row>
    <row r="4" spans="1:37">
      <c r="A4" s="3" t="s">
        <v>4</v>
      </c>
      <c r="B4" t="s">
        <v>9</v>
      </c>
      <c r="C4" s="4" t="s">
        <v>6</v>
      </c>
      <c r="D4" s="3" t="s">
        <v>7</v>
      </c>
      <c r="E4" s="5" t="e" cm="1">
        <f t="array" ref="E4">E40*_xlfn.XLOOKUP(1,(Population!$A:$A=E$1)*(Population!$B:$B=$A4),Population!$F:$F)/10^3</f>
        <v>#REF!</v>
      </c>
      <c r="F4" s="5" t="e" cm="1">
        <f t="array" ref="F4">F40*_xlfn.XLOOKUP(1,(Population!$A:$A=F$1)*(Population!$B:$B=$A4),Population!$F:$F)/10^3</f>
        <v>#REF!</v>
      </c>
      <c r="G4" s="5" t="e" cm="1">
        <f t="array" ref="G4">G40*_xlfn.XLOOKUP(1,(Population!$A:$A=G$1)*(Population!$B:$B=$A4),Population!$F:$F)/10^3</f>
        <v>#REF!</v>
      </c>
      <c r="H4" s="5" t="e" cm="1">
        <f t="array" ref="H4">H40*_xlfn.XLOOKUP(1,(Population!$A:$A=H$1)*(Population!$B:$B=$A4),Population!$F:$F)/10^3</f>
        <v>#REF!</v>
      </c>
      <c r="I4" s="5" t="e" cm="1">
        <f t="array" ref="I4">I40*_xlfn.XLOOKUP(1,(Population!$A:$A=I$1)*(Population!$B:$B=$A4),Population!$F:$F)/10^3</f>
        <v>#REF!</v>
      </c>
      <c r="J4" s="5" t="e" cm="1">
        <f t="array" ref="J4">J40*_xlfn.XLOOKUP(1,(Population!$A:$A=J$1)*(Population!$B:$B=$A4),Population!$F:$F)/10^3</f>
        <v>#REF!</v>
      </c>
      <c r="K4" s="5" t="e" cm="1">
        <f t="array" ref="K4">K40*_xlfn.XLOOKUP(1,(Population!$A:$A=K$1)*(Population!$B:$B=$A4),Population!$F:$F)/10^3</f>
        <v>#REF!</v>
      </c>
      <c r="L4" s="5" t="e" cm="1">
        <f t="array" ref="L4">L40*_xlfn.XLOOKUP(1,(Population!$A:$A=L$1)*(Population!$B:$B=$A4),Population!$F:$F)/10^3</f>
        <v>#REF!</v>
      </c>
      <c r="M4" s="5" t="e" cm="1">
        <f t="array" ref="M4">M40*_xlfn.XLOOKUP(1,(Population!$A:$A=M$1)*(Population!$B:$B=$A4),Population!$F:$F)/10^3</f>
        <v>#REF!</v>
      </c>
      <c r="N4" s="5" t="e" cm="1">
        <f t="array" ref="N4">N40*_xlfn.XLOOKUP(1,(Population!$A:$A=N$1)*(Population!$B:$B=$A4),Population!$F:$F)/10^3</f>
        <v>#REF!</v>
      </c>
      <c r="O4" s="5" t="e" cm="1">
        <f t="array" ref="O4">O40*_xlfn.XLOOKUP(1,(Population!$A:$A=O$1)*(Population!$B:$B=$A4),Population!$F:$F)/10^3</f>
        <v>#REF!</v>
      </c>
      <c r="P4" s="5" t="e" cm="1">
        <f t="array" ref="P4">P40*_xlfn.XLOOKUP(1,(Population!$A:$A=P$1)*(Population!$B:$B=$A4),Population!$F:$F)/10^3</f>
        <v>#N/A</v>
      </c>
      <c r="Q4" s="5" t="e" cm="1">
        <f t="array" ref="Q4">Q40*_xlfn.XLOOKUP(1,(Population!$A:$A=Q$1)*(Population!$B:$B=$A4),Population!$F:$F)/10^3</f>
        <v>#N/A</v>
      </c>
      <c r="R4" s="5" t="e" cm="1">
        <f t="array" ref="R4">R40*_xlfn.XLOOKUP(1,(Population!$A:$A=R$1)*(Population!$B:$B=$A4),Population!$F:$F)/10^3</f>
        <v>#N/A</v>
      </c>
      <c r="S4" s="5" t="e" cm="1">
        <f t="array" ref="S4">S40*_xlfn.XLOOKUP(1,(Population!$A:$A=S$1)*(Population!$B:$B=$A4),Population!$F:$F)/10^3</f>
        <v>#N/A</v>
      </c>
      <c r="T4" s="5" t="e" cm="1">
        <f t="array" ref="T4">T40*_xlfn.XLOOKUP(1,(Population!$A:$A=T$1)*(Population!$B:$B=$A4),Population!$F:$F)/10^3</f>
        <v>#N/A</v>
      </c>
      <c r="U4" s="5" t="e" cm="1">
        <f t="array" ref="U4">U40*_xlfn.XLOOKUP(1,(Population!$A:$A=U$1)*(Population!$B:$B=$A4),Population!$F:$F)/10^3</f>
        <v>#N/A</v>
      </c>
      <c r="V4" s="5" t="e" cm="1">
        <f t="array" ref="V4">V40*_xlfn.XLOOKUP(1,(Population!$A:$A=V$1)*(Population!$B:$B=$A4),Population!$F:$F)/10^3</f>
        <v>#N/A</v>
      </c>
      <c r="W4" s="5" t="e" cm="1">
        <f t="array" ref="W4">W40*_xlfn.XLOOKUP(1,(Population!$A:$A=W$1)*(Population!$B:$B=$A4),Population!$F:$F)/10^3</f>
        <v>#N/A</v>
      </c>
      <c r="X4" s="5" t="e" cm="1">
        <f t="array" ref="X4">X40*_xlfn.XLOOKUP(1,(Population!$A:$A=X$1)*(Population!$B:$B=$A4),Population!$F:$F)/10^3</f>
        <v>#N/A</v>
      </c>
      <c r="Y4" s="5" t="e" cm="1">
        <f t="array" ref="Y4">Y40*_xlfn.XLOOKUP(1,(Population!$A:$A=Y$1)*(Population!$B:$B=$A4),Population!$F:$F)/10^3</f>
        <v>#N/A</v>
      </c>
      <c r="Z4" s="5" t="e" cm="1">
        <f t="array" ref="Z4">Z40*_xlfn.XLOOKUP(1,(Population!$A:$A=Z$1)*(Population!$B:$B=$A4),Population!$F:$F)/10^3</f>
        <v>#N/A</v>
      </c>
      <c r="AA4" s="5" t="e" cm="1">
        <f t="array" ref="AA4">AA40*_xlfn.XLOOKUP(1,(Population!$A:$A=AA$1)*(Population!$B:$B=$A4),Population!$F:$F)/10^3</f>
        <v>#N/A</v>
      </c>
      <c r="AB4" s="5" t="e" cm="1">
        <f t="array" ref="AB4">AB40*_xlfn.XLOOKUP(1,(Population!$A:$A=AB$1)*(Population!$B:$B=$A4),Population!$F:$F)/10^3</f>
        <v>#N/A</v>
      </c>
      <c r="AC4" s="5" t="e" cm="1">
        <f t="array" ref="AC4">AC40*_xlfn.XLOOKUP(1,(Population!$A:$A=AC$1)*(Population!$B:$B=$A4),Population!$F:$F)/10^3</f>
        <v>#N/A</v>
      </c>
      <c r="AD4" s="5" t="e" cm="1">
        <f t="array" ref="AD4">AD40*_xlfn.XLOOKUP(1,(Population!$A:$A=AD$1)*(Population!$B:$B=$A4),Population!$F:$F)/10^3</f>
        <v>#N/A</v>
      </c>
      <c r="AE4" s="5" t="e" cm="1">
        <f t="array" ref="AE4">AE40*_xlfn.XLOOKUP(1,(Population!$A:$A=AE$1)*(Population!$B:$B=$A4),Population!$F:$F)/10^3</f>
        <v>#N/A</v>
      </c>
      <c r="AF4" s="5" t="e" cm="1">
        <f t="array" ref="AF4">AF40*_xlfn.XLOOKUP(1,(Population!$A:$A=AF$1)*(Population!$B:$B=$A4),Population!$F:$F)/10^3</f>
        <v>#N/A</v>
      </c>
      <c r="AG4" s="5" t="e" cm="1">
        <f t="array" ref="AG4">AG40*_xlfn.XLOOKUP(1,(Population!$A:$A=AG$1)*(Population!$B:$B=$A4),Population!$F:$F)/10^3</f>
        <v>#N/A</v>
      </c>
      <c r="AH4" s="5" t="e" cm="1">
        <f t="array" ref="AH4">AH40*_xlfn.XLOOKUP(1,(Population!$A:$A=AH$1)*(Population!$B:$B=$A4),Population!$F:$F)/10^3</f>
        <v>#N/A</v>
      </c>
      <c r="AI4" s="5" t="e" cm="1">
        <f t="array" ref="AI4">AI40*_xlfn.XLOOKUP(1,(Population!$A:$A=AI$1)*(Population!$B:$B=$A4),Population!$F:$F)/10^3</f>
        <v>#N/A</v>
      </c>
      <c r="AJ4" s="5" t="e" cm="1">
        <f t="array" ref="AJ4">AJ40*_xlfn.XLOOKUP(1,(Population!$A:$A=AJ$1)*(Population!$B:$B=$A4),Population!$F:$F)/10^3</f>
        <v>#N/A</v>
      </c>
    </row>
    <row r="5" spans="1:37">
      <c r="A5" s="3" t="s">
        <v>4</v>
      </c>
      <c r="B5" t="s">
        <v>10</v>
      </c>
      <c r="C5" s="4" t="s">
        <v>6</v>
      </c>
      <c r="D5" s="3" t="s">
        <v>7</v>
      </c>
      <c r="E5" s="5" t="e" cm="1">
        <f t="array" ref="E5">E41*_xlfn.XLOOKUP(1,(Population!$A:$A=E$1)*(Population!$B:$B=$A5),Population!$F:$F)/10^3</f>
        <v>#REF!</v>
      </c>
      <c r="F5" s="5" t="e" cm="1">
        <f t="array" ref="F5">F41*_xlfn.XLOOKUP(1,(Population!$A:$A=F$1)*(Population!$B:$B=$A5),Population!$F:$F)/10^3</f>
        <v>#REF!</v>
      </c>
      <c r="G5" s="5" t="e" cm="1">
        <f t="array" ref="G5">G41*_xlfn.XLOOKUP(1,(Population!$A:$A=G$1)*(Population!$B:$B=$A5),Population!$F:$F)/10^3</f>
        <v>#REF!</v>
      </c>
      <c r="H5" s="5" t="e" cm="1">
        <f t="array" ref="H5">H41*_xlfn.XLOOKUP(1,(Population!$A:$A=H$1)*(Population!$B:$B=$A5),Population!$F:$F)/10^3</f>
        <v>#REF!</v>
      </c>
      <c r="I5" s="5" t="e" cm="1">
        <f t="array" ref="I5">I41*_xlfn.XLOOKUP(1,(Population!$A:$A=I$1)*(Population!$B:$B=$A5),Population!$F:$F)/10^3</f>
        <v>#REF!</v>
      </c>
      <c r="J5" s="5" t="e" cm="1">
        <f t="array" ref="J5">J41*_xlfn.XLOOKUP(1,(Population!$A:$A=J$1)*(Population!$B:$B=$A5),Population!$F:$F)/10^3</f>
        <v>#REF!</v>
      </c>
      <c r="K5" s="5" t="e" cm="1">
        <f t="array" ref="K5">K41*_xlfn.XLOOKUP(1,(Population!$A:$A=K$1)*(Population!$B:$B=$A5),Population!$F:$F)/10^3</f>
        <v>#REF!</v>
      </c>
      <c r="L5" s="5" t="e" cm="1">
        <f t="array" ref="L5">L41*_xlfn.XLOOKUP(1,(Population!$A:$A=L$1)*(Population!$B:$B=$A5),Population!$F:$F)/10^3</f>
        <v>#REF!</v>
      </c>
      <c r="M5" s="5" t="e" cm="1">
        <f t="array" ref="M5">M41*_xlfn.XLOOKUP(1,(Population!$A:$A=M$1)*(Population!$B:$B=$A5),Population!$F:$F)/10^3</f>
        <v>#REF!</v>
      </c>
      <c r="N5" s="5" t="e" cm="1">
        <f t="array" ref="N5">N41*_xlfn.XLOOKUP(1,(Population!$A:$A=N$1)*(Population!$B:$B=$A5),Population!$F:$F)/10^3</f>
        <v>#REF!</v>
      </c>
      <c r="O5" s="5" t="e" cm="1">
        <f t="array" ref="O5">O41*_xlfn.XLOOKUP(1,(Population!$A:$A=O$1)*(Population!$B:$B=$A5),Population!$F:$F)/10^3</f>
        <v>#REF!</v>
      </c>
      <c r="P5" s="5" t="e" cm="1">
        <f t="array" ref="P5">P41*_xlfn.XLOOKUP(1,(Population!$A:$A=P$1)*(Population!$B:$B=$A5),Population!$F:$F)/10^3</f>
        <v>#N/A</v>
      </c>
      <c r="Q5" s="5" t="e" cm="1">
        <f t="array" ref="Q5">Q41*_xlfn.XLOOKUP(1,(Population!$A:$A=Q$1)*(Population!$B:$B=$A5),Population!$F:$F)/10^3</f>
        <v>#N/A</v>
      </c>
      <c r="R5" s="5" t="e" cm="1">
        <f t="array" ref="R5">R41*_xlfn.XLOOKUP(1,(Population!$A:$A=R$1)*(Population!$B:$B=$A5),Population!$F:$F)/10^3</f>
        <v>#N/A</v>
      </c>
      <c r="S5" s="5" t="e" cm="1">
        <f t="array" ref="S5">S41*_xlfn.XLOOKUP(1,(Population!$A:$A=S$1)*(Population!$B:$B=$A5),Population!$F:$F)/10^3</f>
        <v>#N/A</v>
      </c>
      <c r="T5" s="5" t="e" cm="1">
        <f t="array" ref="T5">T41*_xlfn.XLOOKUP(1,(Population!$A:$A=T$1)*(Population!$B:$B=$A5),Population!$F:$F)/10^3</f>
        <v>#N/A</v>
      </c>
      <c r="U5" s="5" t="e" cm="1">
        <f t="array" ref="U5">U41*_xlfn.XLOOKUP(1,(Population!$A:$A=U$1)*(Population!$B:$B=$A5),Population!$F:$F)/10^3</f>
        <v>#N/A</v>
      </c>
      <c r="V5" s="5" t="e" cm="1">
        <f t="array" ref="V5">V41*_xlfn.XLOOKUP(1,(Population!$A:$A=V$1)*(Population!$B:$B=$A5),Population!$F:$F)/10^3</f>
        <v>#N/A</v>
      </c>
      <c r="W5" s="5" t="e" cm="1">
        <f t="array" ref="W5">W41*_xlfn.XLOOKUP(1,(Population!$A:$A=W$1)*(Population!$B:$B=$A5),Population!$F:$F)/10^3</f>
        <v>#N/A</v>
      </c>
      <c r="X5" s="5" t="e" cm="1">
        <f t="array" ref="X5">X41*_xlfn.XLOOKUP(1,(Population!$A:$A=X$1)*(Population!$B:$B=$A5),Population!$F:$F)/10^3</f>
        <v>#N/A</v>
      </c>
      <c r="Y5" s="5" t="e" cm="1">
        <f t="array" ref="Y5">Y41*_xlfn.XLOOKUP(1,(Population!$A:$A=Y$1)*(Population!$B:$B=$A5),Population!$F:$F)/10^3</f>
        <v>#N/A</v>
      </c>
      <c r="Z5" s="5" t="e" cm="1">
        <f t="array" ref="Z5">Z41*_xlfn.XLOOKUP(1,(Population!$A:$A=Z$1)*(Population!$B:$B=$A5),Population!$F:$F)/10^3</f>
        <v>#N/A</v>
      </c>
      <c r="AA5" s="5" t="e" cm="1">
        <f t="array" ref="AA5">AA41*_xlfn.XLOOKUP(1,(Population!$A:$A=AA$1)*(Population!$B:$B=$A5),Population!$F:$F)/10^3</f>
        <v>#N/A</v>
      </c>
      <c r="AB5" s="5" t="e" cm="1">
        <f t="array" ref="AB5">AB41*_xlfn.XLOOKUP(1,(Population!$A:$A=AB$1)*(Population!$B:$B=$A5),Population!$F:$F)/10^3</f>
        <v>#N/A</v>
      </c>
      <c r="AC5" s="5" t="e" cm="1">
        <f t="array" ref="AC5">AC41*_xlfn.XLOOKUP(1,(Population!$A:$A=AC$1)*(Population!$B:$B=$A5),Population!$F:$F)/10^3</f>
        <v>#N/A</v>
      </c>
      <c r="AD5" s="5" t="e" cm="1">
        <f t="array" ref="AD5">AD41*_xlfn.XLOOKUP(1,(Population!$A:$A=AD$1)*(Population!$B:$B=$A5),Population!$F:$F)/10^3</f>
        <v>#N/A</v>
      </c>
      <c r="AE5" s="5" t="e" cm="1">
        <f t="array" ref="AE5">AE41*_xlfn.XLOOKUP(1,(Population!$A:$A=AE$1)*(Population!$B:$B=$A5),Population!$F:$F)/10^3</f>
        <v>#N/A</v>
      </c>
      <c r="AF5" s="5" t="e" cm="1">
        <f t="array" ref="AF5">AF41*_xlfn.XLOOKUP(1,(Population!$A:$A=AF$1)*(Population!$B:$B=$A5),Population!$F:$F)/10^3</f>
        <v>#N/A</v>
      </c>
      <c r="AG5" s="5" t="e" cm="1">
        <f t="array" ref="AG5">AG41*_xlfn.XLOOKUP(1,(Population!$A:$A=AG$1)*(Population!$B:$B=$A5),Population!$F:$F)/10^3</f>
        <v>#N/A</v>
      </c>
      <c r="AH5" s="5" t="e" cm="1">
        <f t="array" ref="AH5">AH41*_xlfn.XLOOKUP(1,(Population!$A:$A=AH$1)*(Population!$B:$B=$A5),Population!$F:$F)/10^3</f>
        <v>#N/A</v>
      </c>
      <c r="AI5" s="5" t="e" cm="1">
        <f t="array" ref="AI5">AI41*_xlfn.XLOOKUP(1,(Population!$A:$A=AI$1)*(Population!$B:$B=$A5),Population!$F:$F)/10^3</f>
        <v>#N/A</v>
      </c>
      <c r="AJ5" s="5" t="e" cm="1">
        <f t="array" ref="AJ5">AJ41*_xlfn.XLOOKUP(1,(Population!$A:$A=AJ$1)*(Population!$B:$B=$A5),Population!$F:$F)/10^3</f>
        <v>#N/A</v>
      </c>
    </row>
    <row r="6" spans="1:37">
      <c r="A6" s="3" t="s">
        <v>4</v>
      </c>
      <c r="B6" t="s">
        <v>11</v>
      </c>
      <c r="C6" s="4" t="s">
        <v>6</v>
      </c>
      <c r="D6" s="3" t="s">
        <v>7</v>
      </c>
      <c r="E6" s="5" t="e" cm="1">
        <f t="array" ref="E6">E42*_xlfn.XLOOKUP(1,(Population!$A:$A=E$1)*(Population!$B:$B=$A6),Population!$F:$F)/10^3</f>
        <v>#N/A</v>
      </c>
      <c r="F6" s="5" t="e" cm="1">
        <f t="array" ref="F6">F42*_xlfn.XLOOKUP(1,(Population!$A:$A=F$1)*(Population!$B:$B=$A6),Population!$F:$F)/10^3</f>
        <v>#N/A</v>
      </c>
      <c r="G6" s="5" t="e" cm="1">
        <f t="array" ref="G6">G42*_xlfn.XLOOKUP(1,(Population!$A:$A=G$1)*(Population!$B:$B=$A6),Population!$F:$F)/10^3</f>
        <v>#N/A</v>
      </c>
      <c r="H6" s="5" t="e" cm="1">
        <f t="array" ref="H6">H42*_xlfn.XLOOKUP(1,(Population!$A:$A=H$1)*(Population!$B:$B=$A6),Population!$F:$F)/10^3</f>
        <v>#N/A</v>
      </c>
      <c r="I6" s="5" t="e" cm="1">
        <f t="array" ref="I6">I42*_xlfn.XLOOKUP(1,(Population!$A:$A=I$1)*(Population!$B:$B=$A6),Population!$F:$F)/10^3</f>
        <v>#N/A</v>
      </c>
      <c r="J6" s="5" t="e" cm="1">
        <f t="array" ref="J6">J42*_xlfn.XLOOKUP(1,(Population!$A:$A=J$1)*(Population!$B:$B=$A6),Population!$F:$F)/10^3</f>
        <v>#N/A</v>
      </c>
      <c r="K6" s="5" t="e" cm="1">
        <f t="array" ref="K6">K42*_xlfn.XLOOKUP(1,(Population!$A:$A=K$1)*(Population!$B:$B=$A6),Population!$F:$F)/10^3</f>
        <v>#N/A</v>
      </c>
      <c r="L6" s="5" t="e" cm="1">
        <f t="array" ref="L6">L42*_xlfn.XLOOKUP(1,(Population!$A:$A=L$1)*(Population!$B:$B=$A6),Population!$F:$F)/10^3</f>
        <v>#N/A</v>
      </c>
      <c r="M6" s="5" t="e" cm="1">
        <f t="array" ref="M6">M42*_xlfn.XLOOKUP(1,(Population!$A:$A=M$1)*(Population!$B:$B=$A6),Population!$F:$F)/10^3</f>
        <v>#N/A</v>
      </c>
      <c r="N6" s="5" t="e" cm="1">
        <f t="array" ref="N6">N42*_xlfn.XLOOKUP(1,(Population!$A:$A=N$1)*(Population!$B:$B=$A6),Population!$F:$F)/10^3</f>
        <v>#N/A</v>
      </c>
      <c r="O6" s="5" t="e" cm="1">
        <f t="array" ref="O6">O42*_xlfn.XLOOKUP(1,(Population!$A:$A=O$1)*(Population!$B:$B=$A6),Population!$F:$F)/10^3</f>
        <v>#N/A</v>
      </c>
      <c r="P6" s="5" t="e" cm="1">
        <f t="array" ref="P6">P42*_xlfn.XLOOKUP(1,(Population!$A:$A=P$1)*(Population!$B:$B=$A6),Population!$F:$F)/10^3</f>
        <v>#N/A</v>
      </c>
      <c r="Q6" s="5" t="e" cm="1">
        <f t="array" ref="Q6">Q42*_xlfn.XLOOKUP(1,(Population!$A:$A=Q$1)*(Population!$B:$B=$A6),Population!$F:$F)/10^3</f>
        <v>#N/A</v>
      </c>
      <c r="R6" s="5" t="e" cm="1">
        <f t="array" ref="R6">R42*_xlfn.XLOOKUP(1,(Population!$A:$A=R$1)*(Population!$B:$B=$A6),Population!$F:$F)/10^3</f>
        <v>#N/A</v>
      </c>
      <c r="S6" s="5" t="e" cm="1">
        <f t="array" ref="S6">S42*_xlfn.XLOOKUP(1,(Population!$A:$A=S$1)*(Population!$B:$B=$A6),Population!$F:$F)/10^3</f>
        <v>#N/A</v>
      </c>
      <c r="T6" s="5" t="e" cm="1">
        <f t="array" ref="T6">T42*_xlfn.XLOOKUP(1,(Population!$A:$A=T$1)*(Population!$B:$B=$A6),Population!$F:$F)/10^3</f>
        <v>#N/A</v>
      </c>
      <c r="U6" s="5" t="e" cm="1">
        <f t="array" ref="U6">U42*_xlfn.XLOOKUP(1,(Population!$A:$A=U$1)*(Population!$B:$B=$A6),Population!$F:$F)/10^3</f>
        <v>#N/A</v>
      </c>
      <c r="V6" s="5" t="e" cm="1">
        <f t="array" ref="V6">V42*_xlfn.XLOOKUP(1,(Population!$A:$A=V$1)*(Population!$B:$B=$A6),Population!$F:$F)/10^3</f>
        <v>#N/A</v>
      </c>
      <c r="W6" s="5" t="e" cm="1">
        <f t="array" ref="W6">W42*_xlfn.XLOOKUP(1,(Population!$A:$A=W$1)*(Population!$B:$B=$A6),Population!$F:$F)/10^3</f>
        <v>#N/A</v>
      </c>
      <c r="X6" s="5" t="e" cm="1">
        <f t="array" ref="X6">X42*_xlfn.XLOOKUP(1,(Population!$A:$A=X$1)*(Population!$B:$B=$A6),Population!$F:$F)/10^3</f>
        <v>#N/A</v>
      </c>
      <c r="Y6" s="5" t="e" cm="1">
        <f t="array" ref="Y6">Y42*_xlfn.XLOOKUP(1,(Population!$A:$A=Y$1)*(Population!$B:$B=$A6),Population!$F:$F)/10^3</f>
        <v>#N/A</v>
      </c>
      <c r="Z6" s="5" t="e" cm="1">
        <f t="array" ref="Z6">Z42*_xlfn.XLOOKUP(1,(Population!$A:$A=Z$1)*(Population!$B:$B=$A6),Population!$F:$F)/10^3</f>
        <v>#N/A</v>
      </c>
      <c r="AA6" s="5" t="e" cm="1">
        <f t="array" ref="AA6">AA42*_xlfn.XLOOKUP(1,(Population!$A:$A=AA$1)*(Population!$B:$B=$A6),Population!$F:$F)/10^3</f>
        <v>#N/A</v>
      </c>
      <c r="AB6" s="5" t="e" cm="1">
        <f t="array" ref="AB6">AB42*_xlfn.XLOOKUP(1,(Population!$A:$A=AB$1)*(Population!$B:$B=$A6),Population!$F:$F)/10^3</f>
        <v>#N/A</v>
      </c>
      <c r="AC6" s="5" t="e" cm="1">
        <f t="array" ref="AC6">AC42*_xlfn.XLOOKUP(1,(Population!$A:$A=AC$1)*(Population!$B:$B=$A6),Population!$F:$F)/10^3</f>
        <v>#N/A</v>
      </c>
      <c r="AD6" s="5" t="e" cm="1">
        <f t="array" ref="AD6">AD42*_xlfn.XLOOKUP(1,(Population!$A:$A=AD$1)*(Population!$B:$B=$A6),Population!$F:$F)/10^3</f>
        <v>#N/A</v>
      </c>
      <c r="AE6" s="5" t="e" cm="1">
        <f t="array" ref="AE6">AE42*_xlfn.XLOOKUP(1,(Population!$A:$A=AE$1)*(Population!$B:$B=$A6),Population!$F:$F)/10^3</f>
        <v>#N/A</v>
      </c>
      <c r="AF6" s="5" t="e" cm="1">
        <f t="array" ref="AF6">AF42*_xlfn.XLOOKUP(1,(Population!$A:$A=AF$1)*(Population!$B:$B=$A6),Population!$F:$F)/10^3</f>
        <v>#N/A</v>
      </c>
      <c r="AG6" s="5" t="e" cm="1">
        <f t="array" ref="AG6">AG42*_xlfn.XLOOKUP(1,(Population!$A:$A=AG$1)*(Population!$B:$B=$A6),Population!$F:$F)/10^3</f>
        <v>#N/A</v>
      </c>
      <c r="AH6" s="5" t="e" cm="1">
        <f t="array" ref="AH6">AH42*_xlfn.XLOOKUP(1,(Population!$A:$A=AH$1)*(Population!$B:$B=$A6),Population!$F:$F)/10^3</f>
        <v>#N/A</v>
      </c>
      <c r="AI6" s="5" t="e" cm="1">
        <f t="array" ref="AI6">AI42*_xlfn.XLOOKUP(1,(Population!$A:$A=AI$1)*(Population!$B:$B=$A6),Population!$F:$F)/10^3</f>
        <v>#N/A</v>
      </c>
      <c r="AJ6" s="5" t="e" cm="1">
        <f t="array" ref="AJ6">AJ42*_xlfn.XLOOKUP(1,(Population!$A:$A=AJ$1)*(Population!$B:$B=$A6),Population!$F:$F)/10^3</f>
        <v>#N/A</v>
      </c>
    </row>
    <row r="7" spans="1:37">
      <c r="A7" s="3" t="s">
        <v>4</v>
      </c>
      <c r="B7" s="3" t="s">
        <v>12</v>
      </c>
      <c r="C7" s="4" t="s">
        <v>6</v>
      </c>
      <c r="D7" s="3" t="s">
        <v>7</v>
      </c>
      <c r="E7" s="5" t="e" cm="1">
        <f t="array" ref="E7">E43*_xlfn.XLOOKUP(1,(Population!$A:$A=E$1)*(Population!$B:$B=$A7),Population!$F:$F)/10^3</f>
        <v>#N/A</v>
      </c>
      <c r="F7" s="5" t="e" cm="1">
        <f t="array" ref="F7">F43*_xlfn.XLOOKUP(1,(Population!$A:$A=F$1)*(Population!$B:$B=$A7),Population!$F:$F)/10^3</f>
        <v>#N/A</v>
      </c>
      <c r="G7" s="5" t="e" cm="1">
        <f t="array" ref="G7">G43*_xlfn.XLOOKUP(1,(Population!$A:$A=G$1)*(Population!$B:$B=$A7),Population!$F:$F)/10^3</f>
        <v>#N/A</v>
      </c>
      <c r="H7" s="5" t="e" cm="1">
        <f t="array" ref="H7">H43*_xlfn.XLOOKUP(1,(Population!$A:$A=H$1)*(Population!$B:$B=$A7),Population!$F:$F)/10^3</f>
        <v>#N/A</v>
      </c>
      <c r="I7" s="5" t="e" cm="1">
        <f t="array" ref="I7">I43*_xlfn.XLOOKUP(1,(Population!$A:$A=I$1)*(Population!$B:$B=$A7),Population!$F:$F)/10^3</f>
        <v>#N/A</v>
      </c>
      <c r="J7" s="5" t="e" cm="1">
        <f t="array" ref="J7">J43*_xlfn.XLOOKUP(1,(Population!$A:$A=J$1)*(Population!$B:$B=$A7),Population!$F:$F)/10^3</f>
        <v>#N/A</v>
      </c>
      <c r="K7" s="5" t="e" cm="1">
        <f t="array" ref="K7">K43*_xlfn.XLOOKUP(1,(Population!$A:$A=K$1)*(Population!$B:$B=$A7),Population!$F:$F)/10^3</f>
        <v>#N/A</v>
      </c>
      <c r="L7" s="5" t="e" cm="1">
        <f t="array" ref="L7">L43*_xlfn.XLOOKUP(1,(Population!$A:$A=L$1)*(Population!$B:$B=$A7),Population!$F:$F)/10^3</f>
        <v>#N/A</v>
      </c>
      <c r="M7" s="5" t="e" cm="1">
        <f t="array" ref="M7">M43*_xlfn.XLOOKUP(1,(Population!$A:$A=M$1)*(Population!$B:$B=$A7),Population!$F:$F)/10^3</f>
        <v>#N/A</v>
      </c>
      <c r="N7" s="5" t="e" cm="1">
        <f t="array" ref="N7">N43*_xlfn.XLOOKUP(1,(Population!$A:$A=N$1)*(Population!$B:$B=$A7),Population!$F:$F)/10^3</f>
        <v>#N/A</v>
      </c>
      <c r="O7" s="5" t="e" cm="1">
        <f t="array" ref="O7">O43*_xlfn.XLOOKUP(1,(Population!$A:$A=O$1)*(Population!$B:$B=$A7),Population!$F:$F)/10^3</f>
        <v>#N/A</v>
      </c>
      <c r="P7" s="5" t="e" cm="1">
        <f t="array" ref="P7">P43*_xlfn.XLOOKUP(1,(Population!$A:$A=P$1)*(Population!$B:$B=$A7),Population!$F:$F)/10^3</f>
        <v>#N/A</v>
      </c>
      <c r="Q7" s="5" t="e" cm="1">
        <f t="array" ref="Q7">Q43*_xlfn.XLOOKUP(1,(Population!$A:$A=Q$1)*(Population!$B:$B=$A7),Population!$F:$F)/10^3</f>
        <v>#N/A</v>
      </c>
      <c r="R7" s="5" t="e" cm="1">
        <f t="array" ref="R7">R43*_xlfn.XLOOKUP(1,(Population!$A:$A=R$1)*(Population!$B:$B=$A7),Population!$F:$F)/10^3</f>
        <v>#N/A</v>
      </c>
      <c r="S7" s="5" t="e" cm="1">
        <f t="array" ref="S7">S43*_xlfn.XLOOKUP(1,(Population!$A:$A=S$1)*(Population!$B:$B=$A7),Population!$F:$F)/10^3</f>
        <v>#N/A</v>
      </c>
      <c r="T7" s="5" t="e" cm="1">
        <f t="array" ref="T7">T43*_xlfn.XLOOKUP(1,(Population!$A:$A=T$1)*(Population!$B:$B=$A7),Population!$F:$F)/10^3</f>
        <v>#N/A</v>
      </c>
      <c r="U7" s="5" t="e" cm="1">
        <f t="array" ref="U7">U43*_xlfn.XLOOKUP(1,(Population!$A:$A=U$1)*(Population!$B:$B=$A7),Population!$F:$F)/10^3</f>
        <v>#N/A</v>
      </c>
      <c r="V7" s="5" t="e" cm="1">
        <f t="array" ref="V7">V43*_xlfn.XLOOKUP(1,(Population!$A:$A=V$1)*(Population!$B:$B=$A7),Population!$F:$F)/10^3</f>
        <v>#N/A</v>
      </c>
      <c r="W7" s="5" t="e" cm="1">
        <f t="array" ref="W7">W43*_xlfn.XLOOKUP(1,(Population!$A:$A=W$1)*(Population!$B:$B=$A7),Population!$F:$F)/10^3</f>
        <v>#N/A</v>
      </c>
      <c r="X7" s="5" t="e" cm="1">
        <f t="array" ref="X7">X43*_xlfn.XLOOKUP(1,(Population!$A:$A=X$1)*(Population!$B:$B=$A7),Population!$F:$F)/10^3</f>
        <v>#N/A</v>
      </c>
      <c r="Y7" s="5" t="e" cm="1">
        <f t="array" ref="Y7">Y43*_xlfn.XLOOKUP(1,(Population!$A:$A=Y$1)*(Population!$B:$B=$A7),Population!$F:$F)/10^3</f>
        <v>#N/A</v>
      </c>
      <c r="Z7" s="5" t="e" cm="1">
        <f t="array" ref="Z7">Z43*_xlfn.XLOOKUP(1,(Population!$A:$A=Z$1)*(Population!$B:$B=$A7),Population!$F:$F)/10^3</f>
        <v>#N/A</v>
      </c>
      <c r="AA7" s="5" t="e" cm="1">
        <f t="array" ref="AA7">AA43*_xlfn.XLOOKUP(1,(Population!$A:$A=AA$1)*(Population!$B:$B=$A7),Population!$F:$F)/10^3</f>
        <v>#N/A</v>
      </c>
      <c r="AB7" s="5" t="e" cm="1">
        <f t="array" ref="AB7">AB43*_xlfn.XLOOKUP(1,(Population!$A:$A=AB$1)*(Population!$B:$B=$A7),Population!$F:$F)/10^3</f>
        <v>#N/A</v>
      </c>
      <c r="AC7" s="5" t="e" cm="1">
        <f t="array" ref="AC7">AC43*_xlfn.XLOOKUP(1,(Population!$A:$A=AC$1)*(Population!$B:$B=$A7),Population!$F:$F)/10^3</f>
        <v>#N/A</v>
      </c>
      <c r="AD7" s="5" t="e" cm="1">
        <f t="array" ref="AD7">AD43*_xlfn.XLOOKUP(1,(Population!$A:$A=AD$1)*(Population!$B:$B=$A7),Population!$F:$F)/10^3</f>
        <v>#N/A</v>
      </c>
      <c r="AE7" s="5" t="e" cm="1">
        <f t="array" ref="AE7">AE43*_xlfn.XLOOKUP(1,(Population!$A:$A=AE$1)*(Population!$B:$B=$A7),Population!$F:$F)/10^3</f>
        <v>#N/A</v>
      </c>
      <c r="AF7" s="5" t="e" cm="1">
        <f t="array" ref="AF7">AF43*_xlfn.XLOOKUP(1,(Population!$A:$A=AF$1)*(Population!$B:$B=$A7),Population!$F:$F)/10^3</f>
        <v>#N/A</v>
      </c>
      <c r="AG7" s="5" t="e" cm="1">
        <f t="array" ref="AG7">AG43*_xlfn.XLOOKUP(1,(Population!$A:$A=AG$1)*(Population!$B:$B=$A7),Population!$F:$F)/10^3</f>
        <v>#N/A</v>
      </c>
      <c r="AH7" s="5" t="e" cm="1">
        <f t="array" ref="AH7">AH43*_xlfn.XLOOKUP(1,(Population!$A:$A=AH$1)*(Population!$B:$B=$A7),Population!$F:$F)/10^3</f>
        <v>#N/A</v>
      </c>
      <c r="AI7" s="5" t="e" cm="1">
        <f t="array" ref="AI7">AI43*_xlfn.XLOOKUP(1,(Population!$A:$A=AI$1)*(Population!$B:$B=$A7),Population!$F:$F)/10^3</f>
        <v>#N/A</v>
      </c>
      <c r="AJ7" s="5" t="e" cm="1">
        <f t="array" ref="AJ7">AJ43*_xlfn.XLOOKUP(1,(Population!$A:$A=AJ$1)*(Population!$B:$B=$A7),Population!$F:$F)/10^3</f>
        <v>#N/A</v>
      </c>
    </row>
    <row r="8" spans="1:37">
      <c r="A8" s="3" t="s">
        <v>4</v>
      </c>
      <c r="B8" s="3" t="s">
        <v>13</v>
      </c>
      <c r="C8" s="4" t="s">
        <v>6</v>
      </c>
      <c r="D8" s="3" t="s">
        <v>7</v>
      </c>
      <c r="E8" s="5" t="e" cm="1">
        <f t="array" ref="E8">E44*_xlfn.XLOOKUP(1,(Population!$A:$A=E$1)*(Population!$B:$B=$A8),Population!$F:$F)/10^3</f>
        <v>#N/A</v>
      </c>
      <c r="F8" s="5" t="e" cm="1">
        <f t="array" ref="F8">F44*_xlfn.XLOOKUP(1,(Population!$A:$A=F$1)*(Population!$B:$B=$A8),Population!$F:$F)/10^3</f>
        <v>#N/A</v>
      </c>
      <c r="G8" s="5" t="e" cm="1">
        <f t="array" ref="G8">G44*_xlfn.XLOOKUP(1,(Population!$A:$A=G$1)*(Population!$B:$B=$A8),Population!$F:$F)/10^3</f>
        <v>#N/A</v>
      </c>
      <c r="H8" s="5" t="e" cm="1">
        <f t="array" ref="H8">H44*_xlfn.XLOOKUP(1,(Population!$A:$A=H$1)*(Population!$B:$B=$A8),Population!$F:$F)/10^3</f>
        <v>#N/A</v>
      </c>
      <c r="I8" s="5" t="e" cm="1">
        <f t="array" ref="I8">I44*_xlfn.XLOOKUP(1,(Population!$A:$A=I$1)*(Population!$B:$B=$A8),Population!$F:$F)/10^3</f>
        <v>#N/A</v>
      </c>
      <c r="J8" s="5" t="e" cm="1">
        <f t="array" ref="J8">J44*_xlfn.XLOOKUP(1,(Population!$A:$A=J$1)*(Population!$B:$B=$A8),Population!$F:$F)/10^3</f>
        <v>#N/A</v>
      </c>
      <c r="K8" s="5" t="e" cm="1">
        <f t="array" ref="K8">K44*_xlfn.XLOOKUP(1,(Population!$A:$A=K$1)*(Population!$B:$B=$A8),Population!$F:$F)/10^3</f>
        <v>#N/A</v>
      </c>
      <c r="L8" s="5" t="e" cm="1">
        <f t="array" ref="L8">L44*_xlfn.XLOOKUP(1,(Population!$A:$A=L$1)*(Population!$B:$B=$A8),Population!$F:$F)/10^3</f>
        <v>#N/A</v>
      </c>
      <c r="M8" s="5" t="e" cm="1">
        <f t="array" ref="M8">M44*_xlfn.XLOOKUP(1,(Population!$A:$A=M$1)*(Population!$B:$B=$A8),Population!$F:$F)/10^3</f>
        <v>#N/A</v>
      </c>
      <c r="N8" s="5" t="e" cm="1">
        <f t="array" ref="N8">N44*_xlfn.XLOOKUP(1,(Population!$A:$A=N$1)*(Population!$B:$B=$A8),Population!$F:$F)/10^3</f>
        <v>#N/A</v>
      </c>
      <c r="O8" s="5" t="e" cm="1">
        <f t="array" ref="O8">O44*_xlfn.XLOOKUP(1,(Population!$A:$A=O$1)*(Population!$B:$B=$A8),Population!$F:$F)/10^3</f>
        <v>#N/A</v>
      </c>
      <c r="P8" s="5" t="e" cm="1">
        <f t="array" ref="P8">P44*_xlfn.XLOOKUP(1,(Population!$A:$A=P$1)*(Population!$B:$B=$A8),Population!$F:$F)/10^3</f>
        <v>#N/A</v>
      </c>
      <c r="Q8" s="5" t="e" cm="1">
        <f t="array" ref="Q8">Q44*_xlfn.XLOOKUP(1,(Population!$A:$A=Q$1)*(Population!$B:$B=$A8),Population!$F:$F)/10^3</f>
        <v>#N/A</v>
      </c>
      <c r="R8" s="5" t="e" cm="1">
        <f t="array" ref="R8">R44*_xlfn.XLOOKUP(1,(Population!$A:$A=R$1)*(Population!$B:$B=$A8),Population!$F:$F)/10^3</f>
        <v>#N/A</v>
      </c>
      <c r="S8" s="5" t="e" cm="1">
        <f t="array" ref="S8">S44*_xlfn.XLOOKUP(1,(Population!$A:$A=S$1)*(Population!$B:$B=$A8),Population!$F:$F)/10^3</f>
        <v>#N/A</v>
      </c>
      <c r="T8" s="5" t="e" cm="1">
        <f t="array" ref="T8">T44*_xlfn.XLOOKUP(1,(Population!$A:$A=T$1)*(Population!$B:$B=$A8),Population!$F:$F)/10^3</f>
        <v>#N/A</v>
      </c>
      <c r="U8" s="5" t="e" cm="1">
        <f t="array" ref="U8">U44*_xlfn.XLOOKUP(1,(Population!$A:$A=U$1)*(Population!$B:$B=$A8),Population!$F:$F)/10^3</f>
        <v>#N/A</v>
      </c>
      <c r="V8" s="5" t="e" cm="1">
        <f t="array" ref="V8">V44*_xlfn.XLOOKUP(1,(Population!$A:$A=V$1)*(Population!$B:$B=$A8),Population!$F:$F)/10^3</f>
        <v>#N/A</v>
      </c>
      <c r="W8" s="5" t="e" cm="1">
        <f t="array" ref="W8">W44*_xlfn.XLOOKUP(1,(Population!$A:$A=W$1)*(Population!$B:$B=$A8),Population!$F:$F)/10^3</f>
        <v>#N/A</v>
      </c>
      <c r="X8" s="5" t="e" cm="1">
        <f t="array" ref="X8">X44*_xlfn.XLOOKUP(1,(Population!$A:$A=X$1)*(Population!$B:$B=$A8),Population!$F:$F)/10^3</f>
        <v>#N/A</v>
      </c>
      <c r="Y8" s="5" t="e" cm="1">
        <f t="array" ref="Y8">Y44*_xlfn.XLOOKUP(1,(Population!$A:$A=Y$1)*(Population!$B:$B=$A8),Population!$F:$F)/10^3</f>
        <v>#N/A</v>
      </c>
      <c r="Z8" s="5" t="e" cm="1">
        <f t="array" ref="Z8">Z44*_xlfn.XLOOKUP(1,(Population!$A:$A=Z$1)*(Population!$B:$B=$A8),Population!$F:$F)/10^3</f>
        <v>#N/A</v>
      </c>
      <c r="AA8" s="5" t="e" cm="1">
        <f t="array" ref="AA8">AA44*_xlfn.XLOOKUP(1,(Population!$A:$A=AA$1)*(Population!$B:$B=$A8),Population!$F:$F)/10^3</f>
        <v>#N/A</v>
      </c>
      <c r="AB8" s="5" t="e" cm="1">
        <f t="array" ref="AB8">AB44*_xlfn.XLOOKUP(1,(Population!$A:$A=AB$1)*(Population!$B:$B=$A8),Population!$F:$F)/10^3</f>
        <v>#N/A</v>
      </c>
      <c r="AC8" s="5" t="e" cm="1">
        <f t="array" ref="AC8">AC44*_xlfn.XLOOKUP(1,(Population!$A:$A=AC$1)*(Population!$B:$B=$A8),Population!$F:$F)/10^3</f>
        <v>#N/A</v>
      </c>
      <c r="AD8" s="5" t="e" cm="1">
        <f t="array" ref="AD8">AD44*_xlfn.XLOOKUP(1,(Population!$A:$A=AD$1)*(Population!$B:$B=$A8),Population!$F:$F)/10^3</f>
        <v>#N/A</v>
      </c>
      <c r="AE8" s="5" t="e" cm="1">
        <f t="array" ref="AE8">AE44*_xlfn.XLOOKUP(1,(Population!$A:$A=AE$1)*(Population!$B:$B=$A8),Population!$F:$F)/10^3</f>
        <v>#N/A</v>
      </c>
      <c r="AF8" s="5" t="e" cm="1">
        <f t="array" ref="AF8">AF44*_xlfn.XLOOKUP(1,(Population!$A:$A=AF$1)*(Population!$B:$B=$A8),Population!$F:$F)/10^3</f>
        <v>#N/A</v>
      </c>
      <c r="AG8" s="5" t="e" cm="1">
        <f t="array" ref="AG8">AG44*_xlfn.XLOOKUP(1,(Population!$A:$A=AG$1)*(Population!$B:$B=$A8),Population!$F:$F)/10^3</f>
        <v>#N/A</v>
      </c>
      <c r="AH8" s="5" t="e" cm="1">
        <f t="array" ref="AH8">AH44*_xlfn.XLOOKUP(1,(Population!$A:$A=AH$1)*(Population!$B:$B=$A8),Population!$F:$F)/10^3</f>
        <v>#N/A</v>
      </c>
      <c r="AI8" s="5" t="e" cm="1">
        <f t="array" ref="AI8">AI44*_xlfn.XLOOKUP(1,(Population!$A:$A=AI$1)*(Population!$B:$B=$A8),Population!$F:$F)/10^3</f>
        <v>#N/A</v>
      </c>
      <c r="AJ8" s="5" t="e" cm="1">
        <f t="array" ref="AJ8">AJ44*_xlfn.XLOOKUP(1,(Population!$A:$A=AJ$1)*(Population!$B:$B=$A8),Population!$F:$F)/10^3</f>
        <v>#N/A</v>
      </c>
    </row>
    <row r="9" spans="1:37">
      <c r="A9" s="3" t="s">
        <v>4</v>
      </c>
      <c r="B9" t="s">
        <v>14</v>
      </c>
      <c r="C9" s="4" t="s">
        <v>6</v>
      </c>
      <c r="D9" s="3" t="s">
        <v>7</v>
      </c>
      <c r="E9" s="5" t="e" cm="1">
        <f t="array" ref="E9">E45*_xlfn.XLOOKUP(1,(Population!$A:$A=E$1)*(Population!$B:$B=$A9),Population!$F:$F)/10^3</f>
        <v>#N/A</v>
      </c>
      <c r="F9" s="5" t="e" cm="1">
        <f t="array" ref="F9">F45*_xlfn.XLOOKUP(1,(Population!$A:$A=F$1)*(Population!$B:$B=$A9),Population!$F:$F)/10^3</f>
        <v>#N/A</v>
      </c>
      <c r="G9" s="5" t="e" cm="1">
        <f t="array" ref="G9">G45*_xlfn.XLOOKUP(1,(Population!$A:$A=G$1)*(Population!$B:$B=$A9),Population!$F:$F)/10^3</f>
        <v>#N/A</v>
      </c>
      <c r="H9" s="5" t="e" cm="1">
        <f t="array" ref="H9">H45*_xlfn.XLOOKUP(1,(Population!$A:$A=H$1)*(Population!$B:$B=$A9),Population!$F:$F)/10^3</f>
        <v>#N/A</v>
      </c>
      <c r="I9" s="5" t="e" cm="1">
        <f t="array" ref="I9">I45*_xlfn.XLOOKUP(1,(Population!$A:$A=I$1)*(Population!$B:$B=$A9),Population!$F:$F)/10^3</f>
        <v>#N/A</v>
      </c>
      <c r="J9" s="5" t="e" cm="1">
        <f t="array" ref="J9">J45*_xlfn.XLOOKUP(1,(Population!$A:$A=J$1)*(Population!$B:$B=$A9),Population!$F:$F)/10^3</f>
        <v>#N/A</v>
      </c>
      <c r="K9" s="5" t="e" cm="1">
        <f t="array" ref="K9">K45*_xlfn.XLOOKUP(1,(Population!$A:$A=K$1)*(Population!$B:$B=$A9),Population!$F:$F)/10^3</f>
        <v>#N/A</v>
      </c>
      <c r="L9" s="5" t="e" cm="1">
        <f t="array" ref="L9">L45*_xlfn.XLOOKUP(1,(Population!$A:$A=L$1)*(Population!$B:$B=$A9),Population!$F:$F)/10^3</f>
        <v>#N/A</v>
      </c>
      <c r="M9" s="5" t="e" cm="1">
        <f t="array" ref="M9">M45*_xlfn.XLOOKUP(1,(Population!$A:$A=M$1)*(Population!$B:$B=$A9),Population!$F:$F)/10^3</f>
        <v>#N/A</v>
      </c>
      <c r="N9" s="5" t="e" cm="1">
        <f t="array" ref="N9">N45*_xlfn.XLOOKUP(1,(Population!$A:$A=N$1)*(Population!$B:$B=$A9),Population!$F:$F)/10^3</f>
        <v>#N/A</v>
      </c>
      <c r="O9" s="5" t="e" cm="1">
        <f t="array" ref="O9">O45*_xlfn.XLOOKUP(1,(Population!$A:$A=O$1)*(Population!$B:$B=$A9),Population!$F:$F)/10^3</f>
        <v>#N/A</v>
      </c>
      <c r="P9" s="5" t="e" cm="1">
        <f t="array" ref="P9">P45*_xlfn.XLOOKUP(1,(Population!$A:$A=P$1)*(Population!$B:$B=$A9),Population!$F:$F)/10^3</f>
        <v>#N/A</v>
      </c>
      <c r="Q9" s="5" t="e" cm="1">
        <f t="array" ref="Q9">Q45*_xlfn.XLOOKUP(1,(Population!$A:$A=Q$1)*(Population!$B:$B=$A9),Population!$F:$F)/10^3</f>
        <v>#N/A</v>
      </c>
      <c r="R9" s="5" t="e" cm="1">
        <f t="array" ref="R9">R45*_xlfn.XLOOKUP(1,(Population!$A:$A=R$1)*(Population!$B:$B=$A9),Population!$F:$F)/10^3</f>
        <v>#N/A</v>
      </c>
      <c r="S9" s="5" t="e" cm="1">
        <f t="array" ref="S9">S45*_xlfn.XLOOKUP(1,(Population!$A:$A=S$1)*(Population!$B:$B=$A9),Population!$F:$F)/10^3</f>
        <v>#N/A</v>
      </c>
      <c r="T9" s="5" t="e" cm="1">
        <f t="array" ref="T9">T45*_xlfn.XLOOKUP(1,(Population!$A:$A=T$1)*(Population!$B:$B=$A9),Population!$F:$F)/10^3</f>
        <v>#N/A</v>
      </c>
      <c r="U9" s="5" t="e" cm="1">
        <f t="array" ref="U9">U45*_xlfn.XLOOKUP(1,(Population!$A:$A=U$1)*(Population!$B:$B=$A9),Population!$F:$F)/10^3</f>
        <v>#N/A</v>
      </c>
      <c r="V9" s="5" t="e" cm="1">
        <f t="array" ref="V9">V45*_xlfn.XLOOKUP(1,(Population!$A:$A=V$1)*(Population!$B:$B=$A9),Population!$F:$F)/10^3</f>
        <v>#N/A</v>
      </c>
      <c r="W9" s="5" t="e" cm="1">
        <f t="array" ref="W9">W45*_xlfn.XLOOKUP(1,(Population!$A:$A=W$1)*(Population!$B:$B=$A9),Population!$F:$F)/10^3</f>
        <v>#N/A</v>
      </c>
      <c r="X9" s="5" t="e" cm="1">
        <f t="array" ref="X9">X45*_xlfn.XLOOKUP(1,(Population!$A:$A=X$1)*(Population!$B:$B=$A9),Population!$F:$F)/10^3</f>
        <v>#N/A</v>
      </c>
      <c r="Y9" s="5" t="e" cm="1">
        <f t="array" ref="Y9">Y45*_xlfn.XLOOKUP(1,(Population!$A:$A=Y$1)*(Population!$B:$B=$A9),Population!$F:$F)/10^3</f>
        <v>#N/A</v>
      </c>
      <c r="Z9" s="5" t="e" cm="1">
        <f t="array" ref="Z9">Z45*_xlfn.XLOOKUP(1,(Population!$A:$A=Z$1)*(Population!$B:$B=$A9),Population!$F:$F)/10^3</f>
        <v>#N/A</v>
      </c>
      <c r="AA9" s="5" t="e" cm="1">
        <f t="array" ref="AA9">AA45*_xlfn.XLOOKUP(1,(Population!$A:$A=AA$1)*(Population!$B:$B=$A9),Population!$F:$F)/10^3</f>
        <v>#N/A</v>
      </c>
      <c r="AB9" s="5" t="e" cm="1">
        <f t="array" ref="AB9">AB45*_xlfn.XLOOKUP(1,(Population!$A:$A=AB$1)*(Population!$B:$B=$A9),Population!$F:$F)/10^3</f>
        <v>#N/A</v>
      </c>
      <c r="AC9" s="5" t="e" cm="1">
        <f t="array" ref="AC9">AC45*_xlfn.XLOOKUP(1,(Population!$A:$A=AC$1)*(Population!$B:$B=$A9),Population!$F:$F)/10^3</f>
        <v>#N/A</v>
      </c>
      <c r="AD9" s="5" t="e" cm="1">
        <f t="array" ref="AD9">AD45*_xlfn.XLOOKUP(1,(Population!$A:$A=AD$1)*(Population!$B:$B=$A9),Population!$F:$F)/10^3</f>
        <v>#N/A</v>
      </c>
      <c r="AE9" s="5" t="e" cm="1">
        <f t="array" ref="AE9">AE45*_xlfn.XLOOKUP(1,(Population!$A:$A=AE$1)*(Population!$B:$B=$A9),Population!$F:$F)/10^3</f>
        <v>#N/A</v>
      </c>
      <c r="AF9" s="5" t="e" cm="1">
        <f t="array" ref="AF9">AF45*_xlfn.XLOOKUP(1,(Population!$A:$A=AF$1)*(Population!$B:$B=$A9),Population!$F:$F)/10^3</f>
        <v>#N/A</v>
      </c>
      <c r="AG9" s="5" t="e" cm="1">
        <f t="array" ref="AG9">AG45*_xlfn.XLOOKUP(1,(Population!$A:$A=AG$1)*(Population!$B:$B=$A9),Population!$F:$F)/10^3</f>
        <v>#N/A</v>
      </c>
      <c r="AH9" s="5" t="e" cm="1">
        <f t="array" ref="AH9">AH45*_xlfn.XLOOKUP(1,(Population!$A:$A=AH$1)*(Population!$B:$B=$A9),Population!$F:$F)/10^3</f>
        <v>#N/A</v>
      </c>
      <c r="AI9" s="5" t="e" cm="1">
        <f t="array" ref="AI9">AI45*_xlfn.XLOOKUP(1,(Population!$A:$A=AI$1)*(Population!$B:$B=$A9),Population!$F:$F)/10^3</f>
        <v>#N/A</v>
      </c>
      <c r="AJ9" s="5" t="e" cm="1">
        <f t="array" ref="AJ9">AJ45*_xlfn.XLOOKUP(1,(Population!$A:$A=AJ$1)*(Population!$B:$B=$A9),Population!$F:$F)/10^3</f>
        <v>#N/A</v>
      </c>
    </row>
    <row r="10" spans="1:37">
      <c r="A10" s="3" t="s">
        <v>4</v>
      </c>
      <c r="B10" t="s">
        <v>15</v>
      </c>
      <c r="C10" s="4" t="s">
        <v>6</v>
      </c>
      <c r="D10" s="3" t="s">
        <v>7</v>
      </c>
      <c r="E10" s="5" t="e" cm="1">
        <f t="array" ref="E10">E46*_xlfn.XLOOKUP(1,(Population!$A:$A=E$1)*(Population!$B:$B=$A10),Population!$F:$F)/10^3</f>
        <v>#N/A</v>
      </c>
      <c r="F10" s="5" t="e" cm="1">
        <f t="array" ref="F10">F46*_xlfn.XLOOKUP(1,(Population!$A:$A=F$1)*(Population!$B:$B=$A10),Population!$F:$F)/10^3</f>
        <v>#N/A</v>
      </c>
      <c r="G10" s="5" t="e" cm="1">
        <f t="array" ref="G10">G46*_xlfn.XLOOKUP(1,(Population!$A:$A=G$1)*(Population!$B:$B=$A10),Population!$F:$F)/10^3</f>
        <v>#N/A</v>
      </c>
      <c r="H10" s="5" t="e" cm="1">
        <f t="array" ref="H10">H46*_xlfn.XLOOKUP(1,(Population!$A:$A=H$1)*(Population!$B:$B=$A10),Population!$F:$F)/10^3</f>
        <v>#N/A</v>
      </c>
      <c r="I10" s="5" t="e" cm="1">
        <f t="array" ref="I10">I46*_xlfn.XLOOKUP(1,(Population!$A:$A=I$1)*(Population!$B:$B=$A10),Population!$F:$F)/10^3</f>
        <v>#N/A</v>
      </c>
      <c r="J10" s="5" t="e" cm="1">
        <f t="array" ref="J10">J46*_xlfn.XLOOKUP(1,(Population!$A:$A=J$1)*(Population!$B:$B=$A10),Population!$F:$F)/10^3</f>
        <v>#N/A</v>
      </c>
      <c r="K10" s="5" t="e" cm="1">
        <f t="array" ref="K10">K46*_xlfn.XLOOKUP(1,(Population!$A:$A=K$1)*(Population!$B:$B=$A10),Population!$F:$F)/10^3</f>
        <v>#N/A</v>
      </c>
      <c r="L10" s="5" t="e" cm="1">
        <f t="array" ref="L10">L46*_xlfn.XLOOKUP(1,(Population!$A:$A=L$1)*(Population!$B:$B=$A10),Population!$F:$F)/10^3</f>
        <v>#N/A</v>
      </c>
      <c r="M10" s="5" t="e" cm="1">
        <f t="array" ref="M10">M46*_xlfn.XLOOKUP(1,(Population!$A:$A=M$1)*(Population!$B:$B=$A10),Population!$F:$F)/10^3</f>
        <v>#N/A</v>
      </c>
      <c r="N10" s="5" t="e" cm="1">
        <f t="array" ref="N10">N46*_xlfn.XLOOKUP(1,(Population!$A:$A=N$1)*(Population!$B:$B=$A10),Population!$F:$F)/10^3</f>
        <v>#N/A</v>
      </c>
      <c r="O10" s="5" t="e" cm="1">
        <f t="array" ref="O10">O46*_xlfn.XLOOKUP(1,(Population!$A:$A=O$1)*(Population!$B:$B=$A10),Population!$F:$F)/10^3</f>
        <v>#N/A</v>
      </c>
      <c r="P10" s="5" t="e" cm="1">
        <f t="array" ref="P10">P46*_xlfn.XLOOKUP(1,(Population!$A:$A=P$1)*(Population!$B:$B=$A10),Population!$F:$F)/10^3</f>
        <v>#N/A</v>
      </c>
      <c r="Q10" s="5" t="e" cm="1">
        <f t="array" ref="Q10">Q46*_xlfn.XLOOKUP(1,(Population!$A:$A=Q$1)*(Population!$B:$B=$A10),Population!$F:$F)/10^3</f>
        <v>#N/A</v>
      </c>
      <c r="R10" s="5" t="e" cm="1">
        <f t="array" ref="R10">R46*_xlfn.XLOOKUP(1,(Population!$A:$A=R$1)*(Population!$B:$B=$A10),Population!$F:$F)/10^3</f>
        <v>#N/A</v>
      </c>
      <c r="S10" s="5" t="e" cm="1">
        <f t="array" ref="S10">S46*_xlfn.XLOOKUP(1,(Population!$A:$A=S$1)*(Population!$B:$B=$A10),Population!$F:$F)/10^3</f>
        <v>#N/A</v>
      </c>
      <c r="T10" s="5" t="e" cm="1">
        <f t="array" ref="T10">T46*_xlfn.XLOOKUP(1,(Population!$A:$A=T$1)*(Population!$B:$B=$A10),Population!$F:$F)/10^3</f>
        <v>#N/A</v>
      </c>
      <c r="U10" s="5" t="e" cm="1">
        <f t="array" ref="U10">U46*_xlfn.XLOOKUP(1,(Population!$A:$A=U$1)*(Population!$B:$B=$A10),Population!$F:$F)/10^3</f>
        <v>#N/A</v>
      </c>
      <c r="V10" s="5" t="e" cm="1">
        <f t="array" ref="V10">V46*_xlfn.XLOOKUP(1,(Population!$A:$A=V$1)*(Population!$B:$B=$A10),Population!$F:$F)/10^3</f>
        <v>#N/A</v>
      </c>
      <c r="W10" s="5" t="e" cm="1">
        <f t="array" ref="W10">W46*_xlfn.XLOOKUP(1,(Population!$A:$A=W$1)*(Population!$B:$B=$A10),Population!$F:$F)/10^3</f>
        <v>#N/A</v>
      </c>
      <c r="X10" s="5" t="e" cm="1">
        <f t="array" ref="X10">X46*_xlfn.XLOOKUP(1,(Population!$A:$A=X$1)*(Population!$B:$B=$A10),Population!$F:$F)/10^3</f>
        <v>#N/A</v>
      </c>
      <c r="Y10" s="5" t="e" cm="1">
        <f t="array" ref="Y10">Y46*_xlfn.XLOOKUP(1,(Population!$A:$A=Y$1)*(Population!$B:$B=$A10),Population!$F:$F)/10^3</f>
        <v>#N/A</v>
      </c>
      <c r="Z10" s="5" t="e" cm="1">
        <f t="array" ref="Z10">Z46*_xlfn.XLOOKUP(1,(Population!$A:$A=Z$1)*(Population!$B:$B=$A10),Population!$F:$F)/10^3</f>
        <v>#N/A</v>
      </c>
      <c r="AA10" s="5" t="e" cm="1">
        <f t="array" ref="AA10">AA46*_xlfn.XLOOKUP(1,(Population!$A:$A=AA$1)*(Population!$B:$B=$A10),Population!$F:$F)/10^3</f>
        <v>#N/A</v>
      </c>
      <c r="AB10" s="5" t="e" cm="1">
        <f t="array" ref="AB10">AB46*_xlfn.XLOOKUP(1,(Population!$A:$A=AB$1)*(Population!$B:$B=$A10),Population!$F:$F)/10^3</f>
        <v>#N/A</v>
      </c>
      <c r="AC10" s="5" t="e" cm="1">
        <f t="array" ref="AC10">AC46*_xlfn.XLOOKUP(1,(Population!$A:$A=AC$1)*(Population!$B:$B=$A10),Population!$F:$F)/10^3</f>
        <v>#N/A</v>
      </c>
      <c r="AD10" s="5" t="e" cm="1">
        <f t="array" ref="AD10">AD46*_xlfn.XLOOKUP(1,(Population!$A:$A=AD$1)*(Population!$B:$B=$A10),Population!$F:$F)/10^3</f>
        <v>#N/A</v>
      </c>
      <c r="AE10" s="5" t="e" cm="1">
        <f t="array" ref="AE10">AE46*_xlfn.XLOOKUP(1,(Population!$A:$A=AE$1)*(Population!$B:$B=$A10),Population!$F:$F)/10^3</f>
        <v>#N/A</v>
      </c>
      <c r="AF10" s="5" t="e" cm="1">
        <f t="array" ref="AF10">AF46*_xlfn.XLOOKUP(1,(Population!$A:$A=AF$1)*(Population!$B:$B=$A10),Population!$F:$F)/10^3</f>
        <v>#N/A</v>
      </c>
      <c r="AG10" s="5" t="e" cm="1">
        <f t="array" ref="AG10">AG46*_xlfn.XLOOKUP(1,(Population!$A:$A=AG$1)*(Population!$B:$B=$A10),Population!$F:$F)/10^3</f>
        <v>#N/A</v>
      </c>
      <c r="AH10" s="5" t="e" cm="1">
        <f t="array" ref="AH10">AH46*_xlfn.XLOOKUP(1,(Population!$A:$A=AH$1)*(Population!$B:$B=$A10),Population!$F:$F)/10^3</f>
        <v>#N/A</v>
      </c>
      <c r="AI10" s="5" t="e" cm="1">
        <f t="array" ref="AI10">AI46*_xlfn.XLOOKUP(1,(Population!$A:$A=AI$1)*(Population!$B:$B=$A10),Population!$F:$F)/10^3</f>
        <v>#N/A</v>
      </c>
      <c r="AJ10" s="5" t="e" cm="1">
        <f t="array" ref="AJ10">AJ46*_xlfn.XLOOKUP(1,(Population!$A:$A=AJ$1)*(Population!$B:$B=$A10),Population!$F:$F)/10^3</f>
        <v>#N/A</v>
      </c>
    </row>
    <row r="11" spans="1:37">
      <c r="A11" s="3" t="s">
        <v>4</v>
      </c>
      <c r="B11" t="s">
        <v>16</v>
      </c>
      <c r="C11" s="4" t="s">
        <v>6</v>
      </c>
      <c r="D11" s="3" t="s">
        <v>7</v>
      </c>
      <c r="E11" s="5" t="e" cm="1">
        <f t="array" ref="E11">E47*_xlfn.XLOOKUP(1,(Population!$A:$A=E$1)*(Population!$B:$B=$A11),Population!$F:$F)/10^3</f>
        <v>#N/A</v>
      </c>
      <c r="F11" s="5" t="e" cm="1">
        <f t="array" ref="F11">F47*_xlfn.XLOOKUP(1,(Population!$A:$A=F$1)*(Population!$B:$B=$A11),Population!$F:$F)/10^3</f>
        <v>#N/A</v>
      </c>
      <c r="G11" s="5" t="e" cm="1">
        <f t="array" ref="G11">G47*_xlfn.XLOOKUP(1,(Population!$A:$A=G$1)*(Population!$B:$B=$A11),Population!$F:$F)/10^3</f>
        <v>#N/A</v>
      </c>
      <c r="H11" s="5" t="e" cm="1">
        <f t="array" ref="H11">H47*_xlfn.XLOOKUP(1,(Population!$A:$A=H$1)*(Population!$B:$B=$A11),Population!$F:$F)/10^3</f>
        <v>#N/A</v>
      </c>
      <c r="I11" s="5" t="e" cm="1">
        <f t="array" ref="I11">I47*_xlfn.XLOOKUP(1,(Population!$A:$A=I$1)*(Population!$B:$B=$A11),Population!$F:$F)/10^3</f>
        <v>#N/A</v>
      </c>
      <c r="J11" s="5" t="e" cm="1">
        <f t="array" ref="J11">J47*_xlfn.XLOOKUP(1,(Population!$A:$A=J$1)*(Population!$B:$B=$A11),Population!$F:$F)/10^3</f>
        <v>#N/A</v>
      </c>
      <c r="K11" s="5" t="e" cm="1">
        <f t="array" ref="K11">K47*_xlfn.XLOOKUP(1,(Population!$A:$A=K$1)*(Population!$B:$B=$A11),Population!$F:$F)/10^3</f>
        <v>#N/A</v>
      </c>
      <c r="L11" s="5" t="e" cm="1">
        <f t="array" ref="L11">L47*_xlfn.XLOOKUP(1,(Population!$A:$A=L$1)*(Population!$B:$B=$A11),Population!$F:$F)/10^3</f>
        <v>#N/A</v>
      </c>
      <c r="M11" s="5" t="e" cm="1">
        <f t="array" ref="M11">M47*_xlfn.XLOOKUP(1,(Population!$A:$A=M$1)*(Population!$B:$B=$A11),Population!$F:$F)/10^3</f>
        <v>#N/A</v>
      </c>
      <c r="N11" s="5" t="e" cm="1">
        <f t="array" ref="N11">N47*_xlfn.XLOOKUP(1,(Population!$A:$A=N$1)*(Population!$B:$B=$A11),Population!$F:$F)/10^3</f>
        <v>#N/A</v>
      </c>
      <c r="O11" s="5" t="e" cm="1">
        <f t="array" ref="O11">O47*_xlfn.XLOOKUP(1,(Population!$A:$A=O$1)*(Population!$B:$B=$A11),Population!$F:$F)/10^3</f>
        <v>#N/A</v>
      </c>
      <c r="P11" s="5" t="e" cm="1">
        <f t="array" ref="P11">P47*_xlfn.XLOOKUP(1,(Population!$A:$A=P$1)*(Population!$B:$B=$A11),Population!$F:$F)/10^3</f>
        <v>#N/A</v>
      </c>
      <c r="Q11" s="5" t="e" cm="1">
        <f t="array" ref="Q11">Q47*_xlfn.XLOOKUP(1,(Population!$A:$A=Q$1)*(Population!$B:$B=$A11),Population!$F:$F)/10^3</f>
        <v>#N/A</v>
      </c>
      <c r="R11" s="5" t="e" cm="1">
        <f t="array" ref="R11">R47*_xlfn.XLOOKUP(1,(Population!$A:$A=R$1)*(Population!$B:$B=$A11),Population!$F:$F)/10^3</f>
        <v>#N/A</v>
      </c>
      <c r="S11" s="5" t="e" cm="1">
        <f t="array" ref="S11">S47*_xlfn.XLOOKUP(1,(Population!$A:$A=S$1)*(Population!$B:$B=$A11),Population!$F:$F)/10^3</f>
        <v>#N/A</v>
      </c>
      <c r="T11" s="5" t="e" cm="1">
        <f t="array" ref="T11">T47*_xlfn.XLOOKUP(1,(Population!$A:$A=T$1)*(Population!$B:$B=$A11),Population!$F:$F)/10^3</f>
        <v>#N/A</v>
      </c>
      <c r="U11" s="5" t="e" cm="1">
        <f t="array" ref="U11">U47*_xlfn.XLOOKUP(1,(Population!$A:$A=U$1)*(Population!$B:$B=$A11),Population!$F:$F)/10^3</f>
        <v>#N/A</v>
      </c>
      <c r="V11" s="5" t="e" cm="1">
        <f t="array" ref="V11">V47*_xlfn.XLOOKUP(1,(Population!$A:$A=V$1)*(Population!$B:$B=$A11),Population!$F:$F)/10^3</f>
        <v>#N/A</v>
      </c>
      <c r="W11" s="5" t="e" cm="1">
        <f t="array" ref="W11">W47*_xlfn.XLOOKUP(1,(Population!$A:$A=W$1)*(Population!$B:$B=$A11),Population!$F:$F)/10^3</f>
        <v>#N/A</v>
      </c>
      <c r="X11" s="5" t="e" cm="1">
        <f t="array" ref="X11">X47*_xlfn.XLOOKUP(1,(Population!$A:$A=X$1)*(Population!$B:$B=$A11),Population!$F:$F)/10^3</f>
        <v>#N/A</v>
      </c>
      <c r="Y11" s="5" t="e" cm="1">
        <f t="array" ref="Y11">Y47*_xlfn.XLOOKUP(1,(Population!$A:$A=Y$1)*(Population!$B:$B=$A11),Population!$F:$F)/10^3</f>
        <v>#N/A</v>
      </c>
      <c r="Z11" s="5" t="e" cm="1">
        <f t="array" ref="Z11">Z47*_xlfn.XLOOKUP(1,(Population!$A:$A=Z$1)*(Population!$B:$B=$A11),Population!$F:$F)/10^3</f>
        <v>#N/A</v>
      </c>
      <c r="AA11" s="5" t="e" cm="1">
        <f t="array" ref="AA11">AA47*_xlfn.XLOOKUP(1,(Population!$A:$A=AA$1)*(Population!$B:$B=$A11),Population!$F:$F)/10^3</f>
        <v>#N/A</v>
      </c>
      <c r="AB11" s="5" t="e" cm="1">
        <f t="array" ref="AB11">AB47*_xlfn.XLOOKUP(1,(Population!$A:$A=AB$1)*(Population!$B:$B=$A11),Population!$F:$F)/10^3</f>
        <v>#N/A</v>
      </c>
      <c r="AC11" s="5" t="e" cm="1">
        <f t="array" ref="AC11">AC47*_xlfn.XLOOKUP(1,(Population!$A:$A=AC$1)*(Population!$B:$B=$A11),Population!$F:$F)/10^3</f>
        <v>#N/A</v>
      </c>
      <c r="AD11" s="5" t="e" cm="1">
        <f t="array" ref="AD11">AD47*_xlfn.XLOOKUP(1,(Population!$A:$A=AD$1)*(Population!$B:$B=$A11),Population!$F:$F)/10^3</f>
        <v>#N/A</v>
      </c>
      <c r="AE11" s="5" t="e" cm="1">
        <f t="array" ref="AE11">AE47*_xlfn.XLOOKUP(1,(Population!$A:$A=AE$1)*(Population!$B:$B=$A11),Population!$F:$F)/10^3</f>
        <v>#N/A</v>
      </c>
      <c r="AF11" s="5" t="e" cm="1">
        <f t="array" ref="AF11">AF47*_xlfn.XLOOKUP(1,(Population!$A:$A=AF$1)*(Population!$B:$B=$A11),Population!$F:$F)/10^3</f>
        <v>#N/A</v>
      </c>
      <c r="AG11" s="5" t="e" cm="1">
        <f t="array" ref="AG11">AG47*_xlfn.XLOOKUP(1,(Population!$A:$A=AG$1)*(Population!$B:$B=$A11),Population!$F:$F)/10^3</f>
        <v>#N/A</v>
      </c>
      <c r="AH11" s="5" t="e" cm="1">
        <f t="array" ref="AH11">AH47*_xlfn.XLOOKUP(1,(Population!$A:$A=AH$1)*(Population!$B:$B=$A11),Population!$F:$F)/10^3</f>
        <v>#N/A</v>
      </c>
      <c r="AI11" s="5" t="e" cm="1">
        <f t="array" ref="AI11">AI47*_xlfn.XLOOKUP(1,(Population!$A:$A=AI$1)*(Population!$B:$B=$A11),Population!$F:$F)/10^3</f>
        <v>#N/A</v>
      </c>
      <c r="AJ11" s="5" t="e" cm="1">
        <f t="array" ref="AJ11">AJ47*_xlfn.XLOOKUP(1,(Population!$A:$A=AJ$1)*(Population!$B:$B=$A11),Population!$F:$F)/10^3</f>
        <v>#N/A</v>
      </c>
    </row>
    <row r="12" spans="1:37" ht="17" thickBot="1">
      <c r="A12" s="31" t="s">
        <v>4</v>
      </c>
      <c r="B12" s="31" t="s">
        <v>17</v>
      </c>
      <c r="C12" s="32" t="s">
        <v>6</v>
      </c>
      <c r="D12" s="31" t="s">
        <v>7</v>
      </c>
      <c r="E12" s="33">
        <v>1.2360446459347318E-2</v>
      </c>
      <c r="F12" s="33">
        <v>1.2599687597578785E-2</v>
      </c>
      <c r="G12" s="33">
        <v>1.2839976781322409E-2</v>
      </c>
      <c r="H12" s="33">
        <v>1.3081829087083755E-2</v>
      </c>
      <c r="I12" s="33">
        <v>1.3324981656272144E-2</v>
      </c>
      <c r="J12" s="33">
        <v>1.3568963317390218E-2</v>
      </c>
      <c r="K12" s="33">
        <v>1.3813360805015211E-2</v>
      </c>
      <c r="L12" s="33">
        <v>1.4057380662070988E-2</v>
      </c>
      <c r="M12" s="33">
        <v>1.430153964106576E-2</v>
      </c>
      <c r="N12" s="33">
        <v>1.4545575200008024E-2</v>
      </c>
      <c r="O12" s="33">
        <v>1.4789194841165709E-2</v>
      </c>
      <c r="P12" s="33">
        <v>1.5032073317111275E-2</v>
      </c>
      <c r="Q12" s="33">
        <v>1.5273892734480373E-2</v>
      </c>
      <c r="R12" s="33">
        <v>1.5514399293420231E-2</v>
      </c>
      <c r="S12" s="33">
        <v>1.5752977491404141E-2</v>
      </c>
      <c r="T12" s="33">
        <v>1.5988889363679523E-2</v>
      </c>
      <c r="U12" s="33">
        <v>1.62215447813959E-2</v>
      </c>
      <c r="V12" s="33">
        <v>1.6451106483907796E-2</v>
      </c>
      <c r="W12" s="33">
        <v>1.6676945024014005E-2</v>
      </c>
      <c r="X12" s="33">
        <v>1.6898909188095213E-2</v>
      </c>
      <c r="Y12" s="33">
        <v>1.711691526578725E-2</v>
      </c>
      <c r="Z12" s="33">
        <v>1.7330878459513113E-2</v>
      </c>
      <c r="AA12" s="33">
        <v>1.754176932625947E-2</v>
      </c>
      <c r="AB12" s="33">
        <v>1.7748352219538091E-2</v>
      </c>
      <c r="AC12" s="33">
        <v>1.7950568812921262E-2</v>
      </c>
      <c r="AD12" s="33">
        <v>1.8148383290652145E-2</v>
      </c>
      <c r="AE12" s="33">
        <v>1.8341779812450283E-2</v>
      </c>
      <c r="AF12" s="33">
        <v>1.853240011534299E-2</v>
      </c>
      <c r="AG12" s="33">
        <v>1.871851765842978E-2</v>
      </c>
      <c r="AH12" s="33">
        <v>1.8900207228146049E-2</v>
      </c>
      <c r="AI12" s="33">
        <v>1.9077598850674036E-2</v>
      </c>
      <c r="AJ12" s="33">
        <v>1.925076429651798E-2</v>
      </c>
    </row>
    <row r="13" spans="1:37">
      <c r="A13" s="28" t="s">
        <v>18</v>
      </c>
      <c r="B13" s="28" t="s">
        <v>5</v>
      </c>
      <c r="C13" s="29" t="s">
        <v>6</v>
      </c>
      <c r="D13" s="28" t="s">
        <v>7</v>
      </c>
      <c r="E13" s="30">
        <v>7.5819239036226467</v>
      </c>
      <c r="F13" s="30">
        <v>7.6616629027902654</v>
      </c>
      <c r="G13" s="30">
        <v>7.7405328304306966</v>
      </c>
      <c r="H13" s="30">
        <v>7.819466199822612</v>
      </c>
      <c r="I13" s="30">
        <v>7.8982260502893489</v>
      </c>
      <c r="J13" s="30">
        <v>7.9764657820817675</v>
      </c>
      <c r="K13" s="30">
        <v>8.0538878574295456</v>
      </c>
      <c r="L13" s="30">
        <v>8.1295497273311259</v>
      </c>
      <c r="M13" s="30">
        <v>8.2041369229333352</v>
      </c>
      <c r="N13" s="30">
        <v>8.2774649353213761</v>
      </c>
      <c r="O13" s="30">
        <v>8.3493398560326568</v>
      </c>
      <c r="P13" s="30">
        <v>8.4195568910181375</v>
      </c>
      <c r="Q13" s="30">
        <v>8.4878511855857273</v>
      </c>
      <c r="R13" s="30">
        <v>8.5541406662495092</v>
      </c>
      <c r="S13" s="30">
        <v>8.6180819807113611</v>
      </c>
      <c r="T13" s="30">
        <v>8.6792766183205767</v>
      </c>
      <c r="U13" s="30">
        <v>8.7374186678731061</v>
      </c>
      <c r="V13" s="30">
        <v>8.7929593516092677</v>
      </c>
      <c r="W13" s="30">
        <v>8.8452504967706975</v>
      </c>
      <c r="X13" s="30">
        <v>8.8942380416531712</v>
      </c>
      <c r="Y13" s="30">
        <v>8.9399055649458461</v>
      </c>
      <c r="Z13" s="30">
        <v>8.9822373281942269</v>
      </c>
      <c r="AA13" s="30">
        <v>9.0225482257529777</v>
      </c>
      <c r="AB13" s="30">
        <v>9.0594646949096447</v>
      </c>
      <c r="AC13" s="30">
        <v>9.0929891767782411</v>
      </c>
      <c r="AD13" s="30">
        <v>9.1231361680660505</v>
      </c>
      <c r="AE13" s="30">
        <v>9.1499305237029986</v>
      </c>
      <c r="AF13" s="30">
        <v>9.1754454164261734</v>
      </c>
      <c r="AG13" s="30">
        <v>9.1976561248545465</v>
      </c>
      <c r="AH13" s="30">
        <v>9.2166325229551589</v>
      </c>
      <c r="AI13" s="30">
        <v>9.2324699803909134</v>
      </c>
      <c r="AJ13" s="30">
        <v>9.2452338630012019</v>
      </c>
    </row>
    <row r="14" spans="1:37">
      <c r="A14" s="3" t="s">
        <v>18</v>
      </c>
      <c r="B14" s="3" t="s">
        <v>8</v>
      </c>
      <c r="C14" s="4" t="s">
        <v>6</v>
      </c>
      <c r="D14" s="3" t="s">
        <v>7</v>
      </c>
      <c r="E14" s="5">
        <v>3.4552612174176645</v>
      </c>
      <c r="F14" s="5">
        <v>3.4922135560717891</v>
      </c>
      <c r="G14" s="5">
        <v>3.5287951370891255</v>
      </c>
      <c r="H14" s="5">
        <v>3.5654275503932293</v>
      </c>
      <c r="I14" s="5">
        <v>3.6019999758982335</v>
      </c>
      <c r="J14" s="5">
        <v>3.6383519963965032</v>
      </c>
      <c r="K14" s="5">
        <v>3.6743458529732433</v>
      </c>
      <c r="L14" s="5">
        <v>3.709549679948525</v>
      </c>
      <c r="M14" s="5">
        <v>3.744274587494445</v>
      </c>
      <c r="N14" s="5">
        <v>3.7784349775999946</v>
      </c>
      <c r="O14" s="5">
        <v>3.8119410730151548</v>
      </c>
      <c r="P14" s="5">
        <v>3.8446982063443018</v>
      </c>
      <c r="Q14" s="5">
        <v>3.8765843338024668</v>
      </c>
      <c r="R14" s="5">
        <v>3.9075609238408191</v>
      </c>
      <c r="S14" s="5">
        <v>3.9374701334263165</v>
      </c>
      <c r="T14" s="5">
        <v>3.9661288805279451</v>
      </c>
      <c r="U14" s="5">
        <v>3.9933963459668789</v>
      </c>
      <c r="V14" s="5">
        <v>4.019477779056249</v>
      </c>
      <c r="W14" s="5">
        <v>4.0440759792766556</v>
      </c>
      <c r="X14" s="5">
        <v>4.0671652671741505</v>
      </c>
      <c r="Y14" s="5">
        <v>4.0887372064990721</v>
      </c>
      <c r="Z14" s="5">
        <v>4.108783708843017</v>
      </c>
      <c r="AA14" s="5">
        <v>4.1279054954654635</v>
      </c>
      <c r="AB14" s="5">
        <v>4.1454735177125626</v>
      </c>
      <c r="AC14" s="5">
        <v>4.1614880847310323</v>
      </c>
      <c r="AD14" s="5">
        <v>4.1759550527751417</v>
      </c>
      <c r="AE14" s="5">
        <v>4.188885050240807</v>
      </c>
      <c r="AF14" s="5">
        <v>4.201226614372775</v>
      </c>
      <c r="AG14" s="5">
        <v>4.2120522714736488</v>
      </c>
      <c r="AH14" s="5">
        <v>4.2213933522515941</v>
      </c>
      <c r="AI14" s="5">
        <v>4.2292929050642574</v>
      </c>
      <c r="AJ14" s="5">
        <v>4.2357802754538856</v>
      </c>
    </row>
    <row r="15" spans="1:37">
      <c r="A15" s="3" t="s">
        <v>18</v>
      </c>
      <c r="B15" t="s">
        <v>9</v>
      </c>
      <c r="C15" s="4" t="s">
        <v>6</v>
      </c>
      <c r="D15" s="3" t="s">
        <v>7</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spans="1:37">
      <c r="A16" s="3" t="s">
        <v>18</v>
      </c>
      <c r="B16" t="s">
        <v>10</v>
      </c>
      <c r="C16" s="4" t="s">
        <v>6</v>
      </c>
      <c r="D16" s="3" t="s">
        <v>7</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spans="1:36">
      <c r="A17" s="3" t="s">
        <v>18</v>
      </c>
      <c r="B17" t="s">
        <v>11</v>
      </c>
      <c r="C17" s="4" t="s">
        <v>6</v>
      </c>
      <c r="D17" s="3" t="s">
        <v>7</v>
      </c>
      <c r="E17" s="5">
        <v>0.49143499734397678</v>
      </c>
      <c r="F17" s="5">
        <v>0.50711394783810548</v>
      </c>
      <c r="G17" s="5">
        <v>0.5225782419241698</v>
      </c>
      <c r="H17" s="5">
        <v>0.53790652684013363</v>
      </c>
      <c r="I17" s="5">
        <v>0.5530981428782803</v>
      </c>
      <c r="J17" s="5">
        <v>0.56814156822207806</v>
      </c>
      <c r="K17" s="5">
        <v>0.58302564250838174</v>
      </c>
      <c r="L17" s="5">
        <v>0.59768916167661945</v>
      </c>
      <c r="M17" s="5">
        <v>0.61218722693497263</v>
      </c>
      <c r="N17" s="5">
        <v>0.62651129330600697</v>
      </c>
      <c r="O17" s="5">
        <v>0.64065059136687064</v>
      </c>
      <c r="P17" s="5">
        <v>0.65459211099973014</v>
      </c>
      <c r="Q17" s="5">
        <v>0.66212892372271848</v>
      </c>
      <c r="R17" s="5">
        <v>0.66949217162790164</v>
      </c>
      <c r="S17" s="5">
        <v>0.67665491915736631</v>
      </c>
      <c r="T17" s="5">
        <v>0.68358548092117855</v>
      </c>
      <c r="U17" s="5">
        <v>0.69025905591324832</v>
      </c>
      <c r="V17" s="5">
        <v>0.69671051761778302</v>
      </c>
      <c r="W17" s="5">
        <v>0.70288777524955381</v>
      </c>
      <c r="X17" s="5">
        <v>0.70878547414864645</v>
      </c>
      <c r="Y17" s="5">
        <v>0.71440121630089137</v>
      </c>
      <c r="Z17" s="5">
        <v>0.71973264435413276</v>
      </c>
      <c r="AA17" s="5">
        <v>0.72488429488997741</v>
      </c>
      <c r="AB17" s="5">
        <v>0.72974525214361097</v>
      </c>
      <c r="AC17" s="5">
        <v>0.73431456858606547</v>
      </c>
      <c r="AD17" s="5">
        <v>0.73859228317276349</v>
      </c>
      <c r="AE17" s="5">
        <v>0.74257929618069374</v>
      </c>
      <c r="AF17" s="5">
        <v>0.74644317202964872</v>
      </c>
      <c r="AG17" s="5">
        <v>0.75001891837789014</v>
      </c>
      <c r="AH17" s="5">
        <v>0.75331118155508758</v>
      </c>
      <c r="AI17" s="5">
        <v>0.75632675878851119</v>
      </c>
      <c r="AJ17" s="5">
        <v>0.75907006314664049</v>
      </c>
    </row>
    <row r="18" spans="1:36">
      <c r="A18" s="3" t="s">
        <v>18</v>
      </c>
      <c r="B18" s="3" t="s">
        <v>12</v>
      </c>
      <c r="C18" s="4" t="s">
        <v>6</v>
      </c>
      <c r="D18" s="3" t="s">
        <v>7</v>
      </c>
      <c r="E18" s="5">
        <v>8.2702117635413477E-2</v>
      </c>
      <c r="F18" s="5">
        <v>7.9671246022457107E-2</v>
      </c>
      <c r="G18" s="5">
        <v>7.668965241483594E-2</v>
      </c>
      <c r="H18" s="5">
        <v>7.3760752337809515E-2</v>
      </c>
      <c r="I18" s="5">
        <v>7.0876505899326925E-2</v>
      </c>
      <c r="J18" s="5">
        <v>6.802907108297683E-2</v>
      </c>
      <c r="K18" s="5">
        <v>6.5212187056567894E-2</v>
      </c>
      <c r="L18" s="5">
        <v>6.2415613944264987E-2</v>
      </c>
      <c r="M18" s="5">
        <v>5.9642870531159936E-2</v>
      </c>
      <c r="N18" s="5">
        <v>5.6890677131956509E-2</v>
      </c>
      <c r="O18" s="5">
        <v>5.4156250962069899E-2</v>
      </c>
      <c r="P18" s="5">
        <v>5.143726021260811E-2</v>
      </c>
      <c r="Q18" s="5">
        <v>4.8731514079566801E-2</v>
      </c>
      <c r="R18" s="5">
        <v>4.6038335557923256E-2</v>
      </c>
      <c r="S18" s="5">
        <v>4.3355965061752634E-2</v>
      </c>
      <c r="T18" s="5">
        <v>4.0682953092373915E-2</v>
      </c>
      <c r="U18" s="5">
        <v>3.8018857439181077E-2</v>
      </c>
      <c r="V18" s="5">
        <v>3.5366725726345409E-2</v>
      </c>
      <c r="W18" s="5">
        <v>3.2724978428146284E-2</v>
      </c>
      <c r="X18" s="5">
        <v>3.009489998839087E-2</v>
      </c>
      <c r="Y18" s="5">
        <v>2.747796241346994E-2</v>
      </c>
      <c r="Z18" s="5">
        <v>2.4875659307989555E-2</v>
      </c>
      <c r="AA18" s="5">
        <v>2.2292787395399284E-2</v>
      </c>
      <c r="AB18" s="5">
        <v>1.9726740653101416E-2</v>
      </c>
      <c r="AC18" s="5">
        <v>1.7179128764960649E-2</v>
      </c>
      <c r="AD18" s="5">
        <v>1.4651566072479428E-2</v>
      </c>
      <c r="AE18" s="5">
        <v>1.2145651667198673E-2</v>
      </c>
      <c r="AF18" s="5">
        <v>9.6651017854309015E-3</v>
      </c>
      <c r="AG18" s="5">
        <v>7.2081716384966334E-3</v>
      </c>
      <c r="AH18" s="5">
        <v>4.7763904401379974E-3</v>
      </c>
      <c r="AI18" s="5">
        <v>2.3712066185218473E-3</v>
      </c>
      <c r="AJ18" s="5">
        <v>-6.042537035029907E-6</v>
      </c>
    </row>
    <row r="19" spans="1:36">
      <c r="A19" s="3" t="s">
        <v>18</v>
      </c>
      <c r="B19" s="3" t="s">
        <v>13</v>
      </c>
      <c r="C19" s="4" t="s">
        <v>6</v>
      </c>
      <c r="D19" s="3" t="s">
        <v>7</v>
      </c>
      <c r="E19" s="5">
        <v>2.181049982239433E-3</v>
      </c>
      <c r="F19" s="5">
        <v>2.2147545538853571E-3</v>
      </c>
      <c r="G19" s="5">
        <v>2.2480469427633896E-3</v>
      </c>
      <c r="H19" s="5">
        <v>2.2812140479743187E-3</v>
      </c>
      <c r="I19" s="5">
        <v>2.3142027616169301E-3</v>
      </c>
      <c r="J19" s="5">
        <v>2.3469245893949576E-3</v>
      </c>
      <c r="K19" s="5">
        <v>2.3793022631786198E-3</v>
      </c>
      <c r="L19" s="5">
        <v>2.4110645312379357E-3</v>
      </c>
      <c r="M19" s="5">
        <v>2.4424195236627936E-3</v>
      </c>
      <c r="N19" s="5">
        <v>2.4733176612191823E-3</v>
      </c>
      <c r="O19" s="5">
        <v>2.5037050062245514E-3</v>
      </c>
      <c r="P19" s="5">
        <v>2.5335229170877637E-3</v>
      </c>
      <c r="Q19" s="5">
        <v>2.5626932774306757E-3</v>
      </c>
      <c r="R19" s="5">
        <v>2.5911918752574798E-3</v>
      </c>
      <c r="S19" s="5">
        <v>2.6189144596123347E-3</v>
      </c>
      <c r="T19" s="5">
        <v>2.6457383958649328E-3</v>
      </c>
      <c r="U19" s="5">
        <v>2.6715676945949316E-3</v>
      </c>
      <c r="V19" s="5">
        <v>2.6965373295821144E-3</v>
      </c>
      <c r="W19" s="5">
        <v>2.7204456894780881E-3</v>
      </c>
      <c r="X19" s="5">
        <v>2.7432720496921061E-3</v>
      </c>
      <c r="Y19" s="5">
        <v>2.7650071289881872E-3</v>
      </c>
      <c r="Z19" s="5">
        <v>2.7856418035079621E-3</v>
      </c>
      <c r="AA19" s="5">
        <v>2.8055806699777345E-3</v>
      </c>
      <c r="AB19" s="5">
        <v>2.8243944417817601E-3</v>
      </c>
      <c r="AC19" s="5">
        <v>2.8420794516189609E-3</v>
      </c>
      <c r="AD19" s="5">
        <v>2.8586358502617863E-3</v>
      </c>
      <c r="AE19" s="5">
        <v>2.8740671221280044E-3</v>
      </c>
      <c r="AF19" s="5">
        <v>2.8890218058884895E-3</v>
      </c>
      <c r="AG19" s="5">
        <v>2.9028613178024459E-3</v>
      </c>
      <c r="AH19" s="5">
        <v>2.9156036409504825E-3</v>
      </c>
      <c r="AI19" s="5">
        <v>2.9272750832131434E-3</v>
      </c>
      <c r="AJ19" s="5">
        <v>2.9378927248606308E-3</v>
      </c>
    </row>
    <row r="20" spans="1:36">
      <c r="A20" s="3" t="s">
        <v>18</v>
      </c>
      <c r="B20" t="s">
        <v>14</v>
      </c>
      <c r="C20" s="4" t="s">
        <v>6</v>
      </c>
      <c r="D20" s="3" t="s">
        <v>7</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spans="1:36">
      <c r="A21" s="3" t="s">
        <v>18</v>
      </c>
      <c r="B21" t="s">
        <v>15</v>
      </c>
      <c r="C21" s="4" t="s">
        <v>6</v>
      </c>
      <c r="D21" s="3" t="s">
        <v>7</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spans="1:36">
      <c r="A22" s="3" t="s">
        <v>18</v>
      </c>
      <c r="B22" t="s">
        <v>16</v>
      </c>
      <c r="C22" s="4" t="s">
        <v>6</v>
      </c>
      <c r="D22" s="3" t="s">
        <v>7</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spans="1:36" ht="17" thickBot="1">
      <c r="A23" s="31" t="s">
        <v>18</v>
      </c>
      <c r="B23" s="31" t="s">
        <v>17</v>
      </c>
      <c r="C23" s="32" t="s">
        <v>6</v>
      </c>
      <c r="D23" s="31" t="s">
        <v>7</v>
      </c>
      <c r="E23" s="33">
        <v>1.0594668393726272E-2</v>
      </c>
      <c r="F23" s="33">
        <v>1.0758391720953513E-2</v>
      </c>
      <c r="G23" s="33">
        <v>1.0920112829167444E-2</v>
      </c>
      <c r="H23" s="33">
        <v>1.1081225359440051E-2</v>
      </c>
      <c r="I23" s="33">
        <v>1.1241471334830401E-2</v>
      </c>
      <c r="J23" s="33">
        <v>1.1400420885444946E-2</v>
      </c>
      <c r="K23" s="33">
        <v>1.1557698673616465E-2</v>
      </c>
      <c r="L23" s="33">
        <v>1.1711987066941397E-2</v>
      </c>
      <c r="M23" s="33">
        <v>1.1864297078144388E-2</v>
      </c>
      <c r="N23" s="33">
        <v>1.20143878711383E-2</v>
      </c>
      <c r="O23" s="33">
        <v>1.2161997438236382E-2</v>
      </c>
      <c r="P23" s="33">
        <v>1.2306840922045523E-2</v>
      </c>
      <c r="Q23" s="33">
        <v>1.2448538864447252E-2</v>
      </c>
      <c r="R23" s="33">
        <v>1.2586973653250736E-2</v>
      </c>
      <c r="S23" s="33">
        <v>1.2721638879012879E-2</v>
      </c>
      <c r="T23" s="33">
        <v>1.2851938831753498E-2</v>
      </c>
      <c r="U23" s="33">
        <v>1.297740723326434E-2</v>
      </c>
      <c r="V23" s="33">
        <v>1.309869973217808E-2</v>
      </c>
      <c r="W23" s="33">
        <v>1.3214836981208761E-2</v>
      </c>
      <c r="X23" s="33">
        <v>1.3325718308584375E-2</v>
      </c>
      <c r="Y23" s="33">
        <v>1.343129862977302E-2</v>
      </c>
      <c r="Z23" s="33">
        <v>1.3531533624720277E-2</v>
      </c>
      <c r="AA23" s="33">
        <v>1.3628388662483844E-2</v>
      </c>
      <c r="AB23" s="33">
        <v>1.371977844039908E-2</v>
      </c>
      <c r="AC23" s="33">
        <v>1.3805685144184267E-2</v>
      </c>
      <c r="AD23" s="33">
        <v>1.3886109506231656E-2</v>
      </c>
      <c r="AE23" s="33">
        <v>1.3961068452448997E-2</v>
      </c>
      <c r="AF23" s="33">
        <v>1.4033712324283928E-2</v>
      </c>
      <c r="AG23" s="33">
        <v>1.4100939137357164E-2</v>
      </c>
      <c r="AH23" s="33">
        <v>1.4162836246281065E-2</v>
      </c>
      <c r="AI23" s="33">
        <v>1.4219531444216166E-2</v>
      </c>
      <c r="AJ23" s="33">
        <v>1.4271107700283002E-2</v>
      </c>
    </row>
    <row r="24" spans="1:36">
      <c r="A24" s="28" t="s">
        <v>19</v>
      </c>
      <c r="B24" s="28" t="s">
        <v>5</v>
      </c>
      <c r="C24" s="29" t="s">
        <v>6</v>
      </c>
      <c r="D24" s="28" t="s">
        <v>7</v>
      </c>
      <c r="E24" s="30">
        <v>1.0588530200487642</v>
      </c>
      <c r="F24" s="30">
        <v>1.0987699566953479</v>
      </c>
      <c r="G24" s="30">
        <v>1.1403067479962266</v>
      </c>
      <c r="H24" s="30">
        <v>1.1829268837668376</v>
      </c>
      <c r="I24" s="30">
        <v>1.2266186591786075</v>
      </c>
      <c r="J24" s="30">
        <v>1.2713497867555421</v>
      </c>
      <c r="K24" s="30">
        <v>1.3170909568889295</v>
      </c>
      <c r="L24" s="30">
        <v>1.3641406521920147</v>
      </c>
      <c r="M24" s="30">
        <v>1.4122030650149471</v>
      </c>
      <c r="N24" s="30">
        <v>1.4612600046346227</v>
      </c>
      <c r="O24" s="30">
        <v>1.5112887393829082</v>
      </c>
      <c r="P24" s="30">
        <v>1.562261392601249</v>
      </c>
      <c r="Q24" s="30">
        <v>1.6142088942997399</v>
      </c>
      <c r="R24" s="30">
        <v>1.6670493078116586</v>
      </c>
      <c r="S24" s="30">
        <v>1.7207172714173991</v>
      </c>
      <c r="T24" s="30">
        <v>1.7751295722232876</v>
      </c>
      <c r="U24" s="30">
        <v>1.8302144562425839</v>
      </c>
      <c r="V24" s="30">
        <v>1.8856934570539527</v>
      </c>
      <c r="W24" s="30">
        <v>1.9417640318194964</v>
      </c>
      <c r="X24" s="30">
        <v>1.9983973519835765</v>
      </c>
      <c r="Y24" s="30">
        <v>2.0555715311969203</v>
      </c>
      <c r="Z24" s="30">
        <v>2.1132638603455782</v>
      </c>
      <c r="AA24" s="30">
        <v>2.1709224262499891</v>
      </c>
      <c r="AB24" s="30">
        <v>2.2290215604843011</v>
      </c>
      <c r="AC24" s="30">
        <v>2.2875393021115595</v>
      </c>
      <c r="AD24" s="30">
        <v>2.3464560431077808</v>
      </c>
      <c r="AE24" s="30">
        <v>2.4057543937917498</v>
      </c>
      <c r="AF24" s="30">
        <v>2.4646085410243015</v>
      </c>
      <c r="AG24" s="30">
        <v>2.5237767106763287</v>
      </c>
      <c r="AH24" s="30">
        <v>2.5832530005682313</v>
      </c>
      <c r="AI24" s="30">
        <v>2.6430395592373768</v>
      </c>
      <c r="AJ24" s="30">
        <v>2.7031311714968864</v>
      </c>
    </row>
    <row r="25" spans="1:36">
      <c r="A25" s="3" t="s">
        <v>19</v>
      </c>
      <c r="B25" s="3" t="s">
        <v>8</v>
      </c>
      <c r="C25" s="4" t="s">
        <v>6</v>
      </c>
      <c r="D25" s="3" t="s">
        <v>7</v>
      </c>
      <c r="E25" s="5">
        <v>1.9486116414585621</v>
      </c>
      <c r="F25" s="5">
        <v>2.0224261815624089</v>
      </c>
      <c r="G25" s="5">
        <v>2.0992561420780227</v>
      </c>
      <c r="H25" s="5">
        <v>2.1781137670387967</v>
      </c>
      <c r="I25" s="5">
        <v>2.2589772751887067</v>
      </c>
      <c r="J25" s="5">
        <v>2.3417871037012086</v>
      </c>
      <c r="K25" s="5">
        <v>2.4264892469707435</v>
      </c>
      <c r="L25" s="5">
        <v>2.5136337564374522</v>
      </c>
      <c r="M25" s="5">
        <v>2.602675890382562</v>
      </c>
      <c r="N25" s="5">
        <v>2.6935823009906246</v>
      </c>
      <c r="O25" s="5">
        <v>2.7863112894165192</v>
      </c>
      <c r="P25" s="5">
        <v>2.8808116756427204</v>
      </c>
      <c r="Q25" s="5">
        <v>2.977140731464837</v>
      </c>
      <c r="R25" s="5">
        <v>3.0751475928711449</v>
      </c>
      <c r="S25" s="5">
        <v>3.1747118883324896</v>
      </c>
      <c r="T25" s="5">
        <v>3.2756802369955844</v>
      </c>
      <c r="U25" s="5">
        <v>3.3779203145540677</v>
      </c>
      <c r="V25" s="5">
        <v>3.4809181355198811</v>
      </c>
      <c r="W25" s="5">
        <v>3.5850380620295801</v>
      </c>
      <c r="X25" s="5">
        <v>3.6902268631088582</v>
      </c>
      <c r="Y25" s="5">
        <v>3.7964441049931934</v>
      </c>
      <c r="Z25" s="5">
        <v>3.9036478178809868</v>
      </c>
      <c r="AA25" s="5">
        <v>4.0108183002613291</v>
      </c>
      <c r="AB25" s="5">
        <v>4.1188315085784337</v>
      </c>
      <c r="AC25" s="5">
        <v>4.2276467777625193</v>
      </c>
      <c r="AD25" s="5">
        <v>4.337227775067837</v>
      </c>
      <c r="AE25" s="5">
        <v>4.4475422546675105</v>
      </c>
      <c r="AF25" s="5">
        <v>4.5570631834445789</v>
      </c>
      <c r="AG25" s="5">
        <v>4.6671919308831624</v>
      </c>
      <c r="AH25" s="5">
        <v>4.777917441570148</v>
      </c>
      <c r="AI25" s="5">
        <v>4.8892435542941692</v>
      </c>
      <c r="AJ25" s="5">
        <v>5.001160494155922</v>
      </c>
    </row>
    <row r="26" spans="1:36">
      <c r="A26" s="3" t="s">
        <v>19</v>
      </c>
      <c r="B26" t="s">
        <v>9</v>
      </c>
      <c r="C26" s="4" t="s">
        <v>6</v>
      </c>
      <c r="D26" s="3" t="s">
        <v>7</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spans="1:36">
      <c r="A27" s="3" t="s">
        <v>19</v>
      </c>
      <c r="B27" t="s">
        <v>10</v>
      </c>
      <c r="C27" s="4" t="s">
        <v>6</v>
      </c>
      <c r="D27" s="3" t="s">
        <v>7</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row>
    <row r="28" spans="1:36">
      <c r="A28" s="3" t="s">
        <v>19</v>
      </c>
      <c r="B28" t="s">
        <v>11</v>
      </c>
      <c r="C28" s="4" t="s">
        <v>6</v>
      </c>
      <c r="D28" s="3" t="s">
        <v>7</v>
      </c>
      <c r="E28" s="5">
        <v>1.6362228813302353</v>
      </c>
      <c r="F28" s="5">
        <v>1.7061999485046599</v>
      </c>
      <c r="G28" s="5">
        <v>1.7790034822140621</v>
      </c>
      <c r="H28" s="5">
        <v>1.8538193781979528</v>
      </c>
      <c r="I28" s="5">
        <v>1.9306431129733614</v>
      </c>
      <c r="J28" s="5">
        <v>2.0094364152362587</v>
      </c>
      <c r="K28" s="5">
        <v>2.0901641399915514</v>
      </c>
      <c r="L28" s="5">
        <v>2.1733120038087539</v>
      </c>
      <c r="M28" s="5">
        <v>2.2584220103568406</v>
      </c>
      <c r="N28" s="5">
        <v>2.3454740462942354</v>
      </c>
      <c r="O28" s="5">
        <v>2.4344398586310652</v>
      </c>
      <c r="P28" s="5">
        <v>2.5252820207508182</v>
      </c>
      <c r="Q28" s="5">
        <v>2.6180575803999422</v>
      </c>
      <c r="R28" s="5">
        <v>2.7126403420089309</v>
      </c>
      <c r="S28" s="5">
        <v>2.8089292166566566</v>
      </c>
      <c r="T28" s="5">
        <v>2.9067923868072079</v>
      </c>
      <c r="U28" s="5">
        <v>3.0061150887433272</v>
      </c>
      <c r="V28" s="5">
        <v>3.1064405779538848</v>
      </c>
      <c r="W28" s="5">
        <v>3.2080930823449814</v>
      </c>
      <c r="X28" s="5">
        <v>3.3110257683260134</v>
      </c>
      <c r="Y28" s="5">
        <v>3.4152028440430646</v>
      </c>
      <c r="Z28" s="5">
        <v>3.520586801810472</v>
      </c>
      <c r="AA28" s="5">
        <v>3.6262558189456913</v>
      </c>
      <c r="AB28" s="5">
        <v>3.7329972123285526</v>
      </c>
      <c r="AC28" s="5">
        <v>3.8407734421903053</v>
      </c>
      <c r="AD28" s="5">
        <v>3.9495506419205464</v>
      </c>
      <c r="AE28" s="5">
        <v>4.0592984493871782</v>
      </c>
      <c r="AF28" s="5">
        <v>4.1686189465168786</v>
      </c>
      <c r="AG28" s="5">
        <v>4.2787866604633145</v>
      </c>
      <c r="AH28" s="5">
        <v>4.3897899451770073</v>
      </c>
      <c r="AI28" s="5">
        <v>4.5016308698427983</v>
      </c>
      <c r="AJ28" s="5">
        <v>4.6142990574871723</v>
      </c>
    </row>
    <row r="29" spans="1:36">
      <c r="A29" s="3" t="s">
        <v>19</v>
      </c>
      <c r="B29" s="3" t="s">
        <v>12</v>
      </c>
      <c r="C29" s="4" t="s">
        <v>6</v>
      </c>
      <c r="D29" s="3" t="s">
        <v>7</v>
      </c>
      <c r="E29" s="5">
        <v>0.71589020578154783</v>
      </c>
      <c r="F29" s="5">
        <v>0.70820481950125869</v>
      </c>
      <c r="G29" s="5">
        <v>0.70026293413861618</v>
      </c>
      <c r="H29" s="5">
        <v>0.69163930434992671</v>
      </c>
      <c r="I29" s="5">
        <v>0.68226931497291077</v>
      </c>
      <c r="J29" s="5">
        <v>0.67208255278455953</v>
      </c>
      <c r="K29" s="5">
        <v>0.66101678531339902</v>
      </c>
      <c r="L29" s="5">
        <v>0.64917149021166742</v>
      </c>
      <c r="M29" s="5">
        <v>0.63635039718682818</v>
      </c>
      <c r="N29" s="5">
        <v>0.62250777956274195</v>
      </c>
      <c r="O29" s="5">
        <v>0.6075995335196267</v>
      </c>
      <c r="P29" s="5">
        <v>0.59158319007755311</v>
      </c>
      <c r="Q29" s="5">
        <v>0.57444098305687963</v>
      </c>
      <c r="R29" s="5">
        <v>0.55611576182820843</v>
      </c>
      <c r="S29" s="5">
        <v>0.53656369844553364</v>
      </c>
      <c r="T29" s="5">
        <v>0.51574203712933153</v>
      </c>
      <c r="U29" s="5">
        <v>0.49361850085753756</v>
      </c>
      <c r="V29" s="5">
        <v>0.47011533232893588</v>
      </c>
      <c r="W29" s="5">
        <v>0.44528618045368434</v>
      </c>
      <c r="X29" s="5">
        <v>0.4191211082594537</v>
      </c>
      <c r="Y29" s="5">
        <v>0.39161355936654896</v>
      </c>
      <c r="Z29" s="5">
        <v>0.36275827901373964</v>
      </c>
      <c r="AA29" s="5">
        <v>0.33247041048128773</v>
      </c>
      <c r="AB29" s="5">
        <v>0.30084347724568056</v>
      </c>
      <c r="AC29" s="5">
        <v>0.26787769761570918</v>
      </c>
      <c r="AD29" s="5">
        <v>0.23357472497503939</v>
      </c>
      <c r="AE29" s="5">
        <v>0.19793739264258844</v>
      </c>
      <c r="AF29" s="5">
        <v>0.16091656658485878</v>
      </c>
      <c r="AG29" s="5">
        <v>0.12259490224565367</v>
      </c>
      <c r="AH29" s="5">
        <v>8.2978966862195955E-2</v>
      </c>
      <c r="AI29" s="5">
        <v>4.2075442309309583E-2</v>
      </c>
      <c r="AJ29" s="5">
        <v>-1.0950704821877509E-4</v>
      </c>
    </row>
    <row r="30" spans="1:36">
      <c r="A30" s="3" t="s">
        <v>19</v>
      </c>
      <c r="B30" t="s">
        <v>14</v>
      </c>
      <c r="C30" s="4" t="s">
        <v>6</v>
      </c>
      <c r="D30" s="3" t="s">
        <v>7</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spans="1:36">
      <c r="A31" s="3" t="s">
        <v>19</v>
      </c>
      <c r="B31" t="s">
        <v>15</v>
      </c>
      <c r="C31" s="4" t="s">
        <v>6</v>
      </c>
      <c r="D31" s="3" t="s">
        <v>7</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spans="1:36">
      <c r="A32" s="3" t="s">
        <v>19</v>
      </c>
      <c r="B32" t="s">
        <v>16</v>
      </c>
      <c r="C32" s="4" t="s">
        <v>6</v>
      </c>
      <c r="D32" s="3" t="s">
        <v>7</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row>
    <row r="33" spans="1:37">
      <c r="A33" s="3" t="s">
        <v>19</v>
      </c>
      <c r="B33" s="3" t="s">
        <v>13</v>
      </c>
      <c r="C33" s="4" t="s">
        <v>6</v>
      </c>
      <c r="D33" s="3" t="s">
        <v>7</v>
      </c>
      <c r="E33" s="5">
        <v>3.4460589719383046E-2</v>
      </c>
      <c r="F33" s="5">
        <v>3.5934380991451721E-2</v>
      </c>
      <c r="G33" s="5">
        <v>3.7467700647293045E-2</v>
      </c>
      <c r="H33" s="5">
        <v>3.904340278751299E-2</v>
      </c>
      <c r="I33" s="5">
        <v>4.0661392142761314E-2</v>
      </c>
      <c r="J33" s="5">
        <v>4.2320862678773837E-2</v>
      </c>
      <c r="K33" s="5">
        <v>4.4021074204669219E-2</v>
      </c>
      <c r="L33" s="5">
        <v>4.577225642668916E-2</v>
      </c>
      <c r="M33" s="5">
        <v>4.7564763456222424E-2</v>
      </c>
      <c r="N33" s="5">
        <v>4.9398171684957554E-2</v>
      </c>
      <c r="O33" s="5">
        <v>5.1271886074954733E-2</v>
      </c>
      <c r="P33" s="5">
        <v>5.3185118381965039E-2</v>
      </c>
      <c r="Q33" s="5">
        <v>5.5139070092049547E-2</v>
      </c>
      <c r="R33" s="5">
        <v>5.7131083392635916E-2</v>
      </c>
      <c r="S33" s="5">
        <v>5.9159029243801821E-2</v>
      </c>
      <c r="T33" s="5">
        <v>6.1220131428398196E-2</v>
      </c>
      <c r="U33" s="5">
        <v>6.3311972900788882E-2</v>
      </c>
      <c r="V33" s="5">
        <v>6.5424934137017707E-2</v>
      </c>
      <c r="W33" s="5">
        <v>6.7565843720754512E-2</v>
      </c>
      <c r="X33" s="5">
        <v>6.9733715286896328E-2</v>
      </c>
      <c r="Y33" s="5">
        <v>7.1927795021028737E-2</v>
      </c>
      <c r="Z33" s="5">
        <v>7.4147292971500467E-2</v>
      </c>
      <c r="AA33" s="5">
        <v>7.6372794574672526E-2</v>
      </c>
      <c r="AB33" s="5">
        <v>7.8620881559284039E-2</v>
      </c>
      <c r="AC33" s="5">
        <v>8.0890763297979867E-2</v>
      </c>
      <c r="AD33" s="5">
        <v>8.318172652401648E-2</v>
      </c>
      <c r="AE33" s="5">
        <v>8.5493131778681258E-2</v>
      </c>
      <c r="AF33" s="5">
        <v>8.779553742432461E-2</v>
      </c>
      <c r="AG33" s="5">
        <v>9.0115786354925079E-2</v>
      </c>
      <c r="AH33" s="5">
        <v>9.2453633292325532E-2</v>
      </c>
      <c r="AI33" s="5">
        <v>9.4809121815753891E-2</v>
      </c>
      <c r="AJ33" s="5">
        <v>9.7182033375139185E-2</v>
      </c>
    </row>
    <row r="34" spans="1:37">
      <c r="A34" s="3" t="s">
        <v>19</v>
      </c>
      <c r="B34" s="3" t="s">
        <v>17</v>
      </c>
      <c r="C34" s="4" t="s">
        <v>6</v>
      </c>
      <c r="D34" s="3" t="s">
        <v>7</v>
      </c>
      <c r="E34" s="5">
        <v>1.7657780656210452E-3</v>
      </c>
      <c r="F34" s="5">
        <v>1.8412958766252728E-3</v>
      </c>
      <c r="G34" s="5">
        <v>1.9198639521549651E-3</v>
      </c>
      <c r="H34" s="5">
        <v>2.0006037276437036E-3</v>
      </c>
      <c r="I34" s="5">
        <v>2.0835103214417441E-3</v>
      </c>
      <c r="J34" s="5">
        <v>2.168542431945272E-3</v>
      </c>
      <c r="K34" s="5">
        <v>2.2556621313987468E-3</v>
      </c>
      <c r="L34" s="5">
        <v>2.3453935951295913E-3</v>
      </c>
      <c r="M34" s="5">
        <v>2.4372425629213719E-3</v>
      </c>
      <c r="N34" s="5">
        <v>2.5311873288697234E-3</v>
      </c>
      <c r="O34" s="5">
        <v>2.6271974029293257E-3</v>
      </c>
      <c r="P34" s="5">
        <v>2.7252323950657524E-3</v>
      </c>
      <c r="Q34" s="5">
        <v>2.8253538700331207E-3</v>
      </c>
      <c r="R34" s="5">
        <v>2.9274256401694955E-3</v>
      </c>
      <c r="S34" s="5">
        <v>3.0313386123912629E-3</v>
      </c>
      <c r="T34" s="5">
        <v>3.1369505319260235E-3</v>
      </c>
      <c r="U34" s="5">
        <v>3.2441375481315616E-3</v>
      </c>
      <c r="V34" s="5">
        <v>3.3524067517297172E-3</v>
      </c>
      <c r="W34" s="5">
        <v>3.4621080428052435E-3</v>
      </c>
      <c r="X34" s="5">
        <v>3.5731908795108391E-3</v>
      </c>
      <c r="Y34" s="5">
        <v>3.6856166360142314E-3</v>
      </c>
      <c r="Z34" s="5">
        <v>3.7993448347928339E-3</v>
      </c>
      <c r="AA34" s="5">
        <v>3.9133806637756249E-3</v>
      </c>
      <c r="AB34" s="5">
        <v>4.02857377913901E-3</v>
      </c>
      <c r="AC34" s="5">
        <v>4.144883668736994E-3</v>
      </c>
      <c r="AD34" s="5">
        <v>4.2622737844204891E-3</v>
      </c>
      <c r="AE34" s="5">
        <v>4.3807113600012873E-3</v>
      </c>
      <c r="AF34" s="5">
        <v>4.4986877910590632E-3</v>
      </c>
      <c r="AG34" s="5">
        <v>4.6175785210726163E-3</v>
      </c>
      <c r="AH34" s="5">
        <v>4.7373709818649837E-3</v>
      </c>
      <c r="AI34" s="5">
        <v>4.8580674064578697E-3</v>
      </c>
      <c r="AJ34" s="5">
        <v>4.9796565962349796E-3</v>
      </c>
    </row>
    <row r="35" spans="1:37">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1:37" ht="17" thickBo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7">
      <c r="A37" s="2" t="s">
        <v>20</v>
      </c>
      <c r="B37" s="2" t="s">
        <v>1</v>
      </c>
      <c r="C37" s="2" t="s">
        <v>2</v>
      </c>
      <c r="D37" s="7" t="s">
        <v>3</v>
      </c>
      <c r="E37" s="8">
        <v>2019</v>
      </c>
      <c r="F37" s="9">
        <v>2020</v>
      </c>
      <c r="G37" s="2">
        <v>2021</v>
      </c>
      <c r="H37" s="2">
        <v>2022</v>
      </c>
      <c r="I37" s="2">
        <v>2023</v>
      </c>
      <c r="J37" s="2">
        <v>2024</v>
      </c>
      <c r="K37" s="2">
        <v>2025</v>
      </c>
      <c r="L37" s="2">
        <v>2026</v>
      </c>
      <c r="M37" s="2">
        <v>2027</v>
      </c>
      <c r="N37" s="2">
        <v>2028</v>
      </c>
      <c r="O37" s="7">
        <v>2029</v>
      </c>
      <c r="P37" s="8">
        <v>2030</v>
      </c>
      <c r="Q37" s="9">
        <v>2031</v>
      </c>
      <c r="R37" s="2">
        <v>2032</v>
      </c>
      <c r="S37" s="2">
        <v>2033</v>
      </c>
      <c r="T37" s="2">
        <v>2034</v>
      </c>
      <c r="U37" s="2">
        <v>2035</v>
      </c>
      <c r="V37" s="2">
        <v>2036</v>
      </c>
      <c r="W37" s="2">
        <v>2037</v>
      </c>
      <c r="X37" s="2">
        <v>2038</v>
      </c>
      <c r="Y37" s="2">
        <v>2039</v>
      </c>
      <c r="Z37" s="2">
        <v>2040</v>
      </c>
      <c r="AA37" s="2">
        <v>2041</v>
      </c>
      <c r="AB37" s="2">
        <v>2042</v>
      </c>
      <c r="AC37" s="2">
        <v>2043</v>
      </c>
      <c r="AD37" s="2">
        <v>2044</v>
      </c>
      <c r="AE37" s="2">
        <v>2045</v>
      </c>
      <c r="AF37" s="2">
        <v>2046</v>
      </c>
      <c r="AG37" s="2">
        <v>2047</v>
      </c>
      <c r="AH37" s="2">
        <v>2048</v>
      </c>
      <c r="AI37" s="7">
        <v>2049</v>
      </c>
      <c r="AJ37" s="8">
        <v>2050</v>
      </c>
    </row>
    <row r="38" spans="1:37">
      <c r="A38" s="4" t="s">
        <v>4</v>
      </c>
      <c r="B38" s="4" t="s">
        <v>5</v>
      </c>
      <c r="C38" s="4" t="s">
        <v>6</v>
      </c>
      <c r="D38" s="10" t="s">
        <v>7</v>
      </c>
      <c r="E38" s="11" t="e">
        <f>70.745553370709%-E40</f>
        <v>#REF!</v>
      </c>
      <c r="F38" s="12" t="e">
        <f t="shared" ref="F38:O38" si="0">E38+($P38-$E38)/($P$37-$E$37)</f>
        <v>#REF!</v>
      </c>
      <c r="G38" s="13" t="e">
        <f t="shared" si="0"/>
        <v>#REF!</v>
      </c>
      <c r="H38" s="13" t="e">
        <f t="shared" si="0"/>
        <v>#REF!</v>
      </c>
      <c r="I38" s="13" t="e">
        <f t="shared" si="0"/>
        <v>#REF!</v>
      </c>
      <c r="J38" s="13" t="e">
        <f t="shared" si="0"/>
        <v>#REF!</v>
      </c>
      <c r="K38" s="13" t="e">
        <f t="shared" si="0"/>
        <v>#REF!</v>
      </c>
      <c r="L38" s="13" t="e">
        <f t="shared" si="0"/>
        <v>#REF!</v>
      </c>
      <c r="M38" s="13" t="e">
        <f t="shared" si="0"/>
        <v>#REF!</v>
      </c>
      <c r="N38" s="13" t="e">
        <f t="shared" si="0"/>
        <v>#REF!</v>
      </c>
      <c r="O38" s="14" t="e">
        <f t="shared" si="0"/>
        <v>#REF!</v>
      </c>
      <c r="P38" s="11">
        <f>0.39*0.63</f>
        <v>0.2457</v>
      </c>
      <c r="Q38" s="12">
        <f t="shared" ref="Q38:AI38" si="1">P38+($AJ38-$P38)/($AJ$37-$P$37)</f>
        <v>0.236065</v>
      </c>
      <c r="R38" s="13">
        <f t="shared" si="1"/>
        <v>0.22642999999999999</v>
      </c>
      <c r="S38" s="13">
        <f t="shared" si="1"/>
        <v>0.21679499999999999</v>
      </c>
      <c r="T38" s="13">
        <f t="shared" si="1"/>
        <v>0.20715999999999998</v>
      </c>
      <c r="U38" s="13">
        <f t="shared" si="1"/>
        <v>0.19752499999999998</v>
      </c>
      <c r="V38" s="13">
        <f t="shared" si="1"/>
        <v>0.18788999999999997</v>
      </c>
      <c r="W38" s="13">
        <f t="shared" si="1"/>
        <v>0.17825499999999997</v>
      </c>
      <c r="X38" s="13">
        <f t="shared" si="1"/>
        <v>0.16861999999999996</v>
      </c>
      <c r="Y38" s="13">
        <f t="shared" si="1"/>
        <v>0.15898499999999996</v>
      </c>
      <c r="Z38" s="13">
        <f t="shared" si="1"/>
        <v>0.14934999999999996</v>
      </c>
      <c r="AA38" s="13">
        <f t="shared" si="1"/>
        <v>0.13971499999999995</v>
      </c>
      <c r="AB38" s="13">
        <f t="shared" si="1"/>
        <v>0.13007999999999995</v>
      </c>
      <c r="AC38" s="13">
        <f t="shared" si="1"/>
        <v>0.12044499999999994</v>
      </c>
      <c r="AD38" s="13">
        <f t="shared" si="1"/>
        <v>0.11080999999999994</v>
      </c>
      <c r="AE38" s="13">
        <f t="shared" si="1"/>
        <v>0.10117499999999993</v>
      </c>
      <c r="AF38" s="13">
        <f t="shared" si="1"/>
        <v>9.1539999999999927E-2</v>
      </c>
      <c r="AG38" s="13">
        <f t="shared" si="1"/>
        <v>8.1904999999999922E-2</v>
      </c>
      <c r="AH38" s="13">
        <f t="shared" si="1"/>
        <v>7.2269999999999918E-2</v>
      </c>
      <c r="AI38" s="14">
        <f t="shared" si="1"/>
        <v>6.2634999999999913E-2</v>
      </c>
      <c r="AJ38" s="11">
        <f>0.1*0.53</f>
        <v>5.3000000000000005E-2</v>
      </c>
    </row>
    <row r="39" spans="1:37">
      <c r="A39" s="4" t="s">
        <v>4</v>
      </c>
      <c r="B39" s="4" t="s">
        <v>8</v>
      </c>
      <c r="C39" s="4" t="s">
        <v>6</v>
      </c>
      <c r="D39" s="10" t="s">
        <v>7</v>
      </c>
      <c r="E39" s="11" t="e">
        <f>44.2437039080182%-E41</f>
        <v>#REF!</v>
      </c>
      <c r="F39" s="12" t="e">
        <f t="shared" ref="F39:O39" si="2">E39+($P39-$E39)/($P$37-$E$37)</f>
        <v>#REF!</v>
      </c>
      <c r="G39" s="13" t="e">
        <f t="shared" si="2"/>
        <v>#REF!</v>
      </c>
      <c r="H39" s="13" t="e">
        <f t="shared" si="2"/>
        <v>#REF!</v>
      </c>
      <c r="I39" s="13" t="e">
        <f t="shared" si="2"/>
        <v>#REF!</v>
      </c>
      <c r="J39" s="13" t="e">
        <f t="shared" si="2"/>
        <v>#REF!</v>
      </c>
      <c r="K39" s="13" t="e">
        <f t="shared" si="2"/>
        <v>#REF!</v>
      </c>
      <c r="L39" s="13" t="e">
        <f t="shared" si="2"/>
        <v>#REF!</v>
      </c>
      <c r="M39" s="13" t="e">
        <f t="shared" si="2"/>
        <v>#REF!</v>
      </c>
      <c r="N39" s="13" t="e">
        <f t="shared" si="2"/>
        <v>#REF!</v>
      </c>
      <c r="O39" s="14" t="e">
        <f t="shared" si="2"/>
        <v>#REF!</v>
      </c>
      <c r="P39" s="11">
        <f>0.39*0.43</f>
        <v>0.16770000000000002</v>
      </c>
      <c r="Q39" s="12">
        <f t="shared" ref="Q39:AI39" si="3">P39+($AJ39-$P39)/($AJ$37-$P$37)</f>
        <v>0.16136500000000001</v>
      </c>
      <c r="R39" s="13">
        <f t="shared" si="3"/>
        <v>0.15503</v>
      </c>
      <c r="S39" s="13">
        <f t="shared" si="3"/>
        <v>0.14869499999999999</v>
      </c>
      <c r="T39" s="13">
        <f t="shared" si="3"/>
        <v>0.14235999999999999</v>
      </c>
      <c r="U39" s="13">
        <f t="shared" si="3"/>
        <v>0.13602499999999998</v>
      </c>
      <c r="V39" s="13">
        <f t="shared" si="3"/>
        <v>0.12968999999999997</v>
      </c>
      <c r="W39" s="13">
        <f t="shared" si="3"/>
        <v>0.12335499999999996</v>
      </c>
      <c r="X39" s="13">
        <f t="shared" si="3"/>
        <v>0.11701999999999996</v>
      </c>
      <c r="Y39" s="13">
        <f t="shared" si="3"/>
        <v>0.11068499999999995</v>
      </c>
      <c r="Z39" s="13">
        <f t="shared" si="3"/>
        <v>0.10434999999999994</v>
      </c>
      <c r="AA39" s="13">
        <f t="shared" si="3"/>
        <v>9.8014999999999936E-2</v>
      </c>
      <c r="AB39" s="13">
        <f t="shared" si="3"/>
        <v>9.1679999999999928E-2</v>
      </c>
      <c r="AC39" s="13">
        <f t="shared" si="3"/>
        <v>8.5344999999999921E-2</v>
      </c>
      <c r="AD39" s="13">
        <f t="shared" si="3"/>
        <v>7.9009999999999914E-2</v>
      </c>
      <c r="AE39" s="13">
        <f t="shared" si="3"/>
        <v>7.2674999999999906E-2</v>
      </c>
      <c r="AF39" s="13">
        <f t="shared" si="3"/>
        <v>6.6339999999999899E-2</v>
      </c>
      <c r="AG39" s="13">
        <f t="shared" si="3"/>
        <v>6.0004999999999899E-2</v>
      </c>
      <c r="AH39" s="13">
        <f t="shared" si="3"/>
        <v>5.3669999999999898E-2</v>
      </c>
      <c r="AI39" s="14">
        <f t="shared" si="3"/>
        <v>4.7334999999999898E-2</v>
      </c>
      <c r="AJ39" s="11">
        <f>0.1*0.41</f>
        <v>4.1000000000000002E-2</v>
      </c>
    </row>
    <row r="40" spans="1:37">
      <c r="A40" s="4" t="s">
        <v>4</v>
      </c>
      <c r="B40" s="4" t="s">
        <v>9</v>
      </c>
      <c r="C40" s="4" t="s">
        <v>6</v>
      </c>
      <c r="D40" s="10" t="s">
        <v>7</v>
      </c>
      <c r="E40" s="26" t="e" cm="1">
        <f t="array" ref="E40">SUM(params!#REF!/100)</f>
        <v>#REF!</v>
      </c>
      <c r="F40" s="12" t="e">
        <f t="shared" ref="F40:O40" si="4">E40+($P40-$E40)/($P$37-$E$37)</f>
        <v>#REF!</v>
      </c>
      <c r="G40" s="13" t="e">
        <f t="shared" si="4"/>
        <v>#REF!</v>
      </c>
      <c r="H40" s="13" t="e">
        <f t="shared" si="4"/>
        <v>#REF!</v>
      </c>
      <c r="I40" s="13" t="e">
        <f t="shared" si="4"/>
        <v>#REF!</v>
      </c>
      <c r="J40" s="13" t="e">
        <f t="shared" si="4"/>
        <v>#REF!</v>
      </c>
      <c r="K40" s="13" t="e">
        <f t="shared" si="4"/>
        <v>#REF!</v>
      </c>
      <c r="L40" s="13" t="e">
        <f t="shared" si="4"/>
        <v>#REF!</v>
      </c>
      <c r="M40" s="13" t="e">
        <f t="shared" si="4"/>
        <v>#REF!</v>
      </c>
      <c r="N40" s="13" t="e">
        <f t="shared" si="4"/>
        <v>#REF!</v>
      </c>
      <c r="O40" s="14" t="e">
        <f t="shared" si="4"/>
        <v>#REF!</v>
      </c>
      <c r="P40" s="24">
        <f>0.61*0.63</f>
        <v>0.38429999999999997</v>
      </c>
      <c r="Q40" s="12">
        <f t="shared" ref="Q40:AI40" si="5">P40+($AJ40-$P40)/($AJ$37-$P$37)</f>
        <v>0.38893499999999998</v>
      </c>
      <c r="R40" s="13">
        <f t="shared" si="5"/>
        <v>0.39356999999999998</v>
      </c>
      <c r="S40" s="13">
        <f t="shared" si="5"/>
        <v>0.39820499999999998</v>
      </c>
      <c r="T40" s="13">
        <f t="shared" si="5"/>
        <v>0.40283999999999998</v>
      </c>
      <c r="U40" s="13">
        <f t="shared" si="5"/>
        <v>0.40747499999999998</v>
      </c>
      <c r="V40" s="13">
        <f t="shared" si="5"/>
        <v>0.41210999999999998</v>
      </c>
      <c r="W40" s="13">
        <f t="shared" si="5"/>
        <v>0.41674499999999998</v>
      </c>
      <c r="X40" s="13">
        <f t="shared" si="5"/>
        <v>0.42137999999999998</v>
      </c>
      <c r="Y40" s="13">
        <f t="shared" si="5"/>
        <v>0.42601499999999998</v>
      </c>
      <c r="Z40" s="13">
        <f t="shared" si="5"/>
        <v>0.43064999999999998</v>
      </c>
      <c r="AA40" s="13">
        <f t="shared" si="5"/>
        <v>0.43528499999999998</v>
      </c>
      <c r="AB40" s="13">
        <f t="shared" si="5"/>
        <v>0.43991999999999998</v>
      </c>
      <c r="AC40" s="13">
        <f t="shared" si="5"/>
        <v>0.44455499999999998</v>
      </c>
      <c r="AD40" s="13">
        <f t="shared" si="5"/>
        <v>0.44918999999999998</v>
      </c>
      <c r="AE40" s="13">
        <f t="shared" si="5"/>
        <v>0.45382499999999998</v>
      </c>
      <c r="AF40" s="13">
        <f t="shared" si="5"/>
        <v>0.45845999999999998</v>
      </c>
      <c r="AG40" s="13">
        <f t="shared" si="5"/>
        <v>0.46309499999999998</v>
      </c>
      <c r="AH40" s="13">
        <f t="shared" si="5"/>
        <v>0.46772999999999998</v>
      </c>
      <c r="AI40" s="14">
        <f t="shared" si="5"/>
        <v>0.47236499999999998</v>
      </c>
      <c r="AJ40" s="24">
        <f>0.9*0.53</f>
        <v>0.47700000000000004</v>
      </c>
      <c r="AK40" t="s">
        <v>32</v>
      </c>
    </row>
    <row r="41" spans="1:37">
      <c r="A41" s="4" t="s">
        <v>4</v>
      </c>
      <c r="B41" s="4" t="s">
        <v>10</v>
      </c>
      <c r="C41" s="4" t="s">
        <v>6</v>
      </c>
      <c r="D41" s="10" t="s">
        <v>7</v>
      </c>
      <c r="E41" s="24" t="e">
        <f>params!#REF!/100</f>
        <v>#REF!</v>
      </c>
      <c r="F41" s="12" t="e">
        <f t="shared" ref="F41:O41" si="6">E41+($P41-$E41)/($P$37-$E$37)</f>
        <v>#REF!</v>
      </c>
      <c r="G41" s="13" t="e">
        <f t="shared" si="6"/>
        <v>#REF!</v>
      </c>
      <c r="H41" s="13" t="e">
        <f t="shared" si="6"/>
        <v>#REF!</v>
      </c>
      <c r="I41" s="13" t="e">
        <f t="shared" si="6"/>
        <v>#REF!</v>
      </c>
      <c r="J41" s="13" t="e">
        <f t="shared" si="6"/>
        <v>#REF!</v>
      </c>
      <c r="K41" s="13" t="e">
        <f t="shared" si="6"/>
        <v>#REF!</v>
      </c>
      <c r="L41" s="13" t="e">
        <f t="shared" si="6"/>
        <v>#REF!</v>
      </c>
      <c r="M41" s="13" t="e">
        <f t="shared" si="6"/>
        <v>#REF!</v>
      </c>
      <c r="N41" s="13" t="e">
        <f t="shared" si="6"/>
        <v>#REF!</v>
      </c>
      <c r="O41" s="14" t="e">
        <f t="shared" si="6"/>
        <v>#REF!</v>
      </c>
      <c r="P41" s="24">
        <f>0.61*0.43</f>
        <v>0.26229999999999998</v>
      </c>
      <c r="Q41" s="12">
        <f t="shared" ref="Q41:AI41" si="7">P41+($AJ41-$P41)/($AJ$37-$P$37)</f>
        <v>0.26763499999999996</v>
      </c>
      <c r="R41" s="13">
        <f t="shared" si="7"/>
        <v>0.27296999999999993</v>
      </c>
      <c r="S41" s="13">
        <f t="shared" si="7"/>
        <v>0.27830499999999991</v>
      </c>
      <c r="T41" s="13">
        <f t="shared" si="7"/>
        <v>0.28363999999999989</v>
      </c>
      <c r="U41" s="13">
        <f t="shared" si="7"/>
        <v>0.28897499999999987</v>
      </c>
      <c r="V41" s="13">
        <f t="shared" si="7"/>
        <v>0.29430999999999985</v>
      </c>
      <c r="W41" s="13">
        <f t="shared" si="7"/>
        <v>0.29964499999999983</v>
      </c>
      <c r="X41" s="13">
        <f t="shared" si="7"/>
        <v>0.30497999999999981</v>
      </c>
      <c r="Y41" s="13">
        <f t="shared" si="7"/>
        <v>0.31031499999999979</v>
      </c>
      <c r="Z41" s="13">
        <f t="shared" si="7"/>
        <v>0.31564999999999976</v>
      </c>
      <c r="AA41" s="13">
        <f t="shared" si="7"/>
        <v>0.32098499999999974</v>
      </c>
      <c r="AB41" s="13">
        <f t="shared" si="7"/>
        <v>0.32631999999999972</v>
      </c>
      <c r="AC41" s="13">
        <f t="shared" si="7"/>
        <v>0.3316549999999997</v>
      </c>
      <c r="AD41" s="13">
        <f t="shared" si="7"/>
        <v>0.33698999999999968</v>
      </c>
      <c r="AE41" s="13">
        <f t="shared" si="7"/>
        <v>0.34232499999999966</v>
      </c>
      <c r="AF41" s="13">
        <f t="shared" si="7"/>
        <v>0.34765999999999964</v>
      </c>
      <c r="AG41" s="13">
        <f t="shared" si="7"/>
        <v>0.35299499999999961</v>
      </c>
      <c r="AH41" s="13">
        <f t="shared" si="7"/>
        <v>0.35832999999999959</v>
      </c>
      <c r="AI41" s="14">
        <f t="shared" si="7"/>
        <v>0.36366499999999957</v>
      </c>
      <c r="AJ41" s="24">
        <f>0.9*0.41</f>
        <v>0.36899999999999999</v>
      </c>
      <c r="AK41" t="s">
        <v>33</v>
      </c>
    </row>
    <row r="42" spans="1:37">
      <c r="A42" s="4" t="s">
        <v>4</v>
      </c>
      <c r="B42" s="4" t="s">
        <v>11</v>
      </c>
      <c r="C42" s="4" t="s">
        <v>6</v>
      </c>
      <c r="D42" s="10" t="s">
        <v>7</v>
      </c>
      <c r="E42" s="11">
        <v>0.17420000000000002</v>
      </c>
      <c r="F42" s="12">
        <f t="shared" ref="F42:O42" si="8">E42+($P42-$E42)/($P$37-$E$37)</f>
        <v>0.17674743023037376</v>
      </c>
      <c r="G42" s="13">
        <f t="shared" si="8"/>
        <v>0.1792948604607475</v>
      </c>
      <c r="H42" s="13">
        <f t="shared" si="8"/>
        <v>0.18184229069112123</v>
      </c>
      <c r="I42" s="13">
        <f t="shared" si="8"/>
        <v>0.18438972092149497</v>
      </c>
      <c r="J42" s="13">
        <f t="shared" si="8"/>
        <v>0.18693715115186871</v>
      </c>
      <c r="K42" s="13">
        <f t="shared" si="8"/>
        <v>0.18948458138224245</v>
      </c>
      <c r="L42" s="13">
        <f t="shared" si="8"/>
        <v>0.19203201161261618</v>
      </c>
      <c r="M42" s="13">
        <f t="shared" si="8"/>
        <v>0.19457944184298992</v>
      </c>
      <c r="N42" s="13">
        <f t="shared" si="8"/>
        <v>0.19712687207336366</v>
      </c>
      <c r="O42" s="14">
        <f t="shared" si="8"/>
        <v>0.19967430230373739</v>
      </c>
      <c r="P42" s="11">
        <v>0.20222173253411124</v>
      </c>
      <c r="Q42" s="12">
        <f t="shared" ref="Q42:AI42" si="9">P42+($AJ42-$P42)/($AJ$37-$P$37)</f>
        <v>0.20411392708078616</v>
      </c>
      <c r="R42" s="13">
        <f t="shared" si="9"/>
        <v>0.20600612162746107</v>
      </c>
      <c r="S42" s="13">
        <f t="shared" si="9"/>
        <v>0.20789831617413598</v>
      </c>
      <c r="T42" s="13">
        <f t="shared" si="9"/>
        <v>0.2097905107208109</v>
      </c>
      <c r="U42" s="13">
        <f t="shared" si="9"/>
        <v>0.21168270526748581</v>
      </c>
      <c r="V42" s="13">
        <f t="shared" si="9"/>
        <v>0.21357489981416072</v>
      </c>
      <c r="W42" s="13">
        <f t="shared" si="9"/>
        <v>0.21546709436083564</v>
      </c>
      <c r="X42" s="13">
        <f t="shared" si="9"/>
        <v>0.21735928890751055</v>
      </c>
      <c r="Y42" s="13">
        <f t="shared" si="9"/>
        <v>0.21925148345418546</v>
      </c>
      <c r="Z42" s="13">
        <f t="shared" si="9"/>
        <v>0.22114367800086038</v>
      </c>
      <c r="AA42" s="13">
        <f t="shared" si="9"/>
        <v>0.22303587254753529</v>
      </c>
      <c r="AB42" s="13">
        <f t="shared" si="9"/>
        <v>0.2249280670942102</v>
      </c>
      <c r="AC42" s="13">
        <f t="shared" si="9"/>
        <v>0.22682026164088512</v>
      </c>
      <c r="AD42" s="13">
        <f t="shared" si="9"/>
        <v>0.22871245618756003</v>
      </c>
      <c r="AE42" s="13">
        <f t="shared" si="9"/>
        <v>0.23060465073423494</v>
      </c>
      <c r="AF42" s="13">
        <f t="shared" si="9"/>
        <v>0.23249684528090986</v>
      </c>
      <c r="AG42" s="13">
        <f t="shared" si="9"/>
        <v>0.23438903982758477</v>
      </c>
      <c r="AH42" s="13">
        <f t="shared" si="9"/>
        <v>0.23628123437425969</v>
      </c>
      <c r="AI42" s="14">
        <f t="shared" si="9"/>
        <v>0.2381734289209346</v>
      </c>
      <c r="AJ42" s="11">
        <v>0.24006562346760957</v>
      </c>
    </row>
    <row r="43" spans="1:37">
      <c r="A43" s="4" t="s">
        <v>4</v>
      </c>
      <c r="B43" s="4" t="s">
        <v>12</v>
      </c>
      <c r="C43" s="4" t="s">
        <v>6</v>
      </c>
      <c r="D43" s="10" t="s">
        <v>7</v>
      </c>
      <c r="E43" s="11">
        <v>6.5383999999999998E-2</v>
      </c>
      <c r="F43" s="12">
        <f t="shared" ref="F43:O43" si="10">E43+($P43-$E43)/($P$37-$E$37)</f>
        <v>6.3157491611444169E-2</v>
      </c>
      <c r="G43" s="13">
        <f t="shared" si="10"/>
        <v>6.0930983222888341E-2</v>
      </c>
      <c r="H43" s="13">
        <f t="shared" si="10"/>
        <v>5.8704474834332512E-2</v>
      </c>
      <c r="I43" s="13">
        <f t="shared" si="10"/>
        <v>5.6477966445776684E-2</v>
      </c>
      <c r="J43" s="13">
        <f t="shared" si="10"/>
        <v>5.4251458057220855E-2</v>
      </c>
      <c r="K43" s="13">
        <f t="shared" si="10"/>
        <v>5.2024949668665027E-2</v>
      </c>
      <c r="L43" s="13">
        <f t="shared" si="10"/>
        <v>4.9798441280109199E-2</v>
      </c>
      <c r="M43" s="13">
        <f t="shared" si="10"/>
        <v>4.757193289155337E-2</v>
      </c>
      <c r="N43" s="13">
        <f t="shared" si="10"/>
        <v>4.5345424502997542E-2</v>
      </c>
      <c r="O43" s="14">
        <f t="shared" si="10"/>
        <v>4.3118916114441713E-2</v>
      </c>
      <c r="P43" s="11">
        <v>4.0892407725885871E-2</v>
      </c>
      <c r="Q43" s="12">
        <f t="shared" ref="Q43:AI43" si="11">P43+($AJ43-$P43)/($AJ$37-$P$37)</f>
        <v>3.8847787339591579E-2</v>
      </c>
      <c r="R43" s="13">
        <f t="shared" si="11"/>
        <v>3.6803166953297287E-2</v>
      </c>
      <c r="S43" s="13">
        <f t="shared" si="11"/>
        <v>3.4758546567002994E-2</v>
      </c>
      <c r="T43" s="13">
        <f t="shared" si="11"/>
        <v>3.2713926180708702E-2</v>
      </c>
      <c r="U43" s="13">
        <f t="shared" si="11"/>
        <v>3.066930579441441E-2</v>
      </c>
      <c r="V43" s="13">
        <f t="shared" si="11"/>
        <v>2.8624685408120118E-2</v>
      </c>
      <c r="W43" s="13">
        <f t="shared" si="11"/>
        <v>2.6580065021825826E-2</v>
      </c>
      <c r="X43" s="13">
        <f t="shared" si="11"/>
        <v>2.4535444635531534E-2</v>
      </c>
      <c r="Y43" s="13">
        <f t="shared" si="11"/>
        <v>2.2490824249237241E-2</v>
      </c>
      <c r="Z43" s="13">
        <f t="shared" si="11"/>
        <v>2.0446203862942949E-2</v>
      </c>
      <c r="AA43" s="13">
        <f t="shared" si="11"/>
        <v>1.8401583476648657E-2</v>
      </c>
      <c r="AB43" s="13">
        <f t="shared" si="11"/>
        <v>1.6356963090354365E-2</v>
      </c>
      <c r="AC43" s="13">
        <f t="shared" si="11"/>
        <v>1.4312342704060071E-2</v>
      </c>
      <c r="AD43" s="13">
        <f t="shared" si="11"/>
        <v>1.2267722317765777E-2</v>
      </c>
      <c r="AE43" s="13">
        <f t="shared" si="11"/>
        <v>1.0223101931471483E-2</v>
      </c>
      <c r="AF43" s="13">
        <f t="shared" si="11"/>
        <v>8.1784815451771894E-3</v>
      </c>
      <c r="AG43" s="13">
        <f t="shared" si="11"/>
        <v>6.1338611588828956E-3</v>
      </c>
      <c r="AH43" s="13">
        <f t="shared" si="11"/>
        <v>4.0892407725886017E-3</v>
      </c>
      <c r="AI43" s="14">
        <f t="shared" si="11"/>
        <v>2.0446203862943082E-3</v>
      </c>
      <c r="AJ43" s="11">
        <v>0</v>
      </c>
    </row>
    <row r="44" spans="1:37">
      <c r="A44" s="4" t="s">
        <v>4</v>
      </c>
      <c r="B44" s="4" t="s">
        <v>13</v>
      </c>
      <c r="C44" s="4" t="s">
        <v>6</v>
      </c>
      <c r="D44" s="10" t="s">
        <v>7</v>
      </c>
      <c r="E44" s="11">
        <v>3.0000000000000001E-3</v>
      </c>
      <c r="F44" s="12">
        <f t="shared" ref="F44:O44" si="12">E44+($P44-$E44)/($P$37-$E$37)</f>
        <v>3.0493986900423826E-3</v>
      </c>
      <c r="G44" s="13">
        <f t="shared" si="12"/>
        <v>3.0987973800847652E-3</v>
      </c>
      <c r="H44" s="13">
        <f t="shared" si="12"/>
        <v>3.1481960701271478E-3</v>
      </c>
      <c r="I44" s="13">
        <f t="shared" si="12"/>
        <v>3.1975947601695304E-3</v>
      </c>
      <c r="J44" s="13">
        <f t="shared" si="12"/>
        <v>3.246993450211913E-3</v>
      </c>
      <c r="K44" s="13">
        <f t="shared" si="12"/>
        <v>3.2963921402542956E-3</v>
      </c>
      <c r="L44" s="13">
        <f t="shared" si="12"/>
        <v>3.3457908302966782E-3</v>
      </c>
      <c r="M44" s="13">
        <f t="shared" si="12"/>
        <v>3.3951895203390607E-3</v>
      </c>
      <c r="N44" s="13">
        <f t="shared" si="12"/>
        <v>3.4445882103814433E-3</v>
      </c>
      <c r="O44" s="14">
        <f t="shared" si="12"/>
        <v>3.4939869004238259E-3</v>
      </c>
      <c r="P44" s="11">
        <v>3.5433855904662094E-3</v>
      </c>
      <c r="Q44" s="12">
        <f t="shared" ref="Q44:AI44" si="13">P44+($AJ44-$P44)/($AJ$37-$P$37)</f>
        <v>3.589868845703924E-3</v>
      </c>
      <c r="R44" s="13">
        <f t="shared" si="13"/>
        <v>3.6363521009416385E-3</v>
      </c>
      <c r="S44" s="13">
        <f t="shared" si="13"/>
        <v>3.6828353561793531E-3</v>
      </c>
      <c r="T44" s="13">
        <f t="shared" si="13"/>
        <v>3.7293186114170677E-3</v>
      </c>
      <c r="U44" s="13">
        <f t="shared" si="13"/>
        <v>3.7758018666547823E-3</v>
      </c>
      <c r="V44" s="13">
        <f t="shared" si="13"/>
        <v>3.8222851218924969E-3</v>
      </c>
      <c r="W44" s="13">
        <f t="shared" si="13"/>
        <v>3.8687683771302115E-3</v>
      </c>
      <c r="X44" s="13">
        <f t="shared" si="13"/>
        <v>3.9152516323679261E-3</v>
      </c>
      <c r="Y44" s="13">
        <f t="shared" si="13"/>
        <v>3.9617348876056406E-3</v>
      </c>
      <c r="Z44" s="13">
        <f t="shared" si="13"/>
        <v>4.0082181428433552E-3</v>
      </c>
      <c r="AA44" s="13">
        <f t="shared" si="13"/>
        <v>4.0547013980810698E-3</v>
      </c>
      <c r="AB44" s="13">
        <f t="shared" si="13"/>
        <v>4.1011846533187844E-3</v>
      </c>
      <c r="AC44" s="13">
        <f t="shared" si="13"/>
        <v>4.147667908556499E-3</v>
      </c>
      <c r="AD44" s="13">
        <f t="shared" si="13"/>
        <v>4.1941511637942136E-3</v>
      </c>
      <c r="AE44" s="13">
        <f t="shared" si="13"/>
        <v>4.2406344190319281E-3</v>
      </c>
      <c r="AF44" s="13">
        <f t="shared" si="13"/>
        <v>4.2871176742696427E-3</v>
      </c>
      <c r="AG44" s="13">
        <f t="shared" si="13"/>
        <v>4.3336009295073573E-3</v>
      </c>
      <c r="AH44" s="13">
        <f t="shared" si="13"/>
        <v>4.3800841847450719E-3</v>
      </c>
      <c r="AI44" s="14">
        <f t="shared" si="13"/>
        <v>4.4265674399827865E-3</v>
      </c>
      <c r="AJ44" s="11">
        <v>4.4730506952205019E-3</v>
      </c>
    </row>
    <row r="45" spans="1:37">
      <c r="A45" s="4" t="s">
        <v>4</v>
      </c>
      <c r="B45" s="4" t="s">
        <v>14</v>
      </c>
      <c r="C45" s="4" t="s">
        <v>6</v>
      </c>
      <c r="D45" s="10" t="s">
        <v>7</v>
      </c>
      <c r="E45" s="15"/>
      <c r="F45" s="12">
        <f t="shared" ref="F45:O45" si="14">E45+($P45-$E45)/($P$37-$E$37)</f>
        <v>0</v>
      </c>
      <c r="G45" s="13">
        <f t="shared" si="14"/>
        <v>0</v>
      </c>
      <c r="H45" s="13">
        <f t="shared" si="14"/>
        <v>0</v>
      </c>
      <c r="I45" s="13">
        <f t="shared" si="14"/>
        <v>0</v>
      </c>
      <c r="J45" s="13">
        <f t="shared" si="14"/>
        <v>0</v>
      </c>
      <c r="K45" s="13">
        <f t="shared" si="14"/>
        <v>0</v>
      </c>
      <c r="L45" s="13">
        <f t="shared" si="14"/>
        <v>0</v>
      </c>
      <c r="M45" s="13">
        <f t="shared" si="14"/>
        <v>0</v>
      </c>
      <c r="N45" s="13">
        <f t="shared" si="14"/>
        <v>0</v>
      </c>
      <c r="O45" s="14">
        <f t="shared" si="14"/>
        <v>0</v>
      </c>
      <c r="P45" s="16"/>
      <c r="Q45" s="12">
        <f t="shared" ref="Q45:AI45" si="15">P45+($AJ45-$P45)/($AJ$37-$P$37)</f>
        <v>0</v>
      </c>
      <c r="R45" s="13">
        <f t="shared" si="15"/>
        <v>0</v>
      </c>
      <c r="S45" s="13">
        <f t="shared" si="15"/>
        <v>0</v>
      </c>
      <c r="T45" s="13">
        <f t="shared" si="15"/>
        <v>0</v>
      </c>
      <c r="U45" s="13">
        <f t="shared" si="15"/>
        <v>0</v>
      </c>
      <c r="V45" s="13">
        <f t="shared" si="15"/>
        <v>0</v>
      </c>
      <c r="W45" s="13">
        <f t="shared" si="15"/>
        <v>0</v>
      </c>
      <c r="X45" s="13">
        <f t="shared" si="15"/>
        <v>0</v>
      </c>
      <c r="Y45" s="13">
        <f t="shared" si="15"/>
        <v>0</v>
      </c>
      <c r="Z45" s="13">
        <f t="shared" si="15"/>
        <v>0</v>
      </c>
      <c r="AA45" s="13">
        <f t="shared" si="15"/>
        <v>0</v>
      </c>
      <c r="AB45" s="13">
        <f t="shared" si="15"/>
        <v>0</v>
      </c>
      <c r="AC45" s="13">
        <f t="shared" si="15"/>
        <v>0</v>
      </c>
      <c r="AD45" s="13">
        <f t="shared" si="15"/>
        <v>0</v>
      </c>
      <c r="AE45" s="13">
        <f t="shared" si="15"/>
        <v>0</v>
      </c>
      <c r="AF45" s="13">
        <f t="shared" si="15"/>
        <v>0</v>
      </c>
      <c r="AG45" s="13">
        <f t="shared" si="15"/>
        <v>0</v>
      </c>
      <c r="AH45" s="13">
        <f t="shared" si="15"/>
        <v>0</v>
      </c>
      <c r="AI45" s="14">
        <f t="shared" si="15"/>
        <v>0</v>
      </c>
      <c r="AJ45" s="16"/>
    </row>
    <row r="46" spans="1:37">
      <c r="A46" s="4" t="s">
        <v>4</v>
      </c>
      <c r="B46" s="4" t="s">
        <v>15</v>
      </c>
      <c r="C46" s="4" t="s">
        <v>6</v>
      </c>
      <c r="D46" s="10" t="s">
        <v>7</v>
      </c>
      <c r="E46" s="15"/>
      <c r="F46" s="12">
        <f t="shared" ref="F46:O46" si="16">E46+($P46-$E46)/($P$37-$E$37)</f>
        <v>0</v>
      </c>
      <c r="G46" s="13">
        <f t="shared" si="16"/>
        <v>0</v>
      </c>
      <c r="H46" s="13">
        <f t="shared" si="16"/>
        <v>0</v>
      </c>
      <c r="I46" s="13">
        <f t="shared" si="16"/>
        <v>0</v>
      </c>
      <c r="J46" s="13">
        <f t="shared" si="16"/>
        <v>0</v>
      </c>
      <c r="K46" s="13">
        <f t="shared" si="16"/>
        <v>0</v>
      </c>
      <c r="L46" s="13">
        <f t="shared" si="16"/>
        <v>0</v>
      </c>
      <c r="M46" s="13">
        <f t="shared" si="16"/>
        <v>0</v>
      </c>
      <c r="N46" s="13">
        <f t="shared" si="16"/>
        <v>0</v>
      </c>
      <c r="O46" s="14">
        <f t="shared" si="16"/>
        <v>0</v>
      </c>
      <c r="P46" s="16"/>
      <c r="Q46" s="12">
        <f t="shared" ref="Q46:AI46" si="17">P46+($AJ46-$P46)/($AJ$37-$P$37)</f>
        <v>0</v>
      </c>
      <c r="R46" s="13">
        <f t="shared" si="17"/>
        <v>0</v>
      </c>
      <c r="S46" s="13">
        <f t="shared" si="17"/>
        <v>0</v>
      </c>
      <c r="T46" s="13">
        <f t="shared" si="17"/>
        <v>0</v>
      </c>
      <c r="U46" s="13">
        <f t="shared" si="17"/>
        <v>0</v>
      </c>
      <c r="V46" s="13">
        <f t="shared" si="17"/>
        <v>0</v>
      </c>
      <c r="W46" s="13">
        <f t="shared" si="17"/>
        <v>0</v>
      </c>
      <c r="X46" s="13">
        <f t="shared" si="17"/>
        <v>0</v>
      </c>
      <c r="Y46" s="13">
        <f t="shared" si="17"/>
        <v>0</v>
      </c>
      <c r="Z46" s="13">
        <f t="shared" si="17"/>
        <v>0</v>
      </c>
      <c r="AA46" s="13">
        <f t="shared" si="17"/>
        <v>0</v>
      </c>
      <c r="AB46" s="13">
        <f t="shared" si="17"/>
        <v>0</v>
      </c>
      <c r="AC46" s="13">
        <f t="shared" si="17"/>
        <v>0</v>
      </c>
      <c r="AD46" s="13">
        <f t="shared" si="17"/>
        <v>0</v>
      </c>
      <c r="AE46" s="13">
        <f t="shared" si="17"/>
        <v>0</v>
      </c>
      <c r="AF46" s="13">
        <f t="shared" si="17"/>
        <v>0</v>
      </c>
      <c r="AG46" s="13">
        <f t="shared" si="17"/>
        <v>0</v>
      </c>
      <c r="AH46" s="13">
        <f t="shared" si="17"/>
        <v>0</v>
      </c>
      <c r="AI46" s="14">
        <f t="shared" si="17"/>
        <v>0</v>
      </c>
      <c r="AJ46" s="16"/>
    </row>
    <row r="47" spans="1:37">
      <c r="A47" s="4" t="s">
        <v>4</v>
      </c>
      <c r="B47" s="4" t="s">
        <v>16</v>
      </c>
      <c r="C47" s="4" t="s">
        <v>6</v>
      </c>
      <c r="D47" s="10" t="s">
        <v>7</v>
      </c>
      <c r="E47" s="15"/>
      <c r="F47" s="12">
        <f t="shared" ref="F47:O47" si="18">E47+($P47-$E47)/($P$37-$E$37)</f>
        <v>0</v>
      </c>
      <c r="G47" s="13">
        <f t="shared" si="18"/>
        <v>0</v>
      </c>
      <c r="H47" s="13">
        <f t="shared" si="18"/>
        <v>0</v>
      </c>
      <c r="I47" s="13">
        <f t="shared" si="18"/>
        <v>0</v>
      </c>
      <c r="J47" s="13">
        <f t="shared" si="18"/>
        <v>0</v>
      </c>
      <c r="K47" s="13">
        <f t="shared" si="18"/>
        <v>0</v>
      </c>
      <c r="L47" s="13">
        <f t="shared" si="18"/>
        <v>0</v>
      </c>
      <c r="M47" s="13">
        <f t="shared" si="18"/>
        <v>0</v>
      </c>
      <c r="N47" s="13">
        <f t="shared" si="18"/>
        <v>0</v>
      </c>
      <c r="O47" s="14">
        <f t="shared" si="18"/>
        <v>0</v>
      </c>
      <c r="P47" s="15"/>
      <c r="Q47" s="12">
        <f t="shared" ref="Q47:AI47" si="19">P47+($AJ47-$P47)/($AJ$37-$P$37)</f>
        <v>0</v>
      </c>
      <c r="R47" s="13">
        <f t="shared" si="19"/>
        <v>0</v>
      </c>
      <c r="S47" s="13">
        <f t="shared" si="19"/>
        <v>0</v>
      </c>
      <c r="T47" s="13">
        <f t="shared" si="19"/>
        <v>0</v>
      </c>
      <c r="U47" s="13">
        <f t="shared" si="19"/>
        <v>0</v>
      </c>
      <c r="V47" s="13">
        <f t="shared" si="19"/>
        <v>0</v>
      </c>
      <c r="W47" s="13">
        <f t="shared" si="19"/>
        <v>0</v>
      </c>
      <c r="X47" s="13">
        <f t="shared" si="19"/>
        <v>0</v>
      </c>
      <c r="Y47" s="13">
        <f t="shared" si="19"/>
        <v>0</v>
      </c>
      <c r="Z47" s="13">
        <f t="shared" si="19"/>
        <v>0</v>
      </c>
      <c r="AA47" s="13">
        <f t="shared" si="19"/>
        <v>0</v>
      </c>
      <c r="AB47" s="13">
        <f t="shared" si="19"/>
        <v>0</v>
      </c>
      <c r="AC47" s="13">
        <f t="shared" si="19"/>
        <v>0</v>
      </c>
      <c r="AD47" s="13">
        <f t="shared" si="19"/>
        <v>0</v>
      </c>
      <c r="AE47" s="13">
        <f t="shared" si="19"/>
        <v>0</v>
      </c>
      <c r="AF47" s="13">
        <f t="shared" si="19"/>
        <v>0</v>
      </c>
      <c r="AG47" s="13">
        <f t="shared" si="19"/>
        <v>0</v>
      </c>
      <c r="AH47" s="13">
        <f t="shared" si="19"/>
        <v>0</v>
      </c>
      <c r="AI47" s="14">
        <f t="shared" si="19"/>
        <v>0</v>
      </c>
      <c r="AJ47" s="15"/>
    </row>
    <row r="48" spans="1:37" ht="17" thickBot="1">
      <c r="A48" s="4" t="s">
        <v>4</v>
      </c>
      <c r="B48" s="4" t="s">
        <v>17</v>
      </c>
      <c r="C48" s="4" t="s">
        <v>6</v>
      </c>
      <c r="D48" s="10" t="s">
        <v>7</v>
      </c>
      <c r="E48" s="17">
        <v>1.0120000000000001E-3</v>
      </c>
      <c r="F48" s="12">
        <f t="shared" ref="F48:O48" si="20">E48+($P48-$E48)/($P$37-$E$37)</f>
        <v>1.0069048666084548E-3</v>
      </c>
      <c r="G48" s="13">
        <f t="shared" si="20"/>
        <v>1.0018097332169095E-3</v>
      </c>
      <c r="H48" s="13">
        <f t="shared" si="20"/>
        <v>9.9671459982536418E-4</v>
      </c>
      <c r="I48" s="13">
        <f t="shared" si="20"/>
        <v>9.9161946643381888E-4</v>
      </c>
      <c r="J48" s="13">
        <f t="shared" si="20"/>
        <v>9.8652433304227357E-4</v>
      </c>
      <c r="K48" s="13">
        <f t="shared" si="20"/>
        <v>9.8142919965072827E-4</v>
      </c>
      <c r="L48" s="13">
        <f t="shared" si="20"/>
        <v>9.7633406625918296E-4</v>
      </c>
      <c r="M48" s="13">
        <f t="shared" si="20"/>
        <v>9.7123893286763766E-4</v>
      </c>
      <c r="N48" s="13">
        <f t="shared" si="20"/>
        <v>9.6614379947609235E-4</v>
      </c>
      <c r="O48" s="14">
        <f t="shared" si="20"/>
        <v>9.6104866608454705E-4</v>
      </c>
      <c r="P48" s="17">
        <v>9.559535326930012E-4</v>
      </c>
      <c r="Q48" s="12">
        <f t="shared" ref="Q48:AI48" si="21">P48+($AJ48-$P48)/($AJ$37-$P$37)</f>
        <v>9.5115910624755896E-4</v>
      </c>
      <c r="R48" s="13">
        <f t="shared" si="21"/>
        <v>9.4636467980211672E-4</v>
      </c>
      <c r="S48" s="13">
        <f t="shared" si="21"/>
        <v>9.4157025335667448E-4</v>
      </c>
      <c r="T48" s="13">
        <f t="shared" si="21"/>
        <v>9.3677582691123224E-4</v>
      </c>
      <c r="U48" s="13">
        <f t="shared" si="21"/>
        <v>9.3198140046579E-4</v>
      </c>
      <c r="V48" s="13">
        <f t="shared" si="21"/>
        <v>9.2718697402034776E-4</v>
      </c>
      <c r="W48" s="13">
        <f t="shared" si="21"/>
        <v>9.2239254757490552E-4</v>
      </c>
      <c r="X48" s="13">
        <f t="shared" si="21"/>
        <v>9.1759812112946328E-4</v>
      </c>
      <c r="Y48" s="13">
        <f t="shared" si="21"/>
        <v>9.1280369468402104E-4</v>
      </c>
      <c r="Z48" s="13">
        <f t="shared" si="21"/>
        <v>9.080092682385788E-4</v>
      </c>
      <c r="AA48" s="13">
        <f t="shared" si="21"/>
        <v>9.0321484179313656E-4</v>
      </c>
      <c r="AB48" s="13">
        <f t="shared" si="21"/>
        <v>8.9842041534769432E-4</v>
      </c>
      <c r="AC48" s="13">
        <f t="shared" si="21"/>
        <v>8.9362598890225207E-4</v>
      </c>
      <c r="AD48" s="13">
        <f t="shared" si="21"/>
        <v>8.8883156245680983E-4</v>
      </c>
      <c r="AE48" s="13">
        <f t="shared" si="21"/>
        <v>8.8403713601136759E-4</v>
      </c>
      <c r="AF48" s="13">
        <f t="shared" si="21"/>
        <v>8.7924270956592535E-4</v>
      </c>
      <c r="AG48" s="13">
        <f t="shared" si="21"/>
        <v>8.7444828312048311E-4</v>
      </c>
      <c r="AH48" s="13">
        <f t="shared" si="21"/>
        <v>8.6965385667504087E-4</v>
      </c>
      <c r="AI48" s="14">
        <f t="shared" si="21"/>
        <v>8.6485943022959863E-4</v>
      </c>
      <c r="AJ48" s="17">
        <v>8.6006500378415607E-4</v>
      </c>
    </row>
    <row r="49" spans="1:36">
      <c r="A49" s="3" t="s">
        <v>18</v>
      </c>
      <c r="B49" s="3" t="s">
        <v>5</v>
      </c>
    </row>
    <row r="50" spans="1:36">
      <c r="A50" s="3" t="s">
        <v>18</v>
      </c>
      <c r="B50" s="3" t="s">
        <v>8</v>
      </c>
    </row>
    <row r="51" spans="1:36">
      <c r="A51" s="3" t="s">
        <v>18</v>
      </c>
      <c r="B51" t="s">
        <v>9</v>
      </c>
      <c r="E51" s="18"/>
      <c r="P51" s="18"/>
      <c r="AJ51" s="18"/>
    </row>
    <row r="52" spans="1:36">
      <c r="A52" s="3" t="s">
        <v>18</v>
      </c>
      <c r="B52" t="s">
        <v>10</v>
      </c>
    </row>
    <row r="53" spans="1:36">
      <c r="A53" s="3" t="s">
        <v>18</v>
      </c>
      <c r="B53" t="s">
        <v>11</v>
      </c>
    </row>
    <row r="54" spans="1:36">
      <c r="A54" s="3" t="s">
        <v>18</v>
      </c>
      <c r="B54" s="3" t="s">
        <v>12</v>
      </c>
    </row>
    <row r="55" spans="1:36">
      <c r="A55" s="3" t="s">
        <v>18</v>
      </c>
      <c r="B55" s="3" t="s">
        <v>13</v>
      </c>
    </row>
    <row r="56" spans="1:36">
      <c r="A56" s="3" t="s">
        <v>18</v>
      </c>
      <c r="B56" t="s">
        <v>14</v>
      </c>
    </row>
    <row r="57" spans="1:36">
      <c r="A57" s="3" t="s">
        <v>18</v>
      </c>
      <c r="B57" t="s">
        <v>15</v>
      </c>
    </row>
    <row r="58" spans="1:36">
      <c r="A58" s="3" t="s">
        <v>18</v>
      </c>
      <c r="B58" t="s">
        <v>16</v>
      </c>
    </row>
    <row r="59" spans="1:36">
      <c r="A59" s="3" t="s">
        <v>18</v>
      </c>
      <c r="B59" s="3" t="s">
        <v>17</v>
      </c>
    </row>
    <row r="60" spans="1:36">
      <c r="A60" s="3" t="s">
        <v>19</v>
      </c>
      <c r="B60" s="3" t="s">
        <v>5</v>
      </c>
    </row>
    <row r="61" spans="1:36">
      <c r="A61" s="3" t="s">
        <v>19</v>
      </c>
      <c r="B61" s="3" t="s">
        <v>8</v>
      </c>
    </row>
    <row r="62" spans="1:36">
      <c r="A62" s="3" t="s">
        <v>19</v>
      </c>
      <c r="B62" t="s">
        <v>9</v>
      </c>
    </row>
    <row r="63" spans="1:36">
      <c r="A63" s="3" t="s">
        <v>19</v>
      </c>
      <c r="B63" t="s">
        <v>10</v>
      </c>
    </row>
    <row r="64" spans="1:36">
      <c r="A64" s="3" t="s">
        <v>19</v>
      </c>
      <c r="B64" t="s">
        <v>11</v>
      </c>
    </row>
    <row r="65" spans="1:36">
      <c r="A65" s="3" t="s">
        <v>19</v>
      </c>
      <c r="B65" s="3" t="s">
        <v>12</v>
      </c>
    </row>
    <row r="66" spans="1:36">
      <c r="A66" s="3" t="s">
        <v>19</v>
      </c>
      <c r="B66" t="s">
        <v>14</v>
      </c>
    </row>
    <row r="67" spans="1:36">
      <c r="A67" s="3" t="s">
        <v>19</v>
      </c>
      <c r="B67" t="s">
        <v>15</v>
      </c>
    </row>
    <row r="68" spans="1:36">
      <c r="A68" s="3" t="s">
        <v>19</v>
      </c>
      <c r="B68" t="s">
        <v>16</v>
      </c>
    </row>
    <row r="69" spans="1:36">
      <c r="A69" s="3" t="s">
        <v>19</v>
      </c>
      <c r="B69" s="3" t="s">
        <v>13</v>
      </c>
    </row>
    <row r="70" spans="1:36">
      <c r="A70" s="3" t="s">
        <v>19</v>
      </c>
      <c r="B70" s="3" t="s">
        <v>17</v>
      </c>
    </row>
    <row r="71" spans="1:36">
      <c r="D71" s="19" t="s">
        <v>21</v>
      </c>
      <c r="E71" s="18" t="e">
        <f t="shared" ref="E71:AJ71" si="22">E2/E38</f>
        <v>#REF!</v>
      </c>
      <c r="F71" s="18" t="e">
        <f t="shared" si="22"/>
        <v>#REF!</v>
      </c>
      <c r="G71" s="18" t="e">
        <f t="shared" si="22"/>
        <v>#REF!</v>
      </c>
      <c r="H71" s="18" t="e">
        <f t="shared" si="22"/>
        <v>#REF!</v>
      </c>
      <c r="I71" s="18" t="e">
        <f t="shared" si="22"/>
        <v>#REF!</v>
      </c>
      <c r="J71" s="18" t="e">
        <f t="shared" si="22"/>
        <v>#REF!</v>
      </c>
      <c r="K71" s="18" t="e">
        <f t="shared" si="22"/>
        <v>#REF!</v>
      </c>
      <c r="L71" s="18" t="e">
        <f t="shared" si="22"/>
        <v>#REF!</v>
      </c>
      <c r="M71" s="18" t="e">
        <f t="shared" si="22"/>
        <v>#REF!</v>
      </c>
      <c r="N71" s="18" t="e">
        <f t="shared" si="22"/>
        <v>#REF!</v>
      </c>
      <c r="O71" s="18" t="e">
        <f t="shared" si="22"/>
        <v>#REF!</v>
      </c>
      <c r="P71" s="18" t="e">
        <f t="shared" si="22"/>
        <v>#N/A</v>
      </c>
      <c r="Q71" s="18" t="e">
        <f t="shared" si="22"/>
        <v>#N/A</v>
      </c>
      <c r="R71" s="18" t="e">
        <f t="shared" si="22"/>
        <v>#N/A</v>
      </c>
      <c r="S71" s="18" t="e">
        <f t="shared" si="22"/>
        <v>#N/A</v>
      </c>
      <c r="T71" s="18" t="e">
        <f t="shared" si="22"/>
        <v>#N/A</v>
      </c>
      <c r="U71" s="18" t="e">
        <f t="shared" si="22"/>
        <v>#N/A</v>
      </c>
      <c r="V71" s="18" t="e">
        <f t="shared" si="22"/>
        <v>#N/A</v>
      </c>
      <c r="W71" s="18" t="e">
        <f t="shared" si="22"/>
        <v>#N/A</v>
      </c>
      <c r="X71" s="18" t="e">
        <f t="shared" si="22"/>
        <v>#N/A</v>
      </c>
      <c r="Y71" s="18" t="e">
        <f t="shared" si="22"/>
        <v>#N/A</v>
      </c>
      <c r="Z71" s="18" t="e">
        <f t="shared" si="22"/>
        <v>#N/A</v>
      </c>
      <c r="AA71" s="18" t="e">
        <f t="shared" si="22"/>
        <v>#N/A</v>
      </c>
      <c r="AB71" s="18" t="e">
        <f t="shared" si="22"/>
        <v>#N/A</v>
      </c>
      <c r="AC71" s="18" t="e">
        <f t="shared" si="22"/>
        <v>#N/A</v>
      </c>
      <c r="AD71" s="18" t="e">
        <f t="shared" si="22"/>
        <v>#N/A</v>
      </c>
      <c r="AE71" s="18" t="e">
        <f t="shared" si="22"/>
        <v>#N/A</v>
      </c>
      <c r="AF71" s="18" t="e">
        <f t="shared" si="22"/>
        <v>#N/A</v>
      </c>
      <c r="AG71" s="18" t="e">
        <f t="shared" si="22"/>
        <v>#N/A</v>
      </c>
      <c r="AH71" s="18" t="e">
        <f t="shared" si="22"/>
        <v>#N/A</v>
      </c>
      <c r="AI71" s="18" t="e">
        <f t="shared" si="22"/>
        <v>#N/A</v>
      </c>
      <c r="AJ71" s="18" t="e">
        <f t="shared" si="22"/>
        <v>#N/A</v>
      </c>
    </row>
    <row r="72" spans="1:36">
      <c r="D72" s="19" t="s">
        <v>22</v>
      </c>
    </row>
    <row r="73" spans="1:36">
      <c r="D73" s="19" t="s">
        <v>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1639-3960-6D46-9A46-CDD4E09DAC21}">
  <dimension ref="A1:AV73"/>
  <sheetViews>
    <sheetView zoomScaleNormal="100" workbookViewId="0">
      <pane xSplit="4" ySplit="1" topLeftCell="E33" activePane="bottomRight" state="frozen"/>
      <selection pane="topRight" activeCell="E1" sqref="E1"/>
      <selection pane="bottomLeft" activeCell="A2" sqref="A2"/>
      <selection pane="bottomRight" activeCell="E61" sqref="E61"/>
    </sheetView>
  </sheetViews>
  <sheetFormatPr baseColWidth="10" defaultRowHeight="16"/>
  <cols>
    <col min="3" max="3" width="8.33203125" bestFit="1" customWidth="1"/>
    <col min="4" max="4" width="11" bestFit="1" customWidth="1"/>
    <col min="5" max="14" width="7.6640625" customWidth="1"/>
    <col min="15" max="15" width="6.6640625" bestFit="1" customWidth="1"/>
    <col min="16" max="19" width="5.6640625" bestFit="1" customWidth="1"/>
    <col min="20" max="20" width="6" bestFit="1" customWidth="1"/>
    <col min="21" max="45" width="5.6640625" bestFit="1" customWidth="1"/>
  </cols>
  <sheetData>
    <row r="1" spans="1:48" ht="17" thickBot="1">
      <c r="A1" s="1"/>
      <c r="B1" s="2" t="s">
        <v>1</v>
      </c>
      <c r="C1" s="2" t="s">
        <v>2</v>
      </c>
      <c r="D1" s="7" t="s">
        <v>3</v>
      </c>
      <c r="E1" s="164">
        <v>2010</v>
      </c>
      <c r="F1" s="165">
        <v>2011</v>
      </c>
      <c r="G1" s="165">
        <v>2012</v>
      </c>
      <c r="H1" s="165">
        <v>2013</v>
      </c>
      <c r="I1" s="165">
        <v>2014</v>
      </c>
      <c r="J1" s="165">
        <v>2015</v>
      </c>
      <c r="K1" s="165">
        <v>2016</v>
      </c>
      <c r="L1" s="165">
        <v>2017</v>
      </c>
      <c r="M1" s="165">
        <v>2018</v>
      </c>
      <c r="N1" s="165">
        <v>2019</v>
      </c>
      <c r="O1" s="165">
        <v>2020</v>
      </c>
      <c r="P1" s="165">
        <v>2021</v>
      </c>
      <c r="Q1" s="165">
        <v>2022</v>
      </c>
      <c r="R1" s="165">
        <v>2023</v>
      </c>
      <c r="S1" s="166">
        <v>2024</v>
      </c>
      <c r="T1" s="178">
        <v>2025</v>
      </c>
      <c r="U1" s="179">
        <v>2026</v>
      </c>
      <c r="V1" s="179">
        <v>2027</v>
      </c>
      <c r="W1" s="179">
        <v>2028</v>
      </c>
      <c r="X1" s="179">
        <v>2029</v>
      </c>
      <c r="Y1" s="179">
        <v>2030</v>
      </c>
      <c r="Z1" s="179">
        <v>2031</v>
      </c>
      <c r="AA1" s="179">
        <v>2032</v>
      </c>
      <c r="AB1" s="179">
        <v>2033</v>
      </c>
      <c r="AC1" s="179">
        <v>2034</v>
      </c>
      <c r="AD1" s="179">
        <v>2035</v>
      </c>
      <c r="AE1" s="179">
        <v>2036</v>
      </c>
      <c r="AF1" s="179">
        <v>2037</v>
      </c>
      <c r="AG1" s="179">
        <v>2038</v>
      </c>
      <c r="AH1" s="179">
        <v>2039</v>
      </c>
      <c r="AI1" s="179">
        <v>2040</v>
      </c>
      <c r="AJ1" s="179">
        <v>2041</v>
      </c>
      <c r="AK1" s="179">
        <v>2042</v>
      </c>
      <c r="AL1" s="179">
        <v>2043</v>
      </c>
      <c r="AM1" s="179">
        <v>2044</v>
      </c>
      <c r="AN1" s="179">
        <v>2045</v>
      </c>
      <c r="AO1" s="179">
        <v>2046</v>
      </c>
      <c r="AP1" s="179">
        <v>2047</v>
      </c>
      <c r="AQ1" s="179">
        <v>2048</v>
      </c>
      <c r="AR1" s="179">
        <v>2049</v>
      </c>
      <c r="AS1" s="180">
        <v>2050</v>
      </c>
      <c r="AT1" s="25" t="s">
        <v>71</v>
      </c>
      <c r="AU1" s="25" t="s">
        <v>72</v>
      </c>
      <c r="AV1" s="25" t="s">
        <v>50</v>
      </c>
    </row>
    <row r="2" spans="1:48">
      <c r="A2" s="3" t="s">
        <v>4</v>
      </c>
      <c r="B2" s="3" t="s">
        <v>36</v>
      </c>
      <c r="C2" s="4" t="s">
        <v>53</v>
      </c>
      <c r="D2" s="42" t="s">
        <v>260</v>
      </c>
      <c r="E2" s="181">
        <f t="shared" ref="E2:M10" si="0">SUM(E13,E24)</f>
        <v>14.596192461659365</v>
      </c>
      <c r="F2" s="181">
        <f t="shared" si="0"/>
        <v>14.838968248239897</v>
      </c>
      <c r="G2" s="181">
        <f t="shared" si="0"/>
        <v>15.07484011911375</v>
      </c>
      <c r="H2" s="181">
        <f t="shared" si="0"/>
        <v>15.304069988710157</v>
      </c>
      <c r="I2" s="181">
        <f t="shared" si="0"/>
        <v>15.52744445003394</v>
      </c>
      <c r="J2" s="181">
        <f t="shared" si="0"/>
        <v>15.745237091085119</v>
      </c>
      <c r="K2" s="181">
        <f t="shared" si="0"/>
        <v>15.956710493562849</v>
      </c>
      <c r="L2" s="181">
        <f t="shared" si="0"/>
        <v>16.160459017631556</v>
      </c>
      <c r="M2" s="181">
        <f t="shared" si="0"/>
        <v>16.355218314481991</v>
      </c>
      <c r="N2" s="181">
        <f>SUM(N13,N24)</f>
        <v>16.539531693868739</v>
      </c>
      <c r="O2" s="181">
        <f t="shared" ref="O2:AS2" si="1">SUM(O13,O24)</f>
        <v>16.712147144325868</v>
      </c>
      <c r="P2" s="181">
        <f t="shared" si="1"/>
        <v>16.871914269021403</v>
      </c>
      <c r="Q2" s="181">
        <f t="shared" si="1"/>
        <v>17.018109423249676</v>
      </c>
      <c r="R2" s="181">
        <f t="shared" si="1"/>
        <v>17.150296866846219</v>
      </c>
      <c r="S2" s="182">
        <f t="shared" si="1"/>
        <v>17.268205534321265</v>
      </c>
      <c r="T2" s="183">
        <f t="shared" si="1"/>
        <v>17.224711918681901</v>
      </c>
      <c r="U2" s="183">
        <f t="shared" si="1"/>
        <v>17.159951702836548</v>
      </c>
      <c r="V2" s="183">
        <f t="shared" si="1"/>
        <v>17.07262955005465</v>
      </c>
      <c r="W2" s="183">
        <f t="shared" si="1"/>
        <v>16.961210265283782</v>
      </c>
      <c r="X2" s="183">
        <f t="shared" si="1"/>
        <v>16.824078641874006</v>
      </c>
      <c r="Y2" s="183">
        <f t="shared" si="1"/>
        <v>16.659931374822982</v>
      </c>
      <c r="Z2" s="183">
        <f t="shared" si="1"/>
        <v>16.467968265730015</v>
      </c>
      <c r="AA2" s="183">
        <f t="shared" si="1"/>
        <v>16.247729799519636</v>
      </c>
      <c r="AB2" s="183">
        <f t="shared" si="1"/>
        <v>15.998796640556012</v>
      </c>
      <c r="AC2" s="183">
        <f t="shared" si="1"/>
        <v>15.720957610784112</v>
      </c>
      <c r="AD2" s="183">
        <f t="shared" si="1"/>
        <v>15.416306868519275</v>
      </c>
      <c r="AE2" s="183">
        <f t="shared" si="1"/>
        <v>15.084551671313649</v>
      </c>
      <c r="AF2" s="183">
        <f t="shared" si="1"/>
        <v>14.72529767296837</v>
      </c>
      <c r="AG2" s="183">
        <f t="shared" si="1"/>
        <v>14.33828517310414</v>
      </c>
      <c r="AH2" s="183">
        <f t="shared" si="1"/>
        <v>13.923288230470915</v>
      </c>
      <c r="AI2" s="183">
        <f t="shared" si="1"/>
        <v>13.480129489588395</v>
      </c>
      <c r="AJ2" s="183">
        <f t="shared" si="1"/>
        <v>13.008642231020529</v>
      </c>
      <c r="AK2" s="183">
        <f t="shared" si="1"/>
        <v>12.508690097738413</v>
      </c>
      <c r="AL2" s="183">
        <f t="shared" si="1"/>
        <v>11.980156950368418</v>
      </c>
      <c r="AM2" s="183">
        <f t="shared" si="1"/>
        <v>11.422963974292983</v>
      </c>
      <c r="AN2" s="183">
        <f t="shared" si="1"/>
        <v>10.837118721677871</v>
      </c>
      <c r="AO2" s="183">
        <f t="shared" si="1"/>
        <v>10.22268692204676</v>
      </c>
      <c r="AP2" s="183">
        <f t="shared" si="1"/>
        <v>9.5798192320009541</v>
      </c>
      <c r="AQ2" s="183">
        <f t="shared" si="1"/>
        <v>8.9087346077361591</v>
      </c>
      <c r="AR2" s="183">
        <f t="shared" si="1"/>
        <v>8.2097043953669981</v>
      </c>
      <c r="AS2" s="184">
        <f t="shared" si="1"/>
        <v>7.4830211279999999</v>
      </c>
      <c r="AT2" s="18">
        <f>Y2-T2</f>
        <v>-0.56478054385891951</v>
      </c>
      <c r="AU2" s="18">
        <f>AI2-Y2</f>
        <v>-3.1798018852345873</v>
      </c>
    </row>
    <row r="3" spans="1:48">
      <c r="A3" s="3" t="s">
        <v>4</v>
      </c>
      <c r="B3" s="3" t="s">
        <v>8</v>
      </c>
      <c r="C3" s="4" t="s">
        <v>53</v>
      </c>
      <c r="D3" s="42" t="s">
        <v>260</v>
      </c>
      <c r="E3" s="185">
        <f t="shared" si="0"/>
        <v>3.9194128024707244</v>
      </c>
      <c r="F3" s="185">
        <f t="shared" si="0"/>
        <v>4.3632630411621891</v>
      </c>
      <c r="G3" s="185">
        <f t="shared" si="0"/>
        <v>4.8321664851468231</v>
      </c>
      <c r="H3" s="185">
        <f t="shared" si="0"/>
        <v>5.3272585921191826</v>
      </c>
      <c r="I3" s="185">
        <f t="shared" si="0"/>
        <v>5.8499011837861339</v>
      </c>
      <c r="J3" s="185">
        <f t="shared" si="0"/>
        <v>6.401435954750303</v>
      </c>
      <c r="K3" s="185">
        <f t="shared" si="0"/>
        <v>6.9829928827045986</v>
      </c>
      <c r="L3" s="185">
        <f t="shared" si="0"/>
        <v>7.5954556018271973</v>
      </c>
      <c r="M3" s="185">
        <f t="shared" si="0"/>
        <v>8.2396707099032263</v>
      </c>
      <c r="N3" s="185">
        <f t="shared" ref="N3:AS10" si="2">SUM(N14,N25)</f>
        <v>8.9163265487201127</v>
      </c>
      <c r="O3" s="185">
        <f t="shared" si="2"/>
        <v>9.6260829350963899</v>
      </c>
      <c r="P3" s="185">
        <f t="shared" si="2"/>
        <v>10.36966116458288</v>
      </c>
      <c r="Q3" s="185">
        <f t="shared" si="2"/>
        <v>11.147816986682104</v>
      </c>
      <c r="R3" s="185">
        <f t="shared" si="2"/>
        <v>11.961194026043261</v>
      </c>
      <c r="S3" s="186">
        <f t="shared" si="2"/>
        <v>12.810396812175124</v>
      </c>
      <c r="T3" s="187">
        <f t="shared" si="2"/>
        <v>13.772050673018528</v>
      </c>
      <c r="U3" s="187">
        <f t="shared" si="2"/>
        <v>14.770655326522181</v>
      </c>
      <c r="V3" s="187">
        <f t="shared" si="2"/>
        <v>15.806232916057812</v>
      </c>
      <c r="W3" s="187">
        <f t="shared" si="2"/>
        <v>16.878448552979329</v>
      </c>
      <c r="X3" s="187">
        <f t="shared" si="2"/>
        <v>17.986663024461294</v>
      </c>
      <c r="Y3" s="187">
        <f t="shared" si="2"/>
        <v>19.13014696976137</v>
      </c>
      <c r="Z3" s="187">
        <f t="shared" si="2"/>
        <v>20.308206781080482</v>
      </c>
      <c r="AA3" s="187">
        <f t="shared" si="2"/>
        <v>21.520183564298087</v>
      </c>
      <c r="AB3" s="187">
        <f t="shared" si="2"/>
        <v>22.765185202428945</v>
      </c>
      <c r="AC3" s="187">
        <f t="shared" si="2"/>
        <v>24.041998149863389</v>
      </c>
      <c r="AD3" s="187">
        <f t="shared" si="2"/>
        <v>25.3556663278221</v>
      </c>
      <c r="AE3" s="187">
        <f t="shared" si="2"/>
        <v>26.70535365540885</v>
      </c>
      <c r="AF3" s="187">
        <f t="shared" si="2"/>
        <v>28.090769130824182</v>
      </c>
      <c r="AG3" s="187">
        <f t="shared" si="2"/>
        <v>29.511751311224344</v>
      </c>
      <c r="AH3" s="187">
        <f t="shared" si="2"/>
        <v>30.968130594496689</v>
      </c>
      <c r="AI3" s="187">
        <f t="shared" si="2"/>
        <v>32.459671091158235</v>
      </c>
      <c r="AJ3" s="187">
        <f t="shared" si="2"/>
        <v>33.985961924528667</v>
      </c>
      <c r="AK3" s="187">
        <f t="shared" si="2"/>
        <v>35.546483770826661</v>
      </c>
      <c r="AL3" s="187">
        <f t="shared" si="2"/>
        <v>37.140664752999442</v>
      </c>
      <c r="AM3" s="187">
        <f t="shared" si="2"/>
        <v>38.767845293934982</v>
      </c>
      <c r="AN3" s="187">
        <f t="shared" si="2"/>
        <v>40.42732604236619</v>
      </c>
      <c r="AO3" s="187">
        <f t="shared" si="2"/>
        <v>42.118331303739339</v>
      </c>
      <c r="AP3" s="187">
        <f t="shared" si="2"/>
        <v>43.84005009173697</v>
      </c>
      <c r="AQ3" s="187">
        <f t="shared" si="2"/>
        <v>45.591674057874954</v>
      </c>
      <c r="AR3" s="187">
        <f t="shared" si="2"/>
        <v>47.372341833785704</v>
      </c>
      <c r="AS3" s="188">
        <f t="shared" si="2"/>
        <v>49.181114339999993</v>
      </c>
      <c r="AT3" s="18">
        <f t="shared" ref="AT3:AT34" si="3">Y3-T3</f>
        <v>5.3580962967428416</v>
      </c>
      <c r="AU3" s="18">
        <f t="shared" ref="AU3:AU34" si="4">AI3-Y3</f>
        <v>13.329524121396865</v>
      </c>
    </row>
    <row r="4" spans="1:48">
      <c r="A4" s="3" t="s">
        <v>4</v>
      </c>
      <c r="B4" t="s">
        <v>37</v>
      </c>
      <c r="C4" s="4" t="s">
        <v>53</v>
      </c>
      <c r="D4" s="42" t="s">
        <v>260</v>
      </c>
      <c r="E4" s="185">
        <f t="shared" si="0"/>
        <v>0</v>
      </c>
      <c r="F4" s="185">
        <f t="shared" si="0"/>
        <v>0</v>
      </c>
      <c r="G4" s="185">
        <f t="shared" si="0"/>
        <v>0</v>
      </c>
      <c r="H4" s="185">
        <f t="shared" si="0"/>
        <v>0</v>
      </c>
      <c r="I4" s="185">
        <f t="shared" si="0"/>
        <v>6.5779079503105985E-3</v>
      </c>
      <c r="J4" s="185">
        <f t="shared" si="0"/>
        <v>2.1719286521739843E-2</v>
      </c>
      <c r="K4" s="185">
        <f t="shared" si="0"/>
        <v>3.8255340000001442E-2</v>
      </c>
      <c r="L4" s="185">
        <f t="shared" si="0"/>
        <v>5.6266175465840756E-2</v>
      </c>
      <c r="M4" s="185">
        <f t="shared" si="0"/>
        <v>7.5832958074537285E-2</v>
      </c>
      <c r="N4" s="185">
        <f t="shared" si="2"/>
        <v>9.7036486770190403E-2</v>
      </c>
      <c r="O4" s="185">
        <f t="shared" si="2"/>
        <v>0.11995749142857652</v>
      </c>
      <c r="P4" s="185">
        <f t="shared" si="2"/>
        <v>0.14467838068323105</v>
      </c>
      <c r="Q4" s="185">
        <f t="shared" si="2"/>
        <v>0.17128224055900845</v>
      </c>
      <c r="R4" s="185">
        <f t="shared" si="2"/>
        <v>0.19984912453416476</v>
      </c>
      <c r="S4" s="186">
        <f t="shared" si="2"/>
        <v>0.23045631099379324</v>
      </c>
      <c r="T4" s="187">
        <f t="shared" si="2"/>
        <v>0.26144476148829876</v>
      </c>
      <c r="U4" s="187">
        <f t="shared" si="2"/>
        <v>0.29447994874343492</v>
      </c>
      <c r="V4" s="187">
        <f t="shared" si="2"/>
        <v>0.32962948708791651</v>
      </c>
      <c r="W4" s="187">
        <f t="shared" si="2"/>
        <v>0.36695486970855673</v>
      </c>
      <c r="X4" s="187">
        <f t="shared" si="2"/>
        <v>0.40651205257525519</v>
      </c>
      <c r="Y4" s="187">
        <f t="shared" si="2"/>
        <v>0.44835391533684138</v>
      </c>
      <c r="Z4" s="187">
        <f t="shared" si="2"/>
        <v>0.49253023727186279</v>
      </c>
      <c r="AA4" s="187">
        <f t="shared" si="2"/>
        <v>0.53908770642140891</v>
      </c>
      <c r="AB4" s="187">
        <f t="shared" si="2"/>
        <v>0.588063189381275</v>
      </c>
      <c r="AC4" s="187">
        <f t="shared" si="2"/>
        <v>0.63947356468227812</v>
      </c>
      <c r="AD4" s="187">
        <f t="shared" si="2"/>
        <v>0.69355531036311902</v>
      </c>
      <c r="AE4" s="187">
        <f t="shared" si="2"/>
        <v>0.75034708622073931</v>
      </c>
      <c r="AF4" s="187">
        <f t="shared" si="2"/>
        <v>0.80991774975155617</v>
      </c>
      <c r="AG4" s="187">
        <f t="shared" si="2"/>
        <v>0.87234159159102076</v>
      </c>
      <c r="AH4" s="187">
        <f t="shared" si="2"/>
        <v>0.93769537246775247</v>
      </c>
      <c r="AI4" s="187">
        <f t="shared" si="2"/>
        <v>1.006054512298139</v>
      </c>
      <c r="AJ4" s="187">
        <f t="shared" si="2"/>
        <v>1.077488818172482</v>
      </c>
      <c r="AK4" s="187">
        <f t="shared" si="2"/>
        <v>1.1520650287625436</v>
      </c>
      <c r="AL4" s="187">
        <f t="shared" si="2"/>
        <v>1.2298512714046839</v>
      </c>
      <c r="AM4" s="187">
        <f t="shared" si="2"/>
        <v>1.3109145879646451</v>
      </c>
      <c r="AN4" s="187">
        <f t="shared" si="2"/>
        <v>1.3953194273793605</v>
      </c>
      <c r="AO4" s="187">
        <f t="shared" si="2"/>
        <v>1.4831269491256573</v>
      </c>
      <c r="AP4" s="187">
        <f t="shared" si="2"/>
        <v>1.5743935970425225</v>
      </c>
      <c r="AQ4" s="187">
        <f t="shared" si="2"/>
        <v>1.6691734647873857</v>
      </c>
      <c r="AR4" s="187">
        <f t="shared" si="2"/>
        <v>1.7675151972503571</v>
      </c>
      <c r="AS4" s="189">
        <f t="shared" si="2"/>
        <v>1.8694644600000001</v>
      </c>
      <c r="AT4" s="18">
        <f t="shared" si="3"/>
        <v>0.18690915384854262</v>
      </c>
      <c r="AU4" s="18">
        <f t="shared" si="4"/>
        <v>0.55770059696129759</v>
      </c>
    </row>
    <row r="5" spans="1:48">
      <c r="A5" s="3" t="s">
        <v>4</v>
      </c>
      <c r="B5" t="s">
        <v>10</v>
      </c>
      <c r="C5" s="4" t="s">
        <v>53</v>
      </c>
      <c r="D5" s="42" t="s">
        <v>260</v>
      </c>
      <c r="E5" s="185">
        <f t="shared" si="0"/>
        <v>0</v>
      </c>
      <c r="F5" s="185">
        <f t="shared" si="0"/>
        <v>0</v>
      </c>
      <c r="G5" s="185">
        <f t="shared" si="0"/>
        <v>0</v>
      </c>
      <c r="H5" s="185">
        <f t="shared" si="0"/>
        <v>0</v>
      </c>
      <c r="I5" s="185">
        <f t="shared" si="0"/>
        <v>2.1926359834362631E-3</v>
      </c>
      <c r="J5" s="185">
        <f t="shared" si="0"/>
        <v>7.2397621739132816E-3</v>
      </c>
      <c r="K5" s="185">
        <f t="shared" si="0"/>
        <v>1.2751779999999161E-2</v>
      </c>
      <c r="L5" s="185">
        <f t="shared" si="0"/>
        <v>1.875539182194623E-2</v>
      </c>
      <c r="M5" s="185">
        <f t="shared" si="0"/>
        <v>2.527765269151026E-2</v>
      </c>
      <c r="N5" s="185">
        <f t="shared" si="2"/>
        <v>3.234549559006196E-2</v>
      </c>
      <c r="O5" s="185">
        <f t="shared" si="2"/>
        <v>3.9985830476189012E-2</v>
      </c>
      <c r="P5" s="185">
        <f t="shared" si="2"/>
        <v>4.8226126894409527E-2</v>
      </c>
      <c r="Q5" s="185">
        <f t="shared" si="2"/>
        <v>5.7094080186333565E-2</v>
      </c>
      <c r="R5" s="185">
        <f t="shared" si="2"/>
        <v>6.6616374844719786E-2</v>
      </c>
      <c r="S5" s="186">
        <f t="shared" si="2"/>
        <v>7.681877033126347E-2</v>
      </c>
      <c r="T5" s="187">
        <f t="shared" si="2"/>
        <v>8.7148253829431976E-2</v>
      </c>
      <c r="U5" s="187">
        <f t="shared" si="2"/>
        <v>9.8159982914477348E-2</v>
      </c>
      <c r="V5" s="187">
        <f t="shared" si="2"/>
        <v>0.10987649569597122</v>
      </c>
      <c r="W5" s="187">
        <f t="shared" si="2"/>
        <v>0.12231828990285129</v>
      </c>
      <c r="X5" s="187">
        <f t="shared" si="2"/>
        <v>0.13550401752508412</v>
      </c>
      <c r="Y5" s="187">
        <f t="shared" si="2"/>
        <v>0.14945130511227955</v>
      </c>
      <c r="Z5" s="187">
        <f t="shared" si="2"/>
        <v>0.16417674575728669</v>
      </c>
      <c r="AA5" s="187">
        <f t="shared" si="2"/>
        <v>0.17969590214046877</v>
      </c>
      <c r="AB5" s="187">
        <f t="shared" si="2"/>
        <v>0.19602106312709086</v>
      </c>
      <c r="AC5" s="187">
        <f t="shared" si="2"/>
        <v>0.21315785489409195</v>
      </c>
      <c r="AD5" s="187">
        <f t="shared" si="2"/>
        <v>0.23118510345437229</v>
      </c>
      <c r="AE5" s="187">
        <f t="shared" si="2"/>
        <v>0.25011569540691247</v>
      </c>
      <c r="AF5" s="187">
        <f t="shared" si="2"/>
        <v>0.26997258325051815</v>
      </c>
      <c r="AG5" s="187">
        <f t="shared" si="2"/>
        <v>0.29078053053033975</v>
      </c>
      <c r="AH5" s="187">
        <f t="shared" si="2"/>
        <v>0.31256512415591708</v>
      </c>
      <c r="AI5" s="187">
        <f t="shared" si="2"/>
        <v>0.33535150409937942</v>
      </c>
      <c r="AJ5" s="187">
        <f t="shared" si="2"/>
        <v>0.35916293939082711</v>
      </c>
      <c r="AK5" s="187">
        <f t="shared" si="2"/>
        <v>0.38402167625418115</v>
      </c>
      <c r="AL5" s="187">
        <f t="shared" si="2"/>
        <v>0.40995042380156127</v>
      </c>
      <c r="AM5" s="187">
        <f t="shared" si="2"/>
        <v>0.43697152932154854</v>
      </c>
      <c r="AN5" s="187">
        <f t="shared" si="2"/>
        <v>0.46510647579312042</v>
      </c>
      <c r="AO5" s="187">
        <f t="shared" si="2"/>
        <v>0.49437564970855286</v>
      </c>
      <c r="AP5" s="187">
        <f t="shared" si="2"/>
        <v>0.52479786568084141</v>
      </c>
      <c r="AQ5" s="187">
        <f t="shared" si="2"/>
        <v>0.55639115492912927</v>
      </c>
      <c r="AR5" s="187">
        <f t="shared" si="2"/>
        <v>0.58917173241678655</v>
      </c>
      <c r="AS5" s="189">
        <f t="shared" si="2"/>
        <v>0.62315482</v>
      </c>
      <c r="AT5" s="18">
        <f t="shared" si="3"/>
        <v>6.2303051282847577E-2</v>
      </c>
      <c r="AU5" s="18">
        <f t="shared" si="4"/>
        <v>0.18590019898709986</v>
      </c>
    </row>
    <row r="6" spans="1:48">
      <c r="A6" s="3" t="s">
        <v>4</v>
      </c>
      <c r="B6" t="s">
        <v>11</v>
      </c>
      <c r="C6" s="4" t="s">
        <v>53</v>
      </c>
      <c r="D6" s="42" t="s">
        <v>260</v>
      </c>
      <c r="E6" s="185">
        <f t="shared" si="0"/>
        <v>2.5315046929015352E-3</v>
      </c>
      <c r="F6" s="185">
        <f t="shared" si="0"/>
        <v>2.5333978139970873E-3</v>
      </c>
      <c r="G6" s="185">
        <f t="shared" si="0"/>
        <v>5.3706728839953526E-3</v>
      </c>
      <c r="H6" s="185">
        <f t="shared" si="0"/>
        <v>9.1373239536215074E-3</v>
      </c>
      <c r="I6" s="185">
        <f t="shared" si="0"/>
        <v>1.3249949302562292E-2</v>
      </c>
      <c r="J6" s="185">
        <f t="shared" si="0"/>
        <v>1.7729442843028222E-2</v>
      </c>
      <c r="K6" s="185">
        <f t="shared" si="0"/>
        <v>2.2597302198486529E-2</v>
      </c>
      <c r="L6" s="185">
        <f t="shared" si="0"/>
        <v>2.7875004101749441E-2</v>
      </c>
      <c r="M6" s="185">
        <f t="shared" si="0"/>
        <v>3.358432099638993E-2</v>
      </c>
      <c r="N6" s="185">
        <f t="shared" si="2"/>
        <v>3.9746743955020966E-2</v>
      </c>
      <c r="O6" s="185">
        <f t="shared" si="2"/>
        <v>4.638378466352077E-2</v>
      </c>
      <c r="P6" s="185">
        <f t="shared" si="2"/>
        <v>5.3517574169166027E-2</v>
      </c>
      <c r="Q6" s="185">
        <f t="shared" si="2"/>
        <v>6.1170489804041238E-2</v>
      </c>
      <c r="R6" s="185">
        <f t="shared" si="2"/>
        <v>6.9363894578207727E-2</v>
      </c>
      <c r="S6" s="186">
        <f t="shared" si="2"/>
        <v>7.811831310227263E-2</v>
      </c>
      <c r="T6" s="187">
        <f t="shared" si="2"/>
        <v>7.8255625605907597E-2</v>
      </c>
      <c r="U6" s="187">
        <f t="shared" si="2"/>
        <v>7.8224790644478584E-2</v>
      </c>
      <c r="V6" s="187">
        <f t="shared" si="2"/>
        <v>7.8014206264048272E-2</v>
      </c>
      <c r="W6" s="187">
        <f t="shared" si="2"/>
        <v>7.7611447584021401E-2</v>
      </c>
      <c r="X6" s="187">
        <f t="shared" si="2"/>
        <v>7.7003911631377389E-2</v>
      </c>
      <c r="Y6" s="187">
        <f t="shared" si="2"/>
        <v>7.617955860075544E-2</v>
      </c>
      <c r="Z6" s="187">
        <f t="shared" si="2"/>
        <v>7.5126913290069194E-2</v>
      </c>
      <c r="AA6" s="187">
        <f t="shared" si="2"/>
        <v>7.3835028680423825E-2</v>
      </c>
      <c r="AB6" s="187">
        <f t="shared" si="2"/>
        <v>7.2292631331007495E-2</v>
      </c>
      <c r="AC6" s="187">
        <f t="shared" si="2"/>
        <v>7.0487460931006163E-2</v>
      </c>
      <c r="AD6" s="187">
        <f t="shared" si="2"/>
        <v>6.8430381311125305E-2</v>
      </c>
      <c r="AE6" s="187">
        <f t="shared" si="2"/>
        <v>6.6107388030663822E-2</v>
      </c>
      <c r="AF6" s="187">
        <f t="shared" si="2"/>
        <v>6.3508166378853925E-2</v>
      </c>
      <c r="AG6" s="187">
        <f t="shared" si="2"/>
        <v>6.0622863207723338E-2</v>
      </c>
      <c r="AH6" s="187">
        <f t="shared" si="2"/>
        <v>5.7441666571097574E-2</v>
      </c>
      <c r="AI6" s="187">
        <f t="shared" si="2"/>
        <v>5.3954537469672256E-2</v>
      </c>
      <c r="AJ6" s="187">
        <f t="shared" si="2"/>
        <v>5.0151087584412862E-2</v>
      </c>
      <c r="AK6" s="187">
        <f t="shared" si="2"/>
        <v>4.6020878254570956E-2</v>
      </c>
      <c r="AL6" s="187">
        <f t="shared" si="2"/>
        <v>4.1553649216553641E-2</v>
      </c>
      <c r="AM6" s="187">
        <f t="shared" si="2"/>
        <v>3.6739194315355717E-2</v>
      </c>
      <c r="AN6" s="187">
        <f t="shared" si="2"/>
        <v>3.1567349181263485E-2</v>
      </c>
      <c r="AO6" s="187">
        <f t="shared" si="2"/>
        <v>2.6028027779808598E-2</v>
      </c>
      <c r="AP6" s="187">
        <f t="shared" si="2"/>
        <v>2.0111264051789892E-2</v>
      </c>
      <c r="AQ6" s="187">
        <f t="shared" si="2"/>
        <v>1.3807308603103863E-2</v>
      </c>
      <c r="AR6" s="187">
        <f t="shared" si="2"/>
        <v>7.1066321202982851E-3</v>
      </c>
      <c r="AS6" s="188">
        <f t="shared" si="2"/>
        <v>0</v>
      </c>
      <c r="AT6" s="18">
        <f t="shared" si="3"/>
        <v>-2.0760670051521574E-3</v>
      </c>
      <c r="AU6" s="18">
        <f t="shared" si="4"/>
        <v>-2.2225021131083184E-2</v>
      </c>
    </row>
    <row r="7" spans="1:48">
      <c r="A7" s="3" t="s">
        <v>4</v>
      </c>
      <c r="B7" s="3" t="s">
        <v>12</v>
      </c>
      <c r="C7" s="4" t="s">
        <v>53</v>
      </c>
      <c r="D7" s="42" t="s">
        <v>260</v>
      </c>
      <c r="E7" s="185">
        <f t="shared" si="0"/>
        <v>8.0280816521736895E-3</v>
      </c>
      <c r="F7" s="185">
        <f t="shared" si="0"/>
        <v>7.8028153623186563E-3</v>
      </c>
      <c r="G7" s="185">
        <f t="shared" si="0"/>
        <v>7.5326573913042077E-3</v>
      </c>
      <c r="H7" s="185">
        <f t="shared" si="0"/>
        <v>7.2151577971013587E-3</v>
      </c>
      <c r="I7" s="185">
        <f t="shared" si="0"/>
        <v>6.8477708405796731E-3</v>
      </c>
      <c r="J7" s="185">
        <f t="shared" si="0"/>
        <v>6.4274961739130667E-3</v>
      </c>
      <c r="K7" s="185">
        <f t="shared" si="0"/>
        <v>5.9508306666667538E-3</v>
      </c>
      <c r="L7" s="185">
        <f t="shared" si="0"/>
        <v>5.4139275362317836E-3</v>
      </c>
      <c r="M7" s="185">
        <f t="shared" si="0"/>
        <v>4.8128650724637324E-3</v>
      </c>
      <c r="N7" s="185">
        <f t="shared" si="2"/>
        <v>4.1436059710145291E-3</v>
      </c>
      <c r="O7" s="185">
        <f t="shared" si="2"/>
        <v>3.402109333333448E-3</v>
      </c>
      <c r="P7" s="185">
        <f t="shared" si="2"/>
        <v>2.5843666086958514E-3</v>
      </c>
      <c r="Q7" s="185">
        <f t="shared" si="2"/>
        <v>1.6863230434785528E-3</v>
      </c>
      <c r="R7" s="185">
        <f t="shared" si="2"/>
        <v>7.0387113043517396E-4</v>
      </c>
      <c r="S7" s="186">
        <f t="shared" si="2"/>
        <v>0</v>
      </c>
      <c r="T7" s="187">
        <f t="shared" si="2"/>
        <v>0</v>
      </c>
      <c r="U7" s="187">
        <f t="shared" si="2"/>
        <v>0</v>
      </c>
      <c r="V7" s="187">
        <f t="shared" si="2"/>
        <v>0</v>
      </c>
      <c r="W7" s="187">
        <f t="shared" si="2"/>
        <v>0</v>
      </c>
      <c r="X7" s="187">
        <f t="shared" si="2"/>
        <v>0</v>
      </c>
      <c r="Y7" s="187">
        <f t="shared" si="2"/>
        <v>0</v>
      </c>
      <c r="Z7" s="187">
        <f t="shared" si="2"/>
        <v>0</v>
      </c>
      <c r="AA7" s="187">
        <f t="shared" si="2"/>
        <v>0</v>
      </c>
      <c r="AB7" s="187">
        <f t="shared" si="2"/>
        <v>0</v>
      </c>
      <c r="AC7" s="187">
        <f t="shared" si="2"/>
        <v>0</v>
      </c>
      <c r="AD7" s="187">
        <f t="shared" si="2"/>
        <v>0</v>
      </c>
      <c r="AE7" s="187">
        <f t="shared" si="2"/>
        <v>0</v>
      </c>
      <c r="AF7" s="187">
        <f t="shared" si="2"/>
        <v>0</v>
      </c>
      <c r="AG7" s="187">
        <f t="shared" si="2"/>
        <v>0</v>
      </c>
      <c r="AH7" s="187">
        <f t="shared" si="2"/>
        <v>0</v>
      </c>
      <c r="AI7" s="187">
        <f t="shared" si="2"/>
        <v>0</v>
      </c>
      <c r="AJ7" s="187">
        <f t="shared" si="2"/>
        <v>0</v>
      </c>
      <c r="AK7" s="187">
        <f t="shared" si="2"/>
        <v>0</v>
      </c>
      <c r="AL7" s="187">
        <f t="shared" si="2"/>
        <v>0</v>
      </c>
      <c r="AM7" s="187">
        <f t="shared" si="2"/>
        <v>0</v>
      </c>
      <c r="AN7" s="187">
        <f t="shared" si="2"/>
        <v>0</v>
      </c>
      <c r="AO7" s="187">
        <f t="shared" si="2"/>
        <v>0</v>
      </c>
      <c r="AP7" s="187">
        <f t="shared" si="2"/>
        <v>0</v>
      </c>
      <c r="AQ7" s="187">
        <f t="shared" si="2"/>
        <v>0</v>
      </c>
      <c r="AR7" s="187">
        <f t="shared" si="2"/>
        <v>0</v>
      </c>
      <c r="AS7" s="188">
        <f t="shared" si="2"/>
        <v>0</v>
      </c>
      <c r="AT7" s="18">
        <f t="shared" si="3"/>
        <v>0</v>
      </c>
      <c r="AU7" s="18">
        <f t="shared" si="4"/>
        <v>0</v>
      </c>
    </row>
    <row r="8" spans="1:48">
      <c r="A8" s="3" t="s">
        <v>4</v>
      </c>
      <c r="B8" s="3" t="s">
        <v>13</v>
      </c>
      <c r="C8" s="4" t="s">
        <v>53</v>
      </c>
      <c r="D8" s="42" t="s">
        <v>260</v>
      </c>
      <c r="E8" s="185">
        <f t="shared" si="0"/>
        <v>0.84443093259930657</v>
      </c>
      <c r="F8" s="185">
        <f t="shared" si="0"/>
        <v>0.85423193629412064</v>
      </c>
      <c r="G8" s="185">
        <f t="shared" si="0"/>
        <v>0.86268906218086716</v>
      </c>
      <c r="H8" s="185">
        <f t="shared" si="0"/>
        <v>0.8697433471313214</v>
      </c>
      <c r="I8" s="185">
        <f t="shared" si="0"/>
        <v>0.87534635834938246</v>
      </c>
      <c r="J8" s="185">
        <f t="shared" si="0"/>
        <v>0.87941720583585758</v>
      </c>
      <c r="K8" s="185">
        <f t="shared" si="0"/>
        <v>0.88182789249675075</v>
      </c>
      <c r="L8" s="185">
        <f t="shared" si="0"/>
        <v>0.88241413919539247</v>
      </c>
      <c r="M8" s="185">
        <f t="shared" si="0"/>
        <v>0.8810080722489243</v>
      </c>
      <c r="N8" s="185">
        <f t="shared" si="2"/>
        <v>0.87742720518686523</v>
      </c>
      <c r="O8" s="185">
        <f t="shared" si="2"/>
        <v>0.87148983660119383</v>
      </c>
      <c r="P8" s="185">
        <f t="shared" si="2"/>
        <v>0.8630248891441259</v>
      </c>
      <c r="Q8" s="185">
        <f t="shared" si="2"/>
        <v>0.85186020980351385</v>
      </c>
      <c r="R8" s="185">
        <f t="shared" si="2"/>
        <v>0.83780773351846227</v>
      </c>
      <c r="S8" s="186">
        <f t="shared" si="2"/>
        <v>0.82067486586580263</v>
      </c>
      <c r="T8" s="187">
        <f t="shared" si="2"/>
        <v>0.8219142990410121</v>
      </c>
      <c r="U8" s="187">
        <f t="shared" si="2"/>
        <v>0.82139270848908286</v>
      </c>
      <c r="V8" s="187">
        <f t="shared" si="2"/>
        <v>0.81898915046201926</v>
      </c>
      <c r="W8" s="187">
        <f t="shared" si="2"/>
        <v>0.81457403779675353</v>
      </c>
      <c r="X8" s="187">
        <f t="shared" si="2"/>
        <v>0.80801593847944297</v>
      </c>
      <c r="Y8" s="187">
        <f t="shared" si="2"/>
        <v>0.79918952525631826</v>
      </c>
      <c r="Z8" s="187">
        <f t="shared" si="2"/>
        <v>0.78797571085437912</v>
      </c>
      <c r="AA8" s="187">
        <f t="shared" si="2"/>
        <v>0.77426113654552986</v>
      </c>
      <c r="AB8" s="187">
        <f t="shared" si="2"/>
        <v>0.75792912071889751</v>
      </c>
      <c r="AC8" s="187">
        <f t="shared" si="2"/>
        <v>0.73885293666806495</v>
      </c>
      <c r="AD8" s="187">
        <f t="shared" si="2"/>
        <v>0.71714641965688186</v>
      </c>
      <c r="AE8" s="187">
        <f t="shared" si="2"/>
        <v>0.69266469600105107</v>
      </c>
      <c r="AF8" s="187">
        <f t="shared" si="2"/>
        <v>0.66530100190264407</v>
      </c>
      <c r="AG8" s="187">
        <f t="shared" si="2"/>
        <v>0.63495345208465348</v>
      </c>
      <c r="AH8" s="187">
        <f t="shared" si="2"/>
        <v>0.60152062985362553</v>
      </c>
      <c r="AI8" s="187">
        <f t="shared" si="2"/>
        <v>0.56489882068151809</v>
      </c>
      <c r="AJ8" s="187">
        <f t="shared" si="2"/>
        <v>0.52498072735878965</v>
      </c>
      <c r="AK8" s="187">
        <f t="shared" si="2"/>
        <v>0.48165857490064767</v>
      </c>
      <c r="AL8" s="187">
        <f t="shared" si="2"/>
        <v>0.434826475178064</v>
      </c>
      <c r="AM8" s="187">
        <f t="shared" si="2"/>
        <v>0.3843791528634703</v>
      </c>
      <c r="AN8" s="187">
        <f t="shared" si="2"/>
        <v>0.33021183702373241</v>
      </c>
      <c r="AO8" s="187">
        <f t="shared" si="2"/>
        <v>0.27222062416744203</v>
      </c>
      <c r="AP8" s="187">
        <f t="shared" si="2"/>
        <v>0.21030291278172733</v>
      </c>
      <c r="AQ8" s="187">
        <f t="shared" si="2"/>
        <v>0.1443583905707129</v>
      </c>
      <c r="AR8" s="187">
        <f t="shared" si="2"/>
        <v>7.4289059140672187E-2</v>
      </c>
      <c r="AS8" s="188">
        <f t="shared" si="2"/>
        <v>0</v>
      </c>
      <c r="AT8" s="18">
        <f t="shared" si="3"/>
        <v>-2.2724773784693841E-2</v>
      </c>
      <c r="AU8" s="18">
        <f t="shared" si="4"/>
        <v>-0.23429070457480017</v>
      </c>
    </row>
    <row r="9" spans="1:48">
      <c r="A9" s="3" t="s">
        <v>4</v>
      </c>
      <c r="B9" t="s">
        <v>14</v>
      </c>
      <c r="C9" s="4" t="s">
        <v>53</v>
      </c>
      <c r="D9" s="42" t="s">
        <v>260</v>
      </c>
      <c r="E9" s="185">
        <f t="shared" si="0"/>
        <v>0</v>
      </c>
      <c r="F9" s="185">
        <f t="shared" si="0"/>
        <v>0</v>
      </c>
      <c r="G9" s="185">
        <f t="shared" si="0"/>
        <v>0</v>
      </c>
      <c r="H9" s="185">
        <f t="shared" si="0"/>
        <v>0</v>
      </c>
      <c r="I9" s="185">
        <f t="shared" si="0"/>
        <v>0</v>
      </c>
      <c r="J9" s="185">
        <f t="shared" si="0"/>
        <v>0</v>
      </c>
      <c r="K9" s="185">
        <f t="shared" si="0"/>
        <v>0</v>
      </c>
      <c r="L9" s="185">
        <f t="shared" si="0"/>
        <v>0</v>
      </c>
      <c r="M9" s="185">
        <f t="shared" si="0"/>
        <v>0</v>
      </c>
      <c r="N9" s="185">
        <f t="shared" si="2"/>
        <v>0</v>
      </c>
      <c r="O9" s="185">
        <f t="shared" si="2"/>
        <v>0</v>
      </c>
      <c r="P9" s="185">
        <f t="shared" si="2"/>
        <v>0</v>
      </c>
      <c r="Q9" s="185">
        <f t="shared" si="2"/>
        <v>0</v>
      </c>
      <c r="R9" s="185">
        <f t="shared" si="2"/>
        <v>0</v>
      </c>
      <c r="S9" s="186">
        <f t="shared" si="2"/>
        <v>0</v>
      </c>
      <c r="T9" s="187">
        <f t="shared" si="2"/>
        <v>0</v>
      </c>
      <c r="U9" s="187">
        <f t="shared" si="2"/>
        <v>0</v>
      </c>
      <c r="V9" s="187">
        <f t="shared" si="2"/>
        <v>0</v>
      </c>
      <c r="W9" s="187">
        <f t="shared" si="2"/>
        <v>0</v>
      </c>
      <c r="X9" s="187">
        <f t="shared" si="2"/>
        <v>0</v>
      </c>
      <c r="Y9" s="187">
        <f t="shared" si="2"/>
        <v>0</v>
      </c>
      <c r="Z9" s="187">
        <f t="shared" si="2"/>
        <v>0</v>
      </c>
      <c r="AA9" s="187">
        <f t="shared" si="2"/>
        <v>0</v>
      </c>
      <c r="AB9" s="187">
        <f t="shared" si="2"/>
        <v>0</v>
      </c>
      <c r="AC9" s="187">
        <f t="shared" si="2"/>
        <v>0</v>
      </c>
      <c r="AD9" s="187">
        <f t="shared" si="2"/>
        <v>0</v>
      </c>
      <c r="AE9" s="187">
        <f t="shared" si="2"/>
        <v>0</v>
      </c>
      <c r="AF9" s="187">
        <f t="shared" si="2"/>
        <v>0</v>
      </c>
      <c r="AG9" s="187">
        <f t="shared" si="2"/>
        <v>0</v>
      </c>
      <c r="AH9" s="187">
        <f t="shared" si="2"/>
        <v>0</v>
      </c>
      <c r="AI9" s="187">
        <f t="shared" si="2"/>
        <v>0</v>
      </c>
      <c r="AJ9" s="187">
        <f t="shared" si="2"/>
        <v>0</v>
      </c>
      <c r="AK9" s="187">
        <f t="shared" si="2"/>
        <v>0</v>
      </c>
      <c r="AL9" s="187">
        <f t="shared" si="2"/>
        <v>0</v>
      </c>
      <c r="AM9" s="187">
        <f t="shared" si="2"/>
        <v>0</v>
      </c>
      <c r="AN9" s="187">
        <f t="shared" si="2"/>
        <v>0</v>
      </c>
      <c r="AO9" s="187">
        <f t="shared" si="2"/>
        <v>0</v>
      </c>
      <c r="AP9" s="187">
        <f t="shared" si="2"/>
        <v>0</v>
      </c>
      <c r="AQ9" s="187">
        <f t="shared" si="2"/>
        <v>0</v>
      </c>
      <c r="AR9" s="187">
        <f t="shared" si="2"/>
        <v>0</v>
      </c>
      <c r="AS9" s="190">
        <f t="shared" si="2"/>
        <v>0</v>
      </c>
      <c r="AT9" s="18">
        <f t="shared" si="3"/>
        <v>0</v>
      </c>
      <c r="AU9" s="18">
        <f t="shared" si="4"/>
        <v>0</v>
      </c>
    </row>
    <row r="10" spans="1:48">
      <c r="A10" s="3" t="s">
        <v>4</v>
      </c>
      <c r="B10" t="s">
        <v>15</v>
      </c>
      <c r="C10" s="4" t="s">
        <v>53</v>
      </c>
      <c r="D10" s="42" t="s">
        <v>260</v>
      </c>
      <c r="E10" s="185">
        <f t="shared" si="0"/>
        <v>0</v>
      </c>
      <c r="F10" s="185">
        <f t="shared" si="0"/>
        <v>0</v>
      </c>
      <c r="G10" s="185">
        <f t="shared" si="0"/>
        <v>0</v>
      </c>
      <c r="H10" s="185">
        <f t="shared" si="0"/>
        <v>0</v>
      </c>
      <c r="I10" s="185">
        <f t="shared" si="0"/>
        <v>0</v>
      </c>
      <c r="J10" s="185">
        <f t="shared" si="0"/>
        <v>0</v>
      </c>
      <c r="K10" s="185">
        <f t="shared" si="0"/>
        <v>0</v>
      </c>
      <c r="L10" s="185">
        <f t="shared" si="0"/>
        <v>0</v>
      </c>
      <c r="M10" s="185">
        <f t="shared" si="0"/>
        <v>0</v>
      </c>
      <c r="N10" s="185">
        <f t="shared" si="2"/>
        <v>0</v>
      </c>
      <c r="O10" s="185">
        <f t="shared" si="2"/>
        <v>0</v>
      </c>
      <c r="P10" s="185">
        <f t="shared" si="2"/>
        <v>0</v>
      </c>
      <c r="Q10" s="185">
        <f t="shared" si="2"/>
        <v>0</v>
      </c>
      <c r="R10" s="185">
        <f t="shared" si="2"/>
        <v>0</v>
      </c>
      <c r="S10" s="186">
        <f t="shared" si="2"/>
        <v>0</v>
      </c>
      <c r="T10" s="187">
        <f t="shared" si="2"/>
        <v>0</v>
      </c>
      <c r="U10" s="187">
        <f t="shared" si="2"/>
        <v>0</v>
      </c>
      <c r="V10" s="187">
        <f t="shared" si="2"/>
        <v>0</v>
      </c>
      <c r="W10" s="187">
        <f t="shared" si="2"/>
        <v>0</v>
      </c>
      <c r="X10" s="187">
        <f t="shared" si="2"/>
        <v>0</v>
      </c>
      <c r="Y10" s="187">
        <f t="shared" si="2"/>
        <v>0</v>
      </c>
      <c r="Z10" s="187">
        <f t="shared" si="2"/>
        <v>0</v>
      </c>
      <c r="AA10" s="187">
        <f t="shared" si="2"/>
        <v>0</v>
      </c>
      <c r="AB10" s="187">
        <f t="shared" si="2"/>
        <v>0</v>
      </c>
      <c r="AC10" s="187">
        <f t="shared" si="2"/>
        <v>0</v>
      </c>
      <c r="AD10" s="187">
        <f t="shared" si="2"/>
        <v>0</v>
      </c>
      <c r="AE10" s="187">
        <f t="shared" si="2"/>
        <v>0</v>
      </c>
      <c r="AF10" s="187">
        <f t="shared" si="2"/>
        <v>0</v>
      </c>
      <c r="AG10" s="187">
        <f t="shared" si="2"/>
        <v>0</v>
      </c>
      <c r="AH10" s="187">
        <f t="shared" si="2"/>
        <v>0</v>
      </c>
      <c r="AI10" s="187">
        <f t="shared" si="2"/>
        <v>0</v>
      </c>
      <c r="AJ10" s="187">
        <f t="shared" si="2"/>
        <v>0</v>
      </c>
      <c r="AK10" s="187">
        <f t="shared" si="2"/>
        <v>0</v>
      </c>
      <c r="AL10" s="187">
        <f t="shared" si="2"/>
        <v>0</v>
      </c>
      <c r="AM10" s="187">
        <f t="shared" si="2"/>
        <v>0</v>
      </c>
      <c r="AN10" s="187">
        <f t="shared" si="2"/>
        <v>0</v>
      </c>
      <c r="AO10" s="187">
        <f t="shared" si="2"/>
        <v>0</v>
      </c>
      <c r="AP10" s="187">
        <f t="shared" si="2"/>
        <v>0</v>
      </c>
      <c r="AQ10" s="187">
        <f t="shared" si="2"/>
        <v>0</v>
      </c>
      <c r="AR10" s="187">
        <f t="shared" si="2"/>
        <v>0</v>
      </c>
      <c r="AS10" s="190">
        <f t="shared" ref="AS10" si="5">SUM(AS21,AS32)</f>
        <v>0</v>
      </c>
      <c r="AT10" s="18">
        <f t="shared" si="3"/>
        <v>0</v>
      </c>
      <c r="AU10" s="18">
        <f t="shared" si="4"/>
        <v>0</v>
      </c>
    </row>
    <row r="11" spans="1:48">
      <c r="A11" s="3" t="s">
        <v>4</v>
      </c>
      <c r="B11" t="s">
        <v>16</v>
      </c>
      <c r="C11" s="4" t="s">
        <v>53</v>
      </c>
      <c r="D11" s="42" t="s">
        <v>260</v>
      </c>
      <c r="E11" s="185">
        <f t="shared" ref="E11:M11" si="6">SUM(E22,E33)</f>
        <v>0</v>
      </c>
      <c r="F11" s="185">
        <f t="shared" si="6"/>
        <v>0</v>
      </c>
      <c r="G11" s="185">
        <f t="shared" si="6"/>
        <v>0</v>
      </c>
      <c r="H11" s="185">
        <f t="shared" si="6"/>
        <v>0</v>
      </c>
      <c r="I11" s="185">
        <f t="shared" si="6"/>
        <v>0</v>
      </c>
      <c r="J11" s="185">
        <f t="shared" si="6"/>
        <v>0</v>
      </c>
      <c r="K11" s="185">
        <f t="shared" si="6"/>
        <v>0</v>
      </c>
      <c r="L11" s="185">
        <f t="shared" si="6"/>
        <v>0</v>
      </c>
      <c r="M11" s="185">
        <f t="shared" si="6"/>
        <v>0</v>
      </c>
      <c r="N11" s="185">
        <f t="shared" ref="N11:AS12" si="7">SUM(N22,N33)</f>
        <v>0</v>
      </c>
      <c r="O11" s="185">
        <f t="shared" si="7"/>
        <v>0</v>
      </c>
      <c r="P11" s="185">
        <f t="shared" si="7"/>
        <v>0</v>
      </c>
      <c r="Q11" s="185">
        <f t="shared" si="7"/>
        <v>0</v>
      </c>
      <c r="R11" s="185">
        <f t="shared" si="7"/>
        <v>0</v>
      </c>
      <c r="S11" s="186">
        <f t="shared" si="7"/>
        <v>0</v>
      </c>
      <c r="T11" s="187">
        <f t="shared" si="7"/>
        <v>0</v>
      </c>
      <c r="U11" s="187">
        <f t="shared" si="7"/>
        <v>0</v>
      </c>
      <c r="V11" s="187">
        <f t="shared" si="7"/>
        <v>0</v>
      </c>
      <c r="W11" s="187">
        <f t="shared" si="7"/>
        <v>0</v>
      </c>
      <c r="X11" s="187">
        <f t="shared" si="7"/>
        <v>0</v>
      </c>
      <c r="Y11" s="187">
        <f t="shared" si="7"/>
        <v>0</v>
      </c>
      <c r="Z11" s="187">
        <f t="shared" si="7"/>
        <v>0</v>
      </c>
      <c r="AA11" s="187">
        <f t="shared" si="7"/>
        <v>0</v>
      </c>
      <c r="AB11" s="187">
        <f t="shared" si="7"/>
        <v>0</v>
      </c>
      <c r="AC11" s="187">
        <f t="shared" si="7"/>
        <v>0</v>
      </c>
      <c r="AD11" s="187">
        <f t="shared" si="7"/>
        <v>0</v>
      </c>
      <c r="AE11" s="187">
        <f t="shared" si="7"/>
        <v>0</v>
      </c>
      <c r="AF11" s="187">
        <f t="shared" si="7"/>
        <v>0</v>
      </c>
      <c r="AG11" s="187">
        <f t="shared" si="7"/>
        <v>0</v>
      </c>
      <c r="AH11" s="187">
        <f t="shared" si="7"/>
        <v>0</v>
      </c>
      <c r="AI11" s="187">
        <f t="shared" si="7"/>
        <v>0</v>
      </c>
      <c r="AJ11" s="187">
        <f t="shared" si="7"/>
        <v>0</v>
      </c>
      <c r="AK11" s="187">
        <f t="shared" si="7"/>
        <v>0</v>
      </c>
      <c r="AL11" s="187">
        <f t="shared" si="7"/>
        <v>0</v>
      </c>
      <c r="AM11" s="187">
        <f t="shared" si="7"/>
        <v>0</v>
      </c>
      <c r="AN11" s="187">
        <f t="shared" si="7"/>
        <v>0</v>
      </c>
      <c r="AO11" s="187">
        <f t="shared" si="7"/>
        <v>0</v>
      </c>
      <c r="AP11" s="187">
        <f t="shared" si="7"/>
        <v>0</v>
      </c>
      <c r="AQ11" s="187">
        <f t="shared" si="7"/>
        <v>0</v>
      </c>
      <c r="AR11" s="187">
        <f t="shared" si="7"/>
        <v>0</v>
      </c>
      <c r="AS11" s="190">
        <f t="shared" si="7"/>
        <v>0</v>
      </c>
      <c r="AT11" s="18">
        <f t="shared" si="3"/>
        <v>0</v>
      </c>
      <c r="AU11" s="18">
        <f t="shared" si="4"/>
        <v>0</v>
      </c>
    </row>
    <row r="12" spans="1:48" ht="17" thickBot="1">
      <c r="A12" s="31" t="s">
        <v>4</v>
      </c>
      <c r="B12" s="31" t="s">
        <v>17</v>
      </c>
      <c r="C12" s="32" t="s">
        <v>53</v>
      </c>
      <c r="D12" s="43" t="s">
        <v>260</v>
      </c>
      <c r="E12" s="191">
        <f t="shared" ref="E12:M12" si="8">SUM(E23,E34)</f>
        <v>0.15026449808448419</v>
      </c>
      <c r="F12" s="191">
        <f t="shared" si="8"/>
        <v>0.15025493713470164</v>
      </c>
      <c r="G12" s="191">
        <f t="shared" si="8"/>
        <v>0.14999646670983885</v>
      </c>
      <c r="H12" s="191">
        <f t="shared" si="8"/>
        <v>0.14948499984599162</v>
      </c>
      <c r="I12" s="191">
        <f t="shared" si="8"/>
        <v>0.14872082874805964</v>
      </c>
      <c r="J12" s="191">
        <f t="shared" si="8"/>
        <v>0.14769826366500652</v>
      </c>
      <c r="K12" s="191">
        <f t="shared" si="8"/>
        <v>0.14640135695597659</v>
      </c>
      <c r="L12" s="191">
        <f t="shared" si="8"/>
        <v>0.1448079639355509</v>
      </c>
      <c r="M12" s="191">
        <f t="shared" si="8"/>
        <v>0.14289765004439131</v>
      </c>
      <c r="N12" s="191">
        <f t="shared" si="7"/>
        <v>0.14064870185756367</v>
      </c>
      <c r="O12" s="191">
        <f t="shared" si="7"/>
        <v>0.138041783790573</v>
      </c>
      <c r="P12" s="191">
        <f t="shared" si="7"/>
        <v>0.13505872737330571</v>
      </c>
      <c r="Q12" s="191">
        <f t="shared" si="7"/>
        <v>0.13168542560568436</v>
      </c>
      <c r="R12" s="191">
        <f t="shared" si="7"/>
        <v>0.1279106439857936</v>
      </c>
      <c r="S12" s="192">
        <f t="shared" si="7"/>
        <v>0.12460437753267935</v>
      </c>
      <c r="T12" s="193">
        <f t="shared" si="7"/>
        <v>0.12260317171612223</v>
      </c>
      <c r="U12" s="193">
        <f t="shared" si="7"/>
        <v>0.12039339685413628</v>
      </c>
      <c r="V12" s="193">
        <f t="shared" si="7"/>
        <v>0.11796683344494484</v>
      </c>
      <c r="W12" s="193">
        <f t="shared" si="7"/>
        <v>0.11531396981986226</v>
      </c>
      <c r="X12" s="193">
        <f t="shared" si="7"/>
        <v>0.11242529560964665</v>
      </c>
      <c r="Y12" s="193">
        <f t="shared" si="7"/>
        <v>0.10929425797913202</v>
      </c>
      <c r="Z12" s="193">
        <f t="shared" si="7"/>
        <v>0.1059185771841256</v>
      </c>
      <c r="AA12" s="193">
        <f t="shared" si="7"/>
        <v>0.10229878027903036</v>
      </c>
      <c r="AB12" s="193">
        <f t="shared" si="7"/>
        <v>9.843603624348371E-2</v>
      </c>
      <c r="AC12" s="193">
        <f t="shared" si="7"/>
        <v>9.4333465301924518E-2</v>
      </c>
      <c r="AD12" s="193">
        <f t="shared" si="7"/>
        <v>9.0005170057963851E-2</v>
      </c>
      <c r="AE12" s="193">
        <f t="shared" si="7"/>
        <v>8.5453413103136339E-2</v>
      </c>
      <c r="AF12" s="193">
        <f t="shared" si="7"/>
        <v>8.0679207483824053E-2</v>
      </c>
      <c r="AG12" s="193">
        <f t="shared" si="7"/>
        <v>7.5684625552990173E-2</v>
      </c>
      <c r="AH12" s="193">
        <f t="shared" si="7"/>
        <v>7.0472196028258452E-2</v>
      </c>
      <c r="AI12" s="193">
        <f t="shared" si="7"/>
        <v>6.5045041732955416E-2</v>
      </c>
      <c r="AJ12" s="193">
        <f t="shared" si="7"/>
        <v>5.9406680521321018E-2</v>
      </c>
      <c r="AK12" s="193">
        <f t="shared" si="7"/>
        <v>5.3561108442911592E-2</v>
      </c>
      <c r="AL12" s="193">
        <f t="shared" si="7"/>
        <v>4.7512744906071602E-2</v>
      </c>
      <c r="AM12" s="193">
        <f t="shared" si="7"/>
        <v>4.1266580554637514E-2</v>
      </c>
      <c r="AN12" s="193">
        <f t="shared" si="7"/>
        <v>3.4828387777832481E-2</v>
      </c>
      <c r="AO12" s="193">
        <f t="shared" si="7"/>
        <v>2.8204550223240477E-2</v>
      </c>
      <c r="AP12" s="193">
        <f t="shared" si="7"/>
        <v>2.1402097362011263E-2</v>
      </c>
      <c r="AQ12" s="193">
        <f t="shared" si="7"/>
        <v>1.442854673638375E-2</v>
      </c>
      <c r="AR12" s="193">
        <f t="shared" si="7"/>
        <v>7.2917870097445022E-3</v>
      </c>
      <c r="AS12" s="194">
        <f t="shared" si="7"/>
        <v>0</v>
      </c>
      <c r="AT12" s="18">
        <f t="shared" si="3"/>
        <v>-1.3308913736990211E-2</v>
      </c>
      <c r="AU12" s="18">
        <f t="shared" si="4"/>
        <v>-4.4249216246176601E-2</v>
      </c>
    </row>
    <row r="13" spans="1:48">
      <c r="A13" s="28" t="s">
        <v>18</v>
      </c>
      <c r="B13" s="28" t="s">
        <v>36</v>
      </c>
      <c r="C13" s="29" t="s">
        <v>53</v>
      </c>
      <c r="D13" s="44" t="s">
        <v>260</v>
      </c>
      <c r="E13" s="181">
        <f t="shared" ref="E13:M23" si="9">E49*E$72</f>
        <v>12.481837321078705</v>
      </c>
      <c r="F13" s="181">
        <f t="shared" si="9"/>
        <v>12.688088653531194</v>
      </c>
      <c r="G13" s="181">
        <f t="shared" si="9"/>
        <v>12.890033652289304</v>
      </c>
      <c r="H13" s="181">
        <f t="shared" si="9"/>
        <v>13.088056608620111</v>
      </c>
      <c r="I13" s="181">
        <f t="shared" si="9"/>
        <v>13.283039277714524</v>
      </c>
      <c r="J13" s="181">
        <f t="shared" si="9"/>
        <v>13.475428249176252</v>
      </c>
      <c r="K13" s="181">
        <f t="shared" si="9"/>
        <v>13.664774313155903</v>
      </c>
      <c r="L13" s="181">
        <f t="shared" si="9"/>
        <v>13.850053103200567</v>
      </c>
      <c r="M13" s="181">
        <f t="shared" si="9"/>
        <v>14.030394241614038</v>
      </c>
      <c r="N13" s="181">
        <f>N49*N$72</f>
        <v>14.204775574210712</v>
      </c>
      <c r="O13" s="181">
        <f t="shared" ref="O13:AS21" si="10">O49*O$72</f>
        <v>14.372381492272273</v>
      </c>
      <c r="P13" s="181">
        <f t="shared" si="10"/>
        <v>14.532470106406739</v>
      </c>
      <c r="Q13" s="181">
        <f t="shared" si="10"/>
        <v>14.684733847387127</v>
      </c>
      <c r="R13" s="181">
        <f t="shared" si="10"/>
        <v>14.829201636782491</v>
      </c>
      <c r="S13" s="182">
        <f t="shared" si="10"/>
        <v>14.966082062249647</v>
      </c>
      <c r="T13" s="187">
        <f t="shared" si="10"/>
        <v>14.917323728556774</v>
      </c>
      <c r="U13" s="187">
        <f t="shared" si="10"/>
        <v>14.852286771893171</v>
      </c>
      <c r="V13" s="187">
        <f t="shared" si="10"/>
        <v>14.770023405469212</v>
      </c>
      <c r="W13" s="187">
        <f t="shared" si="10"/>
        <v>14.669370246803561</v>
      </c>
      <c r="X13" s="187">
        <f t="shared" si="10"/>
        <v>14.549089306720276</v>
      </c>
      <c r="Y13" s="187">
        <f t="shared" si="10"/>
        <v>14.40823903113831</v>
      </c>
      <c r="Z13" s="187">
        <f t="shared" si="10"/>
        <v>14.246366184260445</v>
      </c>
      <c r="AA13" s="187">
        <f t="shared" si="10"/>
        <v>14.063343725957717</v>
      </c>
      <c r="AB13" s="187">
        <f t="shared" si="10"/>
        <v>13.859095052969742</v>
      </c>
      <c r="AC13" s="187">
        <f t="shared" si="10"/>
        <v>13.633782736627724</v>
      </c>
      <c r="AD13" s="187">
        <f t="shared" si="10"/>
        <v>13.38917901139817</v>
      </c>
      <c r="AE13" s="187">
        <f t="shared" si="10"/>
        <v>13.125417339046985</v>
      </c>
      <c r="AF13" s="187">
        <f t="shared" si="10"/>
        <v>12.842416927665546</v>
      </c>
      <c r="AG13" s="187">
        <f t="shared" si="10"/>
        <v>12.540218206308912</v>
      </c>
      <c r="AH13" s="187">
        <f t="shared" si="10"/>
        <v>12.218894363289317</v>
      </c>
      <c r="AI13" s="187">
        <f t="shared" si="10"/>
        <v>11.878574388548779</v>
      </c>
      <c r="AJ13" s="187">
        <f t="shared" si="10"/>
        <v>11.519408724871507</v>
      </c>
      <c r="AK13" s="187">
        <f t="shared" si="10"/>
        <v>11.141579967429641</v>
      </c>
      <c r="AL13" s="187">
        <f t="shared" si="10"/>
        <v>10.745285747895277</v>
      </c>
      <c r="AM13" s="187">
        <f t="shared" si="10"/>
        <v>10.330759694195223</v>
      </c>
      <c r="AN13" s="187">
        <f t="shared" si="10"/>
        <v>9.8983209619861086</v>
      </c>
      <c r="AO13" s="187">
        <f t="shared" si="10"/>
        <v>9.4483448425856515</v>
      </c>
      <c r="AP13" s="187">
        <f t="shared" si="10"/>
        <v>8.9812882680963479</v>
      </c>
      <c r="AQ13" s="187">
        <f t="shared" si="10"/>
        <v>8.4976701633296745</v>
      </c>
      <c r="AR13" s="187">
        <f t="shared" si="10"/>
        <v>7.9980553683199078</v>
      </c>
      <c r="AS13" s="184">
        <f t="shared" si="10"/>
        <v>7.4830211279999999</v>
      </c>
      <c r="AT13" s="18">
        <f t="shared" si="3"/>
        <v>-0.50908469741846396</v>
      </c>
      <c r="AU13" s="18">
        <f t="shared" si="4"/>
        <v>-2.5296646425895304</v>
      </c>
    </row>
    <row r="14" spans="1:48">
      <c r="A14" s="3" t="s">
        <v>18</v>
      </c>
      <c r="B14" s="3" t="s">
        <v>8</v>
      </c>
      <c r="C14" s="4" t="s">
        <v>53</v>
      </c>
      <c r="D14" s="42" t="s">
        <v>260</v>
      </c>
      <c r="E14" s="185">
        <f t="shared" si="9"/>
        <v>0.10024640861557979</v>
      </c>
      <c r="F14" s="185">
        <f t="shared" si="9"/>
        <v>0.26440619601192922</v>
      </c>
      <c r="G14" s="185">
        <f t="shared" si="9"/>
        <v>0.43774168724150303</v>
      </c>
      <c r="H14" s="185">
        <f t="shared" si="9"/>
        <v>0.6204435965752888</v>
      </c>
      <c r="I14" s="185">
        <f t="shared" si="9"/>
        <v>0.81276291210660667</v>
      </c>
      <c r="J14" s="185">
        <f t="shared" si="9"/>
        <v>1.0149776953964591</v>
      </c>
      <c r="K14" s="185">
        <f t="shared" si="9"/>
        <v>1.2273240155299825</v>
      </c>
      <c r="L14" s="185">
        <f t="shared" si="9"/>
        <v>1.4499654033642178</v>
      </c>
      <c r="M14" s="185">
        <f t="shared" si="9"/>
        <v>1.6830356018046768</v>
      </c>
      <c r="N14" s="185">
        <f t="shared" ref="N14:N23" si="11">N50*N$72</f>
        <v>1.9266059362295054</v>
      </c>
      <c r="O14" s="185">
        <f t="shared" si="10"/>
        <v>2.1807246302954901</v>
      </c>
      <c r="P14" s="185">
        <f t="shared" si="10"/>
        <v>2.4454077980229116</v>
      </c>
      <c r="Q14" s="185">
        <f t="shared" si="10"/>
        <v>2.720709420338665</v>
      </c>
      <c r="R14" s="185">
        <f t="shared" si="10"/>
        <v>3.0067364663088472</v>
      </c>
      <c r="S14" s="186">
        <f t="shared" si="10"/>
        <v>3.3036434410936653</v>
      </c>
      <c r="T14" s="187">
        <f t="shared" si="10"/>
        <v>3.7774966033939301</v>
      </c>
      <c r="U14" s="187">
        <f t="shared" si="10"/>
        <v>4.2699439366749079</v>
      </c>
      <c r="V14" s="187">
        <f t="shared" si="10"/>
        <v>4.7808759979398552</v>
      </c>
      <c r="W14" s="187">
        <f t="shared" si="10"/>
        <v>5.3099829984306322</v>
      </c>
      <c r="X14" s="187">
        <f t="shared" si="10"/>
        <v>5.8567495862259413</v>
      </c>
      <c r="Y14" s="187">
        <f t="shared" si="10"/>
        <v>6.4205771480699658</v>
      </c>
      <c r="Z14" s="187">
        <f t="shared" si="10"/>
        <v>7.0009118401970163</v>
      </c>
      <c r="AA14" s="187">
        <f t="shared" si="10"/>
        <v>7.5972441904325381</v>
      </c>
      <c r="AB14" s="187">
        <f t="shared" si="10"/>
        <v>8.2090084200047677</v>
      </c>
      <c r="AC14" s="187">
        <f t="shared" si="10"/>
        <v>8.8357037191525105</v>
      </c>
      <c r="AD14" s="187">
        <f t="shared" si="10"/>
        <v>9.4779195572170067</v>
      </c>
      <c r="AE14" s="187">
        <f t="shared" si="10"/>
        <v>10.135335610117551</v>
      </c>
      <c r="AF14" s="187">
        <f t="shared" si="10"/>
        <v>10.807421950660647</v>
      </c>
      <c r="AG14" s="187">
        <f t="shared" si="10"/>
        <v>11.49366020665108</v>
      </c>
      <c r="AH14" s="187">
        <f t="shared" si="10"/>
        <v>12.193483456594571</v>
      </c>
      <c r="AI14" s="187">
        <f t="shared" si="10"/>
        <v>12.906297752403624</v>
      </c>
      <c r="AJ14" s="187">
        <f t="shared" si="10"/>
        <v>13.631448136392464</v>
      </c>
      <c r="AK14" s="187">
        <f t="shared" si="10"/>
        <v>14.368222800835282</v>
      </c>
      <c r="AL14" s="187">
        <f t="shared" si="10"/>
        <v>15.115822677851266</v>
      </c>
      <c r="AM14" s="187">
        <f t="shared" si="10"/>
        <v>15.873374155837872</v>
      </c>
      <c r="AN14" s="187">
        <f t="shared" si="10"/>
        <v>16.640001341040172</v>
      </c>
      <c r="AO14" s="187">
        <f t="shared" si="10"/>
        <v>17.414797020956403</v>
      </c>
      <c r="AP14" s="187">
        <f t="shared" si="10"/>
        <v>18.196882302998141</v>
      </c>
      <c r="AQ14" s="187">
        <f t="shared" si="10"/>
        <v>18.985400505296976</v>
      </c>
      <c r="AR14" s="187">
        <f t="shared" si="10"/>
        <v>19.779508471388208</v>
      </c>
      <c r="AS14" s="188">
        <f t="shared" si="10"/>
        <v>20.578308101999998</v>
      </c>
      <c r="AT14" s="18">
        <f t="shared" si="3"/>
        <v>2.6430805446760357</v>
      </c>
      <c r="AU14" s="18">
        <f t="shared" si="4"/>
        <v>6.4857206043336584</v>
      </c>
    </row>
    <row r="15" spans="1:48">
      <c r="A15" s="3" t="s">
        <v>18</v>
      </c>
      <c r="B15" t="s">
        <v>37</v>
      </c>
      <c r="C15" s="4" t="s">
        <v>53</v>
      </c>
      <c r="D15" s="42" t="s">
        <v>260</v>
      </c>
      <c r="E15" s="185">
        <f t="shared" si="9"/>
        <v>0</v>
      </c>
      <c r="F15" s="185">
        <f t="shared" si="9"/>
        <v>0</v>
      </c>
      <c r="G15" s="185">
        <f t="shared" si="9"/>
        <v>0</v>
      </c>
      <c r="H15" s="185">
        <f t="shared" si="9"/>
        <v>0</v>
      </c>
      <c r="I15" s="185">
        <f t="shared" si="9"/>
        <v>0</v>
      </c>
      <c r="J15" s="185">
        <f t="shared" si="9"/>
        <v>0</v>
      </c>
      <c r="K15" s="185">
        <f t="shared" si="9"/>
        <v>0</v>
      </c>
      <c r="L15" s="185">
        <f t="shared" si="9"/>
        <v>0</v>
      </c>
      <c r="M15" s="185">
        <f t="shared" si="9"/>
        <v>0</v>
      </c>
      <c r="N15" s="185">
        <f t="shared" si="11"/>
        <v>0</v>
      </c>
      <c r="O15" s="185">
        <f t="shared" si="10"/>
        <v>0</v>
      </c>
      <c r="P15" s="185">
        <f t="shared" si="10"/>
        <v>0</v>
      </c>
      <c r="Q15" s="185">
        <f t="shared" si="10"/>
        <v>0</v>
      </c>
      <c r="R15" s="185">
        <f t="shared" si="10"/>
        <v>0</v>
      </c>
      <c r="S15" s="186">
        <f t="shared" si="10"/>
        <v>0</v>
      </c>
      <c r="T15" s="187">
        <f t="shared" si="10"/>
        <v>0</v>
      </c>
      <c r="U15" s="187">
        <f t="shared" si="10"/>
        <v>0</v>
      </c>
      <c r="V15" s="187">
        <f t="shared" si="10"/>
        <v>0</v>
      </c>
      <c r="W15" s="187">
        <f t="shared" si="10"/>
        <v>0</v>
      </c>
      <c r="X15" s="187">
        <f t="shared" si="10"/>
        <v>0</v>
      </c>
      <c r="Y15" s="187">
        <f t="shared" si="10"/>
        <v>0</v>
      </c>
      <c r="Z15" s="187">
        <f t="shared" si="10"/>
        <v>0</v>
      </c>
      <c r="AA15" s="187">
        <f t="shared" si="10"/>
        <v>0</v>
      </c>
      <c r="AB15" s="187">
        <f t="shared" si="10"/>
        <v>0</v>
      </c>
      <c r="AC15" s="187">
        <f t="shared" si="10"/>
        <v>0</v>
      </c>
      <c r="AD15" s="187">
        <f t="shared" si="10"/>
        <v>0</v>
      </c>
      <c r="AE15" s="187">
        <f t="shared" si="10"/>
        <v>0</v>
      </c>
      <c r="AF15" s="187">
        <f t="shared" si="10"/>
        <v>0</v>
      </c>
      <c r="AG15" s="187">
        <f t="shared" si="10"/>
        <v>0</v>
      </c>
      <c r="AH15" s="187">
        <f t="shared" si="10"/>
        <v>0</v>
      </c>
      <c r="AI15" s="187">
        <f t="shared" si="10"/>
        <v>0</v>
      </c>
      <c r="AJ15" s="187">
        <f t="shared" si="10"/>
        <v>0</v>
      </c>
      <c r="AK15" s="187">
        <f t="shared" si="10"/>
        <v>0</v>
      </c>
      <c r="AL15" s="187">
        <f t="shared" si="10"/>
        <v>0</v>
      </c>
      <c r="AM15" s="187">
        <f t="shared" si="10"/>
        <v>0</v>
      </c>
      <c r="AN15" s="187">
        <f t="shared" si="10"/>
        <v>0</v>
      </c>
      <c r="AO15" s="187">
        <f t="shared" si="10"/>
        <v>0</v>
      </c>
      <c r="AP15" s="187">
        <f t="shared" si="10"/>
        <v>0</v>
      </c>
      <c r="AQ15" s="187">
        <f t="shared" si="10"/>
        <v>0</v>
      </c>
      <c r="AR15" s="187">
        <f t="shared" si="10"/>
        <v>0</v>
      </c>
      <c r="AS15" s="189">
        <f t="shared" si="10"/>
        <v>0</v>
      </c>
      <c r="AT15" s="18">
        <f t="shared" si="3"/>
        <v>0</v>
      </c>
      <c r="AU15" s="18">
        <f t="shared" si="4"/>
        <v>0</v>
      </c>
    </row>
    <row r="16" spans="1:48">
      <c r="A16" s="3" t="s">
        <v>18</v>
      </c>
      <c r="B16" t="s">
        <v>10</v>
      </c>
      <c r="C16" s="4" t="s">
        <v>53</v>
      </c>
      <c r="D16" s="42" t="s">
        <v>260</v>
      </c>
      <c r="E16" s="185">
        <f t="shared" si="9"/>
        <v>0</v>
      </c>
      <c r="F16" s="185">
        <f t="shared" si="9"/>
        <v>0</v>
      </c>
      <c r="G16" s="185">
        <f t="shared" si="9"/>
        <v>0</v>
      </c>
      <c r="H16" s="185">
        <f t="shared" si="9"/>
        <v>0</v>
      </c>
      <c r="I16" s="185">
        <f t="shared" si="9"/>
        <v>0</v>
      </c>
      <c r="J16" s="185">
        <f t="shared" si="9"/>
        <v>0</v>
      </c>
      <c r="K16" s="185">
        <f t="shared" si="9"/>
        <v>0</v>
      </c>
      <c r="L16" s="185">
        <f t="shared" si="9"/>
        <v>0</v>
      </c>
      <c r="M16" s="185">
        <f t="shared" si="9"/>
        <v>0</v>
      </c>
      <c r="N16" s="185">
        <f t="shared" si="11"/>
        <v>0</v>
      </c>
      <c r="O16" s="185">
        <f t="shared" ref="O16:AC16" si="12">O52*O$72</f>
        <v>0</v>
      </c>
      <c r="P16" s="185">
        <f t="shared" si="12"/>
        <v>0</v>
      </c>
      <c r="Q16" s="185">
        <f t="shared" si="12"/>
        <v>0</v>
      </c>
      <c r="R16" s="185">
        <f t="shared" si="12"/>
        <v>0</v>
      </c>
      <c r="S16" s="186">
        <f t="shared" si="12"/>
        <v>0</v>
      </c>
      <c r="T16" s="187">
        <f t="shared" si="12"/>
        <v>0</v>
      </c>
      <c r="U16" s="187">
        <f t="shared" si="12"/>
        <v>0</v>
      </c>
      <c r="V16" s="187">
        <f t="shared" si="12"/>
        <v>0</v>
      </c>
      <c r="W16" s="187">
        <f t="shared" si="12"/>
        <v>0</v>
      </c>
      <c r="X16" s="187">
        <f t="shared" si="12"/>
        <v>0</v>
      </c>
      <c r="Y16" s="187">
        <f t="shared" si="12"/>
        <v>0</v>
      </c>
      <c r="Z16" s="187">
        <f t="shared" si="12"/>
        <v>0</v>
      </c>
      <c r="AA16" s="187">
        <f t="shared" si="12"/>
        <v>0</v>
      </c>
      <c r="AB16" s="187">
        <f t="shared" si="12"/>
        <v>0</v>
      </c>
      <c r="AC16" s="187">
        <f t="shared" si="12"/>
        <v>0</v>
      </c>
      <c r="AD16" s="187">
        <f t="shared" si="10"/>
        <v>0</v>
      </c>
      <c r="AE16" s="187">
        <f t="shared" si="10"/>
        <v>0</v>
      </c>
      <c r="AF16" s="187">
        <f t="shared" si="10"/>
        <v>0</v>
      </c>
      <c r="AG16" s="187">
        <f t="shared" si="10"/>
        <v>0</v>
      </c>
      <c r="AH16" s="187">
        <f t="shared" si="10"/>
        <v>0</v>
      </c>
      <c r="AI16" s="187">
        <f t="shared" si="10"/>
        <v>0</v>
      </c>
      <c r="AJ16" s="187">
        <f t="shared" si="10"/>
        <v>0</v>
      </c>
      <c r="AK16" s="187">
        <f t="shared" si="10"/>
        <v>0</v>
      </c>
      <c r="AL16" s="187">
        <f t="shared" si="10"/>
        <v>0</v>
      </c>
      <c r="AM16" s="187">
        <f t="shared" si="10"/>
        <v>0</v>
      </c>
      <c r="AN16" s="187">
        <f t="shared" si="10"/>
        <v>0</v>
      </c>
      <c r="AO16" s="187">
        <f t="shared" si="10"/>
        <v>0</v>
      </c>
      <c r="AP16" s="187">
        <f t="shared" si="10"/>
        <v>0</v>
      </c>
      <c r="AQ16" s="187">
        <f t="shared" si="10"/>
        <v>0</v>
      </c>
      <c r="AR16" s="187">
        <f t="shared" si="10"/>
        <v>0</v>
      </c>
      <c r="AS16" s="189">
        <f t="shared" si="10"/>
        <v>0</v>
      </c>
      <c r="AT16" s="18">
        <f t="shared" si="3"/>
        <v>0</v>
      </c>
      <c r="AU16" s="18">
        <f t="shared" si="4"/>
        <v>0</v>
      </c>
    </row>
    <row r="17" spans="1:47">
      <c r="A17" s="3" t="s">
        <v>18</v>
      </c>
      <c r="B17" t="s">
        <v>11</v>
      </c>
      <c r="C17" s="4" t="s">
        <v>53</v>
      </c>
      <c r="D17" s="42" t="s">
        <v>260</v>
      </c>
      <c r="E17" s="185">
        <f t="shared" si="9"/>
        <v>2.5315046929015352E-3</v>
      </c>
      <c r="F17" s="185">
        <f t="shared" si="9"/>
        <v>2.5333978139970873E-3</v>
      </c>
      <c r="G17" s="185">
        <f t="shared" si="9"/>
        <v>2.5321539713828362E-3</v>
      </c>
      <c r="H17" s="185">
        <f t="shared" si="9"/>
        <v>2.5278049925994009E-3</v>
      </c>
      <c r="I17" s="185">
        <f t="shared" si="9"/>
        <v>2.5204697670358094E-3</v>
      </c>
      <c r="J17" s="185">
        <f t="shared" si="9"/>
        <v>2.5101714132630387E-3</v>
      </c>
      <c r="K17" s="185">
        <f t="shared" si="9"/>
        <v>2.4967599203753856E-3</v>
      </c>
      <c r="L17" s="185">
        <f t="shared" si="9"/>
        <v>2.4799853191911983E-3</v>
      </c>
      <c r="M17" s="185">
        <f t="shared" si="9"/>
        <v>2.4596364965784531E-3</v>
      </c>
      <c r="N17" s="185">
        <f t="shared" si="11"/>
        <v>2.4354865973580321E-3</v>
      </c>
      <c r="O17" s="185">
        <f t="shared" si="10"/>
        <v>2.4073567421849479E-3</v>
      </c>
      <c r="P17" s="185">
        <f t="shared" si="10"/>
        <v>2.3750910400654841E-3</v>
      </c>
      <c r="Q17" s="185">
        <f t="shared" si="10"/>
        <v>2.3386132375670795E-3</v>
      </c>
      <c r="R17" s="185">
        <f t="shared" si="10"/>
        <v>2.2979029681664321E-3</v>
      </c>
      <c r="S17" s="186">
        <f t="shared" si="10"/>
        <v>2.2529649762153534E-3</v>
      </c>
      <c r="T17" s="187">
        <f t="shared" si="10"/>
        <v>2.216781282639105E-3</v>
      </c>
      <c r="U17" s="187">
        <f t="shared" si="10"/>
        <v>2.1768264634910391E-3</v>
      </c>
      <c r="V17" s="187">
        <f t="shared" si="10"/>
        <v>2.1329519024063754E-3</v>
      </c>
      <c r="W17" s="187">
        <f t="shared" si="10"/>
        <v>2.0849856194206976E-3</v>
      </c>
      <c r="X17" s="187">
        <f t="shared" si="10"/>
        <v>2.0327556580647609E-3</v>
      </c>
      <c r="Y17" s="187">
        <f t="shared" si="10"/>
        <v>1.9761435368821668E-3</v>
      </c>
      <c r="Z17" s="187">
        <f t="shared" si="10"/>
        <v>1.9151080359421002E-3</v>
      </c>
      <c r="AA17" s="187">
        <f t="shared" si="10"/>
        <v>1.8496586848865686E-3</v>
      </c>
      <c r="AB17" s="187">
        <f t="shared" si="10"/>
        <v>1.7798166199728461E-3</v>
      </c>
      <c r="AC17" s="187">
        <f t="shared" si="10"/>
        <v>1.7056382578093849E-3</v>
      </c>
      <c r="AD17" s="187">
        <f t="shared" si="10"/>
        <v>1.6273785868054073E-3</v>
      </c>
      <c r="AE17" s="187">
        <f t="shared" si="10"/>
        <v>1.5450785167554482E-3</v>
      </c>
      <c r="AF17" s="187">
        <f t="shared" si="10"/>
        <v>1.458756364496069E-3</v>
      </c>
      <c r="AG17" s="187">
        <f t="shared" si="10"/>
        <v>1.3684496001285362E-3</v>
      </c>
      <c r="AH17" s="187">
        <f t="shared" si="10"/>
        <v>1.2742039452587339E-3</v>
      </c>
      <c r="AI17" s="187">
        <f t="shared" si="10"/>
        <v>1.1760758634854615E-3</v>
      </c>
      <c r="AJ17" s="187">
        <f t="shared" si="10"/>
        <v>1.0741289609399879E-3</v>
      </c>
      <c r="AK17" s="187">
        <f t="shared" si="10"/>
        <v>9.6843548997710112E-4</v>
      </c>
      <c r="AL17" s="187">
        <f t="shared" si="10"/>
        <v>8.5907535767882205E-4</v>
      </c>
      <c r="AM17" s="187">
        <f t="shared" si="10"/>
        <v>7.46138799605048E-4</v>
      </c>
      <c r="AN17" s="187">
        <f t="shared" si="10"/>
        <v>6.2973018601151457E-4</v>
      </c>
      <c r="AO17" s="187">
        <f t="shared" si="10"/>
        <v>5.0996493928314899E-4</v>
      </c>
      <c r="AP17" s="187">
        <f t="shared" si="10"/>
        <v>3.8697015890566227E-4</v>
      </c>
      <c r="AQ17" s="187">
        <f t="shared" si="10"/>
        <v>2.608817691515946E-4</v>
      </c>
      <c r="AR17" s="187">
        <f t="shared" si="10"/>
        <v>1.3184240451478185E-4</v>
      </c>
      <c r="AS17" s="188">
        <f t="shared" si="10"/>
        <v>0</v>
      </c>
      <c r="AT17" s="18">
        <f t="shared" si="3"/>
        <v>-2.4063774575693812E-4</v>
      </c>
      <c r="AU17" s="18">
        <f t="shared" si="4"/>
        <v>-8.0006767339670538E-4</v>
      </c>
    </row>
    <row r="18" spans="1:47">
      <c r="A18" s="3" t="s">
        <v>18</v>
      </c>
      <c r="B18" s="3" t="s">
        <v>12</v>
      </c>
      <c r="C18" s="4" t="s">
        <v>53</v>
      </c>
      <c r="D18" s="42" t="s">
        <v>260</v>
      </c>
      <c r="E18" s="185">
        <f t="shared" si="9"/>
        <v>0</v>
      </c>
      <c r="F18" s="185">
        <f t="shared" si="9"/>
        <v>0</v>
      </c>
      <c r="G18" s="185">
        <f t="shared" si="9"/>
        <v>0</v>
      </c>
      <c r="H18" s="185">
        <f t="shared" si="9"/>
        <v>0</v>
      </c>
      <c r="I18" s="185">
        <f t="shared" si="9"/>
        <v>0</v>
      </c>
      <c r="J18" s="185">
        <f t="shared" si="9"/>
        <v>0</v>
      </c>
      <c r="K18" s="185">
        <f t="shared" si="9"/>
        <v>0</v>
      </c>
      <c r="L18" s="185">
        <f t="shared" si="9"/>
        <v>0</v>
      </c>
      <c r="M18" s="185">
        <f t="shared" si="9"/>
        <v>0</v>
      </c>
      <c r="N18" s="185">
        <f t="shared" si="11"/>
        <v>0</v>
      </c>
      <c r="O18" s="185">
        <f t="shared" si="10"/>
        <v>0</v>
      </c>
      <c r="P18" s="185">
        <f t="shared" si="10"/>
        <v>0</v>
      </c>
      <c r="Q18" s="185">
        <f t="shared" si="10"/>
        <v>0</v>
      </c>
      <c r="R18" s="185">
        <f t="shared" si="10"/>
        <v>0</v>
      </c>
      <c r="S18" s="186">
        <f t="shared" si="10"/>
        <v>0</v>
      </c>
      <c r="T18" s="187">
        <f t="shared" si="10"/>
        <v>0</v>
      </c>
      <c r="U18" s="187">
        <f t="shared" si="10"/>
        <v>0</v>
      </c>
      <c r="V18" s="187">
        <f t="shared" si="10"/>
        <v>0</v>
      </c>
      <c r="W18" s="187">
        <f t="shared" si="10"/>
        <v>0</v>
      </c>
      <c r="X18" s="187">
        <f t="shared" si="10"/>
        <v>0</v>
      </c>
      <c r="Y18" s="187">
        <f t="shared" si="10"/>
        <v>0</v>
      </c>
      <c r="Z18" s="187">
        <f t="shared" si="10"/>
        <v>0</v>
      </c>
      <c r="AA18" s="187">
        <f t="shared" si="10"/>
        <v>0</v>
      </c>
      <c r="AB18" s="187">
        <f t="shared" si="10"/>
        <v>0</v>
      </c>
      <c r="AC18" s="187">
        <f t="shared" si="10"/>
        <v>0</v>
      </c>
      <c r="AD18" s="187">
        <f t="shared" si="10"/>
        <v>0</v>
      </c>
      <c r="AE18" s="187">
        <f t="shared" si="10"/>
        <v>0</v>
      </c>
      <c r="AF18" s="187">
        <f t="shared" si="10"/>
        <v>0</v>
      </c>
      <c r="AG18" s="187">
        <f t="shared" si="10"/>
        <v>0</v>
      </c>
      <c r="AH18" s="187">
        <f t="shared" si="10"/>
        <v>0</v>
      </c>
      <c r="AI18" s="187">
        <f t="shared" si="10"/>
        <v>0</v>
      </c>
      <c r="AJ18" s="187">
        <f t="shared" si="10"/>
        <v>0</v>
      </c>
      <c r="AK18" s="187">
        <f t="shared" si="10"/>
        <v>0</v>
      </c>
      <c r="AL18" s="187">
        <f t="shared" si="10"/>
        <v>0</v>
      </c>
      <c r="AM18" s="187">
        <f t="shared" si="10"/>
        <v>0</v>
      </c>
      <c r="AN18" s="187">
        <f t="shared" si="10"/>
        <v>0</v>
      </c>
      <c r="AO18" s="187">
        <f t="shared" si="10"/>
        <v>0</v>
      </c>
      <c r="AP18" s="187">
        <f t="shared" si="10"/>
        <v>0</v>
      </c>
      <c r="AQ18" s="187">
        <f t="shared" si="10"/>
        <v>0</v>
      </c>
      <c r="AR18" s="187">
        <f t="shared" si="10"/>
        <v>0</v>
      </c>
      <c r="AS18" s="188">
        <f t="shared" si="10"/>
        <v>0</v>
      </c>
      <c r="AT18" s="18">
        <f t="shared" si="3"/>
        <v>0</v>
      </c>
      <c r="AU18" s="18">
        <f t="shared" si="4"/>
        <v>0</v>
      </c>
    </row>
    <row r="19" spans="1:47">
      <c r="A19" s="3" t="s">
        <v>18</v>
      </c>
      <c r="B19" s="3" t="s">
        <v>13</v>
      </c>
      <c r="C19" s="4" t="s">
        <v>53</v>
      </c>
      <c r="D19" s="42" t="s">
        <v>260</v>
      </c>
      <c r="E19" s="185">
        <f t="shared" si="9"/>
        <v>6.6425614139189473E-2</v>
      </c>
      <c r="F19" s="185">
        <f t="shared" si="9"/>
        <v>6.5230876672105892E-2</v>
      </c>
      <c r="G19" s="185">
        <f t="shared" si="9"/>
        <v>6.3883296365379372E-2</v>
      </c>
      <c r="H19" s="185">
        <f t="shared" si="9"/>
        <v>6.2382271549956909E-2</v>
      </c>
      <c r="I19" s="185">
        <f t="shared" si="9"/>
        <v>6.0729054055384625E-2</v>
      </c>
      <c r="J19" s="185">
        <f t="shared" si="9"/>
        <v>5.8922148639375824E-2</v>
      </c>
      <c r="K19" s="185">
        <f t="shared" si="9"/>
        <v>5.6955783689958239E-2</v>
      </c>
      <c r="L19" s="185">
        <f t="shared" si="9"/>
        <v>5.4822084839399508E-2</v>
      </c>
      <c r="M19" s="185">
        <f t="shared" si="9"/>
        <v>5.2514434866126954E-2</v>
      </c>
      <c r="N19" s="185">
        <f t="shared" si="11"/>
        <v>5.0026272128053891E-2</v>
      </c>
      <c r="O19" s="185">
        <f t="shared" si="10"/>
        <v>4.7352483459328819E-2</v>
      </c>
      <c r="P19" s="185">
        <f t="shared" si="10"/>
        <v>4.4488809320713613E-2</v>
      </c>
      <c r="Q19" s="185">
        <f t="shared" si="10"/>
        <v>4.1432816564809079E-2</v>
      </c>
      <c r="R19" s="185">
        <f t="shared" si="10"/>
        <v>3.8183153417387948E-2</v>
      </c>
      <c r="S19" s="186">
        <f t="shared" si="10"/>
        <v>3.4738774032630815E-2</v>
      </c>
      <c r="T19" s="187">
        <f t="shared" si="10"/>
        <v>3.4180852729778256E-2</v>
      </c>
      <c r="U19" s="187">
        <f t="shared" si="10"/>
        <v>3.3564783927754138E-2</v>
      </c>
      <c r="V19" s="187">
        <f t="shared" si="10"/>
        <v>3.2888276090574473E-2</v>
      </c>
      <c r="W19" s="187">
        <f t="shared" si="10"/>
        <v>3.2148677435728176E-2</v>
      </c>
      <c r="X19" s="187">
        <f t="shared" si="10"/>
        <v>3.1343336542979439E-2</v>
      </c>
      <c r="Y19" s="187">
        <f t="shared" si="10"/>
        <v>3.0470426530603782E-2</v>
      </c>
      <c r="Z19" s="187">
        <f t="shared" si="10"/>
        <v>2.9529311822869983E-2</v>
      </c>
      <c r="AA19" s="187">
        <f t="shared" si="10"/>
        <v>2.8520139358626972E-2</v>
      </c>
      <c r="AB19" s="187">
        <f t="shared" si="10"/>
        <v>2.7443235040706396E-2</v>
      </c>
      <c r="AC19" s="187">
        <f t="shared" si="10"/>
        <v>2.6299468764483195E-2</v>
      </c>
      <c r="AD19" s="187">
        <f t="shared" si="10"/>
        <v>2.5092772230992412E-2</v>
      </c>
      <c r="AE19" s="187">
        <f t="shared" si="10"/>
        <v>2.3823776233931723E-2</v>
      </c>
      <c r="AF19" s="187">
        <f t="shared" si="10"/>
        <v>2.2492763203100532E-2</v>
      </c>
      <c r="AG19" s="187">
        <f t="shared" si="10"/>
        <v>2.1100310895097188E-2</v>
      </c>
      <c r="AH19" s="187">
        <f t="shared" si="10"/>
        <v>1.9647124297594389E-2</v>
      </c>
      <c r="AI19" s="187">
        <f t="shared" si="10"/>
        <v>1.8134074030517627E-2</v>
      </c>
      <c r="AJ19" s="187">
        <f t="shared" si="10"/>
        <v>1.6562140845474041E-2</v>
      </c>
      <c r="AK19" s="187">
        <f t="shared" si="10"/>
        <v>1.4932438811369634E-2</v>
      </c>
      <c r="AL19" s="187">
        <f t="shared" si="10"/>
        <v>1.3246200026392893E-2</v>
      </c>
      <c r="AM19" s="187">
        <f t="shared" si="10"/>
        <v>1.1504815844940395E-2</v>
      </c>
      <c r="AN19" s="187">
        <f t="shared" si="10"/>
        <v>9.7098955662103057E-3</v>
      </c>
      <c r="AO19" s="187">
        <f t="shared" si="10"/>
        <v>7.8632189036871337E-3</v>
      </c>
      <c r="AP19" s="187">
        <f t="shared" si="10"/>
        <v>5.9667456216638826E-3</v>
      </c>
      <c r="AQ19" s="187">
        <f t="shared" si="10"/>
        <v>4.0225715550244404E-3</v>
      </c>
      <c r="AR19" s="187">
        <f t="shared" si="10"/>
        <v>2.0328960044694072E-3</v>
      </c>
      <c r="AS19" s="188">
        <f t="shared" si="10"/>
        <v>0</v>
      </c>
      <c r="AT19" s="18">
        <f t="shared" si="3"/>
        <v>-3.7104261991744748E-3</v>
      </c>
      <c r="AU19" s="18">
        <f t="shared" si="4"/>
        <v>-1.2336352500086155E-2</v>
      </c>
    </row>
    <row r="20" spans="1:47">
      <c r="A20" s="3" t="s">
        <v>18</v>
      </c>
      <c r="B20" t="s">
        <v>14</v>
      </c>
      <c r="C20" s="4" t="s">
        <v>53</v>
      </c>
      <c r="D20" s="42" t="s">
        <v>260</v>
      </c>
      <c r="E20" s="185">
        <f t="shared" si="9"/>
        <v>0</v>
      </c>
      <c r="F20" s="185">
        <f t="shared" si="9"/>
        <v>0</v>
      </c>
      <c r="G20" s="185">
        <f t="shared" si="9"/>
        <v>0</v>
      </c>
      <c r="H20" s="185">
        <f t="shared" si="9"/>
        <v>0</v>
      </c>
      <c r="I20" s="185">
        <f t="shared" si="9"/>
        <v>0</v>
      </c>
      <c r="J20" s="185">
        <f t="shared" si="9"/>
        <v>0</v>
      </c>
      <c r="K20" s="185">
        <f t="shared" si="9"/>
        <v>0</v>
      </c>
      <c r="L20" s="185">
        <f t="shared" si="9"/>
        <v>0</v>
      </c>
      <c r="M20" s="185">
        <f t="shared" si="9"/>
        <v>0</v>
      </c>
      <c r="N20" s="185">
        <f t="shared" si="11"/>
        <v>0</v>
      </c>
      <c r="O20" s="185">
        <f t="shared" si="10"/>
        <v>0</v>
      </c>
      <c r="P20" s="185">
        <f t="shared" si="10"/>
        <v>0</v>
      </c>
      <c r="Q20" s="185">
        <f t="shared" si="10"/>
        <v>0</v>
      </c>
      <c r="R20" s="185">
        <f t="shared" si="10"/>
        <v>0</v>
      </c>
      <c r="S20" s="186">
        <f t="shared" si="10"/>
        <v>0</v>
      </c>
      <c r="T20" s="187">
        <f t="shared" si="10"/>
        <v>0</v>
      </c>
      <c r="U20" s="187">
        <f t="shared" si="10"/>
        <v>0</v>
      </c>
      <c r="V20" s="187">
        <f t="shared" si="10"/>
        <v>0</v>
      </c>
      <c r="W20" s="187">
        <f t="shared" si="10"/>
        <v>0</v>
      </c>
      <c r="X20" s="187">
        <f t="shared" si="10"/>
        <v>0</v>
      </c>
      <c r="Y20" s="187">
        <f t="shared" si="10"/>
        <v>0</v>
      </c>
      <c r="Z20" s="187">
        <f t="shared" si="10"/>
        <v>0</v>
      </c>
      <c r="AA20" s="187">
        <f t="shared" si="10"/>
        <v>0</v>
      </c>
      <c r="AB20" s="187">
        <f t="shared" si="10"/>
        <v>0</v>
      </c>
      <c r="AC20" s="187">
        <f t="shared" si="10"/>
        <v>0</v>
      </c>
      <c r="AD20" s="187">
        <f t="shared" si="10"/>
        <v>0</v>
      </c>
      <c r="AE20" s="187">
        <f t="shared" si="10"/>
        <v>0</v>
      </c>
      <c r="AF20" s="187">
        <f t="shared" si="10"/>
        <v>0</v>
      </c>
      <c r="AG20" s="187">
        <f t="shared" si="10"/>
        <v>0</v>
      </c>
      <c r="AH20" s="187">
        <f t="shared" si="10"/>
        <v>0</v>
      </c>
      <c r="AI20" s="187">
        <f t="shared" si="10"/>
        <v>0</v>
      </c>
      <c r="AJ20" s="187">
        <f t="shared" si="10"/>
        <v>0</v>
      </c>
      <c r="AK20" s="187">
        <f t="shared" si="10"/>
        <v>0</v>
      </c>
      <c r="AL20" s="187">
        <f t="shared" si="10"/>
        <v>0</v>
      </c>
      <c r="AM20" s="187">
        <f t="shared" si="10"/>
        <v>0</v>
      </c>
      <c r="AN20" s="187">
        <f t="shared" si="10"/>
        <v>0</v>
      </c>
      <c r="AO20" s="187">
        <f t="shared" si="10"/>
        <v>0</v>
      </c>
      <c r="AP20" s="187">
        <f t="shared" si="10"/>
        <v>0</v>
      </c>
      <c r="AQ20" s="187">
        <f t="shared" si="10"/>
        <v>0</v>
      </c>
      <c r="AR20" s="187">
        <f t="shared" si="10"/>
        <v>0</v>
      </c>
      <c r="AS20" s="190">
        <f t="shared" si="10"/>
        <v>0</v>
      </c>
      <c r="AT20" s="18">
        <f t="shared" si="3"/>
        <v>0</v>
      </c>
      <c r="AU20" s="18">
        <f t="shared" si="4"/>
        <v>0</v>
      </c>
    </row>
    <row r="21" spans="1:47">
      <c r="A21" s="3" t="s">
        <v>18</v>
      </c>
      <c r="B21" t="s">
        <v>15</v>
      </c>
      <c r="C21" s="4" t="s">
        <v>53</v>
      </c>
      <c r="D21" s="42" t="s">
        <v>260</v>
      </c>
      <c r="E21" s="185">
        <f t="shared" si="9"/>
        <v>0</v>
      </c>
      <c r="F21" s="185">
        <f t="shared" si="9"/>
        <v>0</v>
      </c>
      <c r="G21" s="185">
        <f t="shared" si="9"/>
        <v>0</v>
      </c>
      <c r="H21" s="185">
        <f t="shared" si="9"/>
        <v>0</v>
      </c>
      <c r="I21" s="185">
        <f t="shared" si="9"/>
        <v>0</v>
      </c>
      <c r="J21" s="185">
        <f t="shared" si="9"/>
        <v>0</v>
      </c>
      <c r="K21" s="185">
        <f t="shared" si="9"/>
        <v>0</v>
      </c>
      <c r="L21" s="185">
        <f t="shared" si="9"/>
        <v>0</v>
      </c>
      <c r="M21" s="185">
        <f t="shared" si="9"/>
        <v>0</v>
      </c>
      <c r="N21" s="185">
        <f t="shared" si="11"/>
        <v>0</v>
      </c>
      <c r="O21" s="185">
        <f t="shared" si="10"/>
        <v>0</v>
      </c>
      <c r="P21" s="185">
        <f t="shared" si="10"/>
        <v>0</v>
      </c>
      <c r="Q21" s="185">
        <f t="shared" si="10"/>
        <v>0</v>
      </c>
      <c r="R21" s="185">
        <f t="shared" si="10"/>
        <v>0</v>
      </c>
      <c r="S21" s="186">
        <f t="shared" si="10"/>
        <v>0</v>
      </c>
      <c r="T21" s="187">
        <f t="shared" si="10"/>
        <v>0</v>
      </c>
      <c r="U21" s="187">
        <f t="shared" si="10"/>
        <v>0</v>
      </c>
      <c r="V21" s="187">
        <f t="shared" si="10"/>
        <v>0</v>
      </c>
      <c r="W21" s="187">
        <f t="shared" si="10"/>
        <v>0</v>
      </c>
      <c r="X21" s="187">
        <f t="shared" si="10"/>
        <v>0</v>
      </c>
      <c r="Y21" s="187">
        <f t="shared" si="10"/>
        <v>0</v>
      </c>
      <c r="Z21" s="187">
        <f t="shared" si="10"/>
        <v>0</v>
      </c>
      <c r="AA21" s="187">
        <f t="shared" si="10"/>
        <v>0</v>
      </c>
      <c r="AB21" s="187">
        <f t="shared" si="10"/>
        <v>0</v>
      </c>
      <c r="AC21" s="187">
        <f t="shared" si="10"/>
        <v>0</v>
      </c>
      <c r="AD21" s="187">
        <f t="shared" si="10"/>
        <v>0</v>
      </c>
      <c r="AE21" s="187">
        <f t="shared" si="10"/>
        <v>0</v>
      </c>
      <c r="AF21" s="187">
        <f t="shared" si="10"/>
        <v>0</v>
      </c>
      <c r="AG21" s="187">
        <f t="shared" si="10"/>
        <v>0</v>
      </c>
      <c r="AH21" s="187">
        <f t="shared" si="10"/>
        <v>0</v>
      </c>
      <c r="AI21" s="187">
        <f t="shared" si="10"/>
        <v>0</v>
      </c>
      <c r="AJ21" s="187">
        <f t="shared" ref="O21:AS23" si="13">AJ57*AJ$72</f>
        <v>0</v>
      </c>
      <c r="AK21" s="187">
        <f t="shared" si="13"/>
        <v>0</v>
      </c>
      <c r="AL21" s="187">
        <f t="shared" si="13"/>
        <v>0</v>
      </c>
      <c r="AM21" s="187">
        <f t="shared" si="13"/>
        <v>0</v>
      </c>
      <c r="AN21" s="187">
        <f t="shared" si="13"/>
        <v>0</v>
      </c>
      <c r="AO21" s="187">
        <f t="shared" si="13"/>
        <v>0</v>
      </c>
      <c r="AP21" s="187">
        <f t="shared" si="13"/>
        <v>0</v>
      </c>
      <c r="AQ21" s="187">
        <f t="shared" si="13"/>
        <v>0</v>
      </c>
      <c r="AR21" s="187">
        <f t="shared" si="13"/>
        <v>0</v>
      </c>
      <c r="AS21" s="190">
        <f t="shared" si="13"/>
        <v>0</v>
      </c>
      <c r="AT21" s="18">
        <f t="shared" si="3"/>
        <v>0</v>
      </c>
      <c r="AU21" s="18">
        <f t="shared" si="4"/>
        <v>0</v>
      </c>
    </row>
    <row r="22" spans="1:47">
      <c r="A22" s="3" t="s">
        <v>18</v>
      </c>
      <c r="B22" t="s">
        <v>16</v>
      </c>
      <c r="C22" s="4" t="s">
        <v>53</v>
      </c>
      <c r="D22" s="42" t="s">
        <v>260</v>
      </c>
      <c r="E22" s="185">
        <f t="shared" si="9"/>
        <v>0</v>
      </c>
      <c r="F22" s="185">
        <f t="shared" si="9"/>
        <v>0</v>
      </c>
      <c r="G22" s="185">
        <f t="shared" si="9"/>
        <v>0</v>
      </c>
      <c r="H22" s="185">
        <f t="shared" si="9"/>
        <v>0</v>
      </c>
      <c r="I22" s="185">
        <f t="shared" si="9"/>
        <v>0</v>
      </c>
      <c r="J22" s="185">
        <f t="shared" si="9"/>
        <v>0</v>
      </c>
      <c r="K22" s="185">
        <f t="shared" si="9"/>
        <v>0</v>
      </c>
      <c r="L22" s="185">
        <f t="shared" si="9"/>
        <v>0</v>
      </c>
      <c r="M22" s="185">
        <f t="shared" si="9"/>
        <v>0</v>
      </c>
      <c r="N22" s="185">
        <f t="shared" si="11"/>
        <v>0</v>
      </c>
      <c r="O22" s="185">
        <f t="shared" si="13"/>
        <v>0</v>
      </c>
      <c r="P22" s="185">
        <f t="shared" si="13"/>
        <v>0</v>
      </c>
      <c r="Q22" s="185">
        <f t="shared" si="13"/>
        <v>0</v>
      </c>
      <c r="R22" s="185">
        <f t="shared" si="13"/>
        <v>0</v>
      </c>
      <c r="S22" s="186">
        <f t="shared" si="13"/>
        <v>0</v>
      </c>
      <c r="T22" s="187">
        <f t="shared" si="13"/>
        <v>0</v>
      </c>
      <c r="U22" s="187">
        <f t="shared" si="13"/>
        <v>0</v>
      </c>
      <c r="V22" s="187">
        <f t="shared" si="13"/>
        <v>0</v>
      </c>
      <c r="W22" s="187">
        <f t="shared" si="13"/>
        <v>0</v>
      </c>
      <c r="X22" s="187">
        <f t="shared" si="13"/>
        <v>0</v>
      </c>
      <c r="Y22" s="187">
        <f t="shared" si="13"/>
        <v>0</v>
      </c>
      <c r="Z22" s="187">
        <f t="shared" si="13"/>
        <v>0</v>
      </c>
      <c r="AA22" s="187">
        <f t="shared" si="13"/>
        <v>0</v>
      </c>
      <c r="AB22" s="187">
        <f t="shared" si="13"/>
        <v>0</v>
      </c>
      <c r="AC22" s="187">
        <f t="shared" si="13"/>
        <v>0</v>
      </c>
      <c r="AD22" s="187">
        <f t="shared" si="13"/>
        <v>0</v>
      </c>
      <c r="AE22" s="187">
        <f t="shared" si="13"/>
        <v>0</v>
      </c>
      <c r="AF22" s="187">
        <f t="shared" si="13"/>
        <v>0</v>
      </c>
      <c r="AG22" s="187">
        <f t="shared" si="13"/>
        <v>0</v>
      </c>
      <c r="AH22" s="187">
        <f t="shared" si="13"/>
        <v>0</v>
      </c>
      <c r="AI22" s="187">
        <f t="shared" si="13"/>
        <v>0</v>
      </c>
      <c r="AJ22" s="187">
        <f t="shared" si="13"/>
        <v>0</v>
      </c>
      <c r="AK22" s="187">
        <f t="shared" si="13"/>
        <v>0</v>
      </c>
      <c r="AL22" s="187">
        <f t="shared" si="13"/>
        <v>0</v>
      </c>
      <c r="AM22" s="187">
        <f t="shared" si="13"/>
        <v>0</v>
      </c>
      <c r="AN22" s="187">
        <f t="shared" si="13"/>
        <v>0</v>
      </c>
      <c r="AO22" s="187">
        <f t="shared" si="13"/>
        <v>0</v>
      </c>
      <c r="AP22" s="187">
        <f t="shared" si="13"/>
        <v>0</v>
      </c>
      <c r="AQ22" s="187">
        <f t="shared" si="13"/>
        <v>0</v>
      </c>
      <c r="AR22" s="187">
        <f t="shared" si="13"/>
        <v>0</v>
      </c>
      <c r="AS22" s="190">
        <f t="shared" si="13"/>
        <v>0</v>
      </c>
      <c r="AT22" s="18">
        <f t="shared" si="3"/>
        <v>0</v>
      </c>
      <c r="AU22" s="18">
        <f t="shared" si="4"/>
        <v>0</v>
      </c>
    </row>
    <row r="23" spans="1:47" ht="17" thickBot="1">
      <c r="A23" s="31" t="s">
        <v>18</v>
      </c>
      <c r="B23" s="31" t="s">
        <v>17</v>
      </c>
      <c r="C23" s="32" t="s">
        <v>53</v>
      </c>
      <c r="D23" s="43" t="s">
        <v>260</v>
      </c>
      <c r="E23" s="191">
        <f t="shared" si="9"/>
        <v>0.12971607921040498</v>
      </c>
      <c r="F23" s="191">
        <f t="shared" si="9"/>
        <v>0.13028071314260764</v>
      </c>
      <c r="G23" s="191">
        <f t="shared" si="9"/>
        <v>0.13071111092200169</v>
      </c>
      <c r="H23" s="191">
        <f t="shared" si="9"/>
        <v>0.13100944334316666</v>
      </c>
      <c r="I23" s="191">
        <f t="shared" si="9"/>
        <v>0.13118250426129913</v>
      </c>
      <c r="J23" s="191">
        <f t="shared" si="9"/>
        <v>0.13123226813314862</v>
      </c>
      <c r="K23" s="191">
        <f t="shared" si="9"/>
        <v>0.13115173800275337</v>
      </c>
      <c r="L23" s="191">
        <f t="shared" si="9"/>
        <v>0.13092859953435804</v>
      </c>
      <c r="M23" s="191">
        <f t="shared" si="9"/>
        <v>0.13055244012500095</v>
      </c>
      <c r="N23" s="191">
        <f t="shared" si="11"/>
        <v>0.13001186442961374</v>
      </c>
      <c r="O23" s="191">
        <f t="shared" si="13"/>
        <v>0.12929786416610894</v>
      </c>
      <c r="P23" s="191">
        <f t="shared" si="13"/>
        <v>0.12840251488732257</v>
      </c>
      <c r="Q23" s="191">
        <f t="shared" si="13"/>
        <v>0.12732207176089338</v>
      </c>
      <c r="R23" s="191">
        <f t="shared" si="13"/>
        <v>0.12605579834392089</v>
      </c>
      <c r="S23" s="192">
        <f t="shared" si="13"/>
        <v>0.12460437753267935</v>
      </c>
      <c r="T23" s="193">
        <f t="shared" si="13"/>
        <v>0.12260317171612223</v>
      </c>
      <c r="U23" s="193">
        <f t="shared" si="13"/>
        <v>0.12039339685413628</v>
      </c>
      <c r="V23" s="193">
        <f t="shared" si="13"/>
        <v>0.11796683344494484</v>
      </c>
      <c r="W23" s="193">
        <f t="shared" si="13"/>
        <v>0.11531396981986226</v>
      </c>
      <c r="X23" s="193">
        <f t="shared" si="13"/>
        <v>0.11242529560964665</v>
      </c>
      <c r="Y23" s="193">
        <f t="shared" si="13"/>
        <v>0.10929425797913202</v>
      </c>
      <c r="Z23" s="193">
        <f t="shared" si="13"/>
        <v>0.1059185771841256</v>
      </c>
      <c r="AA23" s="193">
        <f t="shared" si="13"/>
        <v>0.10229878027903036</v>
      </c>
      <c r="AB23" s="193">
        <f t="shared" si="13"/>
        <v>9.843603624348371E-2</v>
      </c>
      <c r="AC23" s="193">
        <f t="shared" si="13"/>
        <v>9.4333465301924518E-2</v>
      </c>
      <c r="AD23" s="193">
        <f t="shared" si="13"/>
        <v>9.0005170057963851E-2</v>
      </c>
      <c r="AE23" s="193">
        <f t="shared" si="13"/>
        <v>8.5453413103136339E-2</v>
      </c>
      <c r="AF23" s="193">
        <f t="shared" si="13"/>
        <v>8.0679207483824053E-2</v>
      </c>
      <c r="AG23" s="193">
        <f t="shared" si="13"/>
        <v>7.5684625552990173E-2</v>
      </c>
      <c r="AH23" s="193">
        <f t="shared" si="13"/>
        <v>7.0472196028258452E-2</v>
      </c>
      <c r="AI23" s="193">
        <f t="shared" si="13"/>
        <v>6.5045041732955416E-2</v>
      </c>
      <c r="AJ23" s="193">
        <f t="shared" si="13"/>
        <v>5.9406680521321018E-2</v>
      </c>
      <c r="AK23" s="193">
        <f t="shared" si="13"/>
        <v>5.3561108442911592E-2</v>
      </c>
      <c r="AL23" s="193">
        <f t="shared" si="13"/>
        <v>4.7512744906071602E-2</v>
      </c>
      <c r="AM23" s="193">
        <f t="shared" si="13"/>
        <v>4.1266580554637514E-2</v>
      </c>
      <c r="AN23" s="193">
        <f t="shared" si="13"/>
        <v>3.4828387777832481E-2</v>
      </c>
      <c r="AO23" s="193">
        <f t="shared" si="13"/>
        <v>2.8204550223240477E-2</v>
      </c>
      <c r="AP23" s="193">
        <f t="shared" si="13"/>
        <v>2.1402097362011263E-2</v>
      </c>
      <c r="AQ23" s="193">
        <f t="shared" si="13"/>
        <v>1.442854673638375E-2</v>
      </c>
      <c r="AR23" s="193">
        <f t="shared" si="13"/>
        <v>7.2917870097445022E-3</v>
      </c>
      <c r="AS23" s="194">
        <f t="shared" si="13"/>
        <v>0</v>
      </c>
      <c r="AT23" s="18">
        <f t="shared" si="3"/>
        <v>-1.3308913736990211E-2</v>
      </c>
      <c r="AU23" s="18">
        <f t="shared" si="4"/>
        <v>-4.4249216246176601E-2</v>
      </c>
    </row>
    <row r="24" spans="1:47">
      <c r="A24" s="86" t="s">
        <v>19</v>
      </c>
      <c r="B24" s="87" t="s">
        <v>36</v>
      </c>
      <c r="C24" s="88" t="s">
        <v>53</v>
      </c>
      <c r="D24" s="163" t="s">
        <v>260</v>
      </c>
      <c r="E24" s="181">
        <f t="shared" ref="E24:M24" si="14">E60*E$73</f>
        <v>2.1143551405806602</v>
      </c>
      <c r="F24" s="181">
        <f t="shared" si="14"/>
        <v>2.1508795947087038</v>
      </c>
      <c r="G24" s="181">
        <f t="shared" si="14"/>
        <v>2.1848064668244462</v>
      </c>
      <c r="H24" s="181">
        <f t="shared" si="14"/>
        <v>2.2160133800900477</v>
      </c>
      <c r="I24" s="181">
        <f t="shared" si="14"/>
        <v>2.2444051723194152</v>
      </c>
      <c r="J24" s="181">
        <f t="shared" si="14"/>
        <v>2.2698088419088664</v>
      </c>
      <c r="K24" s="181">
        <f t="shared" si="14"/>
        <v>2.2919361804069469</v>
      </c>
      <c r="L24" s="181">
        <f t="shared" si="14"/>
        <v>2.3104059144309894</v>
      </c>
      <c r="M24" s="181">
        <f t="shared" si="14"/>
        <v>2.3248240728679526</v>
      </c>
      <c r="N24" s="181">
        <f>N60*N$73</f>
        <v>2.3347561196580249</v>
      </c>
      <c r="O24" s="181">
        <f t="shared" ref="O24:AS24" si="15">O60*O$73</f>
        <v>2.3397656520535932</v>
      </c>
      <c r="P24" s="181">
        <f t="shared" si="15"/>
        <v>2.339444162614662</v>
      </c>
      <c r="Q24" s="181">
        <f t="shared" si="15"/>
        <v>2.3333755758625485</v>
      </c>
      <c r="R24" s="181">
        <f t="shared" si="15"/>
        <v>2.3210952300637295</v>
      </c>
      <c r="S24" s="182">
        <f t="shared" si="15"/>
        <v>2.3021234720716186</v>
      </c>
      <c r="T24" s="187">
        <f t="shared" si="15"/>
        <v>2.3073881901251285</v>
      </c>
      <c r="U24" s="187">
        <f t="shared" si="15"/>
        <v>2.3076649309433752</v>
      </c>
      <c r="V24" s="187">
        <f t="shared" si="15"/>
        <v>2.302606144585436</v>
      </c>
      <c r="W24" s="187">
        <f t="shared" si="15"/>
        <v>2.2918400184802223</v>
      </c>
      <c r="X24" s="187">
        <f t="shared" si="15"/>
        <v>2.2749893351537298</v>
      </c>
      <c r="Y24" s="187">
        <f t="shared" si="15"/>
        <v>2.2516923436846712</v>
      </c>
      <c r="Z24" s="187">
        <f t="shared" si="15"/>
        <v>2.2216020814695683</v>
      </c>
      <c r="AA24" s="187">
        <f t="shared" si="15"/>
        <v>2.1843860735619192</v>
      </c>
      <c r="AB24" s="187">
        <f t="shared" si="15"/>
        <v>2.1397015875862704</v>
      </c>
      <c r="AC24" s="187">
        <f t="shared" si="15"/>
        <v>2.0871748741563882</v>
      </c>
      <c r="AD24" s="187">
        <f t="shared" si="15"/>
        <v>2.0271278571211049</v>
      </c>
      <c r="AE24" s="187">
        <f t="shared" si="15"/>
        <v>1.9591343322666639</v>
      </c>
      <c r="AF24" s="187">
        <f t="shared" si="15"/>
        <v>1.8828807453028245</v>
      </c>
      <c r="AG24" s="187">
        <f t="shared" si="15"/>
        <v>1.7980669667952283</v>
      </c>
      <c r="AH24" s="187">
        <f t="shared" si="15"/>
        <v>1.7043938671815977</v>
      </c>
      <c r="AI24" s="187">
        <f t="shared" si="15"/>
        <v>1.6015551010396156</v>
      </c>
      <c r="AJ24" s="187">
        <f t="shared" si="15"/>
        <v>1.4892335061490225</v>
      </c>
      <c r="AK24" s="187">
        <f t="shared" si="15"/>
        <v>1.3671101303087729</v>
      </c>
      <c r="AL24" s="187">
        <f t="shared" si="15"/>
        <v>1.2348712024731401</v>
      </c>
      <c r="AM24" s="187">
        <f t="shared" si="15"/>
        <v>1.09220428009776</v>
      </c>
      <c r="AN24" s="187">
        <f t="shared" si="15"/>
        <v>0.93879775969176227</v>
      </c>
      <c r="AO24" s="187">
        <f t="shared" si="15"/>
        <v>0.77434207946110822</v>
      </c>
      <c r="AP24" s="187">
        <f t="shared" si="15"/>
        <v>0.59853096390460592</v>
      </c>
      <c r="AQ24" s="187">
        <f t="shared" si="15"/>
        <v>0.41106444440648399</v>
      </c>
      <c r="AR24" s="187">
        <f t="shared" si="15"/>
        <v>0.21164902704709032</v>
      </c>
      <c r="AS24" s="184">
        <f t="shared" si="15"/>
        <v>0</v>
      </c>
      <c r="AT24" s="18">
        <f t="shared" si="3"/>
        <v>-5.5695846440457331E-2</v>
      </c>
      <c r="AU24" s="18">
        <f t="shared" si="4"/>
        <v>-0.65013724264505557</v>
      </c>
    </row>
    <row r="25" spans="1:47">
      <c r="A25" s="90" t="s">
        <v>19</v>
      </c>
      <c r="B25" s="3" t="s">
        <v>8</v>
      </c>
      <c r="C25" s="4" t="s">
        <v>53</v>
      </c>
      <c r="D25" s="42" t="s">
        <v>260</v>
      </c>
      <c r="E25" s="185">
        <f t="shared" ref="E25:M25" si="16">E61*E$73</f>
        <v>3.8191663938551446</v>
      </c>
      <c r="F25" s="185">
        <f t="shared" si="16"/>
        <v>4.0988568451502596</v>
      </c>
      <c r="G25" s="185">
        <f t="shared" si="16"/>
        <v>4.3944247979053204</v>
      </c>
      <c r="H25" s="185">
        <f t="shared" si="16"/>
        <v>4.706814995543894</v>
      </c>
      <c r="I25" s="185">
        <f t="shared" si="16"/>
        <v>5.0371382716795274</v>
      </c>
      <c r="J25" s="185">
        <f t="shared" si="16"/>
        <v>5.3864582593538435</v>
      </c>
      <c r="K25" s="185">
        <f t="shared" si="16"/>
        <v>5.7556688671746157</v>
      </c>
      <c r="L25" s="185">
        <f t="shared" si="16"/>
        <v>6.1454901984629799</v>
      </c>
      <c r="M25" s="185">
        <f t="shared" si="16"/>
        <v>6.5566351080985488</v>
      </c>
      <c r="N25" s="185">
        <f t="shared" ref="N25:AS25" si="17">N61*N$73</f>
        <v>6.9897206124906077</v>
      </c>
      <c r="O25" s="185">
        <f t="shared" si="17"/>
        <v>7.4453583048008998</v>
      </c>
      <c r="P25" s="185">
        <f t="shared" si="17"/>
        <v>7.9242533665599675</v>
      </c>
      <c r="Q25" s="185">
        <f t="shared" si="17"/>
        <v>8.4271075663434392</v>
      </c>
      <c r="R25" s="185">
        <f t="shared" si="17"/>
        <v>8.9544575597344132</v>
      </c>
      <c r="S25" s="186">
        <f t="shared" si="17"/>
        <v>9.5067533710814587</v>
      </c>
      <c r="T25" s="187">
        <f t="shared" si="17"/>
        <v>9.9945540696245985</v>
      </c>
      <c r="U25" s="187">
        <f t="shared" si="17"/>
        <v>10.500711389847273</v>
      </c>
      <c r="V25" s="187">
        <f t="shared" si="17"/>
        <v>11.025356918117957</v>
      </c>
      <c r="W25" s="187">
        <f t="shared" si="17"/>
        <v>11.568465554548698</v>
      </c>
      <c r="X25" s="187">
        <f t="shared" si="17"/>
        <v>12.12991343823535</v>
      </c>
      <c r="Y25" s="187">
        <f t="shared" si="17"/>
        <v>12.709569821691405</v>
      </c>
      <c r="Z25" s="187">
        <f t="shared" si="17"/>
        <v>13.307294940883466</v>
      </c>
      <c r="AA25" s="187">
        <f t="shared" si="17"/>
        <v>13.922939373865548</v>
      </c>
      <c r="AB25" s="187">
        <f t="shared" si="17"/>
        <v>14.556176782424178</v>
      </c>
      <c r="AC25" s="187">
        <f t="shared" si="17"/>
        <v>15.206294430710876</v>
      </c>
      <c r="AD25" s="187">
        <f t="shared" si="17"/>
        <v>15.877746770605093</v>
      </c>
      <c r="AE25" s="187">
        <f t="shared" si="17"/>
        <v>16.570018045291299</v>
      </c>
      <c r="AF25" s="187">
        <f t="shared" si="17"/>
        <v>17.283347180163535</v>
      </c>
      <c r="AG25" s="187">
        <f t="shared" si="17"/>
        <v>18.018091104573262</v>
      </c>
      <c r="AH25" s="187">
        <f t="shared" si="17"/>
        <v>18.774647137902118</v>
      </c>
      <c r="AI25" s="187">
        <f t="shared" si="17"/>
        <v>19.553373338754611</v>
      </c>
      <c r="AJ25" s="187">
        <f t="shared" si="17"/>
        <v>20.354513788136206</v>
      </c>
      <c r="AK25" s="187">
        <f t="shared" si="17"/>
        <v>21.178260969991378</v>
      </c>
      <c r="AL25" s="187">
        <f t="shared" si="17"/>
        <v>22.024842075148179</v>
      </c>
      <c r="AM25" s="187">
        <f t="shared" si="17"/>
        <v>22.89447113809711</v>
      </c>
      <c r="AN25" s="187">
        <f t="shared" si="17"/>
        <v>23.787324701326018</v>
      </c>
      <c r="AO25" s="187">
        <f t="shared" si="17"/>
        <v>24.70353428278294</v>
      </c>
      <c r="AP25" s="187">
        <f t="shared" si="17"/>
        <v>25.643167788738833</v>
      </c>
      <c r="AQ25" s="187">
        <f t="shared" si="17"/>
        <v>26.606273552577981</v>
      </c>
      <c r="AR25" s="187">
        <f t="shared" si="17"/>
        <v>27.592833362397496</v>
      </c>
      <c r="AS25" s="188">
        <f t="shared" si="17"/>
        <v>28.602806237999999</v>
      </c>
      <c r="AT25" s="18">
        <f t="shared" si="3"/>
        <v>2.7150157520668063</v>
      </c>
      <c r="AU25" s="18">
        <f t="shared" si="4"/>
        <v>6.8438035170632059</v>
      </c>
    </row>
    <row r="26" spans="1:47">
      <c r="A26" s="90" t="s">
        <v>19</v>
      </c>
      <c r="B26" t="s">
        <v>37</v>
      </c>
      <c r="C26" s="4" t="s">
        <v>53</v>
      </c>
      <c r="D26" s="42" t="s">
        <v>260</v>
      </c>
      <c r="E26" s="185">
        <f t="shared" ref="E26:M26" si="18">E62*E$73</f>
        <v>0</v>
      </c>
      <c r="F26" s="185">
        <f t="shared" si="18"/>
        <v>0</v>
      </c>
      <c r="G26" s="185">
        <f t="shared" si="18"/>
        <v>0</v>
      </c>
      <c r="H26" s="185">
        <f t="shared" si="18"/>
        <v>0</v>
      </c>
      <c r="I26" s="185">
        <f t="shared" si="18"/>
        <v>6.5779079503105985E-3</v>
      </c>
      <c r="J26" s="185">
        <f t="shared" si="18"/>
        <v>2.1719286521739843E-2</v>
      </c>
      <c r="K26" s="185">
        <f t="shared" si="18"/>
        <v>3.8255340000001442E-2</v>
      </c>
      <c r="L26" s="185">
        <f t="shared" si="18"/>
        <v>5.6266175465840756E-2</v>
      </c>
      <c r="M26" s="185">
        <f t="shared" si="18"/>
        <v>7.5832958074537285E-2</v>
      </c>
      <c r="N26" s="185">
        <f t="shared" ref="N26:AS26" si="19">N62*N$73</f>
        <v>9.7036486770190403E-2</v>
      </c>
      <c r="O26" s="185">
        <f t="shared" si="19"/>
        <v>0.11995749142857652</v>
      </c>
      <c r="P26" s="185">
        <f t="shared" si="19"/>
        <v>0.14467838068323105</v>
      </c>
      <c r="Q26" s="185">
        <f t="shared" si="19"/>
        <v>0.17128224055900845</v>
      </c>
      <c r="R26" s="185">
        <f t="shared" si="19"/>
        <v>0.19984912453416476</v>
      </c>
      <c r="S26" s="186">
        <f t="shared" si="19"/>
        <v>0.23045631099379324</v>
      </c>
      <c r="T26" s="187">
        <f t="shared" si="19"/>
        <v>0.26144476148829876</v>
      </c>
      <c r="U26" s="187">
        <f t="shared" si="19"/>
        <v>0.29447994874343492</v>
      </c>
      <c r="V26" s="187">
        <f t="shared" si="19"/>
        <v>0.32962948708791651</v>
      </c>
      <c r="W26" s="187">
        <f t="shared" si="19"/>
        <v>0.36695486970855673</v>
      </c>
      <c r="X26" s="187">
        <f t="shared" si="19"/>
        <v>0.40651205257525519</v>
      </c>
      <c r="Y26" s="187">
        <f t="shared" si="19"/>
        <v>0.44835391533684138</v>
      </c>
      <c r="Z26" s="187">
        <f t="shared" si="19"/>
        <v>0.49253023727186279</v>
      </c>
      <c r="AA26" s="187">
        <f t="shared" si="19"/>
        <v>0.53908770642140891</v>
      </c>
      <c r="AB26" s="187">
        <f t="shared" si="19"/>
        <v>0.588063189381275</v>
      </c>
      <c r="AC26" s="187">
        <f t="shared" si="19"/>
        <v>0.63947356468227812</v>
      </c>
      <c r="AD26" s="187">
        <f t="shared" si="19"/>
        <v>0.69355531036311902</v>
      </c>
      <c r="AE26" s="187">
        <f t="shared" si="19"/>
        <v>0.75034708622073931</v>
      </c>
      <c r="AF26" s="187">
        <f t="shared" si="19"/>
        <v>0.80991774975155617</v>
      </c>
      <c r="AG26" s="187">
        <f t="shared" si="19"/>
        <v>0.87234159159102076</v>
      </c>
      <c r="AH26" s="187">
        <f t="shared" si="19"/>
        <v>0.93769537246775247</v>
      </c>
      <c r="AI26" s="187">
        <f t="shared" si="19"/>
        <v>1.006054512298139</v>
      </c>
      <c r="AJ26" s="187">
        <f t="shared" si="19"/>
        <v>1.077488818172482</v>
      </c>
      <c r="AK26" s="187">
        <f t="shared" si="19"/>
        <v>1.1520650287625436</v>
      </c>
      <c r="AL26" s="187">
        <f t="shared" si="19"/>
        <v>1.2298512714046839</v>
      </c>
      <c r="AM26" s="187">
        <f t="shared" si="19"/>
        <v>1.3109145879646451</v>
      </c>
      <c r="AN26" s="187">
        <f t="shared" si="19"/>
        <v>1.3953194273793605</v>
      </c>
      <c r="AO26" s="187">
        <f t="shared" si="19"/>
        <v>1.4831269491256573</v>
      </c>
      <c r="AP26" s="187">
        <f t="shared" si="19"/>
        <v>1.5743935970425225</v>
      </c>
      <c r="AQ26" s="187">
        <f t="shared" si="19"/>
        <v>1.6691734647873857</v>
      </c>
      <c r="AR26" s="187">
        <f t="shared" si="19"/>
        <v>1.7675151972503571</v>
      </c>
      <c r="AS26" s="189">
        <f t="shared" si="19"/>
        <v>1.8694644600000001</v>
      </c>
      <c r="AT26" s="18">
        <f t="shared" si="3"/>
        <v>0.18690915384854262</v>
      </c>
      <c r="AU26" s="18">
        <f t="shared" si="4"/>
        <v>0.55770059696129759</v>
      </c>
    </row>
    <row r="27" spans="1:47">
      <c r="A27" s="90" t="s">
        <v>19</v>
      </c>
      <c r="B27" t="s">
        <v>10</v>
      </c>
      <c r="C27" s="4" t="s">
        <v>53</v>
      </c>
      <c r="D27" s="42" t="s">
        <v>260</v>
      </c>
      <c r="E27" s="185">
        <f t="shared" ref="E27:M27" si="20">E63*E$73</f>
        <v>0</v>
      </c>
      <c r="F27" s="185">
        <f t="shared" si="20"/>
        <v>0</v>
      </c>
      <c r="G27" s="185">
        <f t="shared" si="20"/>
        <v>0</v>
      </c>
      <c r="H27" s="185">
        <f t="shared" si="20"/>
        <v>0</v>
      </c>
      <c r="I27" s="185">
        <f t="shared" si="20"/>
        <v>2.1926359834362631E-3</v>
      </c>
      <c r="J27" s="185">
        <f t="shared" si="20"/>
        <v>7.2397621739132816E-3</v>
      </c>
      <c r="K27" s="185">
        <f t="shared" si="20"/>
        <v>1.2751779999999161E-2</v>
      </c>
      <c r="L27" s="185">
        <f t="shared" si="20"/>
        <v>1.875539182194623E-2</v>
      </c>
      <c r="M27" s="185">
        <f t="shared" si="20"/>
        <v>2.527765269151026E-2</v>
      </c>
      <c r="N27" s="185">
        <f t="shared" ref="N27:AS27" si="21">N63*N$73</f>
        <v>3.234549559006196E-2</v>
      </c>
      <c r="O27" s="185">
        <f t="shared" si="21"/>
        <v>3.9985830476189012E-2</v>
      </c>
      <c r="P27" s="185">
        <f t="shared" si="21"/>
        <v>4.8226126894409527E-2</v>
      </c>
      <c r="Q27" s="185">
        <f t="shared" si="21"/>
        <v>5.7094080186333565E-2</v>
      </c>
      <c r="R27" s="185">
        <f t="shared" si="21"/>
        <v>6.6616374844719786E-2</v>
      </c>
      <c r="S27" s="186">
        <f t="shared" si="21"/>
        <v>7.681877033126347E-2</v>
      </c>
      <c r="T27" s="187">
        <f t="shared" si="21"/>
        <v>8.7148253829431976E-2</v>
      </c>
      <c r="U27" s="187">
        <f t="shared" si="21"/>
        <v>9.8159982914477348E-2</v>
      </c>
      <c r="V27" s="187">
        <f t="shared" si="21"/>
        <v>0.10987649569597122</v>
      </c>
      <c r="W27" s="187">
        <f t="shared" si="21"/>
        <v>0.12231828990285129</v>
      </c>
      <c r="X27" s="187">
        <f t="shared" si="21"/>
        <v>0.13550401752508412</v>
      </c>
      <c r="Y27" s="187">
        <f t="shared" si="21"/>
        <v>0.14945130511227955</v>
      </c>
      <c r="Z27" s="187">
        <f t="shared" si="21"/>
        <v>0.16417674575728669</v>
      </c>
      <c r="AA27" s="187">
        <f t="shared" si="21"/>
        <v>0.17969590214046877</v>
      </c>
      <c r="AB27" s="187">
        <f t="shared" si="21"/>
        <v>0.19602106312709086</v>
      </c>
      <c r="AC27" s="187">
        <f t="shared" si="21"/>
        <v>0.21315785489409195</v>
      </c>
      <c r="AD27" s="187">
        <f t="shared" si="21"/>
        <v>0.23118510345437229</v>
      </c>
      <c r="AE27" s="187">
        <f t="shared" si="21"/>
        <v>0.25011569540691247</v>
      </c>
      <c r="AF27" s="187">
        <f t="shared" si="21"/>
        <v>0.26997258325051815</v>
      </c>
      <c r="AG27" s="187">
        <f t="shared" si="21"/>
        <v>0.29078053053033975</v>
      </c>
      <c r="AH27" s="187">
        <f t="shared" si="21"/>
        <v>0.31256512415591708</v>
      </c>
      <c r="AI27" s="187">
        <f t="shared" si="21"/>
        <v>0.33535150409937942</v>
      </c>
      <c r="AJ27" s="187">
        <f t="shared" si="21"/>
        <v>0.35916293939082711</v>
      </c>
      <c r="AK27" s="187">
        <f t="shared" si="21"/>
        <v>0.38402167625418115</v>
      </c>
      <c r="AL27" s="187">
        <f t="shared" si="21"/>
        <v>0.40995042380156127</v>
      </c>
      <c r="AM27" s="187">
        <f t="shared" si="21"/>
        <v>0.43697152932154854</v>
      </c>
      <c r="AN27" s="187">
        <f t="shared" si="21"/>
        <v>0.46510647579312042</v>
      </c>
      <c r="AO27" s="187">
        <f t="shared" si="21"/>
        <v>0.49437564970855286</v>
      </c>
      <c r="AP27" s="187">
        <f t="shared" si="21"/>
        <v>0.52479786568084141</v>
      </c>
      <c r="AQ27" s="187">
        <f t="shared" si="21"/>
        <v>0.55639115492912927</v>
      </c>
      <c r="AR27" s="187">
        <f t="shared" si="21"/>
        <v>0.58917173241678655</v>
      </c>
      <c r="AS27" s="189">
        <f t="shared" si="21"/>
        <v>0.62315482</v>
      </c>
      <c r="AT27" s="18">
        <f t="shared" si="3"/>
        <v>6.2303051282847577E-2</v>
      </c>
      <c r="AU27" s="18">
        <f t="shared" si="4"/>
        <v>0.18590019898709986</v>
      </c>
    </row>
    <row r="28" spans="1:47">
      <c r="A28" s="90" t="s">
        <v>19</v>
      </c>
      <c r="B28" t="s">
        <v>11</v>
      </c>
      <c r="C28" s="4" t="s">
        <v>53</v>
      </c>
      <c r="D28" s="42" t="s">
        <v>260</v>
      </c>
      <c r="E28" s="185">
        <f t="shared" ref="E28:M28" si="22">E64*E$73</f>
        <v>0</v>
      </c>
      <c r="F28" s="185">
        <f t="shared" si="22"/>
        <v>0</v>
      </c>
      <c r="G28" s="185">
        <f t="shared" si="22"/>
        <v>2.8385189126125168E-3</v>
      </c>
      <c r="H28" s="185">
        <f t="shared" si="22"/>
        <v>6.6095189610221065E-3</v>
      </c>
      <c r="I28" s="185">
        <f t="shared" si="22"/>
        <v>1.0729479535526483E-2</v>
      </c>
      <c r="J28" s="185">
        <f t="shared" si="22"/>
        <v>1.5219271429765185E-2</v>
      </c>
      <c r="K28" s="185">
        <f t="shared" si="22"/>
        <v>2.0100542278111144E-2</v>
      </c>
      <c r="L28" s="185">
        <f t="shared" si="22"/>
        <v>2.5395018782558242E-2</v>
      </c>
      <c r="M28" s="185">
        <f t="shared" si="22"/>
        <v>3.1124684499811477E-2</v>
      </c>
      <c r="N28" s="185">
        <f t="shared" ref="N28:AS28" si="23">N64*N$73</f>
        <v>3.7311257357662934E-2</v>
      </c>
      <c r="O28" s="185">
        <f t="shared" si="23"/>
        <v>4.3976427921335826E-2</v>
      </c>
      <c r="P28" s="185">
        <f t="shared" si="23"/>
        <v>5.1142483129100545E-2</v>
      </c>
      <c r="Q28" s="185">
        <f t="shared" si="23"/>
        <v>5.8831876566474157E-2</v>
      </c>
      <c r="R28" s="185">
        <f t="shared" si="23"/>
        <v>6.7065991610041301E-2</v>
      </c>
      <c r="S28" s="186">
        <f t="shared" si="23"/>
        <v>7.5865348126057275E-2</v>
      </c>
      <c r="T28" s="187">
        <f t="shared" si="23"/>
        <v>7.603884432326849E-2</v>
      </c>
      <c r="U28" s="187">
        <f t="shared" si="23"/>
        <v>7.604796418098754E-2</v>
      </c>
      <c r="V28" s="187">
        <f t="shared" si="23"/>
        <v>7.5881254361641892E-2</v>
      </c>
      <c r="W28" s="187">
        <f t="shared" si="23"/>
        <v>7.5526461964600708E-2</v>
      </c>
      <c r="X28" s="187">
        <f t="shared" si="23"/>
        <v>7.4971155973312623E-2</v>
      </c>
      <c r="Y28" s="187">
        <f t="shared" si="23"/>
        <v>7.4203415063873276E-2</v>
      </c>
      <c r="Z28" s="187">
        <f t="shared" si="23"/>
        <v>7.3211805254127099E-2</v>
      </c>
      <c r="AA28" s="187">
        <f t="shared" si="23"/>
        <v>7.1985369995537257E-2</v>
      </c>
      <c r="AB28" s="187">
        <f t="shared" si="23"/>
        <v>7.0512814711034655E-2</v>
      </c>
      <c r="AC28" s="187">
        <f t="shared" si="23"/>
        <v>6.8781822673196782E-2</v>
      </c>
      <c r="AD28" s="187">
        <f t="shared" si="23"/>
        <v>6.6803002724319896E-2</v>
      </c>
      <c r="AE28" s="187">
        <f t="shared" si="23"/>
        <v>6.4562309513908372E-2</v>
      </c>
      <c r="AF28" s="187">
        <f t="shared" si="23"/>
        <v>6.2049410014357861E-2</v>
      </c>
      <c r="AG28" s="187">
        <f t="shared" si="23"/>
        <v>5.92544136075948E-2</v>
      </c>
      <c r="AH28" s="187">
        <f t="shared" si="23"/>
        <v>5.616746262583884E-2</v>
      </c>
      <c r="AI28" s="187">
        <f t="shared" si="23"/>
        <v>5.2778461606186794E-2</v>
      </c>
      <c r="AJ28" s="187">
        <f t="shared" si="23"/>
        <v>4.9076958623472874E-2</v>
      </c>
      <c r="AK28" s="187">
        <f t="shared" si="23"/>
        <v>4.5052442764593852E-2</v>
      </c>
      <c r="AL28" s="187">
        <f t="shared" si="23"/>
        <v>4.0694573858874816E-2</v>
      </c>
      <c r="AM28" s="187">
        <f t="shared" si="23"/>
        <v>3.5993055515750667E-2</v>
      </c>
      <c r="AN28" s="187">
        <f t="shared" si="23"/>
        <v>3.0937618995251968E-2</v>
      </c>
      <c r="AO28" s="187">
        <f t="shared" si="23"/>
        <v>2.5518062840525449E-2</v>
      </c>
      <c r="AP28" s="187">
        <f t="shared" si="23"/>
        <v>1.9724293892884229E-2</v>
      </c>
      <c r="AQ28" s="187">
        <f t="shared" si="23"/>
        <v>1.3546426833952269E-2</v>
      </c>
      <c r="AR28" s="187">
        <f t="shared" si="23"/>
        <v>6.9747897157835031E-3</v>
      </c>
      <c r="AS28" s="188">
        <f t="shared" si="23"/>
        <v>0</v>
      </c>
      <c r="AT28" s="18">
        <f t="shared" si="3"/>
        <v>-1.8354292593952132E-3</v>
      </c>
      <c r="AU28" s="18">
        <f t="shared" si="4"/>
        <v>-2.1424953457686483E-2</v>
      </c>
    </row>
    <row r="29" spans="1:47">
      <c r="A29" s="90" t="s">
        <v>19</v>
      </c>
      <c r="B29" s="3" t="s">
        <v>12</v>
      </c>
      <c r="C29" s="4" t="s">
        <v>53</v>
      </c>
      <c r="D29" s="42" t="s">
        <v>260</v>
      </c>
      <c r="E29" s="185">
        <f t="shared" ref="E29:M29" si="24">E65*E$73</f>
        <v>8.0280816521736895E-3</v>
      </c>
      <c r="F29" s="185">
        <f t="shared" si="24"/>
        <v>7.8028153623186563E-3</v>
      </c>
      <c r="G29" s="185">
        <f t="shared" si="24"/>
        <v>7.5326573913042077E-3</v>
      </c>
      <c r="H29" s="185">
        <f t="shared" si="24"/>
        <v>7.2151577971013587E-3</v>
      </c>
      <c r="I29" s="185">
        <f t="shared" si="24"/>
        <v>6.8477708405796731E-3</v>
      </c>
      <c r="J29" s="185">
        <f t="shared" si="24"/>
        <v>6.4274961739130667E-3</v>
      </c>
      <c r="K29" s="185">
        <f t="shared" si="24"/>
        <v>5.9508306666667538E-3</v>
      </c>
      <c r="L29" s="185">
        <f t="shared" si="24"/>
        <v>5.4139275362317836E-3</v>
      </c>
      <c r="M29" s="185">
        <f t="shared" si="24"/>
        <v>4.8128650724637324E-3</v>
      </c>
      <c r="N29" s="185">
        <f t="shared" ref="N29:AS29" si="25">N65*N$73</f>
        <v>4.1436059710145291E-3</v>
      </c>
      <c r="O29" s="185">
        <f t="shared" si="25"/>
        <v>3.402109333333448E-3</v>
      </c>
      <c r="P29" s="185">
        <f t="shared" si="25"/>
        <v>2.5843666086958514E-3</v>
      </c>
      <c r="Q29" s="185">
        <f t="shared" si="25"/>
        <v>1.6863230434785528E-3</v>
      </c>
      <c r="R29" s="185">
        <f t="shared" si="25"/>
        <v>7.0387113043517396E-4</v>
      </c>
      <c r="S29" s="186">
        <f t="shared" si="25"/>
        <v>0</v>
      </c>
      <c r="T29" s="187">
        <f t="shared" si="25"/>
        <v>0</v>
      </c>
      <c r="U29" s="187">
        <f t="shared" si="25"/>
        <v>0</v>
      </c>
      <c r="V29" s="187">
        <f t="shared" si="25"/>
        <v>0</v>
      </c>
      <c r="W29" s="187">
        <f t="shared" si="25"/>
        <v>0</v>
      </c>
      <c r="X29" s="187">
        <f t="shared" si="25"/>
        <v>0</v>
      </c>
      <c r="Y29" s="187">
        <f t="shared" si="25"/>
        <v>0</v>
      </c>
      <c r="Z29" s="187">
        <f t="shared" si="25"/>
        <v>0</v>
      </c>
      <c r="AA29" s="187">
        <f t="shared" si="25"/>
        <v>0</v>
      </c>
      <c r="AB29" s="187">
        <f t="shared" si="25"/>
        <v>0</v>
      </c>
      <c r="AC29" s="187">
        <f t="shared" si="25"/>
        <v>0</v>
      </c>
      <c r="AD29" s="187">
        <f t="shared" si="25"/>
        <v>0</v>
      </c>
      <c r="AE29" s="187">
        <f t="shared" si="25"/>
        <v>0</v>
      </c>
      <c r="AF29" s="187">
        <f t="shared" si="25"/>
        <v>0</v>
      </c>
      <c r="AG29" s="187">
        <f t="shared" si="25"/>
        <v>0</v>
      </c>
      <c r="AH29" s="187">
        <f t="shared" si="25"/>
        <v>0</v>
      </c>
      <c r="AI29" s="187">
        <f t="shared" si="25"/>
        <v>0</v>
      </c>
      <c r="AJ29" s="187">
        <f t="shared" si="25"/>
        <v>0</v>
      </c>
      <c r="AK29" s="187">
        <f t="shared" si="25"/>
        <v>0</v>
      </c>
      <c r="AL29" s="187">
        <f t="shared" si="25"/>
        <v>0</v>
      </c>
      <c r="AM29" s="187">
        <f t="shared" si="25"/>
        <v>0</v>
      </c>
      <c r="AN29" s="187">
        <f t="shared" si="25"/>
        <v>0</v>
      </c>
      <c r="AO29" s="187">
        <f t="shared" si="25"/>
        <v>0</v>
      </c>
      <c r="AP29" s="187">
        <f t="shared" si="25"/>
        <v>0</v>
      </c>
      <c r="AQ29" s="187">
        <f t="shared" si="25"/>
        <v>0</v>
      </c>
      <c r="AR29" s="187">
        <f t="shared" si="25"/>
        <v>0</v>
      </c>
      <c r="AS29" s="188">
        <f t="shared" si="25"/>
        <v>0</v>
      </c>
      <c r="AT29" s="18">
        <f t="shared" si="3"/>
        <v>0</v>
      </c>
      <c r="AU29" s="18">
        <f t="shared" si="4"/>
        <v>0</v>
      </c>
    </row>
    <row r="30" spans="1:47">
      <c r="A30" s="90" t="s">
        <v>19</v>
      </c>
      <c r="B30" s="3" t="s">
        <v>13</v>
      </c>
      <c r="C30" s="4" t="s">
        <v>53</v>
      </c>
      <c r="D30" s="42" t="s">
        <v>260</v>
      </c>
      <c r="E30" s="185">
        <f t="shared" ref="E30:M30" si="26">E66*E$73</f>
        <v>0.77800531846011711</v>
      </c>
      <c r="F30" s="185">
        <f t="shared" si="26"/>
        <v>0.78900105962201472</v>
      </c>
      <c r="G30" s="185">
        <f t="shared" si="26"/>
        <v>0.79880576581548779</v>
      </c>
      <c r="H30" s="185">
        <f t="shared" si="26"/>
        <v>0.8073610755813645</v>
      </c>
      <c r="I30" s="185">
        <f t="shared" si="26"/>
        <v>0.81461730429399781</v>
      </c>
      <c r="J30" s="185">
        <f t="shared" si="26"/>
        <v>0.82049505719648175</v>
      </c>
      <c r="K30" s="185">
        <f t="shared" si="26"/>
        <v>0.82487210880679251</v>
      </c>
      <c r="L30" s="185">
        <f t="shared" si="26"/>
        <v>0.82759205435599292</v>
      </c>
      <c r="M30" s="185">
        <f t="shared" si="26"/>
        <v>0.82849363738279735</v>
      </c>
      <c r="N30" s="185">
        <f t="shared" ref="N30:AS30" si="27">N66*N$73</f>
        <v>0.82740093305881135</v>
      </c>
      <c r="O30" s="185">
        <f t="shared" si="27"/>
        <v>0.82413735314186498</v>
      </c>
      <c r="P30" s="185">
        <f t="shared" si="27"/>
        <v>0.81853607982341225</v>
      </c>
      <c r="Q30" s="185">
        <f t="shared" si="27"/>
        <v>0.81042739323870472</v>
      </c>
      <c r="R30" s="185">
        <f t="shared" si="27"/>
        <v>0.79962458010107429</v>
      </c>
      <c r="S30" s="186">
        <f t="shared" si="27"/>
        <v>0.78593609183317181</v>
      </c>
      <c r="T30" s="187">
        <f t="shared" si="27"/>
        <v>0.78773344631123388</v>
      </c>
      <c r="U30" s="187">
        <f t="shared" si="27"/>
        <v>0.78782792456132877</v>
      </c>
      <c r="V30" s="187">
        <f t="shared" si="27"/>
        <v>0.78610087437144482</v>
      </c>
      <c r="W30" s="187">
        <f t="shared" si="27"/>
        <v>0.78242536036102539</v>
      </c>
      <c r="X30" s="187">
        <f t="shared" si="27"/>
        <v>0.77667260193646348</v>
      </c>
      <c r="Y30" s="187">
        <f t="shared" si="27"/>
        <v>0.76871909872571442</v>
      </c>
      <c r="Z30" s="187">
        <f t="shared" si="27"/>
        <v>0.75844639903150912</v>
      </c>
      <c r="AA30" s="187">
        <f t="shared" si="27"/>
        <v>0.7457409971869029</v>
      </c>
      <c r="AB30" s="187">
        <f t="shared" si="27"/>
        <v>0.73048588567819106</v>
      </c>
      <c r="AC30" s="187">
        <f t="shared" si="27"/>
        <v>0.71255346790358176</v>
      </c>
      <c r="AD30" s="187">
        <f t="shared" si="27"/>
        <v>0.69205364742588948</v>
      </c>
      <c r="AE30" s="187">
        <f t="shared" si="27"/>
        <v>0.66884091976711935</v>
      </c>
      <c r="AF30" s="187">
        <f t="shared" si="27"/>
        <v>0.64280823869954351</v>
      </c>
      <c r="AG30" s="187">
        <f t="shared" si="27"/>
        <v>0.61385314118955625</v>
      </c>
      <c r="AH30" s="187">
        <f t="shared" si="27"/>
        <v>0.58187350555603112</v>
      </c>
      <c r="AI30" s="187">
        <f t="shared" si="27"/>
        <v>0.5467647466510005</v>
      </c>
      <c r="AJ30" s="187">
        <f t="shared" si="27"/>
        <v>0.50841858651331562</v>
      </c>
      <c r="AK30" s="187">
        <f t="shared" si="27"/>
        <v>0.46672613608927804</v>
      </c>
      <c r="AL30" s="187">
        <f t="shared" si="27"/>
        <v>0.42158027515167112</v>
      </c>
      <c r="AM30" s="187">
        <f t="shared" si="27"/>
        <v>0.3728743370185299</v>
      </c>
      <c r="AN30" s="187">
        <f t="shared" si="27"/>
        <v>0.32050194145752209</v>
      </c>
      <c r="AO30" s="187">
        <f t="shared" si="27"/>
        <v>0.2643574052637549</v>
      </c>
      <c r="AP30" s="187">
        <f t="shared" si="27"/>
        <v>0.20433616716006345</v>
      </c>
      <c r="AQ30" s="187">
        <f t="shared" si="27"/>
        <v>0.14033581901568845</v>
      </c>
      <c r="AR30" s="187">
        <f t="shared" si="27"/>
        <v>7.2256163136202783E-2</v>
      </c>
      <c r="AS30" s="188">
        <f t="shared" si="27"/>
        <v>0</v>
      </c>
      <c r="AT30" s="18">
        <f t="shared" si="3"/>
        <v>-1.9014347585519453E-2</v>
      </c>
      <c r="AU30" s="18">
        <f t="shared" si="4"/>
        <v>-0.22195435207471392</v>
      </c>
    </row>
    <row r="31" spans="1:47">
      <c r="A31" s="90" t="s">
        <v>19</v>
      </c>
      <c r="B31" t="s">
        <v>14</v>
      </c>
      <c r="C31" s="4" t="s">
        <v>53</v>
      </c>
      <c r="D31" s="42" t="s">
        <v>260</v>
      </c>
      <c r="E31" s="185">
        <f t="shared" ref="E31:M31" si="28">E67*E$73</f>
        <v>0</v>
      </c>
      <c r="F31" s="185">
        <f t="shared" si="28"/>
        <v>0</v>
      </c>
      <c r="G31" s="185">
        <f t="shared" si="28"/>
        <v>0</v>
      </c>
      <c r="H31" s="185">
        <f t="shared" si="28"/>
        <v>0</v>
      </c>
      <c r="I31" s="185">
        <f t="shared" si="28"/>
        <v>0</v>
      </c>
      <c r="J31" s="185">
        <f t="shared" si="28"/>
        <v>0</v>
      </c>
      <c r="K31" s="185">
        <f t="shared" si="28"/>
        <v>0</v>
      </c>
      <c r="L31" s="185">
        <f t="shared" si="28"/>
        <v>0</v>
      </c>
      <c r="M31" s="185">
        <f t="shared" si="28"/>
        <v>0</v>
      </c>
      <c r="N31" s="185">
        <f t="shared" ref="N31:AS31" si="29">N67*N$73</f>
        <v>0</v>
      </c>
      <c r="O31" s="185">
        <f t="shared" si="29"/>
        <v>0</v>
      </c>
      <c r="P31" s="185">
        <f t="shared" si="29"/>
        <v>0</v>
      </c>
      <c r="Q31" s="185">
        <f t="shared" si="29"/>
        <v>0</v>
      </c>
      <c r="R31" s="185">
        <f t="shared" si="29"/>
        <v>0</v>
      </c>
      <c r="S31" s="186">
        <f t="shared" si="29"/>
        <v>0</v>
      </c>
      <c r="T31" s="187">
        <f t="shared" si="29"/>
        <v>0</v>
      </c>
      <c r="U31" s="187">
        <f t="shared" si="29"/>
        <v>0</v>
      </c>
      <c r="V31" s="187">
        <f t="shared" si="29"/>
        <v>0</v>
      </c>
      <c r="W31" s="187">
        <f t="shared" si="29"/>
        <v>0</v>
      </c>
      <c r="X31" s="187">
        <f t="shared" si="29"/>
        <v>0</v>
      </c>
      <c r="Y31" s="187">
        <f t="shared" si="29"/>
        <v>0</v>
      </c>
      <c r="Z31" s="187">
        <f t="shared" si="29"/>
        <v>0</v>
      </c>
      <c r="AA31" s="187">
        <f t="shared" si="29"/>
        <v>0</v>
      </c>
      <c r="AB31" s="187">
        <f t="shared" si="29"/>
        <v>0</v>
      </c>
      <c r="AC31" s="187">
        <f t="shared" si="29"/>
        <v>0</v>
      </c>
      <c r="AD31" s="187">
        <f t="shared" si="29"/>
        <v>0</v>
      </c>
      <c r="AE31" s="187">
        <f t="shared" si="29"/>
        <v>0</v>
      </c>
      <c r="AF31" s="187">
        <f t="shared" si="29"/>
        <v>0</v>
      </c>
      <c r="AG31" s="187">
        <f t="shared" si="29"/>
        <v>0</v>
      </c>
      <c r="AH31" s="187">
        <f t="shared" si="29"/>
        <v>0</v>
      </c>
      <c r="AI31" s="187">
        <f t="shared" si="29"/>
        <v>0</v>
      </c>
      <c r="AJ31" s="187">
        <f t="shared" si="29"/>
        <v>0</v>
      </c>
      <c r="AK31" s="187">
        <f t="shared" si="29"/>
        <v>0</v>
      </c>
      <c r="AL31" s="187">
        <f t="shared" si="29"/>
        <v>0</v>
      </c>
      <c r="AM31" s="187">
        <f t="shared" si="29"/>
        <v>0</v>
      </c>
      <c r="AN31" s="187">
        <f t="shared" si="29"/>
        <v>0</v>
      </c>
      <c r="AO31" s="187">
        <f t="shared" si="29"/>
        <v>0</v>
      </c>
      <c r="AP31" s="187">
        <f t="shared" si="29"/>
        <v>0</v>
      </c>
      <c r="AQ31" s="187">
        <f t="shared" si="29"/>
        <v>0</v>
      </c>
      <c r="AR31" s="187">
        <f t="shared" si="29"/>
        <v>0</v>
      </c>
      <c r="AS31" s="190">
        <f t="shared" si="29"/>
        <v>0</v>
      </c>
      <c r="AT31" s="18">
        <f t="shared" si="3"/>
        <v>0</v>
      </c>
      <c r="AU31" s="18">
        <f t="shared" si="4"/>
        <v>0</v>
      </c>
    </row>
    <row r="32" spans="1:47">
      <c r="A32" s="90" t="s">
        <v>19</v>
      </c>
      <c r="B32" t="s">
        <v>15</v>
      </c>
      <c r="C32" s="4" t="s">
        <v>53</v>
      </c>
      <c r="D32" s="42" t="s">
        <v>260</v>
      </c>
      <c r="E32" s="185">
        <f t="shared" ref="E32:M32" si="30">E68*E$73</f>
        <v>0</v>
      </c>
      <c r="F32" s="185">
        <f t="shared" si="30"/>
        <v>0</v>
      </c>
      <c r="G32" s="185">
        <f t="shared" si="30"/>
        <v>0</v>
      </c>
      <c r="H32" s="185">
        <f t="shared" si="30"/>
        <v>0</v>
      </c>
      <c r="I32" s="185">
        <f t="shared" si="30"/>
        <v>0</v>
      </c>
      <c r="J32" s="185">
        <f t="shared" si="30"/>
        <v>0</v>
      </c>
      <c r="K32" s="185">
        <f t="shared" si="30"/>
        <v>0</v>
      </c>
      <c r="L32" s="185">
        <f t="shared" si="30"/>
        <v>0</v>
      </c>
      <c r="M32" s="185">
        <f t="shared" si="30"/>
        <v>0</v>
      </c>
      <c r="N32" s="185">
        <f t="shared" ref="N32:AS32" si="31">N68*N$73</f>
        <v>0</v>
      </c>
      <c r="O32" s="185">
        <f t="shared" si="31"/>
        <v>0</v>
      </c>
      <c r="P32" s="185">
        <f t="shared" si="31"/>
        <v>0</v>
      </c>
      <c r="Q32" s="185">
        <f t="shared" si="31"/>
        <v>0</v>
      </c>
      <c r="R32" s="185">
        <f t="shared" si="31"/>
        <v>0</v>
      </c>
      <c r="S32" s="186">
        <f t="shared" si="31"/>
        <v>0</v>
      </c>
      <c r="T32" s="187">
        <f t="shared" si="31"/>
        <v>0</v>
      </c>
      <c r="U32" s="187">
        <f t="shared" si="31"/>
        <v>0</v>
      </c>
      <c r="V32" s="187">
        <f t="shared" si="31"/>
        <v>0</v>
      </c>
      <c r="W32" s="187">
        <f t="shared" si="31"/>
        <v>0</v>
      </c>
      <c r="X32" s="187">
        <f t="shared" si="31"/>
        <v>0</v>
      </c>
      <c r="Y32" s="187">
        <f t="shared" si="31"/>
        <v>0</v>
      </c>
      <c r="Z32" s="187">
        <f t="shared" si="31"/>
        <v>0</v>
      </c>
      <c r="AA32" s="187">
        <f t="shared" si="31"/>
        <v>0</v>
      </c>
      <c r="AB32" s="187">
        <f t="shared" si="31"/>
        <v>0</v>
      </c>
      <c r="AC32" s="187">
        <f t="shared" si="31"/>
        <v>0</v>
      </c>
      <c r="AD32" s="187">
        <f t="shared" si="31"/>
        <v>0</v>
      </c>
      <c r="AE32" s="187">
        <f t="shared" si="31"/>
        <v>0</v>
      </c>
      <c r="AF32" s="187">
        <f t="shared" si="31"/>
        <v>0</v>
      </c>
      <c r="AG32" s="187">
        <f t="shared" si="31"/>
        <v>0</v>
      </c>
      <c r="AH32" s="187">
        <f t="shared" si="31"/>
        <v>0</v>
      </c>
      <c r="AI32" s="187">
        <f t="shared" si="31"/>
        <v>0</v>
      </c>
      <c r="AJ32" s="187">
        <f t="shared" si="31"/>
        <v>0</v>
      </c>
      <c r="AK32" s="187">
        <f t="shared" si="31"/>
        <v>0</v>
      </c>
      <c r="AL32" s="187">
        <f t="shared" si="31"/>
        <v>0</v>
      </c>
      <c r="AM32" s="187">
        <f t="shared" si="31"/>
        <v>0</v>
      </c>
      <c r="AN32" s="187">
        <f t="shared" si="31"/>
        <v>0</v>
      </c>
      <c r="AO32" s="187">
        <f t="shared" si="31"/>
        <v>0</v>
      </c>
      <c r="AP32" s="187">
        <f t="shared" si="31"/>
        <v>0</v>
      </c>
      <c r="AQ32" s="187">
        <f t="shared" si="31"/>
        <v>0</v>
      </c>
      <c r="AR32" s="187">
        <f t="shared" si="31"/>
        <v>0</v>
      </c>
      <c r="AS32" s="190">
        <f t="shared" si="31"/>
        <v>0</v>
      </c>
      <c r="AT32" s="18">
        <f t="shared" si="3"/>
        <v>0</v>
      </c>
      <c r="AU32" s="18">
        <f t="shared" si="4"/>
        <v>0</v>
      </c>
    </row>
    <row r="33" spans="1:47">
      <c r="A33" s="90" t="s">
        <v>19</v>
      </c>
      <c r="B33" t="s">
        <v>16</v>
      </c>
      <c r="C33" s="4" t="s">
        <v>53</v>
      </c>
      <c r="D33" s="42" t="s">
        <v>260</v>
      </c>
      <c r="E33" s="185">
        <f t="shared" ref="E33:M33" si="32">E69*E$73</f>
        <v>0</v>
      </c>
      <c r="F33" s="185">
        <f t="shared" si="32"/>
        <v>0</v>
      </c>
      <c r="G33" s="185">
        <f t="shared" si="32"/>
        <v>0</v>
      </c>
      <c r="H33" s="185">
        <f t="shared" si="32"/>
        <v>0</v>
      </c>
      <c r="I33" s="185">
        <f t="shared" si="32"/>
        <v>0</v>
      </c>
      <c r="J33" s="185">
        <f t="shared" si="32"/>
        <v>0</v>
      </c>
      <c r="K33" s="185">
        <f t="shared" si="32"/>
        <v>0</v>
      </c>
      <c r="L33" s="185">
        <f t="shared" si="32"/>
        <v>0</v>
      </c>
      <c r="M33" s="185">
        <f t="shared" si="32"/>
        <v>0</v>
      </c>
      <c r="N33" s="185">
        <f t="shared" ref="N33:AS33" si="33">N69*N$73</f>
        <v>0</v>
      </c>
      <c r="O33" s="185">
        <f t="shared" si="33"/>
        <v>0</v>
      </c>
      <c r="P33" s="185">
        <f t="shared" si="33"/>
        <v>0</v>
      </c>
      <c r="Q33" s="185">
        <f t="shared" si="33"/>
        <v>0</v>
      </c>
      <c r="R33" s="185">
        <f t="shared" si="33"/>
        <v>0</v>
      </c>
      <c r="S33" s="186">
        <f t="shared" si="33"/>
        <v>0</v>
      </c>
      <c r="T33" s="187">
        <f t="shared" si="33"/>
        <v>0</v>
      </c>
      <c r="U33" s="187">
        <f t="shared" si="33"/>
        <v>0</v>
      </c>
      <c r="V33" s="187">
        <f t="shared" si="33"/>
        <v>0</v>
      </c>
      <c r="W33" s="187">
        <f t="shared" si="33"/>
        <v>0</v>
      </c>
      <c r="X33" s="187">
        <f t="shared" si="33"/>
        <v>0</v>
      </c>
      <c r="Y33" s="187">
        <f t="shared" si="33"/>
        <v>0</v>
      </c>
      <c r="Z33" s="187">
        <f t="shared" si="33"/>
        <v>0</v>
      </c>
      <c r="AA33" s="187">
        <f t="shared" si="33"/>
        <v>0</v>
      </c>
      <c r="AB33" s="187">
        <f t="shared" si="33"/>
        <v>0</v>
      </c>
      <c r="AC33" s="187">
        <f t="shared" si="33"/>
        <v>0</v>
      </c>
      <c r="AD33" s="187">
        <f t="shared" si="33"/>
        <v>0</v>
      </c>
      <c r="AE33" s="187">
        <f t="shared" si="33"/>
        <v>0</v>
      </c>
      <c r="AF33" s="187">
        <f t="shared" si="33"/>
        <v>0</v>
      </c>
      <c r="AG33" s="187">
        <f t="shared" si="33"/>
        <v>0</v>
      </c>
      <c r="AH33" s="187">
        <f t="shared" si="33"/>
        <v>0</v>
      </c>
      <c r="AI33" s="187">
        <f t="shared" si="33"/>
        <v>0</v>
      </c>
      <c r="AJ33" s="187">
        <f t="shared" si="33"/>
        <v>0</v>
      </c>
      <c r="AK33" s="187">
        <f t="shared" si="33"/>
        <v>0</v>
      </c>
      <c r="AL33" s="187">
        <f t="shared" si="33"/>
        <v>0</v>
      </c>
      <c r="AM33" s="187">
        <f t="shared" si="33"/>
        <v>0</v>
      </c>
      <c r="AN33" s="187">
        <f t="shared" si="33"/>
        <v>0</v>
      </c>
      <c r="AO33" s="187">
        <f t="shared" si="33"/>
        <v>0</v>
      </c>
      <c r="AP33" s="187">
        <f t="shared" si="33"/>
        <v>0</v>
      </c>
      <c r="AQ33" s="187">
        <f t="shared" si="33"/>
        <v>0</v>
      </c>
      <c r="AR33" s="187">
        <f t="shared" si="33"/>
        <v>0</v>
      </c>
      <c r="AS33" s="190">
        <f t="shared" si="33"/>
        <v>0</v>
      </c>
      <c r="AT33" s="18">
        <f t="shared" si="3"/>
        <v>0</v>
      </c>
      <c r="AU33" s="18">
        <f t="shared" si="4"/>
        <v>0</v>
      </c>
    </row>
    <row r="34" spans="1:47" ht="17" thickBot="1">
      <c r="A34" s="92" t="s">
        <v>19</v>
      </c>
      <c r="B34" s="31" t="s">
        <v>17</v>
      </c>
      <c r="C34" s="32" t="s">
        <v>53</v>
      </c>
      <c r="D34" s="43" t="s">
        <v>260</v>
      </c>
      <c r="E34" s="191">
        <f t="shared" ref="E34:M34" si="34">E70*E$73</f>
        <v>2.0548418874079218E-2</v>
      </c>
      <c r="F34" s="191">
        <f t="shared" si="34"/>
        <v>1.9974223992094007E-2</v>
      </c>
      <c r="G34" s="191">
        <f t="shared" si="34"/>
        <v>1.9285355787837171E-2</v>
      </c>
      <c r="H34" s="191">
        <f t="shared" si="34"/>
        <v>1.8475556502824939E-2</v>
      </c>
      <c r="I34" s="191">
        <f t="shared" si="34"/>
        <v>1.7538324486760508E-2</v>
      </c>
      <c r="J34" s="191">
        <f t="shared" si="34"/>
        <v>1.6465995531857913E-2</v>
      </c>
      <c r="K34" s="191">
        <f t="shared" si="34"/>
        <v>1.524961895322322E-2</v>
      </c>
      <c r="L34" s="191">
        <f t="shared" si="34"/>
        <v>1.3879364401192871E-2</v>
      </c>
      <c r="M34" s="191">
        <f t="shared" si="34"/>
        <v>1.234520991939036E-2</v>
      </c>
      <c r="N34" s="191">
        <f t="shared" ref="N34:AS34" si="35">N70*N$73</f>
        <v>1.0636837427949946E-2</v>
      </c>
      <c r="O34" s="191">
        <f t="shared" si="35"/>
        <v>8.7439196244640492E-3</v>
      </c>
      <c r="P34" s="191">
        <f t="shared" si="35"/>
        <v>6.6562124859831399E-3</v>
      </c>
      <c r="Q34" s="191">
        <f t="shared" si="35"/>
        <v>4.3633538447909606E-3</v>
      </c>
      <c r="R34" s="191">
        <f t="shared" si="35"/>
        <v>1.8548456418727103E-3</v>
      </c>
      <c r="S34" s="192">
        <f t="shared" si="35"/>
        <v>0</v>
      </c>
      <c r="T34" s="193">
        <f t="shared" si="35"/>
        <v>0</v>
      </c>
      <c r="U34" s="193">
        <f t="shared" si="35"/>
        <v>0</v>
      </c>
      <c r="V34" s="193">
        <f t="shared" si="35"/>
        <v>0</v>
      </c>
      <c r="W34" s="193">
        <f t="shared" si="35"/>
        <v>0</v>
      </c>
      <c r="X34" s="193">
        <f t="shared" si="35"/>
        <v>0</v>
      </c>
      <c r="Y34" s="193">
        <f t="shared" si="35"/>
        <v>0</v>
      </c>
      <c r="Z34" s="193">
        <f t="shared" si="35"/>
        <v>0</v>
      </c>
      <c r="AA34" s="193">
        <f t="shared" si="35"/>
        <v>0</v>
      </c>
      <c r="AB34" s="193">
        <f t="shared" si="35"/>
        <v>0</v>
      </c>
      <c r="AC34" s="193">
        <f t="shared" si="35"/>
        <v>0</v>
      </c>
      <c r="AD34" s="193">
        <f t="shared" si="35"/>
        <v>0</v>
      </c>
      <c r="AE34" s="193">
        <f t="shared" si="35"/>
        <v>0</v>
      </c>
      <c r="AF34" s="193">
        <f t="shared" si="35"/>
        <v>0</v>
      </c>
      <c r="AG34" s="193">
        <f t="shared" si="35"/>
        <v>0</v>
      </c>
      <c r="AH34" s="193">
        <f t="shared" si="35"/>
        <v>0</v>
      </c>
      <c r="AI34" s="193">
        <f t="shared" si="35"/>
        <v>0</v>
      </c>
      <c r="AJ34" s="193">
        <f t="shared" si="35"/>
        <v>0</v>
      </c>
      <c r="AK34" s="193">
        <f t="shared" si="35"/>
        <v>0</v>
      </c>
      <c r="AL34" s="193">
        <f t="shared" si="35"/>
        <v>0</v>
      </c>
      <c r="AM34" s="193">
        <f t="shared" si="35"/>
        <v>0</v>
      </c>
      <c r="AN34" s="193">
        <f t="shared" si="35"/>
        <v>0</v>
      </c>
      <c r="AO34" s="193">
        <f t="shared" si="35"/>
        <v>0</v>
      </c>
      <c r="AP34" s="193">
        <f t="shared" si="35"/>
        <v>0</v>
      </c>
      <c r="AQ34" s="193">
        <f t="shared" si="35"/>
        <v>0</v>
      </c>
      <c r="AR34" s="193">
        <f t="shared" si="35"/>
        <v>0</v>
      </c>
      <c r="AS34" s="194">
        <f t="shared" si="35"/>
        <v>0</v>
      </c>
      <c r="AT34" s="18">
        <f t="shared" si="3"/>
        <v>0</v>
      </c>
      <c r="AU34" s="18">
        <f t="shared" si="4"/>
        <v>0</v>
      </c>
    </row>
    <row r="35" spans="1:47">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row>
    <row r="36" spans="1:47" ht="17" thickBot="1">
      <c r="A36" s="6"/>
      <c r="B36" s="6"/>
      <c r="C36" s="6"/>
      <c r="D36" s="6"/>
      <c r="E36" s="6" t="s">
        <v>261</v>
      </c>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row>
    <row r="37" spans="1:47" ht="17" thickBot="1">
      <c r="A37" s="2" t="s">
        <v>20</v>
      </c>
      <c r="B37" s="2" t="s">
        <v>1</v>
      </c>
      <c r="C37" s="2" t="s">
        <v>2</v>
      </c>
      <c r="D37" s="7" t="s">
        <v>3</v>
      </c>
      <c r="E37" s="164">
        <v>2010</v>
      </c>
      <c r="F37" s="165">
        <v>2011</v>
      </c>
      <c r="G37" s="165">
        <v>2012</v>
      </c>
      <c r="H37" s="165">
        <v>2013</v>
      </c>
      <c r="I37" s="165">
        <v>2014</v>
      </c>
      <c r="J37" s="165">
        <v>2015</v>
      </c>
      <c r="K37" s="165">
        <v>2016</v>
      </c>
      <c r="L37" s="165">
        <v>2017</v>
      </c>
      <c r="M37" s="165">
        <v>2018</v>
      </c>
      <c r="N37" s="165">
        <v>2019</v>
      </c>
      <c r="O37" s="165">
        <v>2020</v>
      </c>
      <c r="P37" s="165">
        <v>2021</v>
      </c>
      <c r="Q37" s="165">
        <v>2022</v>
      </c>
      <c r="R37" s="165">
        <v>2023</v>
      </c>
      <c r="S37" s="166">
        <v>2024</v>
      </c>
      <c r="T37" s="178">
        <v>2025</v>
      </c>
      <c r="U37" s="179">
        <v>2026</v>
      </c>
      <c r="V37" s="179">
        <v>2027</v>
      </c>
      <c r="W37" s="179">
        <v>2028</v>
      </c>
      <c r="X37" s="179">
        <v>2029</v>
      </c>
      <c r="Y37" s="179">
        <v>2030</v>
      </c>
      <c r="Z37" s="179">
        <v>2031</v>
      </c>
      <c r="AA37" s="179">
        <v>2032</v>
      </c>
      <c r="AB37" s="179">
        <v>2033</v>
      </c>
      <c r="AC37" s="179">
        <v>2034</v>
      </c>
      <c r="AD37" s="179">
        <v>2035</v>
      </c>
      <c r="AE37" s="179">
        <v>2036</v>
      </c>
      <c r="AF37" s="179">
        <v>2037</v>
      </c>
      <c r="AG37" s="179">
        <v>2038</v>
      </c>
      <c r="AH37" s="179">
        <v>2039</v>
      </c>
      <c r="AI37" s="179">
        <v>2040</v>
      </c>
      <c r="AJ37" s="179">
        <v>2041</v>
      </c>
      <c r="AK37" s="179">
        <v>2042</v>
      </c>
      <c r="AL37" s="179">
        <v>2043</v>
      </c>
      <c r="AM37" s="179">
        <v>2044</v>
      </c>
      <c r="AN37" s="179">
        <v>2045</v>
      </c>
      <c r="AO37" s="179">
        <v>2046</v>
      </c>
      <c r="AP37" s="179">
        <v>2047</v>
      </c>
      <c r="AQ37" s="179">
        <v>2048</v>
      </c>
      <c r="AR37" s="179">
        <v>2049</v>
      </c>
      <c r="AS37" s="180">
        <v>2050</v>
      </c>
    </row>
    <row r="38" spans="1:47">
      <c r="A38" s="4" t="s">
        <v>4</v>
      </c>
      <c r="B38" s="4" t="s">
        <v>36</v>
      </c>
      <c r="C38" s="4" t="s">
        <v>53</v>
      </c>
      <c r="D38" s="10" t="s">
        <v>259</v>
      </c>
      <c r="E38" s="167">
        <f>(E49*E$72+E60*E$73)/E$71</f>
        <v>0.74604158557912681</v>
      </c>
      <c r="F38" s="168">
        <f t="shared" ref="F38:AR38" si="36">(F49*F$72+F60*F$73)/F$71</f>
        <v>0.73233233954452059</v>
      </c>
      <c r="G38" s="168">
        <f t="shared" si="36"/>
        <v>0.71863695025424301</v>
      </c>
      <c r="H38" s="168">
        <f t="shared" si="36"/>
        <v>0.70495397362138035</v>
      </c>
      <c r="I38" s="168">
        <f t="shared" si="36"/>
        <v>0.69128508654590537</v>
      </c>
      <c r="J38" s="168">
        <f t="shared" si="36"/>
        <v>0.67763127820918323</v>
      </c>
      <c r="K38" s="168">
        <f t="shared" si="36"/>
        <v>0.66399020510594919</v>
      </c>
      <c r="L38" s="168">
        <f t="shared" si="36"/>
        <v>0.65035851876971751</v>
      </c>
      <c r="M38" s="168">
        <f t="shared" si="36"/>
        <v>0.63673469499752366</v>
      </c>
      <c r="N38" s="168">
        <f t="shared" si="36"/>
        <v>0.62311749589296817</v>
      </c>
      <c r="O38" s="168">
        <f t="shared" si="36"/>
        <v>0.60950734625769798</v>
      </c>
      <c r="P38" s="168">
        <f t="shared" si="36"/>
        <v>0.59590295806012827</v>
      </c>
      <c r="Q38" s="168">
        <f t="shared" si="36"/>
        <v>0.58230737328025906</v>
      </c>
      <c r="R38" s="168">
        <f t="shared" si="36"/>
        <v>0.56872946302376448</v>
      </c>
      <c r="S38" s="169">
        <f t="shared" si="36"/>
        <v>0.55518012722891297</v>
      </c>
      <c r="T38" s="176">
        <f t="shared" si="36"/>
        <v>0.53709652637830096</v>
      </c>
      <c r="U38" s="176">
        <f t="shared" si="36"/>
        <v>0.51915423434508223</v>
      </c>
      <c r="V38" s="176">
        <f t="shared" si="36"/>
        <v>0.5013491335705722</v>
      </c>
      <c r="W38" s="176">
        <f t="shared" si="36"/>
        <v>0.4836762436460364</v>
      </c>
      <c r="X38" s="176">
        <f t="shared" si="36"/>
        <v>0.46613001497471712</v>
      </c>
      <c r="Y38" s="176">
        <f t="shared" si="36"/>
        <v>0.44870663751146872</v>
      </c>
      <c r="Z38" s="176">
        <f t="shared" si="36"/>
        <v>0.43140579081211339</v>
      </c>
      <c r="AA38" s="176">
        <f t="shared" si="36"/>
        <v>0.41422903982313586</v>
      </c>
      <c r="AB38" s="176">
        <f t="shared" si="36"/>
        <v>0.39717876212202585</v>
      </c>
      <c r="AC38" s="176">
        <f t="shared" si="36"/>
        <v>0.38026112214859292</v>
      </c>
      <c r="AD38" s="176">
        <f t="shared" si="36"/>
        <v>0.36345597571568466</v>
      </c>
      <c r="AE38" s="176">
        <f t="shared" si="36"/>
        <v>0.34677147019573618</v>
      </c>
      <c r="AF38" s="176">
        <f t="shared" si="36"/>
        <v>0.33020698868388099</v>
      </c>
      <c r="AG38" s="176">
        <f t="shared" si="36"/>
        <v>0.31376188937848809</v>
      </c>
      <c r="AH38" s="176">
        <f t="shared" si="36"/>
        <v>0.29743542252602995</v>
      </c>
      <c r="AI38" s="176">
        <f t="shared" si="36"/>
        <v>0.28122740583955158</v>
      </c>
      <c r="AJ38" s="176">
        <f t="shared" si="36"/>
        <v>0.26513819362775498</v>
      </c>
      <c r="AK38" s="176">
        <f t="shared" si="36"/>
        <v>0.24916828334732016</v>
      </c>
      <c r="AL38" s="176">
        <f t="shared" si="36"/>
        <v>0.23331774559522933</v>
      </c>
      <c r="AM38" s="176">
        <f t="shared" si="36"/>
        <v>0.21758665700796362</v>
      </c>
      <c r="AN38" s="176">
        <f t="shared" si="36"/>
        <v>0.2019755915381834</v>
      </c>
      <c r="AO38" s="176">
        <f t="shared" si="36"/>
        <v>0.18648535596446902</v>
      </c>
      <c r="AP38" s="176">
        <f t="shared" si="36"/>
        <v>0.17111722260005582</v>
      </c>
      <c r="AQ38" s="176">
        <f t="shared" si="36"/>
        <v>0.15587259686751589</v>
      </c>
      <c r="AR38" s="176">
        <f t="shared" si="36"/>
        <v>0.14075301830714071</v>
      </c>
      <c r="AS38" s="177">
        <f>(AS49*AS$72+AS60*AS$73)/AS$71</f>
        <v>0.12575973890718373</v>
      </c>
    </row>
    <row r="39" spans="1:47">
      <c r="A39" s="4" t="s">
        <v>4</v>
      </c>
      <c r="B39" s="4" t="s">
        <v>8</v>
      </c>
      <c r="C39" s="4" t="s">
        <v>53</v>
      </c>
      <c r="D39" s="10" t="s">
        <v>259</v>
      </c>
      <c r="E39" s="170">
        <f t="shared" ref="E39:AS39" si="37">(E50*E$72+E61*E$73)/E$71</f>
        <v>0.2003292947373187</v>
      </c>
      <c r="F39" s="162">
        <f t="shared" si="37"/>
        <v>0.21533563368608588</v>
      </c>
      <c r="G39" s="162">
        <f t="shared" si="37"/>
        <v>0.23035556984804892</v>
      </c>
      <c r="H39" s="162">
        <f t="shared" si="37"/>
        <v>0.24539041678412848</v>
      </c>
      <c r="I39" s="162">
        <f t="shared" si="37"/>
        <v>0.26043882875457669</v>
      </c>
      <c r="J39" s="162">
        <f t="shared" si="37"/>
        <v>0.27550002602677359</v>
      </c>
      <c r="K39" s="162">
        <f t="shared" si="37"/>
        <v>0.29057611080372064</v>
      </c>
      <c r="L39" s="162">
        <f t="shared" si="37"/>
        <v>0.30567010808270045</v>
      </c>
      <c r="M39" s="162">
        <f t="shared" si="37"/>
        <v>0.32078350257817567</v>
      </c>
      <c r="N39" s="162">
        <f t="shared" si="37"/>
        <v>0.3359175564603239</v>
      </c>
      <c r="O39" s="162">
        <f t="shared" si="37"/>
        <v>0.35107208032327203</v>
      </c>
      <c r="P39" s="162">
        <f t="shared" si="37"/>
        <v>0.3662484092514644</v>
      </c>
      <c r="Q39" s="162">
        <f t="shared" si="37"/>
        <v>0.38144401742155087</v>
      </c>
      <c r="R39" s="162">
        <f t="shared" si="37"/>
        <v>0.39665106139970824</v>
      </c>
      <c r="S39" s="171">
        <f t="shared" si="37"/>
        <v>0.41185968732539707</v>
      </c>
      <c r="T39" s="12">
        <f t="shared" si="37"/>
        <v>0.42943653354001826</v>
      </c>
      <c r="U39" s="12">
        <f t="shared" si="37"/>
        <v>0.44686887175493445</v>
      </c>
      <c r="V39" s="12">
        <f t="shared" si="37"/>
        <v>0.46416055325553979</v>
      </c>
      <c r="W39" s="12">
        <f t="shared" si="37"/>
        <v>0.48131616004946282</v>
      </c>
      <c r="X39" s="12">
        <f t="shared" si="37"/>
        <v>0.49834072244941907</v>
      </c>
      <c r="Y39" s="12">
        <f t="shared" si="37"/>
        <v>0.51523765187136272</v>
      </c>
      <c r="Z39" s="12">
        <f t="shared" si="37"/>
        <v>0.53200721940907725</v>
      </c>
      <c r="AA39" s="12">
        <f t="shared" si="37"/>
        <v>0.54864803173427812</v>
      </c>
      <c r="AB39" s="12">
        <f t="shared" si="37"/>
        <v>0.56515801040053437</v>
      </c>
      <c r="AC39" s="12">
        <f t="shared" si="37"/>
        <v>0.58153182659115776</v>
      </c>
      <c r="AD39" s="12">
        <f t="shared" si="37"/>
        <v>0.5977870396390903</v>
      </c>
      <c r="AE39" s="12">
        <f t="shared" si="37"/>
        <v>0.61391647235987978</v>
      </c>
      <c r="AF39" s="12">
        <f t="shared" si="37"/>
        <v>0.6299205958689279</v>
      </c>
      <c r="AG39" s="12">
        <f t="shared" si="37"/>
        <v>0.64579988042413661</v>
      </c>
      <c r="AH39" s="12">
        <f t="shared" si="37"/>
        <v>0.66155486087382831</v>
      </c>
      <c r="AI39" s="12">
        <f t="shared" si="37"/>
        <v>0.67718556430946053</v>
      </c>
      <c r="AJ39" s="12">
        <f t="shared" si="37"/>
        <v>0.69269155022831908</v>
      </c>
      <c r="AK39" s="12">
        <f t="shared" si="37"/>
        <v>0.70807224985225448</v>
      </c>
      <c r="AL39" s="12">
        <f t="shared" si="37"/>
        <v>0.72332743268539057</v>
      </c>
      <c r="AM39" s="12">
        <f t="shared" si="37"/>
        <v>0.73845683798817452</v>
      </c>
      <c r="AN39" s="12">
        <f t="shared" si="37"/>
        <v>0.75345978035476469</v>
      </c>
      <c r="AO39" s="12">
        <f t="shared" si="37"/>
        <v>0.76833537656992745</v>
      </c>
      <c r="AP39" s="12">
        <f t="shared" si="37"/>
        <v>0.78308237646969059</v>
      </c>
      <c r="AQ39" s="12">
        <f t="shared" si="37"/>
        <v>0.79769944260851544</v>
      </c>
      <c r="AR39" s="12">
        <f t="shared" si="37"/>
        <v>0.81218516237269411</v>
      </c>
      <c r="AS39" s="60">
        <f t="shared" si="37"/>
        <v>0.82653837170386635</v>
      </c>
    </row>
    <row r="40" spans="1:47">
      <c r="A40" s="4" t="s">
        <v>4</v>
      </c>
      <c r="B40" s="4" t="s">
        <v>37</v>
      </c>
      <c r="C40" s="4" t="s">
        <v>53</v>
      </c>
      <c r="D40" s="10" t="s">
        <v>259</v>
      </c>
      <c r="E40" s="170">
        <f t="shared" ref="E40:AS40" si="38">(E51*E$72+E62*E$73)/E$71</f>
        <v>0</v>
      </c>
      <c r="F40" s="162">
        <f t="shared" si="38"/>
        <v>0</v>
      </c>
      <c r="G40" s="162">
        <f t="shared" si="38"/>
        <v>0</v>
      </c>
      <c r="H40" s="162">
        <f t="shared" si="38"/>
        <v>0</v>
      </c>
      <c r="I40" s="162">
        <f t="shared" si="38"/>
        <v>2.9284984282854873E-4</v>
      </c>
      <c r="J40" s="162">
        <f t="shared" si="38"/>
        <v>9.3473777513652879E-4</v>
      </c>
      <c r="K40" s="162">
        <f t="shared" si="38"/>
        <v>1.5918801724983324E-3</v>
      </c>
      <c r="L40" s="162">
        <f t="shared" si="38"/>
        <v>2.2643655414042959E-3</v>
      </c>
      <c r="M40" s="162">
        <f t="shared" si="38"/>
        <v>2.9522978233555799E-3</v>
      </c>
      <c r="N40" s="162">
        <f t="shared" si="38"/>
        <v>3.6557947205304981E-3</v>
      </c>
      <c r="O40" s="162">
        <f t="shared" si="38"/>
        <v>4.3749598201202004E-3</v>
      </c>
      <c r="P40" s="162">
        <f t="shared" si="38"/>
        <v>5.1099284670255299E-3</v>
      </c>
      <c r="Q40" s="162">
        <f t="shared" si="38"/>
        <v>5.8607515740387176E-3</v>
      </c>
      <c r="R40" s="162">
        <f t="shared" si="38"/>
        <v>6.6272955019108072E-3</v>
      </c>
      <c r="S40" s="171">
        <f t="shared" si="38"/>
        <v>7.4092680796475708E-3</v>
      </c>
      <c r="T40" s="12">
        <f t="shared" si="38"/>
        <v>8.1523031501541752E-3</v>
      </c>
      <c r="U40" s="12">
        <f t="shared" si="38"/>
        <v>8.9091458395308774E-3</v>
      </c>
      <c r="V40" s="12">
        <f t="shared" si="38"/>
        <v>9.6797893532639834E-3</v>
      </c>
      <c r="W40" s="12">
        <f t="shared" si="38"/>
        <v>1.0464309456238314E-2</v>
      </c>
      <c r="X40" s="12">
        <f t="shared" si="38"/>
        <v>1.1262873479602328E-2</v>
      </c>
      <c r="Y40" s="12">
        <f t="shared" si="38"/>
        <v>1.2075642644598435E-2</v>
      </c>
      <c r="Z40" s="12">
        <f t="shared" si="38"/>
        <v>1.2902647921135442E-2</v>
      </c>
      <c r="AA40" s="12">
        <f t="shared" si="38"/>
        <v>1.3743814413875764E-2</v>
      </c>
      <c r="AB40" s="12">
        <f t="shared" si="38"/>
        <v>1.4598986089735562E-2</v>
      </c>
      <c r="AC40" s="12">
        <f t="shared" si="38"/>
        <v>1.5467692319432156E-2</v>
      </c>
      <c r="AD40" s="12">
        <f t="shared" si="38"/>
        <v>1.635131060835154E-2</v>
      </c>
      <c r="AE40" s="12">
        <f t="shared" si="38"/>
        <v>1.7249366631205486E-2</v>
      </c>
      <c r="AF40" s="12">
        <f t="shared" si="38"/>
        <v>1.8161975884401594E-2</v>
      </c>
      <c r="AG40" s="12">
        <f t="shared" si="38"/>
        <v>1.9089280388596173E-2</v>
      </c>
      <c r="AH40" s="12">
        <f t="shared" si="38"/>
        <v>2.0031462014861692E-2</v>
      </c>
      <c r="AI40" s="12">
        <f t="shared" si="38"/>
        <v>2.0988678250109298E-2</v>
      </c>
      <c r="AJ40" s="12">
        <f t="shared" si="38"/>
        <v>2.1961049726090018E-2</v>
      </c>
      <c r="AK40" s="12">
        <f t="shared" si="38"/>
        <v>2.2948691132186932E-2</v>
      </c>
      <c r="AL40" s="12">
        <f t="shared" si="38"/>
        <v>2.3951783540927911E-2</v>
      </c>
      <c r="AM40" s="12">
        <f t="shared" si="38"/>
        <v>2.4970535095805008E-2</v>
      </c>
      <c r="AN40" s="12">
        <f t="shared" si="38"/>
        <v>2.6005110211252944E-2</v>
      </c>
      <c r="AO40" s="12">
        <f t="shared" si="38"/>
        <v>2.7055651724176909E-2</v>
      </c>
      <c r="AP40" s="12">
        <f t="shared" si="38"/>
        <v>2.8122227891867708E-2</v>
      </c>
      <c r="AQ40" s="12">
        <f t="shared" si="38"/>
        <v>2.9204866239120584E-2</v>
      </c>
      <c r="AR40" s="12">
        <f t="shared" si="38"/>
        <v>3.0303539194069553E-2</v>
      </c>
      <c r="AS40" s="64">
        <f t="shared" si="38"/>
        <v>3.1418241157458247E-2</v>
      </c>
    </row>
    <row r="41" spans="1:47">
      <c r="A41" s="4" t="s">
        <v>4</v>
      </c>
      <c r="B41" s="4" t="s">
        <v>10</v>
      </c>
      <c r="C41" s="4" t="s">
        <v>53</v>
      </c>
      <c r="D41" s="10" t="s">
        <v>259</v>
      </c>
      <c r="E41" s="170">
        <f t="shared" ref="E41:AS41" si="39">(E52*E$72+E63*E$73)/E$71</f>
        <v>0</v>
      </c>
      <c r="F41" s="162">
        <f t="shared" si="39"/>
        <v>0</v>
      </c>
      <c r="G41" s="162">
        <f t="shared" si="39"/>
        <v>0</v>
      </c>
      <c r="H41" s="162">
        <f t="shared" si="39"/>
        <v>0</v>
      </c>
      <c r="I41" s="162">
        <f t="shared" si="39"/>
        <v>9.7616614276156059E-5</v>
      </c>
      <c r="J41" s="162">
        <f t="shared" si="39"/>
        <v>3.1157925837884293E-4</v>
      </c>
      <c r="K41" s="162">
        <f t="shared" si="39"/>
        <v>5.3062672416605598E-4</v>
      </c>
      <c r="L41" s="162">
        <f t="shared" si="39"/>
        <v>7.5478851380140414E-4</v>
      </c>
      <c r="M41" s="162">
        <f t="shared" si="39"/>
        <v>9.8409927445177554E-4</v>
      </c>
      <c r="N41" s="162">
        <f t="shared" si="39"/>
        <v>1.2185982401767758E-3</v>
      </c>
      <c r="O41" s="162">
        <f t="shared" si="39"/>
        <v>1.4583199400399515E-3</v>
      </c>
      <c r="P41" s="162">
        <f t="shared" si="39"/>
        <v>1.7033094890084809E-3</v>
      </c>
      <c r="Q41" s="162">
        <f t="shared" si="39"/>
        <v>1.9535838580128175E-3</v>
      </c>
      <c r="R41" s="162">
        <f t="shared" si="39"/>
        <v>2.2090985006368762E-3</v>
      </c>
      <c r="S41" s="171">
        <f t="shared" si="39"/>
        <v>2.46975602654916E-3</v>
      </c>
      <c r="T41" s="12">
        <f t="shared" si="39"/>
        <v>2.7174343833846959E-3</v>
      </c>
      <c r="U41" s="12">
        <f t="shared" si="39"/>
        <v>2.969715279843597E-3</v>
      </c>
      <c r="V41" s="12">
        <f t="shared" si="39"/>
        <v>3.2265964510879664E-3</v>
      </c>
      <c r="W41" s="12">
        <f t="shared" si="39"/>
        <v>3.4881031520794109E-3</v>
      </c>
      <c r="X41" s="12">
        <f t="shared" si="39"/>
        <v>3.7542911598674165E-3</v>
      </c>
      <c r="Y41" s="12">
        <f t="shared" si="39"/>
        <v>4.0252142148661206E-3</v>
      </c>
      <c r="Z41" s="12">
        <f t="shared" si="39"/>
        <v>4.3008826403784567E-3</v>
      </c>
      <c r="AA41" s="12">
        <f t="shared" si="39"/>
        <v>4.5812714712918992E-3</v>
      </c>
      <c r="AB41" s="12">
        <f t="shared" si="39"/>
        <v>4.8663286965785011E-3</v>
      </c>
      <c r="AC41" s="12">
        <f t="shared" si="39"/>
        <v>5.1558974398107004E-3</v>
      </c>
      <c r="AD41" s="12">
        <f t="shared" si="39"/>
        <v>5.4504368694504963E-3</v>
      </c>
      <c r="AE41" s="12">
        <f t="shared" si="39"/>
        <v>5.7497888770684808E-3</v>
      </c>
      <c r="AF41" s="12">
        <f t="shared" si="39"/>
        <v>6.0539919614671853E-3</v>
      </c>
      <c r="AG41" s="12">
        <f t="shared" si="39"/>
        <v>6.3630934628653791E-3</v>
      </c>
      <c r="AH41" s="12">
        <f t="shared" si="39"/>
        <v>6.6771540049538882E-3</v>
      </c>
      <c r="AI41" s="12">
        <f t="shared" si="39"/>
        <v>6.9962260833697611E-3</v>
      </c>
      <c r="AJ41" s="12">
        <f t="shared" si="39"/>
        <v>7.3203499086966677E-3</v>
      </c>
      <c r="AK41" s="12">
        <f t="shared" si="39"/>
        <v>7.6495637107289764E-3</v>
      </c>
      <c r="AL41" s="12">
        <f t="shared" si="39"/>
        <v>7.9839278469759703E-3</v>
      </c>
      <c r="AM41" s="12">
        <f t="shared" si="39"/>
        <v>8.3235116986016718E-3</v>
      </c>
      <c r="AN41" s="12">
        <f t="shared" si="39"/>
        <v>8.6683700704176525E-3</v>
      </c>
      <c r="AO41" s="12">
        <f t="shared" si="39"/>
        <v>9.018550574725644E-3</v>
      </c>
      <c r="AP41" s="12">
        <f t="shared" si="39"/>
        <v>9.3740759639559124E-3</v>
      </c>
      <c r="AQ41" s="12">
        <f t="shared" si="39"/>
        <v>9.7349554130402062E-3</v>
      </c>
      <c r="AR41" s="12">
        <f t="shared" si="39"/>
        <v>1.0101179731356533E-2</v>
      </c>
      <c r="AS41" s="64">
        <f t="shared" si="39"/>
        <v>1.0472747052486082E-2</v>
      </c>
      <c r="AT41" s="22"/>
      <c r="AU41" s="22"/>
    </row>
    <row r="42" spans="1:47">
      <c r="A42" s="4" t="s">
        <v>4</v>
      </c>
      <c r="B42" s="4" t="s">
        <v>11</v>
      </c>
      <c r="C42" s="4" t="s">
        <v>53</v>
      </c>
      <c r="D42" s="10" t="s">
        <v>259</v>
      </c>
      <c r="E42" s="170">
        <f t="shared" ref="E42:AS42" si="40">(E53*E$72+E64*E$73)/E$71</f>
        <v>1.293904406888422E-4</v>
      </c>
      <c r="F42" s="162">
        <f t="shared" si="40"/>
        <v>1.2502817696516898E-4</v>
      </c>
      <c r="G42" s="162">
        <f t="shared" si="40"/>
        <v>2.560268600974379E-4</v>
      </c>
      <c r="H42" s="162">
        <f t="shared" si="40"/>
        <v>4.2089410425613129E-4</v>
      </c>
      <c r="I42" s="162">
        <f t="shared" si="40"/>
        <v>5.8989052447266108E-4</v>
      </c>
      <c r="J42" s="162">
        <f t="shared" si="40"/>
        <v>7.6302598342327626E-4</v>
      </c>
      <c r="K42" s="162">
        <f t="shared" si="40"/>
        <v>9.4031832736873671E-4</v>
      </c>
      <c r="L42" s="162">
        <f t="shared" si="40"/>
        <v>1.1217965008626641E-3</v>
      </c>
      <c r="M42" s="162">
        <f t="shared" si="40"/>
        <v>1.3074911000974044E-3</v>
      </c>
      <c r="N42" s="162">
        <f t="shared" si="40"/>
        <v>1.4974360835339011E-3</v>
      </c>
      <c r="O42" s="162">
        <f t="shared" si="40"/>
        <v>1.6916592018668142E-3</v>
      </c>
      <c r="P42" s="162">
        <f t="shared" si="40"/>
        <v>1.8901993127219754E-3</v>
      </c>
      <c r="Q42" s="162">
        <f t="shared" si="40"/>
        <v>2.0930660600521826E-3</v>
      </c>
      <c r="R42" s="162">
        <f t="shared" si="40"/>
        <v>2.3002103592131844E-3</v>
      </c>
      <c r="S42" s="171">
        <f t="shared" si="40"/>
        <v>2.5115368774612195E-3</v>
      </c>
      <c r="T42" s="12">
        <f t="shared" si="40"/>
        <v>2.4401467427102343E-3</v>
      </c>
      <c r="U42" s="12">
        <f t="shared" si="40"/>
        <v>2.366599393582539E-3</v>
      </c>
      <c r="V42" s="12">
        <f t="shared" si="40"/>
        <v>2.2909391082377999E-3</v>
      </c>
      <c r="W42" s="12">
        <f t="shared" si="40"/>
        <v>2.213215498436759E-3</v>
      </c>
      <c r="X42" s="12">
        <f t="shared" si="40"/>
        <v>2.1334799513186048E-3</v>
      </c>
      <c r="Y42" s="12">
        <f t="shared" si="40"/>
        <v>2.0517655696055386E-3</v>
      </c>
      <c r="Z42" s="12">
        <f t="shared" si="40"/>
        <v>1.9680743195638318E-3</v>
      </c>
      <c r="AA42" s="12">
        <f t="shared" si="40"/>
        <v>1.8823930120077386E-3</v>
      </c>
      <c r="AB42" s="12">
        <f t="shared" si="40"/>
        <v>1.7947035935069967E-3</v>
      </c>
      <c r="AC42" s="12">
        <f t="shared" si="40"/>
        <v>1.7049623600945913E-3</v>
      </c>
      <c r="AD42" s="12">
        <f t="shared" si="40"/>
        <v>1.6133196634026451E-3</v>
      </c>
      <c r="AE42" s="12">
        <f t="shared" si="40"/>
        <v>1.5197108033239242E-3</v>
      </c>
      <c r="AF42" s="12">
        <f t="shared" si="40"/>
        <v>1.4241369405586272E-3</v>
      </c>
      <c r="AG42" s="12">
        <f t="shared" si="40"/>
        <v>1.326598255645585E-3</v>
      </c>
      <c r="AH42" s="12">
        <f t="shared" si="40"/>
        <v>1.2270942096697425E-3</v>
      </c>
      <c r="AI42" s="12">
        <f t="shared" si="40"/>
        <v>1.1256193508814821E-3</v>
      </c>
      <c r="AJ42" s="12">
        <f t="shared" si="40"/>
        <v>1.0221642300908607E-3</v>
      </c>
      <c r="AK42" s="12">
        <f t="shared" si="40"/>
        <v>9.1671814900112509E-4</v>
      </c>
      <c r="AL42" s="12">
        <f t="shared" si="40"/>
        <v>8.0927184815914402E-4</v>
      </c>
      <c r="AM42" s="12">
        <f t="shared" si="40"/>
        <v>6.9981473199376095E-4</v>
      </c>
      <c r="AN42" s="12">
        <f t="shared" si="40"/>
        <v>5.8833294973730204E-4</v>
      </c>
      <c r="AO42" s="12">
        <f t="shared" si="40"/>
        <v>4.7481117856623846E-4</v>
      </c>
      <c r="AP42" s="12">
        <f t="shared" si="40"/>
        <v>3.5923262894385779E-4</v>
      </c>
      <c r="AQ42" s="12">
        <f t="shared" si="40"/>
        <v>2.4158100364198563E-4</v>
      </c>
      <c r="AR42" s="12">
        <f t="shared" si="40"/>
        <v>1.2184116172257663E-4</v>
      </c>
      <c r="AS42" s="60">
        <f t="shared" si="40"/>
        <v>0</v>
      </c>
      <c r="AT42" s="22"/>
      <c r="AU42" s="22"/>
    </row>
    <row r="43" spans="1:47">
      <c r="A43" s="4" t="s">
        <v>4</v>
      </c>
      <c r="B43" s="4" t="s">
        <v>12</v>
      </c>
      <c r="C43" s="4" t="s">
        <v>53</v>
      </c>
      <c r="D43" s="10" t="s">
        <v>259</v>
      </c>
      <c r="E43" s="170">
        <f t="shared" ref="E43:AS43" si="41">(E54*E$72+E65*E$73)/E$71</f>
        <v>4.1033185748123966E-4</v>
      </c>
      <c r="F43" s="162">
        <f t="shared" si="41"/>
        <v>3.850843221528246E-4</v>
      </c>
      <c r="G43" s="162">
        <f t="shared" si="41"/>
        <v>3.5909143262709324E-4</v>
      </c>
      <c r="H43" s="162">
        <f t="shared" si="41"/>
        <v>3.3235303831752609E-4</v>
      </c>
      <c r="I43" s="162">
        <f t="shared" si="41"/>
        <v>3.0486419535484473E-4</v>
      </c>
      <c r="J43" s="162">
        <f t="shared" si="41"/>
        <v>2.7662158548755005E-4</v>
      </c>
      <c r="K43" s="162">
        <f t="shared" si="41"/>
        <v>2.4762580461084601E-4</v>
      </c>
      <c r="L43" s="162">
        <f t="shared" si="41"/>
        <v>2.178770967674109E-4</v>
      </c>
      <c r="M43" s="162">
        <f t="shared" si="41"/>
        <v>1.8737250185562503E-4</v>
      </c>
      <c r="N43" s="162">
        <f t="shared" si="41"/>
        <v>1.5610800985271325E-4</v>
      </c>
      <c r="O43" s="162">
        <f t="shared" si="41"/>
        <v>1.2407805014705433E-4</v>
      </c>
      <c r="P43" s="162">
        <f t="shared" si="41"/>
        <v>9.1277829076060382E-5</v>
      </c>
      <c r="Q43" s="162">
        <f t="shared" si="41"/>
        <v>5.7700789055242742E-5</v>
      </c>
      <c r="R43" s="162">
        <f t="shared" si="41"/>
        <v>2.3341418119950032E-5</v>
      </c>
      <c r="S43" s="171">
        <f t="shared" si="41"/>
        <v>0</v>
      </c>
      <c r="T43" s="12">
        <f t="shared" si="41"/>
        <v>0</v>
      </c>
      <c r="U43" s="12">
        <f t="shared" si="41"/>
        <v>0</v>
      </c>
      <c r="V43" s="12">
        <f t="shared" si="41"/>
        <v>0</v>
      </c>
      <c r="W43" s="12">
        <f t="shared" si="41"/>
        <v>0</v>
      </c>
      <c r="X43" s="12">
        <f t="shared" si="41"/>
        <v>0</v>
      </c>
      <c r="Y43" s="12">
        <f t="shared" si="41"/>
        <v>0</v>
      </c>
      <c r="Z43" s="12">
        <f t="shared" si="41"/>
        <v>0</v>
      </c>
      <c r="AA43" s="12">
        <f t="shared" si="41"/>
        <v>0</v>
      </c>
      <c r="AB43" s="12">
        <f t="shared" si="41"/>
        <v>0</v>
      </c>
      <c r="AC43" s="12">
        <f t="shared" si="41"/>
        <v>0</v>
      </c>
      <c r="AD43" s="12">
        <f t="shared" si="41"/>
        <v>0</v>
      </c>
      <c r="AE43" s="12">
        <f t="shared" si="41"/>
        <v>0</v>
      </c>
      <c r="AF43" s="12">
        <f t="shared" si="41"/>
        <v>0</v>
      </c>
      <c r="AG43" s="12">
        <f t="shared" si="41"/>
        <v>0</v>
      </c>
      <c r="AH43" s="12">
        <f t="shared" si="41"/>
        <v>0</v>
      </c>
      <c r="AI43" s="12">
        <f t="shared" si="41"/>
        <v>0</v>
      </c>
      <c r="AJ43" s="12">
        <f t="shared" si="41"/>
        <v>0</v>
      </c>
      <c r="AK43" s="12">
        <f t="shared" si="41"/>
        <v>0</v>
      </c>
      <c r="AL43" s="12">
        <f t="shared" si="41"/>
        <v>0</v>
      </c>
      <c r="AM43" s="12">
        <f t="shared" si="41"/>
        <v>0</v>
      </c>
      <c r="AN43" s="12">
        <f t="shared" si="41"/>
        <v>0</v>
      </c>
      <c r="AO43" s="12">
        <f t="shared" si="41"/>
        <v>0</v>
      </c>
      <c r="AP43" s="12">
        <f t="shared" si="41"/>
        <v>0</v>
      </c>
      <c r="AQ43" s="12">
        <f t="shared" si="41"/>
        <v>0</v>
      </c>
      <c r="AR43" s="12">
        <f t="shared" si="41"/>
        <v>0</v>
      </c>
      <c r="AS43" s="60">
        <f t="shared" si="41"/>
        <v>0</v>
      </c>
    </row>
    <row r="44" spans="1:47">
      <c r="A44" s="4" t="s">
        <v>4</v>
      </c>
      <c r="B44" s="4" t="s">
        <v>13</v>
      </c>
      <c r="C44" s="4" t="s">
        <v>53</v>
      </c>
      <c r="D44" s="10" t="s">
        <v>259</v>
      </c>
      <c r="E44" s="170">
        <f t="shared" ref="E44:AS44" si="42">(E55*E$72+E66*E$73)/E$71</f>
        <v>4.3160611476126577E-2</v>
      </c>
      <c r="F44" s="162">
        <f t="shared" si="42"/>
        <v>4.2158030258884191E-2</v>
      </c>
      <c r="G44" s="162">
        <f t="shared" si="42"/>
        <v>4.1125493322963266E-2</v>
      </c>
      <c r="H44" s="162">
        <f t="shared" si="42"/>
        <v>4.0063135430201971E-2</v>
      </c>
      <c r="I44" s="162">
        <f t="shared" si="42"/>
        <v>3.897060363258123E-2</v>
      </c>
      <c r="J44" s="162">
        <f t="shared" si="42"/>
        <v>3.7847674304447791E-2</v>
      </c>
      <c r="K44" s="162">
        <f t="shared" si="42"/>
        <v>3.6694598391270754E-2</v>
      </c>
      <c r="L44" s="162">
        <f t="shared" si="42"/>
        <v>3.5511711139048961E-2</v>
      </c>
      <c r="M44" s="162">
        <f t="shared" si="42"/>
        <v>3.4299047275758873E-2</v>
      </c>
      <c r="N44" s="162">
        <f t="shared" si="42"/>
        <v>3.3056573368826614E-2</v>
      </c>
      <c r="O44" s="162">
        <f t="shared" si="42"/>
        <v>3.1784034272202735E-2</v>
      </c>
      <c r="P44" s="162">
        <f t="shared" si="42"/>
        <v>3.0481371355991833E-2</v>
      </c>
      <c r="Q44" s="162">
        <f t="shared" si="42"/>
        <v>2.9148036884459806E-2</v>
      </c>
      <c r="R44" s="162">
        <f t="shared" si="42"/>
        <v>2.7782955951172032E-2</v>
      </c>
      <c r="S44" s="171">
        <f t="shared" si="42"/>
        <v>2.6385044788781283E-2</v>
      </c>
      <c r="T44" s="12">
        <f t="shared" si="42"/>
        <v>2.5628719776543282E-2</v>
      </c>
      <c r="U44" s="12">
        <f t="shared" si="42"/>
        <v>2.4850274060025133E-2</v>
      </c>
      <c r="V44" s="12">
        <f t="shared" si="42"/>
        <v>2.4050161680367395E-2</v>
      </c>
      <c r="W44" s="12">
        <f t="shared" si="42"/>
        <v>2.3228891371008913E-2</v>
      </c>
      <c r="X44" s="12">
        <f t="shared" si="42"/>
        <v>2.2386990070636017E-2</v>
      </c>
      <c r="Y44" s="12">
        <f t="shared" si="42"/>
        <v>2.1524797224199841E-2</v>
      </c>
      <c r="Z44" s="12">
        <f t="shared" si="42"/>
        <v>2.0642332994367196E-2</v>
      </c>
      <c r="AA44" s="12">
        <f t="shared" si="42"/>
        <v>1.9739462135387482E-2</v>
      </c>
      <c r="AB44" s="12">
        <f t="shared" si="42"/>
        <v>1.8815999522130641E-2</v>
      </c>
      <c r="AC44" s="12">
        <f t="shared" si="42"/>
        <v>1.7871497001394714E-2</v>
      </c>
      <c r="AD44" s="12">
        <f t="shared" si="42"/>
        <v>1.6907496322589564E-2</v>
      </c>
      <c r="AE44" s="12">
        <f t="shared" si="42"/>
        <v>1.5923334031978525E-2</v>
      </c>
      <c r="AF44" s="12">
        <f t="shared" si="42"/>
        <v>1.4919022031719367E-2</v>
      </c>
      <c r="AG44" s="12">
        <f t="shared" si="42"/>
        <v>1.3894562173109823E-2</v>
      </c>
      <c r="AH44" s="12">
        <f t="shared" si="42"/>
        <v>1.2849948929958015E-2</v>
      </c>
      <c r="AI44" s="12">
        <f t="shared" si="42"/>
        <v>1.1785126398436117E-2</v>
      </c>
      <c r="AJ44" s="12">
        <f t="shared" si="42"/>
        <v>1.0699997683799376E-2</v>
      </c>
      <c r="AK44" s="12">
        <f t="shared" si="42"/>
        <v>9.594453082598129E-3</v>
      </c>
      <c r="AL44" s="12">
        <f t="shared" si="42"/>
        <v>8.4683976457041264E-3</v>
      </c>
      <c r="AM44" s="12">
        <f t="shared" si="42"/>
        <v>7.3217227230458906E-3</v>
      </c>
      <c r="AN44" s="12">
        <f t="shared" si="42"/>
        <v>6.1542862848191129E-3</v>
      </c>
      <c r="AO44" s="12">
        <f t="shared" si="42"/>
        <v>4.965931206330175E-3</v>
      </c>
      <c r="AP44" s="12">
        <f t="shared" si="42"/>
        <v>3.7564853227814408E-3</v>
      </c>
      <c r="AQ44" s="12">
        <f t="shared" si="42"/>
        <v>2.5257815176503622E-3</v>
      </c>
      <c r="AR44" s="12">
        <f t="shared" si="42"/>
        <v>1.2736645313500179E-3</v>
      </c>
      <c r="AS44" s="60">
        <f t="shared" si="42"/>
        <v>0</v>
      </c>
    </row>
    <row r="45" spans="1:47">
      <c r="A45" s="4" t="s">
        <v>4</v>
      </c>
      <c r="B45" s="4" t="s">
        <v>14</v>
      </c>
      <c r="C45" s="4" t="s">
        <v>53</v>
      </c>
      <c r="D45" s="10" t="s">
        <v>259</v>
      </c>
      <c r="E45" s="170">
        <f t="shared" ref="E45:AS45" si="43">(E56*E$72+E67*E$73)/E$71</f>
        <v>0</v>
      </c>
      <c r="F45" s="162">
        <f t="shared" si="43"/>
        <v>0</v>
      </c>
      <c r="G45" s="162">
        <f t="shared" si="43"/>
        <v>0</v>
      </c>
      <c r="H45" s="162">
        <f t="shared" si="43"/>
        <v>0</v>
      </c>
      <c r="I45" s="162">
        <f t="shared" si="43"/>
        <v>0</v>
      </c>
      <c r="J45" s="162">
        <f t="shared" si="43"/>
        <v>0</v>
      </c>
      <c r="K45" s="162">
        <f t="shared" si="43"/>
        <v>0</v>
      </c>
      <c r="L45" s="162">
        <f t="shared" si="43"/>
        <v>0</v>
      </c>
      <c r="M45" s="162">
        <f t="shared" si="43"/>
        <v>0</v>
      </c>
      <c r="N45" s="162">
        <f t="shared" si="43"/>
        <v>0</v>
      </c>
      <c r="O45" s="162">
        <f t="shared" si="43"/>
        <v>0</v>
      </c>
      <c r="P45" s="162">
        <f t="shared" si="43"/>
        <v>0</v>
      </c>
      <c r="Q45" s="162">
        <f t="shared" si="43"/>
        <v>0</v>
      </c>
      <c r="R45" s="162">
        <f t="shared" si="43"/>
        <v>0</v>
      </c>
      <c r="S45" s="171">
        <f t="shared" si="43"/>
        <v>0</v>
      </c>
      <c r="T45" s="12">
        <f t="shared" si="43"/>
        <v>0</v>
      </c>
      <c r="U45" s="12">
        <f t="shared" si="43"/>
        <v>0</v>
      </c>
      <c r="V45" s="12">
        <f t="shared" si="43"/>
        <v>0</v>
      </c>
      <c r="W45" s="12">
        <f t="shared" si="43"/>
        <v>0</v>
      </c>
      <c r="X45" s="12">
        <f t="shared" si="43"/>
        <v>0</v>
      </c>
      <c r="Y45" s="12">
        <f t="shared" si="43"/>
        <v>0</v>
      </c>
      <c r="Z45" s="12">
        <f t="shared" si="43"/>
        <v>0</v>
      </c>
      <c r="AA45" s="12">
        <f t="shared" si="43"/>
        <v>0</v>
      </c>
      <c r="AB45" s="12">
        <f t="shared" si="43"/>
        <v>0</v>
      </c>
      <c r="AC45" s="12">
        <f t="shared" si="43"/>
        <v>0</v>
      </c>
      <c r="AD45" s="12">
        <f t="shared" si="43"/>
        <v>0</v>
      </c>
      <c r="AE45" s="12">
        <f t="shared" si="43"/>
        <v>0</v>
      </c>
      <c r="AF45" s="12">
        <f t="shared" si="43"/>
        <v>0</v>
      </c>
      <c r="AG45" s="12">
        <f t="shared" si="43"/>
        <v>0</v>
      </c>
      <c r="AH45" s="12">
        <f t="shared" si="43"/>
        <v>0</v>
      </c>
      <c r="AI45" s="12">
        <f t="shared" si="43"/>
        <v>0</v>
      </c>
      <c r="AJ45" s="12">
        <f t="shared" si="43"/>
        <v>0</v>
      </c>
      <c r="AK45" s="12">
        <f t="shared" si="43"/>
        <v>0</v>
      </c>
      <c r="AL45" s="12">
        <f t="shared" si="43"/>
        <v>0</v>
      </c>
      <c r="AM45" s="12">
        <f t="shared" si="43"/>
        <v>0</v>
      </c>
      <c r="AN45" s="12">
        <f t="shared" si="43"/>
        <v>0</v>
      </c>
      <c r="AO45" s="12">
        <f t="shared" si="43"/>
        <v>0</v>
      </c>
      <c r="AP45" s="12">
        <f t="shared" si="43"/>
        <v>0</v>
      </c>
      <c r="AQ45" s="12">
        <f t="shared" si="43"/>
        <v>0</v>
      </c>
      <c r="AR45" s="12">
        <f t="shared" si="43"/>
        <v>0</v>
      </c>
      <c r="AS45" s="161">
        <f t="shared" si="43"/>
        <v>0</v>
      </c>
    </row>
    <row r="46" spans="1:47">
      <c r="A46" s="4" t="s">
        <v>4</v>
      </c>
      <c r="B46" s="4" t="s">
        <v>15</v>
      </c>
      <c r="C46" s="4" t="s">
        <v>53</v>
      </c>
      <c r="D46" s="10" t="s">
        <v>259</v>
      </c>
      <c r="E46" s="170">
        <f t="shared" ref="E46:AS46" si="44">(E57*E$72+E68*E$73)/E$71</f>
        <v>0</v>
      </c>
      <c r="F46" s="162">
        <f t="shared" si="44"/>
        <v>0</v>
      </c>
      <c r="G46" s="162">
        <f t="shared" si="44"/>
        <v>0</v>
      </c>
      <c r="H46" s="162">
        <f t="shared" si="44"/>
        <v>0</v>
      </c>
      <c r="I46" s="162">
        <f t="shared" si="44"/>
        <v>0</v>
      </c>
      <c r="J46" s="162">
        <f t="shared" si="44"/>
        <v>0</v>
      </c>
      <c r="K46" s="162">
        <f t="shared" si="44"/>
        <v>0</v>
      </c>
      <c r="L46" s="162">
        <f t="shared" si="44"/>
        <v>0</v>
      </c>
      <c r="M46" s="162">
        <f t="shared" si="44"/>
        <v>0</v>
      </c>
      <c r="N46" s="162">
        <f t="shared" si="44"/>
        <v>0</v>
      </c>
      <c r="O46" s="162">
        <f t="shared" si="44"/>
        <v>0</v>
      </c>
      <c r="P46" s="162">
        <f t="shared" si="44"/>
        <v>0</v>
      </c>
      <c r="Q46" s="162">
        <f t="shared" si="44"/>
        <v>0</v>
      </c>
      <c r="R46" s="162">
        <f t="shared" si="44"/>
        <v>0</v>
      </c>
      <c r="S46" s="171">
        <f t="shared" si="44"/>
        <v>0</v>
      </c>
      <c r="T46" s="12">
        <f t="shared" si="44"/>
        <v>0</v>
      </c>
      <c r="U46" s="12">
        <f t="shared" si="44"/>
        <v>0</v>
      </c>
      <c r="V46" s="12">
        <f t="shared" si="44"/>
        <v>0</v>
      </c>
      <c r="W46" s="12">
        <f t="shared" si="44"/>
        <v>0</v>
      </c>
      <c r="X46" s="12">
        <f t="shared" si="44"/>
        <v>0</v>
      </c>
      <c r="Y46" s="12">
        <f t="shared" si="44"/>
        <v>0</v>
      </c>
      <c r="Z46" s="12">
        <f t="shared" si="44"/>
        <v>0</v>
      </c>
      <c r="AA46" s="12">
        <f t="shared" si="44"/>
        <v>0</v>
      </c>
      <c r="AB46" s="12">
        <f t="shared" si="44"/>
        <v>0</v>
      </c>
      <c r="AC46" s="12">
        <f t="shared" si="44"/>
        <v>0</v>
      </c>
      <c r="AD46" s="12">
        <f t="shared" si="44"/>
        <v>0</v>
      </c>
      <c r="AE46" s="12">
        <f t="shared" si="44"/>
        <v>0</v>
      </c>
      <c r="AF46" s="12">
        <f t="shared" si="44"/>
        <v>0</v>
      </c>
      <c r="AG46" s="12">
        <f t="shared" si="44"/>
        <v>0</v>
      </c>
      <c r="AH46" s="12">
        <f t="shared" si="44"/>
        <v>0</v>
      </c>
      <c r="AI46" s="12">
        <f t="shared" si="44"/>
        <v>0</v>
      </c>
      <c r="AJ46" s="12">
        <f t="shared" si="44"/>
        <v>0</v>
      </c>
      <c r="AK46" s="12">
        <f t="shared" si="44"/>
        <v>0</v>
      </c>
      <c r="AL46" s="12">
        <f t="shared" si="44"/>
        <v>0</v>
      </c>
      <c r="AM46" s="12">
        <f t="shared" si="44"/>
        <v>0</v>
      </c>
      <c r="AN46" s="12">
        <f t="shared" si="44"/>
        <v>0</v>
      </c>
      <c r="AO46" s="12">
        <f t="shared" si="44"/>
        <v>0</v>
      </c>
      <c r="AP46" s="12">
        <f t="shared" si="44"/>
        <v>0</v>
      </c>
      <c r="AQ46" s="12">
        <f t="shared" si="44"/>
        <v>0</v>
      </c>
      <c r="AR46" s="12">
        <f t="shared" si="44"/>
        <v>0</v>
      </c>
      <c r="AS46" s="161">
        <f t="shared" si="44"/>
        <v>0</v>
      </c>
    </row>
    <row r="47" spans="1:47">
      <c r="A47" s="4" t="s">
        <v>4</v>
      </c>
      <c r="B47" s="4" t="s">
        <v>16</v>
      </c>
      <c r="C47" s="4" t="s">
        <v>53</v>
      </c>
      <c r="D47" s="10" t="s">
        <v>259</v>
      </c>
      <c r="E47" s="170">
        <f t="shared" ref="E47:AS47" si="45">(E58*E$72+E69*E$73)/E$71</f>
        <v>0</v>
      </c>
      <c r="F47" s="162">
        <f t="shared" si="45"/>
        <v>0</v>
      </c>
      <c r="G47" s="162">
        <f t="shared" si="45"/>
        <v>0</v>
      </c>
      <c r="H47" s="162">
        <f t="shared" si="45"/>
        <v>0</v>
      </c>
      <c r="I47" s="162">
        <f t="shared" si="45"/>
        <v>0</v>
      </c>
      <c r="J47" s="162">
        <f t="shared" si="45"/>
        <v>0</v>
      </c>
      <c r="K47" s="162">
        <f t="shared" si="45"/>
        <v>0</v>
      </c>
      <c r="L47" s="162">
        <f t="shared" si="45"/>
        <v>0</v>
      </c>
      <c r="M47" s="162">
        <f t="shared" si="45"/>
        <v>0</v>
      </c>
      <c r="N47" s="162">
        <f t="shared" si="45"/>
        <v>0</v>
      </c>
      <c r="O47" s="162">
        <f t="shared" si="45"/>
        <v>0</v>
      </c>
      <c r="P47" s="162">
        <f t="shared" si="45"/>
        <v>0</v>
      </c>
      <c r="Q47" s="162">
        <f t="shared" si="45"/>
        <v>0</v>
      </c>
      <c r="R47" s="162">
        <f t="shared" si="45"/>
        <v>0</v>
      </c>
      <c r="S47" s="171">
        <f t="shared" si="45"/>
        <v>0</v>
      </c>
      <c r="T47" s="12">
        <f t="shared" si="45"/>
        <v>0</v>
      </c>
      <c r="U47" s="12">
        <f t="shared" si="45"/>
        <v>0</v>
      </c>
      <c r="V47" s="12">
        <f t="shared" si="45"/>
        <v>0</v>
      </c>
      <c r="W47" s="12">
        <f t="shared" si="45"/>
        <v>0</v>
      </c>
      <c r="X47" s="12">
        <f t="shared" si="45"/>
        <v>0</v>
      </c>
      <c r="Y47" s="12">
        <f t="shared" si="45"/>
        <v>0</v>
      </c>
      <c r="Z47" s="12">
        <f t="shared" si="45"/>
        <v>0</v>
      </c>
      <c r="AA47" s="12">
        <f t="shared" si="45"/>
        <v>0</v>
      </c>
      <c r="AB47" s="12">
        <f t="shared" si="45"/>
        <v>0</v>
      </c>
      <c r="AC47" s="12">
        <f t="shared" si="45"/>
        <v>0</v>
      </c>
      <c r="AD47" s="12">
        <f t="shared" si="45"/>
        <v>0</v>
      </c>
      <c r="AE47" s="12">
        <f t="shared" si="45"/>
        <v>0</v>
      </c>
      <c r="AF47" s="12">
        <f t="shared" si="45"/>
        <v>0</v>
      </c>
      <c r="AG47" s="12">
        <f t="shared" si="45"/>
        <v>0</v>
      </c>
      <c r="AH47" s="12">
        <f t="shared" si="45"/>
        <v>0</v>
      </c>
      <c r="AI47" s="12">
        <f t="shared" si="45"/>
        <v>0</v>
      </c>
      <c r="AJ47" s="12">
        <f t="shared" si="45"/>
        <v>0</v>
      </c>
      <c r="AK47" s="12">
        <f t="shared" si="45"/>
        <v>0</v>
      </c>
      <c r="AL47" s="12">
        <f t="shared" si="45"/>
        <v>0</v>
      </c>
      <c r="AM47" s="12">
        <f t="shared" si="45"/>
        <v>0</v>
      </c>
      <c r="AN47" s="12">
        <f t="shared" si="45"/>
        <v>0</v>
      </c>
      <c r="AO47" s="12">
        <f t="shared" si="45"/>
        <v>0</v>
      </c>
      <c r="AP47" s="12">
        <f t="shared" si="45"/>
        <v>0</v>
      </c>
      <c r="AQ47" s="12">
        <f t="shared" si="45"/>
        <v>0</v>
      </c>
      <c r="AR47" s="12">
        <f t="shared" si="45"/>
        <v>0</v>
      </c>
      <c r="AS47" s="161">
        <f t="shared" si="45"/>
        <v>0</v>
      </c>
    </row>
    <row r="48" spans="1:47" ht="17" thickBot="1">
      <c r="A48" s="32" t="s">
        <v>4</v>
      </c>
      <c r="B48" s="32" t="s">
        <v>17</v>
      </c>
      <c r="C48" s="32" t="s">
        <v>53</v>
      </c>
      <c r="D48" s="36" t="s">
        <v>259</v>
      </c>
      <c r="E48" s="172">
        <f t="shared" ref="E48:AS48" si="46">(E59*E$72+E70*E$73)/E$71</f>
        <v>7.6803292846178177E-3</v>
      </c>
      <c r="F48" s="173">
        <f t="shared" si="46"/>
        <v>7.4153773900704151E-3</v>
      </c>
      <c r="G48" s="173">
        <f t="shared" si="46"/>
        <v>7.1505238220468652E-3</v>
      </c>
      <c r="H48" s="173">
        <f t="shared" si="46"/>
        <v>6.8857529216713124E-3</v>
      </c>
      <c r="I48" s="173">
        <f t="shared" si="46"/>
        <v>6.621082516386427E-3</v>
      </c>
      <c r="J48" s="173">
        <f t="shared" si="46"/>
        <v>6.3565230944196433E-3</v>
      </c>
      <c r="K48" s="173">
        <f t="shared" si="46"/>
        <v>6.0920493025303441E-3</v>
      </c>
      <c r="L48" s="173">
        <f t="shared" si="46"/>
        <v>5.8276248730579653E-3</v>
      </c>
      <c r="M48" s="173">
        <f t="shared" si="46"/>
        <v>5.5632330836153793E-3</v>
      </c>
      <c r="N48" s="173">
        <f t="shared" si="46"/>
        <v>5.2988602412830368E-3</v>
      </c>
      <c r="O48" s="173">
        <f t="shared" si="46"/>
        <v>5.0345105619440129E-3</v>
      </c>
      <c r="P48" s="173">
        <f t="shared" si="46"/>
        <v>4.7701697549140856E-3</v>
      </c>
      <c r="Q48" s="173">
        <f t="shared" si="46"/>
        <v>4.5058703276980349E-3</v>
      </c>
      <c r="R48" s="173">
        <f t="shared" si="46"/>
        <v>4.2417080260396525E-3</v>
      </c>
      <c r="S48" s="174">
        <f t="shared" si="46"/>
        <v>4.0060835524790674E-3</v>
      </c>
      <c r="T48" s="37">
        <f t="shared" si="46"/>
        <v>3.8229804923628971E-3</v>
      </c>
      <c r="U48" s="37">
        <f t="shared" si="46"/>
        <v>3.6423611701471761E-3</v>
      </c>
      <c r="V48" s="37">
        <f t="shared" si="46"/>
        <v>3.4641746055749083E-3</v>
      </c>
      <c r="W48" s="37">
        <f t="shared" si="46"/>
        <v>3.2883636774754771E-3</v>
      </c>
      <c r="X48" s="37">
        <f t="shared" si="46"/>
        <v>3.1148692205723253E-3</v>
      </c>
      <c r="Y48" s="37">
        <f t="shared" si="46"/>
        <v>2.9436531215992733E-3</v>
      </c>
      <c r="Z48" s="37">
        <f t="shared" si="46"/>
        <v>2.7747131166691009E-3</v>
      </c>
      <c r="AA48" s="37">
        <f t="shared" si="46"/>
        <v>2.6080643913289048E-3</v>
      </c>
      <c r="AB48" s="37">
        <f t="shared" si="46"/>
        <v>2.4437277316393838E-3</v>
      </c>
      <c r="AC48" s="37">
        <f t="shared" si="46"/>
        <v>2.2817534567530725E-3</v>
      </c>
      <c r="AD48" s="37">
        <f t="shared" si="46"/>
        <v>2.1219684572882035E-3</v>
      </c>
      <c r="AE48" s="37">
        <f t="shared" si="46"/>
        <v>1.9644472265868528E-3</v>
      </c>
      <c r="AF48" s="37">
        <f t="shared" si="46"/>
        <v>1.8091884282611743E-3</v>
      </c>
      <c r="AG48" s="37">
        <f t="shared" si="46"/>
        <v>1.6561918544453491E-3</v>
      </c>
      <c r="AH48" s="37">
        <f t="shared" si="46"/>
        <v>1.5054581256265006E-3</v>
      </c>
      <c r="AI48" s="37">
        <f t="shared" si="46"/>
        <v>1.3569935187501651E-3</v>
      </c>
      <c r="AJ48" s="37">
        <f t="shared" si="46"/>
        <v>1.2108089132687699E-3</v>
      </c>
      <c r="AK48" s="37">
        <f t="shared" si="46"/>
        <v>1.0669166268107372E-3</v>
      </c>
      <c r="AL48" s="37">
        <f t="shared" si="46"/>
        <v>9.2532732037245435E-4</v>
      </c>
      <c r="AM48" s="37">
        <f t="shared" si="46"/>
        <v>7.8605319330783989E-4</v>
      </c>
      <c r="AN48" s="37">
        <f t="shared" si="46"/>
        <v>6.491101928852754E-4</v>
      </c>
      <c r="AO48" s="37">
        <f t="shared" si="46"/>
        <v>5.1451596124452712E-4</v>
      </c>
      <c r="AP48" s="37">
        <f t="shared" si="46"/>
        <v>3.8228982924539009E-4</v>
      </c>
      <c r="AQ48" s="37">
        <f t="shared" si="46"/>
        <v>2.5245056092157675E-4</v>
      </c>
      <c r="AR48" s="37">
        <f t="shared" si="46"/>
        <v>1.2501558899654611E-4</v>
      </c>
      <c r="AS48" s="66">
        <f t="shared" si="46"/>
        <v>0</v>
      </c>
    </row>
    <row r="49" spans="1:45">
      <c r="A49" s="29" t="s">
        <v>18</v>
      </c>
      <c r="B49" s="29" t="s">
        <v>36</v>
      </c>
      <c r="C49" s="29" t="s">
        <v>53</v>
      </c>
      <c r="D49" s="35" t="s">
        <v>259</v>
      </c>
      <c r="E49" s="167">
        <f>MAX(0,(E$37*params!$L14+params!$M14))</f>
        <v>0.97441927313391474</v>
      </c>
      <c r="F49" s="168">
        <f>MAX(0,(F$37*params!$L14+params!$M14))</f>
        <v>0.96278847435601023</v>
      </c>
      <c r="G49" s="168">
        <f>MAX(0,(G$37*params!$L14+params!$M14))</f>
        <v>0.95115767557810571</v>
      </c>
      <c r="H49" s="168">
        <f>MAX(0,(H$37*params!$L14+params!$M14))</f>
        <v>0.93952687680019764</v>
      </c>
      <c r="I49" s="168">
        <f>MAX(0,(I$37*params!$L14+params!$M14))</f>
        <v>0.92789607802229312</v>
      </c>
      <c r="J49" s="168">
        <f>MAX(0,(J$37*params!$L14+params!$M14))</f>
        <v>0.91626527924438861</v>
      </c>
      <c r="K49" s="168">
        <f>MAX(0,(K$37*params!$L14+params!$M14))</f>
        <v>0.90463448046648409</v>
      </c>
      <c r="L49" s="168">
        <f>MAX(0,(L$37*params!$L14+params!$M14))</f>
        <v>0.89300368168857958</v>
      </c>
      <c r="M49" s="168">
        <f>MAX(0,(M$37*params!$L14+params!$M14))</f>
        <v>0.88137288291067506</v>
      </c>
      <c r="N49" s="168">
        <f>MAX(0,(N$37*params!$L14+params!$M14))</f>
        <v>0.86974208413277054</v>
      </c>
      <c r="O49" s="168">
        <f>MAX(0,(O$37*params!$L14+params!$M14))</f>
        <v>0.85811128535486603</v>
      </c>
      <c r="P49" s="168">
        <f>MAX(0,(P$37*params!$L14+params!$M14))</f>
        <v>0.84648048657695796</v>
      </c>
      <c r="Q49" s="168">
        <f>MAX(0,(Q$37*params!$L14+params!$M14))</f>
        <v>0.83484968779905344</v>
      </c>
      <c r="R49" s="168">
        <f>MAX(0,(R$37*params!$L14+params!$M14))</f>
        <v>0.82321888902114893</v>
      </c>
      <c r="S49" s="169">
        <f>MAX(0,(S$37*params!$L14+params!$M14))</f>
        <v>0.81158809024324441</v>
      </c>
      <c r="T49" s="12">
        <f t="shared" ref="T49:AQ49" si="47">S49+($AS49-$S49)/($AS$37-$S$37)</f>
        <v>0.79052700984927349</v>
      </c>
      <c r="U49" s="12">
        <f t="shared" si="47"/>
        <v>0.76946592945530257</v>
      </c>
      <c r="V49" s="12">
        <f t="shared" si="47"/>
        <v>0.74840484906133165</v>
      </c>
      <c r="W49" s="12">
        <f t="shared" si="47"/>
        <v>0.72734376866736072</v>
      </c>
      <c r="X49" s="12">
        <f t="shared" si="47"/>
        <v>0.7062826882733898</v>
      </c>
      <c r="Y49" s="12">
        <f t="shared" si="47"/>
        <v>0.68522160787941888</v>
      </c>
      <c r="Z49" s="12">
        <f t="shared" si="47"/>
        <v>0.66416052748544796</v>
      </c>
      <c r="AA49" s="12">
        <f t="shared" si="47"/>
        <v>0.64309944709147704</v>
      </c>
      <c r="AB49" s="12">
        <f t="shared" si="47"/>
        <v>0.62203836669750612</v>
      </c>
      <c r="AC49" s="12">
        <f t="shared" si="47"/>
        <v>0.6009772863035352</v>
      </c>
      <c r="AD49" s="12">
        <f t="shared" si="47"/>
        <v>0.57991620590956428</v>
      </c>
      <c r="AE49" s="12">
        <f t="shared" si="47"/>
        <v>0.55885512551559335</v>
      </c>
      <c r="AF49" s="12">
        <f t="shared" si="47"/>
        <v>0.53779404512162243</v>
      </c>
      <c r="AG49" s="12">
        <f t="shared" si="47"/>
        <v>0.51673296472765151</v>
      </c>
      <c r="AH49" s="12">
        <f t="shared" si="47"/>
        <v>0.49567188433368059</v>
      </c>
      <c r="AI49" s="12">
        <f t="shared" si="47"/>
        <v>0.47461080393970967</v>
      </c>
      <c r="AJ49" s="12">
        <f t="shared" si="47"/>
        <v>0.45354972354573875</v>
      </c>
      <c r="AK49" s="12">
        <f t="shared" si="47"/>
        <v>0.43248864315176783</v>
      </c>
      <c r="AL49" s="12">
        <f t="shared" si="47"/>
        <v>0.41142756275779691</v>
      </c>
      <c r="AM49" s="12">
        <f t="shared" si="47"/>
        <v>0.39036648236382598</v>
      </c>
      <c r="AN49" s="12">
        <f t="shared" si="47"/>
        <v>0.36930540196985506</v>
      </c>
      <c r="AO49" s="12">
        <f t="shared" si="47"/>
        <v>0.34824432157588414</v>
      </c>
      <c r="AP49" s="12">
        <f t="shared" si="47"/>
        <v>0.32718324118191322</v>
      </c>
      <c r="AQ49" s="12">
        <f t="shared" si="47"/>
        <v>0.3061221607879423</v>
      </c>
      <c r="AR49" s="12">
        <f>AQ49+($AS49-$S49)/($AS$37-$S$37)</f>
        <v>0.28506108039397138</v>
      </c>
      <c r="AS49" s="177">
        <f>params!K14</f>
        <v>0.26400000000000001</v>
      </c>
    </row>
    <row r="50" spans="1:45">
      <c r="A50" s="4" t="s">
        <v>18</v>
      </c>
      <c r="B50" s="4" t="s">
        <v>8</v>
      </c>
      <c r="C50" s="4" t="s">
        <v>53</v>
      </c>
      <c r="D50" s="10" t="s">
        <v>259</v>
      </c>
      <c r="E50" s="170">
        <f>MAX(0,(E$37*params!$L15+params!$M15))</f>
        <v>7.8259338032324877E-3</v>
      </c>
      <c r="F50" s="162">
        <f>MAX(0,(F$37*params!$L15+params!$M15))</f>
        <v>2.0063481980617581E-2</v>
      </c>
      <c r="G50" s="162">
        <f>MAX(0,(G$37*params!$L15+params!$M15))</f>
        <v>3.2301030158002675E-2</v>
      </c>
      <c r="H50" s="162">
        <f>MAX(0,(H$37*params!$L15+params!$M15))</f>
        <v>4.4538578335391321E-2</v>
      </c>
      <c r="I50" s="162">
        <f>MAX(0,(I$37*params!$L15+params!$M15))</f>
        <v>5.6776126512776415E-2</v>
      </c>
      <c r="J50" s="162">
        <f>MAX(0,(J$37*params!$L15+params!$M15))</f>
        <v>6.9013674690161508E-2</v>
      </c>
      <c r="K50" s="162">
        <f>MAX(0,(K$37*params!$L15+params!$M15))</f>
        <v>8.1251222867550155E-2</v>
      </c>
      <c r="L50" s="162">
        <f>MAX(0,(L$37*params!$L15+params!$M15))</f>
        <v>9.3488771044935248E-2</v>
      </c>
      <c r="M50" s="162">
        <f>MAX(0,(M$37*params!$L15+params!$M15))</f>
        <v>0.10572631922232034</v>
      </c>
      <c r="N50" s="162">
        <f>MAX(0,(N$37*params!$L15+params!$M15))</f>
        <v>0.11796386739970899</v>
      </c>
      <c r="O50" s="162">
        <f>MAX(0,(O$37*params!$L15+params!$M15))</f>
        <v>0.13020141557709408</v>
      </c>
      <c r="P50" s="162">
        <f>MAX(0,(P$37*params!$L15+params!$M15))</f>
        <v>0.14243896375447918</v>
      </c>
      <c r="Q50" s="162">
        <f>MAX(0,(Q$37*params!$L15+params!$M15))</f>
        <v>0.15467651193186782</v>
      </c>
      <c r="R50" s="162">
        <f>MAX(0,(R$37*params!$L15+params!$M15))</f>
        <v>0.16691406010925292</v>
      </c>
      <c r="S50" s="171">
        <f>MAX(0,(S$37*params!$L15+params!$M15))</f>
        <v>0.17915160828663801</v>
      </c>
      <c r="T50" s="12">
        <f t="shared" ref="T50:AR50" si="48">S50+($AS50-$S50)/($AS$37-$S$37)</f>
        <v>0.20018423873715194</v>
      </c>
      <c r="U50" s="12">
        <f t="shared" si="48"/>
        <v>0.22121686918766587</v>
      </c>
      <c r="V50" s="12">
        <f t="shared" si="48"/>
        <v>0.24224949963817979</v>
      </c>
      <c r="W50" s="12">
        <f t="shared" si="48"/>
        <v>0.26328213008869372</v>
      </c>
      <c r="X50" s="12">
        <f t="shared" si="48"/>
        <v>0.28431476053920762</v>
      </c>
      <c r="Y50" s="12">
        <f t="shared" si="48"/>
        <v>0.30534739098972152</v>
      </c>
      <c r="Z50" s="12">
        <f t="shared" si="48"/>
        <v>0.32638002144023542</v>
      </c>
      <c r="AA50" s="12">
        <f t="shared" si="48"/>
        <v>0.34741265189074932</v>
      </c>
      <c r="AB50" s="12">
        <f t="shared" si="48"/>
        <v>0.36844528234126322</v>
      </c>
      <c r="AC50" s="12">
        <f t="shared" si="48"/>
        <v>0.38947791279177713</v>
      </c>
      <c r="AD50" s="12">
        <f t="shared" si="48"/>
        <v>0.41051054324229103</v>
      </c>
      <c r="AE50" s="12">
        <f t="shared" si="48"/>
        <v>0.43154317369280493</v>
      </c>
      <c r="AF50" s="12">
        <f t="shared" si="48"/>
        <v>0.45257580414331883</v>
      </c>
      <c r="AG50" s="12">
        <f t="shared" si="48"/>
        <v>0.47360843459383273</v>
      </c>
      <c r="AH50" s="12">
        <f t="shared" si="48"/>
        <v>0.49464106504434663</v>
      </c>
      <c r="AI50" s="12">
        <f t="shared" si="48"/>
        <v>0.51567369549486053</v>
      </c>
      <c r="AJ50" s="12">
        <f t="shared" si="48"/>
        <v>0.53670632594537449</v>
      </c>
      <c r="AK50" s="12">
        <f t="shared" si="48"/>
        <v>0.55773895639588844</v>
      </c>
      <c r="AL50" s="12">
        <f t="shared" si="48"/>
        <v>0.5787715868464024</v>
      </c>
      <c r="AM50" s="12">
        <f t="shared" si="48"/>
        <v>0.59980421729691635</v>
      </c>
      <c r="AN50" s="12">
        <f t="shared" si="48"/>
        <v>0.62083684774743031</v>
      </c>
      <c r="AO50" s="12">
        <f t="shared" si="48"/>
        <v>0.64186947819794427</v>
      </c>
      <c r="AP50" s="12">
        <f t="shared" si="48"/>
        <v>0.66290210864845822</v>
      </c>
      <c r="AQ50" s="12">
        <f t="shared" si="48"/>
        <v>0.68393473909897218</v>
      </c>
      <c r="AR50" s="12">
        <f t="shared" si="48"/>
        <v>0.70496736954948613</v>
      </c>
      <c r="AS50" s="60">
        <f>params!K15</f>
        <v>0.72599999999999998</v>
      </c>
    </row>
    <row r="51" spans="1:45">
      <c r="A51" s="4" t="s">
        <v>18</v>
      </c>
      <c r="B51" s="4" t="s">
        <v>37</v>
      </c>
      <c r="C51" s="4" t="s">
        <v>53</v>
      </c>
      <c r="D51" s="10" t="s">
        <v>259</v>
      </c>
      <c r="E51" s="170">
        <f>MAX(0,(E$37*params!$L16+params!$M16))</f>
        <v>0</v>
      </c>
      <c r="F51" s="162">
        <f>MAX(0,(F$37*params!$L16+params!$M16))</f>
        <v>0</v>
      </c>
      <c r="G51" s="162">
        <f>MAX(0,(G$37*params!$L16+params!$M16))</f>
        <v>0</v>
      </c>
      <c r="H51" s="162">
        <f>MAX(0,(H$37*params!$L16+params!$M16))</f>
        <v>0</v>
      </c>
      <c r="I51" s="162">
        <f>MAX(0,(I$37*params!$L16+params!$M16))</f>
        <v>0</v>
      </c>
      <c r="J51" s="162">
        <f>MAX(0,(J$37*params!$L16+params!$M16))</f>
        <v>0</v>
      </c>
      <c r="K51" s="162">
        <f>MAX(0,(K$37*params!$L16+params!$M16))</f>
        <v>0</v>
      </c>
      <c r="L51" s="162">
        <f>MAX(0,(L$37*params!$L16+params!$M16))</f>
        <v>0</v>
      </c>
      <c r="M51" s="162">
        <f>MAX(0,(M$37*params!$L16+params!$M16))</f>
        <v>0</v>
      </c>
      <c r="N51" s="162">
        <f>MAX(0,(N$37*params!$L16+params!$M16))</f>
        <v>0</v>
      </c>
      <c r="O51" s="162">
        <f>MAX(0,(O$37*params!$L16+params!$M16))</f>
        <v>0</v>
      </c>
      <c r="P51" s="162">
        <f>MAX(0,(P$37*params!$L16+params!$M16))</f>
        <v>0</v>
      </c>
      <c r="Q51" s="162">
        <f>MAX(0,(Q$37*params!$L16+params!$M16))</f>
        <v>0</v>
      </c>
      <c r="R51" s="162">
        <f>MAX(0,(R$37*params!$L16+params!$M16))</f>
        <v>0</v>
      </c>
      <c r="S51" s="171">
        <f>MAX(0,(S$37*params!$L16+params!$M16))</f>
        <v>0</v>
      </c>
      <c r="T51" s="12">
        <f t="shared" ref="T51:AR51" si="49">S51+($AS51-$S51)/($AS$37-$S$37)</f>
        <v>0</v>
      </c>
      <c r="U51" s="12">
        <f t="shared" si="49"/>
        <v>0</v>
      </c>
      <c r="V51" s="12">
        <f t="shared" si="49"/>
        <v>0</v>
      </c>
      <c r="W51" s="12">
        <f t="shared" si="49"/>
        <v>0</v>
      </c>
      <c r="X51" s="12">
        <f t="shared" si="49"/>
        <v>0</v>
      </c>
      <c r="Y51" s="12">
        <f t="shared" si="49"/>
        <v>0</v>
      </c>
      <c r="Z51" s="12">
        <f t="shared" si="49"/>
        <v>0</v>
      </c>
      <c r="AA51" s="12">
        <f t="shared" si="49"/>
        <v>0</v>
      </c>
      <c r="AB51" s="12">
        <f t="shared" si="49"/>
        <v>0</v>
      </c>
      <c r="AC51" s="12">
        <f t="shared" si="49"/>
        <v>0</v>
      </c>
      <c r="AD51" s="12">
        <f t="shared" si="49"/>
        <v>0</v>
      </c>
      <c r="AE51" s="12">
        <f t="shared" si="49"/>
        <v>0</v>
      </c>
      <c r="AF51" s="12">
        <f t="shared" si="49"/>
        <v>0</v>
      </c>
      <c r="AG51" s="12">
        <f t="shared" si="49"/>
        <v>0</v>
      </c>
      <c r="AH51" s="12">
        <f t="shared" si="49"/>
        <v>0</v>
      </c>
      <c r="AI51" s="12">
        <f t="shared" si="49"/>
        <v>0</v>
      </c>
      <c r="AJ51" s="12">
        <f t="shared" si="49"/>
        <v>0</v>
      </c>
      <c r="AK51" s="12">
        <f t="shared" si="49"/>
        <v>0</v>
      </c>
      <c r="AL51" s="12">
        <f t="shared" si="49"/>
        <v>0</v>
      </c>
      <c r="AM51" s="12">
        <f t="shared" si="49"/>
        <v>0</v>
      </c>
      <c r="AN51" s="12">
        <f t="shared" si="49"/>
        <v>0</v>
      </c>
      <c r="AO51" s="12">
        <f t="shared" si="49"/>
        <v>0</v>
      </c>
      <c r="AP51" s="12">
        <f t="shared" si="49"/>
        <v>0</v>
      </c>
      <c r="AQ51" s="12">
        <f t="shared" si="49"/>
        <v>0</v>
      </c>
      <c r="AR51" s="12">
        <f t="shared" si="49"/>
        <v>0</v>
      </c>
      <c r="AS51" s="64">
        <f>params!K16</f>
        <v>0</v>
      </c>
    </row>
    <row r="52" spans="1:45">
      <c r="A52" s="4" t="s">
        <v>18</v>
      </c>
      <c r="B52" s="4" t="s">
        <v>10</v>
      </c>
      <c r="C52" s="4" t="s">
        <v>53</v>
      </c>
      <c r="D52" s="10" t="s">
        <v>259</v>
      </c>
      <c r="E52" s="170">
        <f>MAX(0,(E$37*params!$L17+params!$M17))</f>
        <v>0</v>
      </c>
      <c r="F52" s="162">
        <f>MAX(0,(F$37*params!$L17+params!$M17))</f>
        <v>0</v>
      </c>
      <c r="G52" s="162">
        <f>MAX(0,(G$37*params!$L17+params!$M17))</f>
        <v>0</v>
      </c>
      <c r="H52" s="162">
        <f>MAX(0,(H$37*params!$L17+params!$M17))</f>
        <v>0</v>
      </c>
      <c r="I52" s="162">
        <f>MAX(0,(I$37*params!$L17+params!$M17))</f>
        <v>0</v>
      </c>
      <c r="J52" s="162">
        <f>MAX(0,(J$37*params!$L17+params!$M17))</f>
        <v>0</v>
      </c>
      <c r="K52" s="162">
        <f>MAX(0,(K$37*params!$L17+params!$M17))</f>
        <v>0</v>
      </c>
      <c r="L52" s="162">
        <f>MAX(0,(L$37*params!$L17+params!$M17))</f>
        <v>0</v>
      </c>
      <c r="M52" s="162">
        <f>MAX(0,(M$37*params!$L17+params!$M17))</f>
        <v>0</v>
      </c>
      <c r="N52" s="162">
        <f>MAX(0,(N$37*params!$L17+params!$M17))</f>
        <v>0</v>
      </c>
      <c r="O52" s="162">
        <f>MAX(0,(O$37*params!$L17+params!$M17))</f>
        <v>0</v>
      </c>
      <c r="P52" s="162">
        <f>MAX(0,(P$37*params!$L17+params!$M17))</f>
        <v>0</v>
      </c>
      <c r="Q52" s="162">
        <f>MAX(0,(Q$37*params!$L17+params!$M17))</f>
        <v>0</v>
      </c>
      <c r="R52" s="162">
        <f>MAX(0,(R$37*params!$L17+params!$M17))</f>
        <v>0</v>
      </c>
      <c r="S52" s="171">
        <f>MAX(0,(S$37*params!$L17+params!$M17))</f>
        <v>0</v>
      </c>
      <c r="T52" s="12">
        <f t="shared" ref="T52:AR52" si="50">S52+($AS52-$S52)/($AS$37-$S$37)</f>
        <v>0</v>
      </c>
      <c r="U52" s="12">
        <f t="shared" si="50"/>
        <v>0</v>
      </c>
      <c r="V52" s="12">
        <f t="shared" si="50"/>
        <v>0</v>
      </c>
      <c r="W52" s="12">
        <f t="shared" si="50"/>
        <v>0</v>
      </c>
      <c r="X52" s="12">
        <f t="shared" si="50"/>
        <v>0</v>
      </c>
      <c r="Y52" s="12">
        <f t="shared" si="50"/>
        <v>0</v>
      </c>
      <c r="Z52" s="12">
        <f t="shared" si="50"/>
        <v>0</v>
      </c>
      <c r="AA52" s="12">
        <f t="shared" si="50"/>
        <v>0</v>
      </c>
      <c r="AB52" s="12">
        <f t="shared" si="50"/>
        <v>0</v>
      </c>
      <c r="AC52" s="12">
        <f t="shared" si="50"/>
        <v>0</v>
      </c>
      <c r="AD52" s="12">
        <f t="shared" si="50"/>
        <v>0</v>
      </c>
      <c r="AE52" s="12">
        <f t="shared" si="50"/>
        <v>0</v>
      </c>
      <c r="AF52" s="12">
        <f t="shared" si="50"/>
        <v>0</v>
      </c>
      <c r="AG52" s="12">
        <f t="shared" si="50"/>
        <v>0</v>
      </c>
      <c r="AH52" s="12">
        <f t="shared" si="50"/>
        <v>0</v>
      </c>
      <c r="AI52" s="12">
        <f t="shared" si="50"/>
        <v>0</v>
      </c>
      <c r="AJ52" s="12">
        <f t="shared" si="50"/>
        <v>0</v>
      </c>
      <c r="AK52" s="12">
        <f t="shared" si="50"/>
        <v>0</v>
      </c>
      <c r="AL52" s="12">
        <f t="shared" si="50"/>
        <v>0</v>
      </c>
      <c r="AM52" s="12">
        <f t="shared" si="50"/>
        <v>0</v>
      </c>
      <c r="AN52" s="12">
        <f t="shared" si="50"/>
        <v>0</v>
      </c>
      <c r="AO52" s="12">
        <f t="shared" si="50"/>
        <v>0</v>
      </c>
      <c r="AP52" s="12">
        <f t="shared" si="50"/>
        <v>0</v>
      </c>
      <c r="AQ52" s="12">
        <f t="shared" si="50"/>
        <v>0</v>
      </c>
      <c r="AR52" s="12">
        <f t="shared" si="50"/>
        <v>0</v>
      </c>
      <c r="AS52" s="64">
        <f>params!K17</f>
        <v>0</v>
      </c>
    </row>
    <row r="53" spans="1:45">
      <c r="A53" s="4" t="s">
        <v>18</v>
      </c>
      <c r="B53" s="4" t="s">
        <v>11</v>
      </c>
      <c r="C53" s="4" t="s">
        <v>53</v>
      </c>
      <c r="D53" s="10" t="s">
        <v>259</v>
      </c>
      <c r="E53" s="170">
        <f>MAX(0,(E$37*params!$L18+params!$M18))</f>
        <v>1.9762691175492959E-4</v>
      </c>
      <c r="F53" s="162">
        <f>MAX(0,(F$37*params!$L18+params!$M18))</f>
        <v>1.9223748216767693E-4</v>
      </c>
      <c r="G53" s="162">
        <f>MAX(0,(G$37*params!$L18+params!$M18))</f>
        <v>1.8684805258042253E-4</v>
      </c>
      <c r="H53" s="162">
        <f>MAX(0,(H$37*params!$L18+params!$M18))</f>
        <v>1.8145862299316987E-4</v>
      </c>
      <c r="I53" s="162">
        <f>MAX(0,(I$37*params!$L18+params!$M18))</f>
        <v>1.7606919340591547E-4</v>
      </c>
      <c r="J53" s="162">
        <f>MAX(0,(J$37*params!$L18+params!$M18))</f>
        <v>1.706797638186628E-4</v>
      </c>
      <c r="K53" s="162">
        <f>MAX(0,(K$37*params!$L18+params!$M18))</f>
        <v>1.6529033423141014E-4</v>
      </c>
      <c r="L53" s="162">
        <f>MAX(0,(L$37*params!$L18+params!$M18))</f>
        <v>1.5990090464415574E-4</v>
      </c>
      <c r="M53" s="162">
        <f>MAX(0,(M$37*params!$L18+params!$M18))</f>
        <v>1.5451147505690307E-4</v>
      </c>
      <c r="N53" s="162">
        <f>MAX(0,(N$37*params!$L18+params!$M18))</f>
        <v>1.4912204546964868E-4</v>
      </c>
      <c r="O53" s="162">
        <f>MAX(0,(O$37*params!$L18+params!$M18))</f>
        <v>1.4373261588239601E-4</v>
      </c>
      <c r="P53" s="162">
        <f>MAX(0,(P$37*params!$L18+params!$M18))</f>
        <v>1.3834318629514161E-4</v>
      </c>
      <c r="Q53" s="162">
        <f>MAX(0,(Q$37*params!$L18+params!$M18))</f>
        <v>1.3295375670788895E-4</v>
      </c>
      <c r="R53" s="162">
        <f>MAX(0,(R$37*params!$L18+params!$M18))</f>
        <v>1.2756432712063455E-4</v>
      </c>
      <c r="S53" s="171">
        <f>MAX(0,(S$37*params!$L18+params!$M18))</f>
        <v>1.2217489753338188E-4</v>
      </c>
      <c r="T53" s="12">
        <f t="shared" ref="T53:AR53" si="51">S53+($AS53-$S53)/($AS$37-$S$37)</f>
        <v>1.1747586301286719E-4</v>
      </c>
      <c r="U53" s="12">
        <f t="shared" si="51"/>
        <v>1.127768284923525E-4</v>
      </c>
      <c r="V53" s="12">
        <f t="shared" si="51"/>
        <v>1.0807779397183781E-4</v>
      </c>
      <c r="W53" s="12">
        <f t="shared" si="51"/>
        <v>1.0337875945132312E-4</v>
      </c>
      <c r="X53" s="12">
        <f t="shared" si="51"/>
        <v>9.8679724930808425E-5</v>
      </c>
      <c r="Y53" s="12">
        <f t="shared" si="51"/>
        <v>9.3980690410293733E-5</v>
      </c>
      <c r="Z53" s="12">
        <f t="shared" si="51"/>
        <v>8.9281655889779041E-5</v>
      </c>
      <c r="AA53" s="12">
        <f t="shared" si="51"/>
        <v>8.4582621369264348E-5</v>
      </c>
      <c r="AB53" s="12">
        <f t="shared" si="51"/>
        <v>7.9883586848749656E-5</v>
      </c>
      <c r="AC53" s="12">
        <f t="shared" si="51"/>
        <v>7.5184552328234964E-5</v>
      </c>
      <c r="AD53" s="12">
        <f t="shared" si="51"/>
        <v>7.0485517807720272E-5</v>
      </c>
      <c r="AE53" s="12">
        <f t="shared" si="51"/>
        <v>6.578648328720558E-5</v>
      </c>
      <c r="AF53" s="12">
        <f t="shared" si="51"/>
        <v>6.1087448766690888E-5</v>
      </c>
      <c r="AG53" s="12">
        <f t="shared" si="51"/>
        <v>5.6388414246176203E-5</v>
      </c>
      <c r="AH53" s="12">
        <f t="shared" si="51"/>
        <v>5.1689379725661518E-5</v>
      </c>
      <c r="AI53" s="12">
        <f t="shared" si="51"/>
        <v>4.6990345205146832E-5</v>
      </c>
      <c r="AJ53" s="12">
        <f t="shared" si="51"/>
        <v>4.2291310684632147E-5</v>
      </c>
      <c r="AK53" s="12">
        <f t="shared" si="51"/>
        <v>3.7592276164117462E-5</v>
      </c>
      <c r="AL53" s="12">
        <f t="shared" si="51"/>
        <v>3.2893241643602777E-5</v>
      </c>
      <c r="AM53" s="12">
        <f t="shared" si="51"/>
        <v>2.8194207123088088E-5</v>
      </c>
      <c r="AN53" s="12">
        <f t="shared" si="51"/>
        <v>2.3495172602573399E-5</v>
      </c>
      <c r="AO53" s="12">
        <f t="shared" si="51"/>
        <v>1.8796138082058711E-5</v>
      </c>
      <c r="AP53" s="12">
        <f t="shared" si="51"/>
        <v>1.4097103561544022E-5</v>
      </c>
      <c r="AQ53" s="12">
        <f t="shared" si="51"/>
        <v>9.3980690410293333E-6</v>
      </c>
      <c r="AR53" s="12">
        <f t="shared" si="51"/>
        <v>4.6990345205146455E-6</v>
      </c>
      <c r="AS53" s="60">
        <f>params!K18</f>
        <v>0</v>
      </c>
    </row>
    <row r="54" spans="1:45">
      <c r="A54" s="4" t="s">
        <v>18</v>
      </c>
      <c r="B54" s="4" t="s">
        <v>12</v>
      </c>
      <c r="C54" s="4" t="s">
        <v>53</v>
      </c>
      <c r="D54" s="10" t="s">
        <v>259</v>
      </c>
      <c r="E54" s="170">
        <f>MAX(0,(E$37*params!$L19+params!$M19))</f>
        <v>0</v>
      </c>
      <c r="F54" s="162">
        <f>MAX(0,(F$37*params!$L19+params!$M19))</f>
        <v>0</v>
      </c>
      <c r="G54" s="162">
        <f>MAX(0,(G$37*params!$L19+params!$M19))</f>
        <v>0</v>
      </c>
      <c r="H54" s="162">
        <f>MAX(0,(H$37*params!$L19+params!$M19))</f>
        <v>0</v>
      </c>
      <c r="I54" s="162">
        <f>MAX(0,(I$37*params!$L19+params!$M19))</f>
        <v>0</v>
      </c>
      <c r="J54" s="162">
        <f>MAX(0,(J$37*params!$L19+params!$M19))</f>
        <v>0</v>
      </c>
      <c r="K54" s="162">
        <f>MAX(0,(K$37*params!$L19+params!$M19))</f>
        <v>0</v>
      </c>
      <c r="L54" s="162">
        <f>MAX(0,(L$37*params!$L19+params!$M19))</f>
        <v>0</v>
      </c>
      <c r="M54" s="162">
        <f>MAX(0,(M$37*params!$L19+params!$M19))</f>
        <v>0</v>
      </c>
      <c r="N54" s="162">
        <f>MAX(0,(N$37*params!$L19+params!$M19))</f>
        <v>0</v>
      </c>
      <c r="O54" s="162">
        <f>MAX(0,(O$37*params!$L19+params!$M19))</f>
        <v>0</v>
      </c>
      <c r="P54" s="162">
        <f>MAX(0,(P$37*params!$L19+params!$M19))</f>
        <v>0</v>
      </c>
      <c r="Q54" s="162">
        <f>MAX(0,(Q$37*params!$L19+params!$M19))</f>
        <v>0</v>
      </c>
      <c r="R54" s="162">
        <f>MAX(0,(R$37*params!$L19+params!$M19))</f>
        <v>0</v>
      </c>
      <c r="S54" s="171">
        <f>MAX(0,(S$37*params!$L19+params!$M19))</f>
        <v>0</v>
      </c>
      <c r="T54" s="12">
        <f t="shared" ref="T54:AR54" si="52">S54+($AS54-$S54)/($AS$37-$S$37)</f>
        <v>0</v>
      </c>
      <c r="U54" s="12">
        <f t="shared" si="52"/>
        <v>0</v>
      </c>
      <c r="V54" s="12">
        <f t="shared" si="52"/>
        <v>0</v>
      </c>
      <c r="W54" s="12">
        <f t="shared" si="52"/>
        <v>0</v>
      </c>
      <c r="X54" s="12">
        <f t="shared" si="52"/>
        <v>0</v>
      </c>
      <c r="Y54" s="12">
        <f t="shared" si="52"/>
        <v>0</v>
      </c>
      <c r="Z54" s="12">
        <f t="shared" si="52"/>
        <v>0</v>
      </c>
      <c r="AA54" s="12">
        <f t="shared" si="52"/>
        <v>0</v>
      </c>
      <c r="AB54" s="12">
        <f t="shared" si="52"/>
        <v>0</v>
      </c>
      <c r="AC54" s="12">
        <f t="shared" si="52"/>
        <v>0</v>
      </c>
      <c r="AD54" s="12">
        <f t="shared" si="52"/>
        <v>0</v>
      </c>
      <c r="AE54" s="12">
        <f t="shared" si="52"/>
        <v>0</v>
      </c>
      <c r="AF54" s="12">
        <f t="shared" si="52"/>
        <v>0</v>
      </c>
      <c r="AG54" s="12">
        <f t="shared" si="52"/>
        <v>0</v>
      </c>
      <c r="AH54" s="12">
        <f t="shared" si="52"/>
        <v>0</v>
      </c>
      <c r="AI54" s="12">
        <f t="shared" si="52"/>
        <v>0</v>
      </c>
      <c r="AJ54" s="12">
        <f t="shared" si="52"/>
        <v>0</v>
      </c>
      <c r="AK54" s="12">
        <f t="shared" si="52"/>
        <v>0</v>
      </c>
      <c r="AL54" s="12">
        <f t="shared" si="52"/>
        <v>0</v>
      </c>
      <c r="AM54" s="12">
        <f t="shared" si="52"/>
        <v>0</v>
      </c>
      <c r="AN54" s="12">
        <f t="shared" si="52"/>
        <v>0</v>
      </c>
      <c r="AO54" s="12">
        <f t="shared" si="52"/>
        <v>0</v>
      </c>
      <c r="AP54" s="12">
        <f t="shared" si="52"/>
        <v>0</v>
      </c>
      <c r="AQ54" s="12">
        <f t="shared" si="52"/>
        <v>0</v>
      </c>
      <c r="AR54" s="12">
        <f t="shared" si="52"/>
        <v>0</v>
      </c>
      <c r="AS54" s="60">
        <f>params!K19</f>
        <v>0</v>
      </c>
    </row>
    <row r="55" spans="1:45">
      <c r="A55" s="4" t="s">
        <v>18</v>
      </c>
      <c r="B55" s="4" t="s">
        <v>13</v>
      </c>
      <c r="C55" s="4" t="s">
        <v>53</v>
      </c>
      <c r="D55" s="10" t="s">
        <v>259</v>
      </c>
      <c r="E55" s="170">
        <f>MAX(0,(E$37*params!$L20+params!$M20))</f>
        <v>5.185646710655023E-3</v>
      </c>
      <c r="F55" s="162">
        <f>MAX(0,(F$37*params!$L20+params!$M20))</f>
        <v>4.9498027596586169E-3</v>
      </c>
      <c r="G55" s="162">
        <f>MAX(0,(G$37*params!$L20+params!$M20))</f>
        <v>4.7139588086622108E-3</v>
      </c>
      <c r="H55" s="162">
        <f>MAX(0,(H$37*params!$L20+params!$M20))</f>
        <v>4.4781148576658047E-3</v>
      </c>
      <c r="I55" s="162">
        <f>MAX(0,(I$37*params!$L20+params!$M20))</f>
        <v>4.2422709066693987E-3</v>
      </c>
      <c r="J55" s="162">
        <f>MAX(0,(J$37*params!$L20+params!$M20))</f>
        <v>4.0064269556729926E-3</v>
      </c>
      <c r="K55" s="162">
        <f>MAX(0,(K$37*params!$L20+params!$M20))</f>
        <v>3.7705830046765865E-3</v>
      </c>
      <c r="L55" s="162">
        <f>MAX(0,(L$37*params!$L20+params!$M20))</f>
        <v>3.5347390536801804E-3</v>
      </c>
      <c r="M55" s="162">
        <f>MAX(0,(M$37*params!$L20+params!$M20))</f>
        <v>3.2988951026837743E-3</v>
      </c>
      <c r="N55" s="162">
        <f>MAX(0,(N$37*params!$L20+params!$M20))</f>
        <v>3.0630511516873682E-3</v>
      </c>
      <c r="O55" s="162">
        <f>MAX(0,(O$37*params!$L20+params!$M20))</f>
        <v>2.8272072006909621E-3</v>
      </c>
      <c r="P55" s="162">
        <f>MAX(0,(P$37*params!$L20+params!$M20))</f>
        <v>2.591363249694556E-3</v>
      </c>
      <c r="Q55" s="162">
        <f>MAX(0,(Q$37*params!$L20+params!$M20))</f>
        <v>2.3555192986981499E-3</v>
      </c>
      <c r="R55" s="162">
        <f>MAX(0,(R$37*params!$L20+params!$M20))</f>
        <v>2.1196753477017438E-3</v>
      </c>
      <c r="S55" s="171">
        <f>MAX(0,(S$37*params!$L20+params!$M20))</f>
        <v>1.8838313967053377E-3</v>
      </c>
      <c r="T55" s="12">
        <f t="shared" ref="T55:AR55" si="53">S55+($AS55-$S55)/($AS$37-$S$37)</f>
        <v>1.8113763429859016E-3</v>
      </c>
      <c r="U55" s="12">
        <f t="shared" si="53"/>
        <v>1.7389212892664654E-3</v>
      </c>
      <c r="V55" s="12">
        <f t="shared" si="53"/>
        <v>1.6664662355470293E-3</v>
      </c>
      <c r="W55" s="12">
        <f t="shared" si="53"/>
        <v>1.5940111818275931E-3</v>
      </c>
      <c r="X55" s="12">
        <f t="shared" si="53"/>
        <v>1.521556128108157E-3</v>
      </c>
      <c r="Y55" s="12">
        <f t="shared" si="53"/>
        <v>1.4491010743887208E-3</v>
      </c>
      <c r="Z55" s="12">
        <f t="shared" si="53"/>
        <v>1.3766460206692847E-3</v>
      </c>
      <c r="AA55" s="12">
        <f t="shared" si="53"/>
        <v>1.3041909669498485E-3</v>
      </c>
      <c r="AB55" s="12">
        <f t="shared" si="53"/>
        <v>1.2317359132304124E-3</v>
      </c>
      <c r="AC55" s="12">
        <f t="shared" si="53"/>
        <v>1.1592808595109762E-3</v>
      </c>
      <c r="AD55" s="12">
        <f t="shared" si="53"/>
        <v>1.0868258057915401E-3</v>
      </c>
      <c r="AE55" s="12">
        <f t="shared" si="53"/>
        <v>1.0143707520721039E-3</v>
      </c>
      <c r="AF55" s="12">
        <f t="shared" si="53"/>
        <v>9.4191569835266789E-4</v>
      </c>
      <c r="AG55" s="12">
        <f t="shared" si="53"/>
        <v>8.6946064463323184E-4</v>
      </c>
      <c r="AH55" s="12">
        <f t="shared" si="53"/>
        <v>7.970055909137958E-4</v>
      </c>
      <c r="AI55" s="12">
        <f t="shared" si="53"/>
        <v>7.2455053719435976E-4</v>
      </c>
      <c r="AJ55" s="12">
        <f t="shared" si="53"/>
        <v>6.5209548347492372E-4</v>
      </c>
      <c r="AK55" s="12">
        <f t="shared" si="53"/>
        <v>5.7964042975548768E-4</v>
      </c>
      <c r="AL55" s="12">
        <f t="shared" si="53"/>
        <v>5.0718537603605164E-4</v>
      </c>
      <c r="AM55" s="12">
        <f t="shared" si="53"/>
        <v>4.347303223166156E-4</v>
      </c>
      <c r="AN55" s="12">
        <f t="shared" si="53"/>
        <v>3.6227526859717956E-4</v>
      </c>
      <c r="AO55" s="12">
        <f t="shared" si="53"/>
        <v>2.8982021487774351E-4</v>
      </c>
      <c r="AP55" s="12">
        <f t="shared" si="53"/>
        <v>2.1736516115830745E-4</v>
      </c>
      <c r="AQ55" s="12">
        <f t="shared" si="53"/>
        <v>1.4491010743887138E-4</v>
      </c>
      <c r="AR55" s="12">
        <f t="shared" si="53"/>
        <v>7.2455053719435309E-5</v>
      </c>
      <c r="AS55" s="60">
        <f>params!K20</f>
        <v>0</v>
      </c>
    </row>
    <row r="56" spans="1:45">
      <c r="A56" s="4" t="s">
        <v>18</v>
      </c>
      <c r="B56" s="4" t="s">
        <v>14</v>
      </c>
      <c r="C56" s="4" t="s">
        <v>53</v>
      </c>
      <c r="D56" s="10" t="s">
        <v>259</v>
      </c>
      <c r="E56" s="170">
        <f>MAX(0,(E$37*params!$L21+params!$M21))</f>
        <v>0</v>
      </c>
      <c r="F56" s="162">
        <f>MAX(0,(F$37*params!$L21+params!$M21))</f>
        <v>0</v>
      </c>
      <c r="G56" s="162">
        <f>MAX(0,(G$37*params!$L21+params!$M21))</f>
        <v>0</v>
      </c>
      <c r="H56" s="162">
        <f>MAX(0,(H$37*params!$L21+params!$M21))</f>
        <v>0</v>
      </c>
      <c r="I56" s="162">
        <f>MAX(0,(I$37*params!$L21+params!$M21))</f>
        <v>0</v>
      </c>
      <c r="J56" s="162">
        <f>MAX(0,(J$37*params!$L21+params!$M21))</f>
        <v>0</v>
      </c>
      <c r="K56" s="162">
        <f>MAX(0,(K$37*params!$L21+params!$M21))</f>
        <v>0</v>
      </c>
      <c r="L56" s="162">
        <f>MAX(0,(L$37*params!$L21+params!$M21))</f>
        <v>0</v>
      </c>
      <c r="M56" s="162">
        <f>MAX(0,(M$37*params!$L21+params!$M21))</f>
        <v>0</v>
      </c>
      <c r="N56" s="162">
        <f>MAX(0,(N$37*params!$L21+params!$M21))</f>
        <v>0</v>
      </c>
      <c r="O56" s="162">
        <f>MAX(0,(O$37*params!$L21+params!$M21))</f>
        <v>0</v>
      </c>
      <c r="P56" s="162">
        <f>MAX(0,(P$37*params!$L21+params!$M21))</f>
        <v>0</v>
      </c>
      <c r="Q56" s="162">
        <f>MAX(0,(Q$37*params!$L21+params!$M21))</f>
        <v>0</v>
      </c>
      <c r="R56" s="162">
        <f>MAX(0,(R$37*params!$L21+params!$M21))</f>
        <v>0</v>
      </c>
      <c r="S56" s="171">
        <f>MAX(0,(S$37*params!$L21+params!$M21))</f>
        <v>0</v>
      </c>
      <c r="T56" s="12">
        <f t="shared" ref="T56:AR56" si="54">S56+($AS56-$S56)/($AS$37-$S$37)</f>
        <v>0</v>
      </c>
      <c r="U56" s="12">
        <f t="shared" si="54"/>
        <v>0</v>
      </c>
      <c r="V56" s="12">
        <f t="shared" si="54"/>
        <v>0</v>
      </c>
      <c r="W56" s="12">
        <f t="shared" si="54"/>
        <v>0</v>
      </c>
      <c r="X56" s="12">
        <f t="shared" si="54"/>
        <v>0</v>
      </c>
      <c r="Y56" s="12">
        <f t="shared" si="54"/>
        <v>0</v>
      </c>
      <c r="Z56" s="12">
        <f t="shared" si="54"/>
        <v>0</v>
      </c>
      <c r="AA56" s="12">
        <f t="shared" si="54"/>
        <v>0</v>
      </c>
      <c r="AB56" s="12">
        <f t="shared" si="54"/>
        <v>0</v>
      </c>
      <c r="AC56" s="12">
        <f t="shared" si="54"/>
        <v>0</v>
      </c>
      <c r="AD56" s="12">
        <f t="shared" si="54"/>
        <v>0</v>
      </c>
      <c r="AE56" s="12">
        <f t="shared" si="54"/>
        <v>0</v>
      </c>
      <c r="AF56" s="12">
        <f t="shared" si="54"/>
        <v>0</v>
      </c>
      <c r="AG56" s="12">
        <f t="shared" si="54"/>
        <v>0</v>
      </c>
      <c r="AH56" s="12">
        <f t="shared" si="54"/>
        <v>0</v>
      </c>
      <c r="AI56" s="12">
        <f t="shared" si="54"/>
        <v>0</v>
      </c>
      <c r="AJ56" s="12">
        <f t="shared" si="54"/>
        <v>0</v>
      </c>
      <c r="AK56" s="12">
        <f t="shared" si="54"/>
        <v>0</v>
      </c>
      <c r="AL56" s="12">
        <f t="shared" si="54"/>
        <v>0</v>
      </c>
      <c r="AM56" s="12">
        <f t="shared" si="54"/>
        <v>0</v>
      </c>
      <c r="AN56" s="12">
        <f t="shared" si="54"/>
        <v>0</v>
      </c>
      <c r="AO56" s="12">
        <f t="shared" si="54"/>
        <v>0</v>
      </c>
      <c r="AP56" s="12">
        <f t="shared" si="54"/>
        <v>0</v>
      </c>
      <c r="AQ56" s="12">
        <f t="shared" si="54"/>
        <v>0</v>
      </c>
      <c r="AR56" s="12">
        <f t="shared" si="54"/>
        <v>0</v>
      </c>
      <c r="AS56" s="161">
        <f>params!K21</f>
        <v>0</v>
      </c>
    </row>
    <row r="57" spans="1:45">
      <c r="A57" s="4" t="s">
        <v>18</v>
      </c>
      <c r="B57" s="4" t="s">
        <v>15</v>
      </c>
      <c r="C57" s="4" t="s">
        <v>53</v>
      </c>
      <c r="D57" s="10" t="s">
        <v>259</v>
      </c>
      <c r="E57" s="170">
        <f>MAX(0,(E$37*params!$L22+params!$M22))</f>
        <v>0</v>
      </c>
      <c r="F57" s="162">
        <f>MAX(0,(F$37*params!$L22+params!$M22))</f>
        <v>0</v>
      </c>
      <c r="G57" s="162">
        <f>MAX(0,(G$37*params!$L22+params!$M22))</f>
        <v>0</v>
      </c>
      <c r="H57" s="162">
        <f>MAX(0,(H$37*params!$L22+params!$M22))</f>
        <v>0</v>
      </c>
      <c r="I57" s="162">
        <f>MAX(0,(I$37*params!$L22+params!$M22))</f>
        <v>0</v>
      </c>
      <c r="J57" s="162">
        <f>MAX(0,(J$37*params!$L22+params!$M22))</f>
        <v>0</v>
      </c>
      <c r="K57" s="162">
        <f>MAX(0,(K$37*params!$L22+params!$M22))</f>
        <v>0</v>
      </c>
      <c r="L57" s="162">
        <f>MAX(0,(L$37*params!$L22+params!$M22))</f>
        <v>0</v>
      </c>
      <c r="M57" s="162">
        <f>MAX(0,(M$37*params!$L22+params!$M22))</f>
        <v>0</v>
      </c>
      <c r="N57" s="162">
        <f>MAX(0,(N$37*params!$L22+params!$M22))</f>
        <v>0</v>
      </c>
      <c r="O57" s="162">
        <f>MAX(0,(O$37*params!$L22+params!$M22))</f>
        <v>0</v>
      </c>
      <c r="P57" s="162">
        <f>MAX(0,(P$37*params!$L22+params!$M22))</f>
        <v>0</v>
      </c>
      <c r="Q57" s="162">
        <f>MAX(0,(Q$37*params!$L22+params!$M22))</f>
        <v>0</v>
      </c>
      <c r="R57" s="162">
        <f>MAX(0,(R$37*params!$L22+params!$M22))</f>
        <v>0</v>
      </c>
      <c r="S57" s="171">
        <f>MAX(0,(S$37*params!$L22+params!$M22))</f>
        <v>0</v>
      </c>
      <c r="T57" s="12">
        <f t="shared" ref="T57:AR57" si="55">S57+($AS57-$S57)/($AS$37-$S$37)</f>
        <v>0</v>
      </c>
      <c r="U57" s="12">
        <f t="shared" si="55"/>
        <v>0</v>
      </c>
      <c r="V57" s="12">
        <f t="shared" si="55"/>
        <v>0</v>
      </c>
      <c r="W57" s="12">
        <f t="shared" si="55"/>
        <v>0</v>
      </c>
      <c r="X57" s="12">
        <f t="shared" si="55"/>
        <v>0</v>
      </c>
      <c r="Y57" s="12">
        <f t="shared" si="55"/>
        <v>0</v>
      </c>
      <c r="Z57" s="12">
        <f t="shared" si="55"/>
        <v>0</v>
      </c>
      <c r="AA57" s="12">
        <f t="shared" si="55"/>
        <v>0</v>
      </c>
      <c r="AB57" s="12">
        <f t="shared" si="55"/>
        <v>0</v>
      </c>
      <c r="AC57" s="12">
        <f t="shared" si="55"/>
        <v>0</v>
      </c>
      <c r="AD57" s="12">
        <f t="shared" si="55"/>
        <v>0</v>
      </c>
      <c r="AE57" s="12">
        <f t="shared" si="55"/>
        <v>0</v>
      </c>
      <c r="AF57" s="12">
        <f t="shared" si="55"/>
        <v>0</v>
      </c>
      <c r="AG57" s="12">
        <f t="shared" si="55"/>
        <v>0</v>
      </c>
      <c r="AH57" s="12">
        <f t="shared" si="55"/>
        <v>0</v>
      </c>
      <c r="AI57" s="12">
        <f t="shared" si="55"/>
        <v>0</v>
      </c>
      <c r="AJ57" s="12">
        <f t="shared" si="55"/>
        <v>0</v>
      </c>
      <c r="AK57" s="12">
        <f t="shared" si="55"/>
        <v>0</v>
      </c>
      <c r="AL57" s="12">
        <f t="shared" si="55"/>
        <v>0</v>
      </c>
      <c r="AM57" s="12">
        <f t="shared" si="55"/>
        <v>0</v>
      </c>
      <c r="AN57" s="12">
        <f t="shared" si="55"/>
        <v>0</v>
      </c>
      <c r="AO57" s="12">
        <f t="shared" si="55"/>
        <v>0</v>
      </c>
      <c r="AP57" s="12">
        <f t="shared" si="55"/>
        <v>0</v>
      </c>
      <c r="AQ57" s="12">
        <f t="shared" si="55"/>
        <v>0</v>
      </c>
      <c r="AR57" s="12">
        <f t="shared" si="55"/>
        <v>0</v>
      </c>
      <c r="AS57" s="161">
        <f>params!K22</f>
        <v>0</v>
      </c>
    </row>
    <row r="58" spans="1:45">
      <c r="A58" s="40" t="s">
        <v>18</v>
      </c>
      <c r="B58" s="40" t="s">
        <v>16</v>
      </c>
      <c r="C58" s="4" t="s">
        <v>53</v>
      </c>
      <c r="D58" s="41" t="s">
        <v>259</v>
      </c>
      <c r="E58" s="170">
        <f>MAX(0,(E$37*params!$L23+params!$M23))</f>
        <v>0</v>
      </c>
      <c r="F58" s="162">
        <f>MAX(0,(F$37*params!$L23+params!$M23))</f>
        <v>0</v>
      </c>
      <c r="G58" s="162">
        <f>MAX(0,(G$37*params!$L23+params!$M23))</f>
        <v>0</v>
      </c>
      <c r="H58" s="162">
        <f>MAX(0,(H$37*params!$L23+params!$M23))</f>
        <v>0</v>
      </c>
      <c r="I58" s="162">
        <f>MAX(0,(I$37*params!$L23+params!$M23))</f>
        <v>0</v>
      </c>
      <c r="J58" s="162">
        <f>MAX(0,(J$37*params!$L23+params!$M23))</f>
        <v>0</v>
      </c>
      <c r="K58" s="162">
        <f>MAX(0,(K$37*params!$L23+params!$M23))</f>
        <v>0</v>
      </c>
      <c r="L58" s="162">
        <f>MAX(0,(L$37*params!$L23+params!$M23))</f>
        <v>0</v>
      </c>
      <c r="M58" s="162">
        <f>MAX(0,(M$37*params!$L23+params!$M23))</f>
        <v>0</v>
      </c>
      <c r="N58" s="162">
        <f>MAX(0,(N$37*params!$L23+params!$M23))</f>
        <v>0</v>
      </c>
      <c r="O58" s="162">
        <f>MAX(0,(O$37*params!$L23+params!$M23))</f>
        <v>0</v>
      </c>
      <c r="P58" s="162">
        <f>MAX(0,(P$37*params!$L23+params!$M23))</f>
        <v>0</v>
      </c>
      <c r="Q58" s="162">
        <f>MAX(0,(Q$37*params!$L23+params!$M23))</f>
        <v>0</v>
      </c>
      <c r="R58" s="162">
        <f>MAX(0,(R$37*params!$L23+params!$M23))</f>
        <v>0</v>
      </c>
      <c r="S58" s="171">
        <f>MAX(0,(S$37*params!$L23+params!$M23))</f>
        <v>0</v>
      </c>
      <c r="T58" s="12">
        <f t="shared" ref="T58:AR58" si="56">S58+($AS58-$S58)/($AS$37-$S$37)</f>
        <v>0</v>
      </c>
      <c r="U58" s="12">
        <f t="shared" si="56"/>
        <v>0</v>
      </c>
      <c r="V58" s="12">
        <f t="shared" si="56"/>
        <v>0</v>
      </c>
      <c r="W58" s="12">
        <f t="shared" si="56"/>
        <v>0</v>
      </c>
      <c r="X58" s="12">
        <f t="shared" si="56"/>
        <v>0</v>
      </c>
      <c r="Y58" s="12">
        <f t="shared" si="56"/>
        <v>0</v>
      </c>
      <c r="Z58" s="12">
        <f t="shared" si="56"/>
        <v>0</v>
      </c>
      <c r="AA58" s="12">
        <f t="shared" si="56"/>
        <v>0</v>
      </c>
      <c r="AB58" s="12">
        <f t="shared" si="56"/>
        <v>0</v>
      </c>
      <c r="AC58" s="12">
        <f t="shared" si="56"/>
        <v>0</v>
      </c>
      <c r="AD58" s="12">
        <f t="shared" si="56"/>
        <v>0</v>
      </c>
      <c r="AE58" s="12">
        <f t="shared" si="56"/>
        <v>0</v>
      </c>
      <c r="AF58" s="12">
        <f t="shared" si="56"/>
        <v>0</v>
      </c>
      <c r="AG58" s="12">
        <f t="shared" si="56"/>
        <v>0</v>
      </c>
      <c r="AH58" s="12">
        <f t="shared" si="56"/>
        <v>0</v>
      </c>
      <c r="AI58" s="12">
        <f t="shared" si="56"/>
        <v>0</v>
      </c>
      <c r="AJ58" s="12">
        <f t="shared" si="56"/>
        <v>0</v>
      </c>
      <c r="AK58" s="12">
        <f t="shared" si="56"/>
        <v>0</v>
      </c>
      <c r="AL58" s="12">
        <f t="shared" si="56"/>
        <v>0</v>
      </c>
      <c r="AM58" s="12">
        <f t="shared" si="56"/>
        <v>0</v>
      </c>
      <c r="AN58" s="12">
        <f t="shared" si="56"/>
        <v>0</v>
      </c>
      <c r="AO58" s="12">
        <f t="shared" si="56"/>
        <v>0</v>
      </c>
      <c r="AP58" s="12">
        <f t="shared" si="56"/>
        <v>0</v>
      </c>
      <c r="AQ58" s="12">
        <f t="shared" si="56"/>
        <v>0</v>
      </c>
      <c r="AR58" s="12">
        <f t="shared" si="56"/>
        <v>0</v>
      </c>
      <c r="AS58" s="161">
        <f>params!K23</f>
        <v>0</v>
      </c>
    </row>
    <row r="59" spans="1:45" ht="17" thickBot="1">
      <c r="A59" s="32" t="s">
        <v>18</v>
      </c>
      <c r="B59" s="32" t="s">
        <v>17</v>
      </c>
      <c r="C59" s="32" t="s">
        <v>53</v>
      </c>
      <c r="D59" s="36" t="s">
        <v>259</v>
      </c>
      <c r="E59" s="172">
        <f>MAX(0,(E$37*params!$L24+params!$M24))</f>
        <v>1.0126541819651003E-2</v>
      </c>
      <c r="F59" s="173">
        <f>MAX(0,(F$37*params!$L24+params!$M24))</f>
        <v>9.8858679561381613E-3</v>
      </c>
      <c r="G59" s="173">
        <f>MAX(0,(G$37*params!$L24+params!$M24))</f>
        <v>9.6451940926253754E-3</v>
      </c>
      <c r="H59" s="173">
        <f>MAX(0,(H$37*params!$L24+params!$M24))</f>
        <v>9.404520229112534E-3</v>
      </c>
      <c r="I59" s="173">
        <f>MAX(0,(I$37*params!$L24+params!$M24))</f>
        <v>9.1638463655996927E-3</v>
      </c>
      <c r="J59" s="173">
        <f>MAX(0,(J$37*params!$L24+params!$M24))</f>
        <v>8.9231725020868513E-3</v>
      </c>
      <c r="K59" s="173">
        <f>MAX(0,(K$37*params!$L24+params!$M24))</f>
        <v>8.6824986385740099E-3</v>
      </c>
      <c r="L59" s="173">
        <f>MAX(0,(L$37*params!$L24+params!$M24))</f>
        <v>8.4418247750611686E-3</v>
      </c>
      <c r="M59" s="173">
        <f>MAX(0,(M$37*params!$L24+params!$M24))</f>
        <v>8.2011509115483272E-3</v>
      </c>
      <c r="N59" s="173">
        <f>MAX(0,(N$37*params!$L24+params!$M24))</f>
        <v>7.9604770480354858E-3</v>
      </c>
      <c r="O59" s="173">
        <f>MAX(0,(O$37*params!$L24+params!$M24))</f>
        <v>7.7198031845227E-3</v>
      </c>
      <c r="P59" s="173">
        <f>MAX(0,(P$37*params!$L24+params!$M24))</f>
        <v>7.4791293210098586E-3</v>
      </c>
      <c r="Q59" s="173">
        <f>MAX(0,(Q$37*params!$L24+params!$M24))</f>
        <v>7.2384554574970172E-3</v>
      </c>
      <c r="R59" s="173">
        <f>MAX(0,(R$37*params!$L24+params!$M24))</f>
        <v>6.9977815939841759E-3</v>
      </c>
      <c r="S59" s="174">
        <f>MAX(0,(S$37*params!$L24+params!$M24))</f>
        <v>6.7571077304713345E-3</v>
      </c>
      <c r="T59" s="37">
        <f t="shared" ref="T59:AR59" si="57">S59+($AS59-$S59)/($AS$37-$S$37)</f>
        <v>6.4972189716070525E-3</v>
      </c>
      <c r="U59" s="37">
        <f t="shared" si="57"/>
        <v>6.2373302127427706E-3</v>
      </c>
      <c r="V59" s="37">
        <f t="shared" si="57"/>
        <v>5.9774414538784886E-3</v>
      </c>
      <c r="W59" s="37">
        <f t="shared" si="57"/>
        <v>5.7175526950142067E-3</v>
      </c>
      <c r="X59" s="37">
        <f t="shared" si="57"/>
        <v>5.4576639361499247E-3</v>
      </c>
      <c r="Y59" s="37">
        <f t="shared" si="57"/>
        <v>5.1977751772856427E-3</v>
      </c>
      <c r="Z59" s="37">
        <f t="shared" si="57"/>
        <v>4.9378864184213608E-3</v>
      </c>
      <c r="AA59" s="37">
        <f t="shared" si="57"/>
        <v>4.6779976595570788E-3</v>
      </c>
      <c r="AB59" s="37">
        <f t="shared" si="57"/>
        <v>4.4181089006927968E-3</v>
      </c>
      <c r="AC59" s="37">
        <f t="shared" si="57"/>
        <v>4.1582201418285149E-3</v>
      </c>
      <c r="AD59" s="37">
        <f t="shared" si="57"/>
        <v>3.8983313829642329E-3</v>
      </c>
      <c r="AE59" s="37">
        <f t="shared" si="57"/>
        <v>3.638442624099951E-3</v>
      </c>
      <c r="AF59" s="37">
        <f t="shared" si="57"/>
        <v>3.378553865235669E-3</v>
      </c>
      <c r="AG59" s="37">
        <f t="shared" si="57"/>
        <v>3.118665106371387E-3</v>
      </c>
      <c r="AH59" s="37">
        <f t="shared" si="57"/>
        <v>2.8587763475071051E-3</v>
      </c>
      <c r="AI59" s="37">
        <f t="shared" si="57"/>
        <v>2.5988875886428231E-3</v>
      </c>
      <c r="AJ59" s="37">
        <f t="shared" si="57"/>
        <v>2.3389988297785411E-3</v>
      </c>
      <c r="AK59" s="37">
        <f t="shared" si="57"/>
        <v>2.0791100709142592E-3</v>
      </c>
      <c r="AL59" s="37">
        <f t="shared" si="57"/>
        <v>1.8192213120499772E-3</v>
      </c>
      <c r="AM59" s="37">
        <f t="shared" si="57"/>
        <v>1.5593325531856952E-3</v>
      </c>
      <c r="AN59" s="37">
        <f t="shared" si="57"/>
        <v>1.2994437943214133E-3</v>
      </c>
      <c r="AO59" s="37">
        <f t="shared" si="57"/>
        <v>1.0395550354571313E-3</v>
      </c>
      <c r="AP59" s="37">
        <f t="shared" si="57"/>
        <v>7.7966627659284925E-4</v>
      </c>
      <c r="AQ59" s="37">
        <f t="shared" si="57"/>
        <v>5.1977751772856718E-4</v>
      </c>
      <c r="AR59" s="37">
        <f t="shared" si="57"/>
        <v>2.5988875886428511E-4</v>
      </c>
      <c r="AS59" s="66">
        <f>params!K24</f>
        <v>0</v>
      </c>
    </row>
    <row r="60" spans="1:45">
      <c r="A60" s="29" t="s">
        <v>19</v>
      </c>
      <c r="B60" s="29" t="s">
        <v>36</v>
      </c>
      <c r="C60" s="88" t="s">
        <v>53</v>
      </c>
      <c r="D60" s="35" t="s">
        <v>259</v>
      </c>
      <c r="E60" s="167">
        <f>MAX(0,(E$37*params!$L25+params!$M25))</f>
        <v>0.31299032758553125</v>
      </c>
      <c r="F60" s="168">
        <f>MAX(0,(F$37*params!$L25+params!$M25))</f>
        <v>0.30361922728868151</v>
      </c>
      <c r="G60" s="168">
        <f>MAX(0,(G$37*params!$L25+params!$M25))</f>
        <v>0.29424812699183178</v>
      </c>
      <c r="H60" s="168">
        <f>MAX(0,(H$37*params!$L25+params!$M25))</f>
        <v>0.28487702669498205</v>
      </c>
      <c r="I60" s="168">
        <f>MAX(0,(I$37*params!$L25+params!$M25))</f>
        <v>0.27550592639813232</v>
      </c>
      <c r="J60" s="168">
        <f>MAX(0,(J$37*params!$L25+params!$M25))</f>
        <v>0.26613482610128614</v>
      </c>
      <c r="K60" s="168">
        <f>MAX(0,(K$37*params!$L25+params!$M25))</f>
        <v>0.2567637258044364</v>
      </c>
      <c r="L60" s="168">
        <f>MAX(0,(L$37*params!$L25+params!$M25))</f>
        <v>0.24739262550758667</v>
      </c>
      <c r="M60" s="168">
        <f>MAX(0,(M$37*params!$L25+params!$M25))</f>
        <v>0.23802152521073694</v>
      </c>
      <c r="N60" s="168">
        <f>MAX(0,(N$37*params!$L25+params!$M25))</f>
        <v>0.22865042491388721</v>
      </c>
      <c r="O60" s="168">
        <f>MAX(0,(O$37*params!$L25+params!$M25))</f>
        <v>0.21927932461703747</v>
      </c>
      <c r="P60" s="168">
        <f>MAX(0,(P$37*params!$L25+params!$M25))</f>
        <v>0.20990822432018774</v>
      </c>
      <c r="Q60" s="168">
        <f>MAX(0,(Q$37*params!$L25+params!$M25))</f>
        <v>0.20053712402333801</v>
      </c>
      <c r="R60" s="168">
        <f>MAX(0,(R$37*params!$L25+params!$M25))</f>
        <v>0.19116602372648828</v>
      </c>
      <c r="S60" s="169">
        <f>MAX(0,(S$37*params!$L25+params!$M25))</f>
        <v>0.18179492342963854</v>
      </c>
      <c r="T60" s="12">
        <f>S60+($AS60-$S60)/($AS$37-$S$37)</f>
        <v>0.17480281099003706</v>
      </c>
      <c r="U60" s="12">
        <f t="shared" ref="T60:AR61" si="58">T60+($AS60-$S60)/($AS$37-$S$37)</f>
        <v>0.16781069855043557</v>
      </c>
      <c r="V60" s="12">
        <f t="shared" si="58"/>
        <v>0.16081858611083408</v>
      </c>
      <c r="W60" s="12">
        <f t="shared" si="58"/>
        <v>0.15382647367123259</v>
      </c>
      <c r="X60" s="12">
        <f t="shared" si="58"/>
        <v>0.1468343612316311</v>
      </c>
      <c r="Y60" s="12">
        <f t="shared" si="58"/>
        <v>0.13984224879202961</v>
      </c>
      <c r="Z60" s="12">
        <f t="shared" si="58"/>
        <v>0.13285013635242812</v>
      </c>
      <c r="AA60" s="12">
        <f t="shared" si="58"/>
        <v>0.12585802391282663</v>
      </c>
      <c r="AB60" s="12">
        <f t="shared" si="58"/>
        <v>0.11886591147322514</v>
      </c>
      <c r="AC60" s="12">
        <f t="shared" si="58"/>
        <v>0.11187379903362366</v>
      </c>
      <c r="AD60" s="12">
        <f t="shared" si="58"/>
        <v>0.10488168659402217</v>
      </c>
      <c r="AE60" s="12">
        <f t="shared" si="58"/>
        <v>9.7889574154420678E-2</v>
      </c>
      <c r="AF60" s="12">
        <f t="shared" si="58"/>
        <v>9.0897461714819189E-2</v>
      </c>
      <c r="AG60" s="12">
        <f t="shared" si="58"/>
        <v>8.39053492752177E-2</v>
      </c>
      <c r="AH60" s="12">
        <f t="shared" si="58"/>
        <v>7.6913236835616211E-2</v>
      </c>
      <c r="AI60" s="12">
        <f t="shared" si="58"/>
        <v>6.9921124396014722E-2</v>
      </c>
      <c r="AJ60" s="12">
        <f t="shared" si="58"/>
        <v>6.2929011956413233E-2</v>
      </c>
      <c r="AK60" s="12">
        <f t="shared" si="58"/>
        <v>5.5936899516811751E-2</v>
      </c>
      <c r="AL60" s="12">
        <f t="shared" si="58"/>
        <v>4.8944787077210269E-2</v>
      </c>
      <c r="AM60" s="12">
        <f t="shared" si="58"/>
        <v>4.1952674637608788E-2</v>
      </c>
      <c r="AN60" s="12">
        <f t="shared" si="58"/>
        <v>3.4960562198007306E-2</v>
      </c>
      <c r="AO60" s="12">
        <f t="shared" si="58"/>
        <v>2.7968449758405824E-2</v>
      </c>
      <c r="AP60" s="12">
        <f t="shared" si="58"/>
        <v>2.0976337318804342E-2</v>
      </c>
      <c r="AQ60" s="12">
        <f t="shared" si="58"/>
        <v>1.398422487920286E-2</v>
      </c>
      <c r="AR60" s="12">
        <f t="shared" si="58"/>
        <v>6.992112439601377E-3</v>
      </c>
      <c r="AS60" s="177">
        <f>params!K25</f>
        <v>0</v>
      </c>
    </row>
    <row r="61" spans="1:45">
      <c r="A61" s="4" t="s">
        <v>19</v>
      </c>
      <c r="B61" s="4" t="s">
        <v>8</v>
      </c>
      <c r="C61" s="4" t="s">
        <v>53</v>
      </c>
      <c r="D61" s="10" t="s">
        <v>259</v>
      </c>
      <c r="E61" s="170">
        <f>MAX(0,(E$37*params!$L26+params!$M26))</f>
        <v>0.56535542103305048</v>
      </c>
      <c r="F61" s="162">
        <f>MAX(0,(F$37*params!$L26+params!$M26))</f>
        <v>0.57859665931694693</v>
      </c>
      <c r="G61" s="162">
        <f>MAX(0,(G$37*params!$L26+params!$M26))</f>
        <v>0.59183789760083982</v>
      </c>
      <c r="H61" s="162">
        <f>MAX(0,(H$37*params!$L26+params!$M26))</f>
        <v>0.60507913588473627</v>
      </c>
      <c r="I61" s="162">
        <f>MAX(0,(I$37*params!$L26+params!$M26))</f>
        <v>0.61832037416863272</v>
      </c>
      <c r="J61" s="162">
        <f>MAX(0,(J$37*params!$L26+params!$M26))</f>
        <v>0.63156161245252918</v>
      </c>
      <c r="K61" s="162">
        <f>MAX(0,(K$37*params!$L26+params!$M26))</f>
        <v>0.64480285073642563</v>
      </c>
      <c r="L61" s="162">
        <f>MAX(0,(L$37*params!$L26+params!$M26))</f>
        <v>0.65804408902031852</v>
      </c>
      <c r="M61" s="162">
        <f>MAX(0,(M$37*params!$L26+params!$M26))</f>
        <v>0.67128532730421497</v>
      </c>
      <c r="N61" s="162">
        <f>MAX(0,(N$37*params!$L26+params!$M26))</f>
        <v>0.68452656558811142</v>
      </c>
      <c r="O61" s="162">
        <f>MAX(0,(O$37*params!$L26+params!$M26))</f>
        <v>0.69776780387200787</v>
      </c>
      <c r="P61" s="162">
        <f>MAX(0,(P$37*params!$L26+params!$M26))</f>
        <v>0.71100904215590432</v>
      </c>
      <c r="Q61" s="162">
        <f>MAX(0,(Q$37*params!$L26+params!$M26))</f>
        <v>0.72425028043979722</v>
      </c>
      <c r="R61" s="162">
        <f>MAX(0,(R$37*params!$L26+params!$M26))</f>
        <v>0.73749151872369367</v>
      </c>
      <c r="S61" s="171">
        <f>MAX(0,(S$37*params!$L26+params!$M26))</f>
        <v>0.75073275700759012</v>
      </c>
      <c r="T61" s="12">
        <f t="shared" si="58"/>
        <v>0.75716611250729815</v>
      </c>
      <c r="U61" s="12">
        <f t="shared" si="58"/>
        <v>0.76359946800700618</v>
      </c>
      <c r="V61" s="12">
        <f t="shared" si="58"/>
        <v>0.7700328235067142</v>
      </c>
      <c r="W61" s="12">
        <f t="shared" si="58"/>
        <v>0.77646617900642223</v>
      </c>
      <c r="X61" s="12">
        <f t="shared" si="58"/>
        <v>0.78289953450613026</v>
      </c>
      <c r="Y61" s="12">
        <f t="shared" si="58"/>
        <v>0.78933289000583828</v>
      </c>
      <c r="Z61" s="12">
        <f t="shared" si="58"/>
        <v>0.79576624550554631</v>
      </c>
      <c r="AA61" s="12">
        <f t="shared" si="58"/>
        <v>0.80219960100525434</v>
      </c>
      <c r="AB61" s="12">
        <f t="shared" si="58"/>
        <v>0.80863295650496236</v>
      </c>
      <c r="AC61" s="12">
        <f t="shared" si="58"/>
        <v>0.81506631200467039</v>
      </c>
      <c r="AD61" s="12">
        <f t="shared" si="58"/>
        <v>0.82149966750437842</v>
      </c>
      <c r="AE61" s="12">
        <f t="shared" si="58"/>
        <v>0.82793302300408644</v>
      </c>
      <c r="AF61" s="12">
        <f t="shared" si="58"/>
        <v>0.83436637850379447</v>
      </c>
      <c r="AG61" s="12">
        <f t="shared" si="58"/>
        <v>0.8407997340035025</v>
      </c>
      <c r="AH61" s="12">
        <f t="shared" si="58"/>
        <v>0.84723308950321052</v>
      </c>
      <c r="AI61" s="12">
        <f t="shared" si="58"/>
        <v>0.85366644500291855</v>
      </c>
      <c r="AJ61" s="12">
        <f t="shared" si="58"/>
        <v>0.86009980050262658</v>
      </c>
      <c r="AK61" s="12">
        <f t="shared" si="58"/>
        <v>0.8665331560023346</v>
      </c>
      <c r="AL61" s="12">
        <f t="shared" si="58"/>
        <v>0.87296651150204263</v>
      </c>
      <c r="AM61" s="12">
        <f t="shared" si="58"/>
        <v>0.87939986700175066</v>
      </c>
      <c r="AN61" s="12">
        <f t="shared" si="58"/>
        <v>0.88583322250145868</v>
      </c>
      <c r="AO61" s="12">
        <f t="shared" si="58"/>
        <v>0.89226657800116671</v>
      </c>
      <c r="AP61" s="12">
        <f t="shared" si="58"/>
        <v>0.89869993350087474</v>
      </c>
      <c r="AQ61" s="12">
        <f t="shared" si="58"/>
        <v>0.90513328900058276</v>
      </c>
      <c r="AR61" s="12">
        <f t="shared" si="58"/>
        <v>0.91156664450029079</v>
      </c>
      <c r="AS61" s="60">
        <f>params!K26</f>
        <v>0.91799999999999993</v>
      </c>
    </row>
    <row r="62" spans="1:45">
      <c r="A62" s="4" t="s">
        <v>19</v>
      </c>
      <c r="B62" s="4" t="s">
        <v>37</v>
      </c>
      <c r="C62" s="4" t="s">
        <v>53</v>
      </c>
      <c r="D62" s="10" t="s">
        <v>259</v>
      </c>
      <c r="E62" s="209">
        <f>MAX(0,(E$37*params!$L27+params!$M27))</f>
        <v>0</v>
      </c>
      <c r="F62" s="210">
        <f>MAX(0,(F$37*params!$L27+params!$M27))</f>
        <v>0</v>
      </c>
      <c r="G62" s="210">
        <f>MAX(0,(G$37*params!$L27+params!$M27))</f>
        <v>0</v>
      </c>
      <c r="H62" s="210">
        <f>MAX(0,(H$37*params!$L27+params!$M27))</f>
        <v>0</v>
      </c>
      <c r="I62" s="210">
        <f>MAX(0,(I$37*params!$L27+params!$M27))</f>
        <v>8.0745341614907318E-4</v>
      </c>
      <c r="J62" s="210">
        <f>MAX(0,(J$37*params!$L27+params!$M27))</f>
        <v>2.5465838509317607E-3</v>
      </c>
      <c r="K62" s="210">
        <f>MAX(0,(K$37*params!$L27+params!$M27))</f>
        <v>4.2857142857144481E-3</v>
      </c>
      <c r="L62" s="210">
        <f>MAX(0,(L$37*params!$L27+params!$M27))</f>
        <v>6.0248447204971356E-3</v>
      </c>
      <c r="M62" s="210">
        <f>MAX(0,(M$37*params!$L27+params!$M27))</f>
        <v>7.7639751552798231E-3</v>
      </c>
      <c r="N62" s="210">
        <f>MAX(0,(N$37*params!$L27+params!$M27))</f>
        <v>9.5031055900625105E-3</v>
      </c>
      <c r="O62" s="210">
        <f>MAX(0,(O$37*params!$L27+params!$M27))</f>
        <v>1.1242236024845198E-2</v>
      </c>
      <c r="P62" s="210">
        <f>MAX(0,(P$37*params!$L27+params!$M27))</f>
        <v>1.2981366459627441E-2</v>
      </c>
      <c r="Q62" s="210">
        <f>MAX(0,(Q$37*params!$L27+params!$M27))</f>
        <v>1.4720496894410129E-2</v>
      </c>
      <c r="R62" s="210">
        <f>MAX(0,(R$37*params!$L27+params!$M27))</f>
        <v>1.6459627329192816E-2</v>
      </c>
      <c r="S62" s="211">
        <f>MAX(0,(S$37*params!$L27+params!$M27))</f>
        <v>1.8198757763975504E-2</v>
      </c>
      <c r="T62" s="12">
        <f t="shared" ref="T62:AR62" si="59">S62+($AS62-$S62)/($AS$37-$S$37)</f>
        <v>1.9806497849976446E-2</v>
      </c>
      <c r="U62" s="12">
        <f t="shared" si="59"/>
        <v>2.1414237935977389E-2</v>
      </c>
      <c r="V62" s="12">
        <f t="shared" si="59"/>
        <v>2.3021978021978331E-2</v>
      </c>
      <c r="W62" s="12">
        <f t="shared" si="59"/>
        <v>2.4629718107979273E-2</v>
      </c>
      <c r="X62" s="12">
        <f t="shared" si="59"/>
        <v>2.6237458193980216E-2</v>
      </c>
      <c r="Y62" s="12">
        <f t="shared" si="59"/>
        <v>2.7845198279981158E-2</v>
      </c>
      <c r="Z62" s="12">
        <f t="shared" si="59"/>
        <v>2.94529383659821E-2</v>
      </c>
      <c r="AA62" s="12">
        <f t="shared" si="59"/>
        <v>3.1060678451983043E-2</v>
      </c>
      <c r="AB62" s="12">
        <f t="shared" si="59"/>
        <v>3.2668418537983981E-2</v>
      </c>
      <c r="AC62" s="12">
        <f t="shared" si="59"/>
        <v>3.427615862398492E-2</v>
      </c>
      <c r="AD62" s="12">
        <f t="shared" si="59"/>
        <v>3.5883898709985859E-2</v>
      </c>
      <c r="AE62" s="12">
        <f t="shared" si="59"/>
        <v>3.7491638795986798E-2</v>
      </c>
      <c r="AF62" s="12">
        <f t="shared" si="59"/>
        <v>3.9099378881987737E-2</v>
      </c>
      <c r="AG62" s="12">
        <f t="shared" si="59"/>
        <v>4.0707118967988676E-2</v>
      </c>
      <c r="AH62" s="12">
        <f t="shared" si="59"/>
        <v>4.2314859053989615E-2</v>
      </c>
      <c r="AI62" s="12">
        <f t="shared" si="59"/>
        <v>4.3922599139990554E-2</v>
      </c>
      <c r="AJ62" s="12">
        <f t="shared" si="59"/>
        <v>4.5530339225991492E-2</v>
      </c>
      <c r="AK62" s="12">
        <f t="shared" si="59"/>
        <v>4.7138079311992431E-2</v>
      </c>
      <c r="AL62" s="12">
        <f t="shared" si="59"/>
        <v>4.874581939799337E-2</v>
      </c>
      <c r="AM62" s="12">
        <f t="shared" si="59"/>
        <v>5.0353559483994309E-2</v>
      </c>
      <c r="AN62" s="12">
        <f t="shared" si="59"/>
        <v>5.1961299569995248E-2</v>
      </c>
      <c r="AO62" s="12">
        <f t="shared" si="59"/>
        <v>5.3569039655996187E-2</v>
      </c>
      <c r="AP62" s="12">
        <f t="shared" si="59"/>
        <v>5.5176779741997126E-2</v>
      </c>
      <c r="AQ62" s="12">
        <f t="shared" si="59"/>
        <v>5.6784519827998065E-2</v>
      </c>
      <c r="AR62" s="12">
        <f t="shared" si="59"/>
        <v>5.8392259913999003E-2</v>
      </c>
      <c r="AS62" s="64">
        <f>params!K27</f>
        <v>0.06</v>
      </c>
    </row>
    <row r="63" spans="1:45">
      <c r="A63" s="4" t="s">
        <v>19</v>
      </c>
      <c r="B63" s="4" t="s">
        <v>10</v>
      </c>
      <c r="C63" s="4" t="s">
        <v>53</v>
      </c>
      <c r="D63" s="10" t="s">
        <v>259</v>
      </c>
      <c r="E63" s="209">
        <f>MAX(0,(E$37*params!$L28+params!$M28))</f>
        <v>0</v>
      </c>
      <c r="F63" s="210">
        <f>MAX(0,(F$37*params!$L28+params!$M28))</f>
        <v>0</v>
      </c>
      <c r="G63" s="210">
        <f>MAX(0,(G$37*params!$L28+params!$M28))</f>
        <v>0</v>
      </c>
      <c r="H63" s="210">
        <f>MAX(0,(H$37*params!$L28+params!$M28))</f>
        <v>0</v>
      </c>
      <c r="I63" s="210">
        <f>MAX(0,(I$37*params!$L28+params!$M28))</f>
        <v>2.6915113871628371E-4</v>
      </c>
      <c r="J63" s="210">
        <f>MAX(0,(J$37*params!$L28+params!$M28))</f>
        <v>8.4886128364392022E-4</v>
      </c>
      <c r="K63" s="210">
        <f>MAX(0,(K$37*params!$L28+params!$M28))</f>
        <v>1.4285714285713347E-3</v>
      </c>
      <c r="L63" s="210">
        <f>MAX(0,(L$37*params!$L28+params!$M28))</f>
        <v>2.0082815734989712E-3</v>
      </c>
      <c r="M63" s="210">
        <f>MAX(0,(M$37*params!$L28+params!$M28))</f>
        <v>2.5879917184263856E-3</v>
      </c>
      <c r="N63" s="210">
        <f>MAX(0,(N$37*params!$L28+params!$M28))</f>
        <v>3.1677018633540222E-3</v>
      </c>
      <c r="O63" s="210">
        <f>MAX(0,(O$37*params!$L28+params!$M28))</f>
        <v>3.7474120082814366E-3</v>
      </c>
      <c r="P63" s="210">
        <f>MAX(0,(P$37*params!$L28+params!$M28))</f>
        <v>4.3271221532090731E-3</v>
      </c>
      <c r="Q63" s="210">
        <f>MAX(0,(Q$37*params!$L28+params!$M28))</f>
        <v>4.9068322981364876E-3</v>
      </c>
      <c r="R63" s="210">
        <f>MAX(0,(R$37*params!$L28+params!$M28))</f>
        <v>5.4865424430641241E-3</v>
      </c>
      <c r="S63" s="211">
        <f>MAX(0,(S$37*params!$L28+params!$M28))</f>
        <v>6.0662525879917606E-3</v>
      </c>
      <c r="T63" s="12">
        <f t="shared" ref="T63:AR63" si="60">S63+($AS63-$S63)/($AS$37-$S$37)</f>
        <v>6.6021659499920773E-3</v>
      </c>
      <c r="U63" s="12">
        <f t="shared" si="60"/>
        <v>7.138079311992394E-3</v>
      </c>
      <c r="V63" s="12">
        <f t="shared" si="60"/>
        <v>7.6739926739927107E-3</v>
      </c>
      <c r="W63" s="12">
        <f t="shared" si="60"/>
        <v>8.2099060359930275E-3</v>
      </c>
      <c r="X63" s="12">
        <f t="shared" si="60"/>
        <v>8.745819397993345E-3</v>
      </c>
      <c r="Y63" s="12">
        <f t="shared" si="60"/>
        <v>9.2817327599936626E-3</v>
      </c>
      <c r="Z63" s="12">
        <f t="shared" si="60"/>
        <v>9.8176461219939802E-3</v>
      </c>
      <c r="AA63" s="12">
        <f t="shared" si="60"/>
        <v>1.0353559483994298E-2</v>
      </c>
      <c r="AB63" s="12">
        <f t="shared" si="60"/>
        <v>1.0889472845994615E-2</v>
      </c>
      <c r="AC63" s="12">
        <f t="shared" si="60"/>
        <v>1.1425386207994933E-2</v>
      </c>
      <c r="AD63" s="12">
        <f t="shared" si="60"/>
        <v>1.1961299569995251E-2</v>
      </c>
      <c r="AE63" s="12">
        <f t="shared" si="60"/>
        <v>1.2497212931995568E-2</v>
      </c>
      <c r="AF63" s="12">
        <f t="shared" si="60"/>
        <v>1.3033126293995886E-2</v>
      </c>
      <c r="AG63" s="12">
        <f t="shared" si="60"/>
        <v>1.3569039655996203E-2</v>
      </c>
      <c r="AH63" s="12">
        <f t="shared" si="60"/>
        <v>1.4104953017996521E-2</v>
      </c>
      <c r="AI63" s="12">
        <f t="shared" si="60"/>
        <v>1.4640866379996838E-2</v>
      </c>
      <c r="AJ63" s="12">
        <f t="shared" si="60"/>
        <v>1.5176779741997156E-2</v>
      </c>
      <c r="AK63" s="12">
        <f t="shared" si="60"/>
        <v>1.5712693103997474E-2</v>
      </c>
      <c r="AL63" s="12">
        <f t="shared" si="60"/>
        <v>1.6248606465997791E-2</v>
      </c>
      <c r="AM63" s="12">
        <f t="shared" si="60"/>
        <v>1.6784519827998109E-2</v>
      </c>
      <c r="AN63" s="12">
        <f t="shared" si="60"/>
        <v>1.7320433189998426E-2</v>
      </c>
      <c r="AO63" s="12">
        <f t="shared" si="60"/>
        <v>1.7856346551998744E-2</v>
      </c>
      <c r="AP63" s="12">
        <f t="shared" si="60"/>
        <v>1.8392259913999062E-2</v>
      </c>
      <c r="AQ63" s="12">
        <f t="shared" si="60"/>
        <v>1.8928173275999379E-2</v>
      </c>
      <c r="AR63" s="12">
        <f t="shared" si="60"/>
        <v>1.9464086637999697E-2</v>
      </c>
      <c r="AS63" s="64">
        <f>params!K28</f>
        <v>0.02</v>
      </c>
    </row>
    <row r="64" spans="1:45">
      <c r="A64" s="4" t="s">
        <v>19</v>
      </c>
      <c r="B64" s="4" t="s">
        <v>11</v>
      </c>
      <c r="C64" s="4" t="s">
        <v>53</v>
      </c>
      <c r="D64" s="10" t="s">
        <v>259</v>
      </c>
      <c r="E64" s="209">
        <f>MAX(0,(E$37*params!$L29+params!$M29))</f>
        <v>0</v>
      </c>
      <c r="F64" s="210">
        <f>MAX(0,(F$37*params!$L29+params!$M29))</f>
        <v>0</v>
      </c>
      <c r="G64" s="210">
        <f>MAX(0,(G$37*params!$L29+params!$M29))</f>
        <v>3.8228963807540595E-4</v>
      </c>
      <c r="H64" s="210">
        <f>MAX(0,(H$37*params!$L29+params!$M29))</f>
        <v>8.4967903462007666E-4</v>
      </c>
      <c r="I64" s="210">
        <f>MAX(0,(I$37*params!$L29+params!$M29))</f>
        <v>1.3170684311648584E-3</v>
      </c>
      <c r="J64" s="210">
        <f>MAX(0,(J$37*params!$L29+params!$M29))</f>
        <v>1.7844578277096401E-3</v>
      </c>
      <c r="K64" s="210">
        <f>MAX(0,(K$37*params!$L29+params!$M29))</f>
        <v>2.2518472242543108E-3</v>
      </c>
      <c r="L64" s="210">
        <f>MAX(0,(L$37*params!$L29+params!$M29))</f>
        <v>2.7192366207990926E-3</v>
      </c>
      <c r="M64" s="210">
        <f>MAX(0,(M$37*params!$L29+params!$M29))</f>
        <v>3.1866260173437633E-3</v>
      </c>
      <c r="N64" s="210">
        <f>MAX(0,(N$37*params!$L29+params!$M29))</f>
        <v>3.654015413888545E-3</v>
      </c>
      <c r="O64" s="210">
        <f>MAX(0,(O$37*params!$L29+params!$M29))</f>
        <v>4.1214048104333267E-3</v>
      </c>
      <c r="P64" s="210">
        <f>MAX(0,(P$37*params!$L29+params!$M29))</f>
        <v>4.5887942069779974E-3</v>
      </c>
      <c r="Q64" s="210">
        <f>MAX(0,(Q$37*params!$L29+params!$M29))</f>
        <v>5.0561836035227792E-3</v>
      </c>
      <c r="R64" s="210">
        <f>MAX(0,(R$37*params!$L29+params!$M29))</f>
        <v>5.5235730000675609E-3</v>
      </c>
      <c r="S64" s="211">
        <f>MAX(0,(S$37*params!$L29+params!$M29))</f>
        <v>5.9909623966122316E-3</v>
      </c>
      <c r="T64" s="12">
        <f t="shared" ref="T64:AR64" si="61">S64+($AS64-$S64)/($AS$37-$S$37)</f>
        <v>5.7605407659732993E-3</v>
      </c>
      <c r="U64" s="12">
        <f t="shared" si="61"/>
        <v>5.530119135334367E-3</v>
      </c>
      <c r="V64" s="12">
        <f t="shared" si="61"/>
        <v>5.2996975046954347E-3</v>
      </c>
      <c r="W64" s="12">
        <f t="shared" si="61"/>
        <v>5.0692758740565023E-3</v>
      </c>
      <c r="X64" s="12">
        <f t="shared" si="61"/>
        <v>4.83885424341757E-3</v>
      </c>
      <c r="Y64" s="12">
        <f t="shared" si="61"/>
        <v>4.6084326127786377E-3</v>
      </c>
      <c r="Z64" s="12">
        <f t="shared" si="61"/>
        <v>4.3780109821397054E-3</v>
      </c>
      <c r="AA64" s="12">
        <f t="shared" si="61"/>
        <v>4.1475893515007731E-3</v>
      </c>
      <c r="AB64" s="12">
        <f t="shared" si="61"/>
        <v>3.9171677208618408E-3</v>
      </c>
      <c r="AC64" s="12">
        <f t="shared" si="61"/>
        <v>3.6867460902229089E-3</v>
      </c>
      <c r="AD64" s="12">
        <f t="shared" si="61"/>
        <v>3.456324459583977E-3</v>
      </c>
      <c r="AE64" s="12">
        <f t="shared" si="61"/>
        <v>3.2259028289450451E-3</v>
      </c>
      <c r="AF64" s="12">
        <f t="shared" si="61"/>
        <v>2.9954811983061132E-3</v>
      </c>
      <c r="AG64" s="12">
        <f t="shared" si="61"/>
        <v>2.7650595676671813E-3</v>
      </c>
      <c r="AH64" s="12">
        <f t="shared" si="61"/>
        <v>2.5346379370282494E-3</v>
      </c>
      <c r="AI64" s="12">
        <f t="shared" si="61"/>
        <v>2.3042163063893176E-3</v>
      </c>
      <c r="AJ64" s="12">
        <f t="shared" si="61"/>
        <v>2.0737946757503857E-3</v>
      </c>
      <c r="AK64" s="12">
        <f t="shared" si="61"/>
        <v>1.8433730451114538E-3</v>
      </c>
      <c r="AL64" s="12">
        <f t="shared" si="61"/>
        <v>1.6129514144725219E-3</v>
      </c>
      <c r="AM64" s="12">
        <f t="shared" si="61"/>
        <v>1.38252978383359E-3</v>
      </c>
      <c r="AN64" s="12">
        <f t="shared" si="61"/>
        <v>1.1521081531946581E-3</v>
      </c>
      <c r="AO64" s="12">
        <f t="shared" si="61"/>
        <v>9.2168652255572613E-4</v>
      </c>
      <c r="AP64" s="12">
        <f t="shared" si="61"/>
        <v>6.9126489191679414E-4</v>
      </c>
      <c r="AQ64" s="12">
        <f t="shared" si="61"/>
        <v>4.6084326127786214E-4</v>
      </c>
      <c r="AR64" s="12">
        <f t="shared" si="61"/>
        <v>2.3042163063893015E-4</v>
      </c>
      <c r="AS64" s="60">
        <f>params!K29</f>
        <v>0</v>
      </c>
    </row>
    <row r="65" spans="1:45">
      <c r="A65" s="4" t="s">
        <v>19</v>
      </c>
      <c r="B65" s="4" t="s">
        <v>12</v>
      </c>
      <c r="C65" s="4" t="s">
        <v>53</v>
      </c>
      <c r="D65" s="10" t="s">
        <v>259</v>
      </c>
      <c r="E65" s="209">
        <f>MAX(0,(E$37*params!$L30+params!$M30))</f>
        <v>1.1884057971014161E-3</v>
      </c>
      <c r="F65" s="210">
        <f>MAX(0,(F$37*params!$L30+params!$M30))</f>
        <v>1.1014492753622929E-3</v>
      </c>
      <c r="G65" s="210">
        <f>MAX(0,(G$37*params!$L30+params!$M30))</f>
        <v>1.0144927536231696E-3</v>
      </c>
      <c r="H65" s="210">
        <f>MAX(0,(H$37*params!$L30+params!$M30))</f>
        <v>9.2753623188404632E-4</v>
      </c>
      <c r="I65" s="210">
        <f>MAX(0,(I$37*params!$L30+params!$M30))</f>
        <v>8.4057971014492305E-4</v>
      </c>
      <c r="J65" s="210">
        <f>MAX(0,(J$37*params!$L30+params!$M30))</f>
        <v>7.5362318840579978E-4</v>
      </c>
      <c r="K65" s="210">
        <f>MAX(0,(K$37*params!$L30+params!$M30))</f>
        <v>6.6666666666667651E-4</v>
      </c>
      <c r="L65" s="210">
        <f>MAX(0,(L$37*params!$L30+params!$M30))</f>
        <v>5.7971014492752548E-4</v>
      </c>
      <c r="M65" s="210">
        <f>MAX(0,(M$37*params!$L30+params!$M30))</f>
        <v>4.9275362318840221E-4</v>
      </c>
      <c r="N65" s="210">
        <f>MAX(0,(N$37*params!$L30+params!$M30))</f>
        <v>4.0579710144927894E-4</v>
      </c>
      <c r="O65" s="210">
        <f>MAX(0,(O$37*params!$L30+params!$M30))</f>
        <v>3.1884057971015567E-4</v>
      </c>
      <c r="P65" s="210">
        <f>MAX(0,(P$37*params!$L30+params!$M30))</f>
        <v>2.318840579710324E-4</v>
      </c>
      <c r="Q65" s="210">
        <f>MAX(0,(Q$37*params!$L30+params!$M30))</f>
        <v>1.4492753623190913E-4</v>
      </c>
      <c r="R65" s="210">
        <f>MAX(0,(R$37*params!$L30+params!$M30))</f>
        <v>5.7971014492785855E-5</v>
      </c>
      <c r="S65" s="211">
        <f>MAX(0,(S$37*params!$L30+params!$M30))</f>
        <v>0</v>
      </c>
      <c r="T65" s="12">
        <f t="shared" ref="T65:AR65" si="62">S65+($AS65-$S65)/($AS$37-$S$37)</f>
        <v>0</v>
      </c>
      <c r="U65" s="12">
        <f t="shared" si="62"/>
        <v>0</v>
      </c>
      <c r="V65" s="12">
        <f t="shared" si="62"/>
        <v>0</v>
      </c>
      <c r="W65" s="12">
        <f t="shared" si="62"/>
        <v>0</v>
      </c>
      <c r="X65" s="12">
        <f t="shared" si="62"/>
        <v>0</v>
      </c>
      <c r="Y65" s="12">
        <f t="shared" si="62"/>
        <v>0</v>
      </c>
      <c r="Z65" s="12">
        <f t="shared" si="62"/>
        <v>0</v>
      </c>
      <c r="AA65" s="12">
        <f t="shared" si="62"/>
        <v>0</v>
      </c>
      <c r="AB65" s="12">
        <f t="shared" si="62"/>
        <v>0</v>
      </c>
      <c r="AC65" s="12">
        <f t="shared" si="62"/>
        <v>0</v>
      </c>
      <c r="AD65" s="12">
        <f t="shared" si="62"/>
        <v>0</v>
      </c>
      <c r="AE65" s="12">
        <f t="shared" si="62"/>
        <v>0</v>
      </c>
      <c r="AF65" s="12">
        <f t="shared" si="62"/>
        <v>0</v>
      </c>
      <c r="AG65" s="12">
        <f t="shared" si="62"/>
        <v>0</v>
      </c>
      <c r="AH65" s="12">
        <f t="shared" si="62"/>
        <v>0</v>
      </c>
      <c r="AI65" s="12">
        <f t="shared" si="62"/>
        <v>0</v>
      </c>
      <c r="AJ65" s="12">
        <f t="shared" si="62"/>
        <v>0</v>
      </c>
      <c r="AK65" s="12">
        <f t="shared" si="62"/>
        <v>0</v>
      </c>
      <c r="AL65" s="12">
        <f t="shared" si="62"/>
        <v>0</v>
      </c>
      <c r="AM65" s="12">
        <f t="shared" si="62"/>
        <v>0</v>
      </c>
      <c r="AN65" s="12">
        <f t="shared" si="62"/>
        <v>0</v>
      </c>
      <c r="AO65" s="12">
        <f t="shared" si="62"/>
        <v>0</v>
      </c>
      <c r="AP65" s="12">
        <f t="shared" si="62"/>
        <v>0</v>
      </c>
      <c r="AQ65" s="12">
        <f t="shared" si="62"/>
        <v>0</v>
      </c>
      <c r="AR65" s="12">
        <f t="shared" si="62"/>
        <v>0</v>
      </c>
      <c r="AS65" s="60">
        <f>params!K30</f>
        <v>0</v>
      </c>
    </row>
    <row r="66" spans="1:45">
      <c r="A66" s="4" t="s">
        <v>19</v>
      </c>
      <c r="B66" s="4" t="s">
        <v>13</v>
      </c>
      <c r="C66" s="4" t="s">
        <v>53</v>
      </c>
      <c r="D66" s="10" t="s">
        <v>259</v>
      </c>
      <c r="E66" s="170">
        <f>MAX(0,(E$37*params!$L31+params!$M31))</f>
        <v>0.11516898690030075</v>
      </c>
      <c r="F66" s="162">
        <f>MAX(0,(F$37*params!$L31+params!$M31))</f>
        <v>0.11137577977015045</v>
      </c>
      <c r="G66" s="162">
        <f>MAX(0,(G$37*params!$L31+params!$M31))</f>
        <v>0.10758257264000015</v>
      </c>
      <c r="H66" s="162">
        <f>MAX(0,(H$37*params!$L31+params!$M31))</f>
        <v>0.10378936550984896</v>
      </c>
      <c r="I66" s="162">
        <f>MAX(0,(I$37*params!$L31+params!$M31))</f>
        <v>9.9996158379698663E-2</v>
      </c>
      <c r="J66" s="162">
        <f>MAX(0,(J$37*params!$L31+params!$M31))</f>
        <v>9.6202951249547475E-2</v>
      </c>
      <c r="K66" s="162">
        <f>MAX(0,(K$37*params!$L31+params!$M31))</f>
        <v>9.2409744119397175E-2</v>
      </c>
      <c r="L66" s="162">
        <f>MAX(0,(L$37*params!$L31+params!$M31))</f>
        <v>8.8616536989245986E-2</v>
      </c>
      <c r="M66" s="162">
        <f>MAX(0,(M$37*params!$L31+params!$M31))</f>
        <v>8.4823329859095686E-2</v>
      </c>
      <c r="N66" s="162">
        <f>MAX(0,(N$37*params!$L31+params!$M31))</f>
        <v>8.1030122728944498E-2</v>
      </c>
      <c r="O66" s="162">
        <f>MAX(0,(O$37*params!$L31+params!$M31))</f>
        <v>7.7236915598794198E-2</v>
      </c>
      <c r="P66" s="162">
        <f>MAX(0,(P$37*params!$L31+params!$M31))</f>
        <v>7.344370846864301E-2</v>
      </c>
      <c r="Q66" s="162">
        <f>MAX(0,(Q$37*params!$L31+params!$M31))</f>
        <v>6.965050133849271E-2</v>
      </c>
      <c r="R66" s="162">
        <f>MAX(0,(R$37*params!$L31+params!$M31))</f>
        <v>6.5857294208341521E-2</v>
      </c>
      <c r="S66" s="171">
        <f>MAX(0,(S$37*params!$L31+params!$M31))</f>
        <v>6.2064087078191221E-2</v>
      </c>
      <c r="T66" s="12">
        <f t="shared" ref="T66:AR66" si="63">S66+($AS66-$S66)/($AS$37-$S$37)</f>
        <v>5.9677006805953101E-2</v>
      </c>
      <c r="U66" s="12">
        <f t="shared" si="63"/>
        <v>5.728992653371498E-2</v>
      </c>
      <c r="V66" s="12">
        <f t="shared" si="63"/>
        <v>5.4902846261476859E-2</v>
      </c>
      <c r="W66" s="12">
        <f t="shared" si="63"/>
        <v>5.2515765989238739E-2</v>
      </c>
      <c r="X66" s="12">
        <f t="shared" si="63"/>
        <v>5.0128685717000618E-2</v>
      </c>
      <c r="Y66" s="12">
        <f t="shared" si="63"/>
        <v>4.7741605444762497E-2</v>
      </c>
      <c r="Z66" s="12">
        <f t="shared" si="63"/>
        <v>4.5354525172524376E-2</v>
      </c>
      <c r="AA66" s="12">
        <f t="shared" si="63"/>
        <v>4.2967444900286256E-2</v>
      </c>
      <c r="AB66" s="12">
        <f t="shared" si="63"/>
        <v>4.0580364628048135E-2</v>
      </c>
      <c r="AC66" s="12">
        <f t="shared" si="63"/>
        <v>3.8193284355810014E-2</v>
      </c>
      <c r="AD66" s="12">
        <f t="shared" si="63"/>
        <v>3.5806204083571894E-2</v>
      </c>
      <c r="AE66" s="12">
        <f t="shared" si="63"/>
        <v>3.3419123811333773E-2</v>
      </c>
      <c r="AF66" s="12">
        <f t="shared" si="63"/>
        <v>3.1032043539095649E-2</v>
      </c>
      <c r="AG66" s="12">
        <f t="shared" si="63"/>
        <v>2.8644963266857525E-2</v>
      </c>
      <c r="AH66" s="12">
        <f t="shared" si="63"/>
        <v>2.62578829946194E-2</v>
      </c>
      <c r="AI66" s="12">
        <f t="shared" si="63"/>
        <v>2.3870802722381276E-2</v>
      </c>
      <c r="AJ66" s="12">
        <f t="shared" si="63"/>
        <v>2.1483722450143152E-2</v>
      </c>
      <c r="AK66" s="12">
        <f t="shared" si="63"/>
        <v>1.9096642177905028E-2</v>
      </c>
      <c r="AL66" s="12">
        <f t="shared" si="63"/>
        <v>1.6709561905666904E-2</v>
      </c>
      <c r="AM66" s="12">
        <f t="shared" si="63"/>
        <v>1.432248163342878E-2</v>
      </c>
      <c r="AN66" s="12">
        <f t="shared" si="63"/>
        <v>1.1935401361190656E-2</v>
      </c>
      <c r="AO66" s="12">
        <f t="shared" si="63"/>
        <v>9.5483210889525313E-3</v>
      </c>
      <c r="AP66" s="12">
        <f t="shared" si="63"/>
        <v>7.1612408167144072E-3</v>
      </c>
      <c r="AQ66" s="12">
        <f t="shared" si="63"/>
        <v>4.774160544476283E-3</v>
      </c>
      <c r="AR66" s="12">
        <f t="shared" si="63"/>
        <v>2.3870802722381593E-3</v>
      </c>
      <c r="AS66" s="60">
        <f>params!K31</f>
        <v>0</v>
      </c>
    </row>
    <row r="67" spans="1:45">
      <c r="A67" s="4" t="s">
        <v>19</v>
      </c>
      <c r="B67" s="4" t="s">
        <v>14</v>
      </c>
      <c r="C67" s="4" t="s">
        <v>53</v>
      </c>
      <c r="D67" s="10" t="s">
        <v>259</v>
      </c>
      <c r="E67" s="170">
        <f>MAX(0,(E$37*params!$L32+params!$M32))</f>
        <v>0</v>
      </c>
      <c r="F67" s="162">
        <f>MAX(0,(F$37*params!$L32+params!$M32))</f>
        <v>0</v>
      </c>
      <c r="G67" s="162">
        <f>MAX(0,(G$37*params!$L32+params!$M32))</f>
        <v>0</v>
      </c>
      <c r="H67" s="162">
        <f>MAX(0,(H$37*params!$L32+params!$M32))</f>
        <v>0</v>
      </c>
      <c r="I67" s="162">
        <f>MAX(0,(I$37*params!$L32+params!$M32))</f>
        <v>0</v>
      </c>
      <c r="J67" s="162">
        <f>MAX(0,(J$37*params!$L32+params!$M32))</f>
        <v>0</v>
      </c>
      <c r="K67" s="162">
        <f>MAX(0,(K$37*params!$L32+params!$M32))</f>
        <v>0</v>
      </c>
      <c r="L67" s="162">
        <f>MAX(0,(L$37*params!$L32+params!$M32))</f>
        <v>0</v>
      </c>
      <c r="M67" s="162">
        <f>MAX(0,(M$37*params!$L32+params!$M32))</f>
        <v>0</v>
      </c>
      <c r="N67" s="162">
        <f>MAX(0,(N$37*params!$L32+params!$M32))</f>
        <v>0</v>
      </c>
      <c r="O67" s="162">
        <f>MAX(0,(O$37*params!$L32+params!$M32))</f>
        <v>0</v>
      </c>
      <c r="P67" s="162">
        <f>MAX(0,(P$37*params!$L32+params!$M32))</f>
        <v>0</v>
      </c>
      <c r="Q67" s="162">
        <f>MAX(0,(Q$37*params!$L32+params!$M32))</f>
        <v>0</v>
      </c>
      <c r="R67" s="162">
        <f>MAX(0,(R$37*params!$L32+params!$M32))</f>
        <v>0</v>
      </c>
      <c r="S67" s="171">
        <f>MAX(0,(S$37*params!$L32+params!$M32))</f>
        <v>0</v>
      </c>
      <c r="T67" s="12">
        <f t="shared" ref="T67:AR67" si="64">S67+($AS67-$S67)/($AS$37-$S$37)</f>
        <v>0</v>
      </c>
      <c r="U67" s="12">
        <f t="shared" si="64"/>
        <v>0</v>
      </c>
      <c r="V67" s="12">
        <f t="shared" si="64"/>
        <v>0</v>
      </c>
      <c r="W67" s="12">
        <f t="shared" si="64"/>
        <v>0</v>
      </c>
      <c r="X67" s="12">
        <f t="shared" si="64"/>
        <v>0</v>
      </c>
      <c r="Y67" s="12">
        <f t="shared" si="64"/>
        <v>0</v>
      </c>
      <c r="Z67" s="12">
        <f t="shared" si="64"/>
        <v>0</v>
      </c>
      <c r="AA67" s="12">
        <f t="shared" si="64"/>
        <v>0</v>
      </c>
      <c r="AB67" s="12">
        <f t="shared" si="64"/>
        <v>0</v>
      </c>
      <c r="AC67" s="12">
        <f t="shared" si="64"/>
        <v>0</v>
      </c>
      <c r="AD67" s="12">
        <f t="shared" si="64"/>
        <v>0</v>
      </c>
      <c r="AE67" s="12">
        <f t="shared" si="64"/>
        <v>0</v>
      </c>
      <c r="AF67" s="12">
        <f t="shared" si="64"/>
        <v>0</v>
      </c>
      <c r="AG67" s="12">
        <f t="shared" si="64"/>
        <v>0</v>
      </c>
      <c r="AH67" s="12">
        <f t="shared" si="64"/>
        <v>0</v>
      </c>
      <c r="AI67" s="12">
        <f t="shared" si="64"/>
        <v>0</v>
      </c>
      <c r="AJ67" s="12">
        <f t="shared" si="64"/>
        <v>0</v>
      </c>
      <c r="AK67" s="12">
        <f t="shared" si="64"/>
        <v>0</v>
      </c>
      <c r="AL67" s="12">
        <f t="shared" si="64"/>
        <v>0</v>
      </c>
      <c r="AM67" s="12">
        <f t="shared" si="64"/>
        <v>0</v>
      </c>
      <c r="AN67" s="12">
        <f t="shared" si="64"/>
        <v>0</v>
      </c>
      <c r="AO67" s="12">
        <f t="shared" si="64"/>
        <v>0</v>
      </c>
      <c r="AP67" s="12">
        <f t="shared" si="64"/>
        <v>0</v>
      </c>
      <c r="AQ67" s="12">
        <f t="shared" si="64"/>
        <v>0</v>
      </c>
      <c r="AR67" s="12">
        <f t="shared" si="64"/>
        <v>0</v>
      </c>
      <c r="AS67" s="161">
        <f>params!K32</f>
        <v>0</v>
      </c>
    </row>
    <row r="68" spans="1:45">
      <c r="A68" s="4" t="s">
        <v>19</v>
      </c>
      <c r="B68" s="4" t="s">
        <v>15</v>
      </c>
      <c r="C68" s="4" t="s">
        <v>53</v>
      </c>
      <c r="D68" s="10" t="s">
        <v>259</v>
      </c>
      <c r="E68" s="170">
        <f>MAX(0,(E$37*params!$L33+params!$M33))</f>
        <v>0</v>
      </c>
      <c r="F68" s="162">
        <f>MAX(0,(F$37*params!$L33+params!$M33))</f>
        <v>0</v>
      </c>
      <c r="G68" s="162">
        <f>MAX(0,(G$37*params!$L33+params!$M33))</f>
        <v>0</v>
      </c>
      <c r="H68" s="162">
        <f>MAX(0,(H$37*params!$L33+params!$M33))</f>
        <v>0</v>
      </c>
      <c r="I68" s="162">
        <f>MAX(0,(I$37*params!$L33+params!$M33))</f>
        <v>0</v>
      </c>
      <c r="J68" s="162">
        <f>MAX(0,(J$37*params!$L33+params!$M33))</f>
        <v>0</v>
      </c>
      <c r="K68" s="162">
        <f>MAX(0,(K$37*params!$L33+params!$M33))</f>
        <v>0</v>
      </c>
      <c r="L68" s="162">
        <f>MAX(0,(L$37*params!$L33+params!$M33))</f>
        <v>0</v>
      </c>
      <c r="M68" s="162">
        <f>MAX(0,(M$37*params!$L33+params!$M33))</f>
        <v>0</v>
      </c>
      <c r="N68" s="162">
        <f>MAX(0,(N$37*params!$L33+params!$M33))</f>
        <v>0</v>
      </c>
      <c r="O68" s="162">
        <f>MAX(0,(O$37*params!$L33+params!$M33))</f>
        <v>0</v>
      </c>
      <c r="P68" s="162">
        <f>MAX(0,(P$37*params!$L33+params!$M33))</f>
        <v>0</v>
      </c>
      <c r="Q68" s="162">
        <f>MAX(0,(Q$37*params!$L33+params!$M33))</f>
        <v>0</v>
      </c>
      <c r="R68" s="162">
        <f>MAX(0,(R$37*params!$L33+params!$M33))</f>
        <v>0</v>
      </c>
      <c r="S68" s="171">
        <f>MAX(0,(S$37*params!$L33+params!$M33))</f>
        <v>0</v>
      </c>
      <c r="T68" s="12">
        <f t="shared" ref="T68:AR68" si="65">S68+($AS68-$S68)/($AS$37-$S$37)</f>
        <v>0</v>
      </c>
      <c r="U68" s="12">
        <f t="shared" si="65"/>
        <v>0</v>
      </c>
      <c r="V68" s="12">
        <f t="shared" si="65"/>
        <v>0</v>
      </c>
      <c r="W68" s="12">
        <f t="shared" si="65"/>
        <v>0</v>
      </c>
      <c r="X68" s="12">
        <f t="shared" si="65"/>
        <v>0</v>
      </c>
      <c r="Y68" s="12">
        <f t="shared" si="65"/>
        <v>0</v>
      </c>
      <c r="Z68" s="12">
        <f t="shared" si="65"/>
        <v>0</v>
      </c>
      <c r="AA68" s="12">
        <f t="shared" si="65"/>
        <v>0</v>
      </c>
      <c r="AB68" s="12">
        <f t="shared" si="65"/>
        <v>0</v>
      </c>
      <c r="AC68" s="12">
        <f t="shared" si="65"/>
        <v>0</v>
      </c>
      <c r="AD68" s="12">
        <f t="shared" si="65"/>
        <v>0</v>
      </c>
      <c r="AE68" s="12">
        <f t="shared" si="65"/>
        <v>0</v>
      </c>
      <c r="AF68" s="12">
        <f t="shared" si="65"/>
        <v>0</v>
      </c>
      <c r="AG68" s="12">
        <f t="shared" si="65"/>
        <v>0</v>
      </c>
      <c r="AH68" s="12">
        <f t="shared" si="65"/>
        <v>0</v>
      </c>
      <c r="AI68" s="12">
        <f t="shared" si="65"/>
        <v>0</v>
      </c>
      <c r="AJ68" s="12">
        <f t="shared" si="65"/>
        <v>0</v>
      </c>
      <c r="AK68" s="12">
        <f t="shared" si="65"/>
        <v>0</v>
      </c>
      <c r="AL68" s="12">
        <f t="shared" si="65"/>
        <v>0</v>
      </c>
      <c r="AM68" s="12">
        <f t="shared" si="65"/>
        <v>0</v>
      </c>
      <c r="AN68" s="12">
        <f t="shared" si="65"/>
        <v>0</v>
      </c>
      <c r="AO68" s="12">
        <f t="shared" si="65"/>
        <v>0</v>
      </c>
      <c r="AP68" s="12">
        <f t="shared" si="65"/>
        <v>0</v>
      </c>
      <c r="AQ68" s="12">
        <f t="shared" si="65"/>
        <v>0</v>
      </c>
      <c r="AR68" s="12">
        <f t="shared" si="65"/>
        <v>0</v>
      </c>
      <c r="AS68" s="161">
        <f>params!K33</f>
        <v>0</v>
      </c>
    </row>
    <row r="69" spans="1:45">
      <c r="A69" s="40" t="s">
        <v>19</v>
      </c>
      <c r="B69" s="40" t="s">
        <v>16</v>
      </c>
      <c r="C69" s="4" t="s">
        <v>53</v>
      </c>
      <c r="D69" s="41" t="s">
        <v>259</v>
      </c>
      <c r="E69" s="170">
        <f>MAX(0,(E$37*params!$L34+params!$M34))</f>
        <v>0</v>
      </c>
      <c r="F69" s="162">
        <f>MAX(0,(F$37*params!$L34+params!$M34))</f>
        <v>0</v>
      </c>
      <c r="G69" s="162">
        <f>MAX(0,(G$37*params!$L34+params!$M34))</f>
        <v>0</v>
      </c>
      <c r="H69" s="162">
        <f>MAX(0,(H$37*params!$L34+params!$M34))</f>
        <v>0</v>
      </c>
      <c r="I69" s="162">
        <f>MAX(0,(I$37*params!$L34+params!$M34))</f>
        <v>0</v>
      </c>
      <c r="J69" s="162">
        <f>MAX(0,(J$37*params!$L34+params!$M34))</f>
        <v>0</v>
      </c>
      <c r="K69" s="162">
        <f>MAX(0,(K$37*params!$L34+params!$M34))</f>
        <v>0</v>
      </c>
      <c r="L69" s="162">
        <f>MAX(0,(L$37*params!$L34+params!$M34))</f>
        <v>0</v>
      </c>
      <c r="M69" s="162">
        <f>MAX(0,(M$37*params!$L34+params!$M34))</f>
        <v>0</v>
      </c>
      <c r="N69" s="162">
        <f>MAX(0,(N$37*params!$L34+params!$M34))</f>
        <v>0</v>
      </c>
      <c r="O69" s="162">
        <f>MAX(0,(O$37*params!$L34+params!$M34))</f>
        <v>0</v>
      </c>
      <c r="P69" s="162">
        <f>MAX(0,(P$37*params!$L34+params!$M34))</f>
        <v>0</v>
      </c>
      <c r="Q69" s="162">
        <f>MAX(0,(Q$37*params!$L34+params!$M34))</f>
        <v>0</v>
      </c>
      <c r="R69" s="162">
        <f>MAX(0,(R$37*params!$L34+params!$M34))</f>
        <v>0</v>
      </c>
      <c r="S69" s="171">
        <f>MAX(0,(S$37*params!$L34+params!$M34))</f>
        <v>0</v>
      </c>
      <c r="T69" s="12">
        <f t="shared" ref="T69:AR69" si="66">S69+($AS69-$S69)/($AS$37-$S$37)</f>
        <v>0</v>
      </c>
      <c r="U69" s="12">
        <f t="shared" si="66"/>
        <v>0</v>
      </c>
      <c r="V69" s="12">
        <f t="shared" si="66"/>
        <v>0</v>
      </c>
      <c r="W69" s="12">
        <f t="shared" si="66"/>
        <v>0</v>
      </c>
      <c r="X69" s="12">
        <f t="shared" si="66"/>
        <v>0</v>
      </c>
      <c r="Y69" s="12">
        <f t="shared" si="66"/>
        <v>0</v>
      </c>
      <c r="Z69" s="12">
        <f t="shared" si="66"/>
        <v>0</v>
      </c>
      <c r="AA69" s="12">
        <f t="shared" si="66"/>
        <v>0</v>
      </c>
      <c r="AB69" s="12">
        <f t="shared" si="66"/>
        <v>0</v>
      </c>
      <c r="AC69" s="12">
        <f t="shared" si="66"/>
        <v>0</v>
      </c>
      <c r="AD69" s="12">
        <f t="shared" si="66"/>
        <v>0</v>
      </c>
      <c r="AE69" s="12">
        <f t="shared" si="66"/>
        <v>0</v>
      </c>
      <c r="AF69" s="12">
        <f t="shared" si="66"/>
        <v>0</v>
      </c>
      <c r="AG69" s="12">
        <f t="shared" si="66"/>
        <v>0</v>
      </c>
      <c r="AH69" s="12">
        <f t="shared" si="66"/>
        <v>0</v>
      </c>
      <c r="AI69" s="12">
        <f t="shared" si="66"/>
        <v>0</v>
      </c>
      <c r="AJ69" s="12">
        <f t="shared" si="66"/>
        <v>0</v>
      </c>
      <c r="AK69" s="12">
        <f t="shared" si="66"/>
        <v>0</v>
      </c>
      <c r="AL69" s="12">
        <f t="shared" si="66"/>
        <v>0</v>
      </c>
      <c r="AM69" s="12">
        <f t="shared" si="66"/>
        <v>0</v>
      </c>
      <c r="AN69" s="12">
        <f t="shared" si="66"/>
        <v>0</v>
      </c>
      <c r="AO69" s="12">
        <f t="shared" si="66"/>
        <v>0</v>
      </c>
      <c r="AP69" s="12">
        <f t="shared" si="66"/>
        <v>0</v>
      </c>
      <c r="AQ69" s="12">
        <f t="shared" si="66"/>
        <v>0</v>
      </c>
      <c r="AR69" s="12">
        <f t="shared" si="66"/>
        <v>0</v>
      </c>
      <c r="AS69" s="161">
        <f>params!K34</f>
        <v>0</v>
      </c>
    </row>
    <row r="70" spans="1:45" ht="17" thickBot="1">
      <c r="A70" s="32" t="s">
        <v>19</v>
      </c>
      <c r="B70" s="32" t="s">
        <v>17</v>
      </c>
      <c r="C70" s="32" t="s">
        <v>53</v>
      </c>
      <c r="D70" s="36" t="s">
        <v>259</v>
      </c>
      <c r="E70" s="172">
        <f>MAX(0,(E$37*params!$L35+params!$M35))</f>
        <v>3.0418051496289844E-3</v>
      </c>
      <c r="F70" s="173">
        <f>MAX(0,(F$37*params!$L35+params!$M35))</f>
        <v>2.8195713368102115E-3</v>
      </c>
      <c r="G70" s="173">
        <f>MAX(0,(G$37*params!$L35+params!$M35))</f>
        <v>2.5973375239913832E-3</v>
      </c>
      <c r="H70" s="173">
        <f>MAX(0,(H$37*params!$L35+params!$M35))</f>
        <v>2.3751037111725548E-3</v>
      </c>
      <c r="I70" s="173">
        <f>MAX(0,(I$37*params!$L35+params!$M35))</f>
        <v>2.152869898353782E-3</v>
      </c>
      <c r="J70" s="173">
        <f>MAX(0,(J$37*params!$L35+params!$M35))</f>
        <v>1.9306360855349536E-3</v>
      </c>
      <c r="K70" s="173">
        <f>MAX(0,(K$37*params!$L35+params!$M35))</f>
        <v>1.7084022727161252E-3</v>
      </c>
      <c r="L70" s="173">
        <f>MAX(0,(L$37*params!$L35+params!$M35))</f>
        <v>1.4861684598973524E-3</v>
      </c>
      <c r="M70" s="173">
        <f>MAX(0,(M$37*params!$L35+params!$M35))</f>
        <v>1.263934647078524E-3</v>
      </c>
      <c r="N70" s="173">
        <f>MAX(0,(N$37*params!$L35+params!$M35))</f>
        <v>1.0417008342596956E-3</v>
      </c>
      <c r="O70" s="173">
        <f>MAX(0,(O$37*params!$L35+params!$M35))</f>
        <v>8.1946702144092276E-4</v>
      </c>
      <c r="P70" s="173">
        <f>MAX(0,(P$37*params!$L35+params!$M35))</f>
        <v>5.9723320862209439E-4</v>
      </c>
      <c r="Q70" s="173">
        <f>MAX(0,(Q$37*params!$L35+params!$M35))</f>
        <v>3.7499939580326602E-4</v>
      </c>
      <c r="R70" s="173">
        <f>MAX(0,(R$37*params!$L35+params!$M35))</f>
        <v>1.5276558298449316E-4</v>
      </c>
      <c r="S70" s="174">
        <f>MAX(0,(S$37*params!$L35+params!$M35))</f>
        <v>0</v>
      </c>
      <c r="T70" s="37">
        <f t="shared" ref="T70:AR70" si="67">S70+($AS70-$S70)/($AS$37-$S$37)</f>
        <v>0</v>
      </c>
      <c r="U70" s="37">
        <f t="shared" si="67"/>
        <v>0</v>
      </c>
      <c r="V70" s="37">
        <f t="shared" si="67"/>
        <v>0</v>
      </c>
      <c r="W70" s="37">
        <f t="shared" si="67"/>
        <v>0</v>
      </c>
      <c r="X70" s="37">
        <f t="shared" si="67"/>
        <v>0</v>
      </c>
      <c r="Y70" s="37">
        <f t="shared" si="67"/>
        <v>0</v>
      </c>
      <c r="Z70" s="37">
        <f t="shared" si="67"/>
        <v>0</v>
      </c>
      <c r="AA70" s="37">
        <f t="shared" si="67"/>
        <v>0</v>
      </c>
      <c r="AB70" s="37">
        <f t="shared" si="67"/>
        <v>0</v>
      </c>
      <c r="AC70" s="37">
        <f t="shared" si="67"/>
        <v>0</v>
      </c>
      <c r="AD70" s="37">
        <f t="shared" si="67"/>
        <v>0</v>
      </c>
      <c r="AE70" s="37">
        <f t="shared" si="67"/>
        <v>0</v>
      </c>
      <c r="AF70" s="37">
        <f t="shared" si="67"/>
        <v>0</v>
      </c>
      <c r="AG70" s="37">
        <f t="shared" si="67"/>
        <v>0</v>
      </c>
      <c r="AH70" s="37">
        <f t="shared" si="67"/>
        <v>0</v>
      </c>
      <c r="AI70" s="37">
        <f t="shared" si="67"/>
        <v>0</v>
      </c>
      <c r="AJ70" s="37">
        <f t="shared" si="67"/>
        <v>0</v>
      </c>
      <c r="AK70" s="37">
        <f t="shared" si="67"/>
        <v>0</v>
      </c>
      <c r="AL70" s="37">
        <f t="shared" si="67"/>
        <v>0</v>
      </c>
      <c r="AM70" s="37">
        <f t="shared" si="67"/>
        <v>0</v>
      </c>
      <c r="AN70" s="37">
        <f t="shared" si="67"/>
        <v>0</v>
      </c>
      <c r="AO70" s="37">
        <f t="shared" si="67"/>
        <v>0</v>
      </c>
      <c r="AP70" s="37">
        <f t="shared" si="67"/>
        <v>0</v>
      </c>
      <c r="AQ70" s="37">
        <f t="shared" si="67"/>
        <v>0</v>
      </c>
      <c r="AR70" s="37">
        <f t="shared" si="67"/>
        <v>0</v>
      </c>
      <c r="AS70" s="66">
        <f>params!K35</f>
        <v>0</v>
      </c>
    </row>
    <row r="71" spans="1:45">
      <c r="C71" s="59" t="s">
        <v>260</v>
      </c>
      <c r="D71" s="19" t="s">
        <v>29</v>
      </c>
      <c r="E71" s="19">
        <f t="shared" ref="E71:M71" si="68">SUM(E72:E73)</f>
        <v>19.564851000000001</v>
      </c>
      <c r="F71" s="19">
        <f t="shared" si="68"/>
        <v>20.262615</v>
      </c>
      <c r="G71" s="19">
        <f t="shared" si="68"/>
        <v>20.976989999999997</v>
      </c>
      <c r="H71" s="19">
        <f t="shared" si="68"/>
        <v>21.709318</v>
      </c>
      <c r="I71" s="19">
        <f t="shared" si="68"/>
        <v>22.461708999999999</v>
      </c>
      <c r="J71" s="19">
        <f t="shared" si="68"/>
        <v>23.235700000000001</v>
      </c>
      <c r="K71" s="19">
        <f t="shared" si="68"/>
        <v>24.031545000000001</v>
      </c>
      <c r="L71" s="19">
        <f t="shared" si="68"/>
        <v>24.848538999999999</v>
      </c>
      <c r="M71" s="19">
        <f t="shared" si="68"/>
        <v>25.686079999999997</v>
      </c>
      <c r="N71" s="18">
        <f>SUM(N72:N73)</f>
        <v>26.543199000000001</v>
      </c>
      <c r="O71" s="18">
        <f t="shared" ref="O71:AS71" si="69">SUM(O72:O73)</f>
        <v>27.419106999999997</v>
      </c>
      <c r="P71" s="18">
        <f t="shared" si="69"/>
        <v>28.313191000000003</v>
      </c>
      <c r="Q71" s="18">
        <f t="shared" si="69"/>
        <v>29.225303</v>
      </c>
      <c r="R71" s="18">
        <f t="shared" si="69"/>
        <v>30.155456999999998</v>
      </c>
      <c r="S71" s="18">
        <f t="shared" si="69"/>
        <v>31.103788999999999</v>
      </c>
      <c r="T71" s="18">
        <f t="shared" si="69"/>
        <v>32.070048999999997</v>
      </c>
      <c r="U71" s="18">
        <f t="shared" si="69"/>
        <v>33.053668000000002</v>
      </c>
      <c r="V71" s="18">
        <f t="shared" si="69"/>
        <v>34.053373999999998</v>
      </c>
      <c r="W71" s="18">
        <f t="shared" si="69"/>
        <v>35.067280000000004</v>
      </c>
      <c r="X71" s="18">
        <f t="shared" si="69"/>
        <v>36.093102999999999</v>
      </c>
      <c r="Y71" s="18">
        <f t="shared" si="69"/>
        <v>37.128782999999999</v>
      </c>
      <c r="Z71" s="18">
        <f t="shared" si="69"/>
        <v>38.172803000000002</v>
      </c>
      <c r="AA71" s="18">
        <f t="shared" si="69"/>
        <v>39.224024</v>
      </c>
      <c r="AB71" s="18">
        <f t="shared" si="69"/>
        <v>40.281098</v>
      </c>
      <c r="AC71" s="18">
        <f t="shared" si="69"/>
        <v>41.342531999999999</v>
      </c>
      <c r="AD71" s="18">
        <f t="shared" si="69"/>
        <v>42.415885000000003</v>
      </c>
      <c r="AE71" s="18">
        <f t="shared" si="69"/>
        <v>43.499978999999996</v>
      </c>
      <c r="AF71" s="18">
        <f t="shared" si="69"/>
        <v>44.594143000000003</v>
      </c>
      <c r="AG71" s="18">
        <f t="shared" si="69"/>
        <v>45.697981999999996</v>
      </c>
      <c r="AH71" s="18">
        <f t="shared" si="69"/>
        <v>46.811129999999999</v>
      </c>
      <c r="AI71" s="18">
        <f t="shared" si="69"/>
        <v>47.933199999999999</v>
      </c>
      <c r="AJ71" s="18">
        <f t="shared" si="69"/>
        <v>49.063630000000003</v>
      </c>
      <c r="AK71" s="18">
        <f t="shared" si="69"/>
        <v>50.201774999999998</v>
      </c>
      <c r="AL71" s="18">
        <f t="shared" si="69"/>
        <v>51.346960000000003</v>
      </c>
      <c r="AM71" s="18">
        <f t="shared" si="69"/>
        <v>52.498457999999999</v>
      </c>
      <c r="AN71" s="18">
        <f t="shared" si="69"/>
        <v>53.655586</v>
      </c>
      <c r="AO71" s="18">
        <f t="shared" si="69"/>
        <v>54.817639</v>
      </c>
      <c r="AP71" s="18">
        <f t="shared" si="69"/>
        <v>55.983957000000004</v>
      </c>
      <c r="AQ71" s="18">
        <f t="shared" si="69"/>
        <v>57.153949999999995</v>
      </c>
      <c r="AR71" s="18">
        <f t="shared" si="69"/>
        <v>58.327021999999999</v>
      </c>
      <c r="AS71" s="18">
        <f t="shared" si="69"/>
        <v>59.502517999999995</v>
      </c>
    </row>
    <row r="72" spans="1:45">
      <c r="D72" s="19" t="s">
        <v>26</v>
      </c>
      <c r="E72" s="19" cm="1">
        <f t="array" ref="E72">_xlfn.XLOOKUP(1,(Population!$Y:$Y=E$1)*(Population!$Z:$Z=$D72),Population!$AA:$AA)/1000</f>
        <v>12.809514</v>
      </c>
      <c r="F72" s="19" cm="1">
        <f t="array" ref="F72">_xlfn.XLOOKUP(1,(Population!$Y:$Y=F$1)*(Population!$Z:$Z=$D72),Population!$AA:$AA)/1000</f>
        <v>13.17848</v>
      </c>
      <c r="G72" s="19" cm="1">
        <f t="array" ref="G72">_xlfn.XLOOKUP(1,(Population!$Y:$Y=G$1)*(Population!$Z:$Z=$D72),Population!$AA:$AA)/1000</f>
        <v>13.551941999999999</v>
      </c>
      <c r="H72" s="19" cm="1">
        <f t="array" ref="H72">_xlfn.XLOOKUP(1,(Population!$Y:$Y=H$1)*(Population!$Z:$Z=$D72),Population!$AA:$AA)/1000</f>
        <v>13.930476000000001</v>
      </c>
      <c r="I72" s="19" cm="1">
        <f t="array" ref="I72">_xlfn.XLOOKUP(1,(Population!$Y:$Y=I$1)*(Population!$Z:$Z=$D72),Population!$AA:$AA)/1000</f>
        <v>14.315223</v>
      </c>
      <c r="J72" s="19" cm="1">
        <f t="array" ref="J72">_xlfn.XLOOKUP(1,(Population!$Y:$Y=J$1)*(Population!$Z:$Z=$D72),Population!$AA:$AA)/1000</f>
        <v>14.706906999999999</v>
      </c>
      <c r="K72" s="19" cm="1">
        <f t="array" ref="K72">_xlfn.XLOOKUP(1,(Population!$Y:$Y=K$1)*(Population!$Z:$Z=$D72),Population!$AA:$AA)/1000</f>
        <v>15.105299</v>
      </c>
      <c r="L72" s="19" cm="1">
        <f t="array" ref="L72">_xlfn.XLOOKUP(1,(Population!$Y:$Y=L$1)*(Population!$Z:$Z=$D72),Population!$AA:$AA)/1000</f>
        <v>15.509513999999999</v>
      </c>
      <c r="M72" s="19" cm="1">
        <f t="array" ref="M72">_xlfn.XLOOKUP(1,(Population!$Y:$Y=M$1)*(Population!$Z:$Z=$D72),Population!$AA:$AA)/1000</f>
        <v>15.918794999999999</v>
      </c>
      <c r="N72" s="18" cm="1">
        <f t="array" ref="N72">_xlfn.XLOOKUP(1,(Population!$Y:$Y=N$1)*(Population!$Z:$Z=$D72),Population!$AA:$AA)/1000</f>
        <v>16.332170000000001</v>
      </c>
      <c r="O72" s="18" cm="1">
        <f t="array" ref="O72">_xlfn.XLOOKUP(1,(Population!$Y:$Y=O$1)*(Population!$Z:$Z=$D72),Population!$AA:$AA)/1000</f>
        <v>16.748854999999999</v>
      </c>
      <c r="P72" s="18" cm="1">
        <f t="array" ref="P72">_xlfn.XLOOKUP(1,(Population!$Y:$Y=P$1)*(Population!$Z:$Z=$D72),Population!$AA:$AA)/1000</f>
        <v>17.168110000000002</v>
      </c>
      <c r="Q72" s="18" cm="1">
        <f t="array" ref="Q72">_xlfn.XLOOKUP(1,(Population!$Y:$Y=Q$1)*(Population!$Z:$Z=$D72),Population!$AA:$AA)/1000</f>
        <v>17.589673999999999</v>
      </c>
      <c r="R72" s="18" cm="1">
        <f t="array" ref="R72">_xlfn.XLOOKUP(1,(Population!$Y:$Y=R$1)*(Population!$Z:$Z=$D72),Population!$AA:$AA)/1000</f>
        <v>18.013680000000001</v>
      </c>
      <c r="S72" s="18" cm="1">
        <f t="array" ref="S72">_xlfn.XLOOKUP(1,(Population!$Y:$Y=S$1)*(Population!$Z:$Z=$D72),Population!$AA:$AA)/1000</f>
        <v>18.44049</v>
      </c>
      <c r="T72" s="18" cm="1">
        <f t="array" ref="T72">_xlfn.XLOOKUP(1,(Population!$Y:$Y=T$1)*(Population!$Z:$Z=$D72),Population!$AA:$AA)/1000</f>
        <v>18.870099999999997</v>
      </c>
      <c r="U72" s="18" cm="1">
        <f t="array" ref="U72">_xlfn.XLOOKUP(1,(Population!$Y:$Y=U$1)*(Population!$Z:$Z=$D72),Population!$AA:$AA)/1000</f>
        <v>19.302071999999999</v>
      </c>
      <c r="V72" s="18" cm="1">
        <f t="array" ref="V72">_xlfn.XLOOKUP(1,(Population!$Y:$Y=V$1)*(Population!$Z:$Z=$D72),Population!$AA:$AA)/1000</f>
        <v>19.735339</v>
      </c>
      <c r="W72" s="18" cm="1">
        <f t="array" ref="W72">_xlfn.XLOOKUP(1,(Population!$Y:$Y=W$1)*(Population!$Z:$Z=$D72),Population!$AA:$AA)/1000</f>
        <v>20.168414000000002</v>
      </c>
      <c r="X72" s="18" cm="1">
        <f t="array" ref="X72">_xlfn.XLOOKUP(1,(Population!$Y:$Y=X$1)*(Population!$Z:$Z=$D72),Population!$AA:$AA)/1000</f>
        <v>20.599526999999998</v>
      </c>
      <c r="Y72" s="18" cm="1">
        <f t="array" ref="Y72">_xlfn.XLOOKUP(1,(Population!$Y:$Y=Y$1)*(Population!$Z:$Z=$D72),Population!$AA:$AA)/1000</f>
        <v>21.027123</v>
      </c>
      <c r="Z72" s="18" cm="1">
        <f t="array" ref="Z72">_xlfn.XLOOKUP(1,(Population!$Y:$Y=Z$1)*(Population!$Z:$Z=$D72),Population!$AA:$AA)/1000</f>
        <v>21.450185000000001</v>
      </c>
      <c r="AA72" s="18" cm="1">
        <f t="array" ref="AA72">_xlfn.XLOOKUP(1,(Population!$Y:$Y=AA$1)*(Population!$Z:$Z=$D72),Population!$AA:$AA)/1000</f>
        <v>21.868069999999999</v>
      </c>
      <c r="AB72" s="18" cm="1">
        <f t="array" ref="AB72">_xlfn.XLOOKUP(1,(Population!$Y:$Y=AB$1)*(Population!$Z:$Z=$D72),Population!$AA:$AA)/1000</f>
        <v>22.280129000000002</v>
      </c>
      <c r="AC72" s="18" cm="1">
        <f t="array" ref="AC72">_xlfn.XLOOKUP(1,(Population!$Y:$Y=AC$1)*(Population!$Z:$Z=$D72),Population!$AA:$AA)/1000</f>
        <v>22.686019999999999</v>
      </c>
      <c r="AD72" s="18" cm="1">
        <f t="array" ref="AD72">_xlfn.XLOOKUP(1,(Population!$Y:$Y=AD$1)*(Population!$Z:$Z=$D72),Population!$AA:$AA)/1000</f>
        <v>23.088127</v>
      </c>
      <c r="AE72" s="18" cm="1">
        <f t="array" ref="AE72">_xlfn.XLOOKUP(1,(Population!$Y:$Y=AE$1)*(Population!$Z:$Z=$D72),Population!$AA:$AA)/1000</f>
        <v>23.486260999999999</v>
      </c>
      <c r="AF72" s="18" cm="1">
        <f t="array" ref="AF72">_xlfn.XLOOKUP(1,(Population!$Y:$Y=AF$1)*(Population!$Z:$Z=$D72),Population!$AA:$AA)/1000</f>
        <v>23.879805000000001</v>
      </c>
      <c r="AG72" s="18" cm="1">
        <f t="array" ref="AG72">_xlfn.XLOOKUP(1,(Population!$Y:$Y=AG$1)*(Population!$Z:$Z=$D72),Population!$AA:$AA)/1000</f>
        <v>24.268276</v>
      </c>
      <c r="AH72" s="18" cm="1">
        <f t="array" ref="AH72">_xlfn.XLOOKUP(1,(Population!$Y:$Y=AH$1)*(Population!$Z:$Z=$D72),Population!$AA:$AA)/1000</f>
        <v>24.651174999999999</v>
      </c>
      <c r="AI72" s="18" cm="1">
        <f t="array" ref="AI72">_xlfn.XLOOKUP(1,(Population!$Y:$Y=AI$1)*(Population!$Z:$Z=$D72),Population!$AA:$AA)/1000</f>
        <v>25.028032</v>
      </c>
      <c r="AJ72" s="18" cm="1">
        <f t="array" ref="AJ72">_xlfn.XLOOKUP(1,(Population!$Y:$Y=AJ$1)*(Population!$Z:$Z=$D72),Population!$AA:$AA)/1000</f>
        <v>25.398336999999998</v>
      </c>
      <c r="AK72" s="18" cm="1">
        <f t="array" ref="AK72">_xlfn.XLOOKUP(1,(Population!$Y:$Y=AK$1)*(Population!$Z:$Z=$D72),Population!$AA:$AA)/1000</f>
        <v>25.761555000000001</v>
      </c>
      <c r="AL72" s="18" cm="1">
        <f t="array" ref="AL72">_xlfn.XLOOKUP(1,(Population!$Y:$Y=AL$1)*(Population!$Z:$Z=$D72),Population!$AA:$AA)/1000</f>
        <v>26.117078000000003</v>
      </c>
      <c r="AM72" s="18" cm="1">
        <f t="array" ref="AM72">_xlfn.XLOOKUP(1,(Population!$Y:$Y=AM$1)*(Population!$Z:$Z=$D72),Population!$AA:$AA)/1000</f>
        <v>26.464258999999998</v>
      </c>
      <c r="AN72" s="18" cm="1">
        <f t="array" ref="AN72">_xlfn.XLOOKUP(1,(Population!$Y:$Y=AN$1)*(Population!$Z:$Z=$D72),Population!$AA:$AA)/1000</f>
        <v>26.802534999999999</v>
      </c>
      <c r="AO72" s="18" cm="1">
        <f t="array" ref="AO72">_xlfn.XLOOKUP(1,(Population!$Y:$Y=AO$1)*(Population!$Z:$Z=$D72),Population!$AA:$AA)/1000</f>
        <v>27.131367999999998</v>
      </c>
      <c r="AP72" s="18" cm="1">
        <f t="array" ref="AP72">_xlfn.XLOOKUP(1,(Population!$Y:$Y=AP$1)*(Population!$Z:$Z=$D72),Population!$AA:$AA)/1000</f>
        <v>27.450330999999998</v>
      </c>
      <c r="AQ72" s="18" cm="1">
        <f t="array" ref="AQ72">_xlfn.XLOOKUP(1,(Population!$Y:$Y=AQ$1)*(Population!$Z:$Z=$D72),Population!$AA:$AA)/1000</f>
        <v>27.759081999999999</v>
      </c>
      <c r="AR72" s="18" cm="1">
        <f t="array" ref="AR72">_xlfn.XLOOKUP(1,(Population!$Y:$Y=AR$1)*(Population!$Z:$Z=$D72),Population!$AA:$AA)/1000</f>
        <v>28.057338999999999</v>
      </c>
      <c r="AS72" s="18" cm="1">
        <f t="array" ref="AS72">_xlfn.XLOOKUP(1,(Population!$Y:$Y=AS$1)*(Population!$Z:$Z=$D72),Population!$AA:$AA)/1000</f>
        <v>28.344776999999997</v>
      </c>
    </row>
    <row r="73" spans="1:45">
      <c r="D73" s="19" t="s">
        <v>25</v>
      </c>
      <c r="E73" s="19" cm="1">
        <f t="array" ref="E73">_xlfn.XLOOKUP(1,(Population!$Y:$Y=E$1)*(Population!$Z:$Z=$D73),Population!$AA:$AA)/1000</f>
        <v>6.7553370000000008</v>
      </c>
      <c r="F73" s="19" cm="1">
        <f t="array" ref="F73">_xlfn.XLOOKUP(1,(Population!$Y:$Y=F$1)*(Population!$Z:$Z=$D73),Population!$AA:$AA)/1000</f>
        <v>7.0841349999999998</v>
      </c>
      <c r="G73" s="19" cm="1">
        <f t="array" ref="G73">_xlfn.XLOOKUP(1,(Population!$Y:$Y=G$1)*(Population!$Z:$Z=$D73),Population!$AA:$AA)/1000</f>
        <v>7.4250479999999994</v>
      </c>
      <c r="H73" s="19" cm="1">
        <f t="array" ref="H73">_xlfn.XLOOKUP(1,(Population!$Y:$Y=H$1)*(Population!$Z:$Z=$D73),Population!$AA:$AA)/1000</f>
        <v>7.778842</v>
      </c>
      <c r="I73" s="19" cm="1">
        <f t="array" ref="I73">_xlfn.XLOOKUP(1,(Population!$Y:$Y=I$1)*(Population!$Z:$Z=$D73),Population!$AA:$AA)/1000</f>
        <v>8.1464859999999994</v>
      </c>
      <c r="J73" s="19" cm="1">
        <f t="array" ref="J73">_xlfn.XLOOKUP(1,(Population!$Y:$Y=J$1)*(Population!$Z:$Z=$D73),Population!$AA:$AA)/1000</f>
        <v>8.5287930000000003</v>
      </c>
      <c r="K73" s="19" cm="1">
        <f t="array" ref="K73">_xlfn.XLOOKUP(1,(Population!$Y:$Y=K$1)*(Population!$Z:$Z=$D73),Population!$AA:$AA)/1000</f>
        <v>8.926245999999999</v>
      </c>
      <c r="L73" s="19" cm="1">
        <f t="array" ref="L73">_xlfn.XLOOKUP(1,(Population!$Y:$Y=L$1)*(Population!$Z:$Z=$D73),Population!$AA:$AA)/1000</f>
        <v>9.3390249999999995</v>
      </c>
      <c r="M73" s="19" cm="1">
        <f t="array" ref="M73">_xlfn.XLOOKUP(1,(Population!$Y:$Y=M$1)*(Population!$Z:$Z=$D73),Population!$AA:$AA)/1000</f>
        <v>9.7672849999999993</v>
      </c>
      <c r="N73" s="18" cm="1">
        <f t="array" ref="N73">_xlfn.XLOOKUP(1,(Population!$Y:$Y=N$1)*(Population!$Z:$Z=$D73),Population!$AA:$AA)/1000</f>
        <v>10.211029</v>
      </c>
      <c r="O73" s="18" cm="1">
        <f t="array" ref="O73">_xlfn.XLOOKUP(1,(Population!$Y:$Y=O$1)*(Population!$Z:$Z=$D73),Population!$AA:$AA)/1000</f>
        <v>10.670252</v>
      </c>
      <c r="P73" s="18" cm="1">
        <f t="array" ref="P73">_xlfn.XLOOKUP(1,(Population!$Y:$Y=P$1)*(Population!$Z:$Z=$D73),Population!$AA:$AA)/1000</f>
        <v>11.145080999999999</v>
      </c>
      <c r="Q73" s="18" cm="1">
        <f t="array" ref="Q73">_xlfn.XLOOKUP(1,(Population!$Y:$Y=Q$1)*(Population!$Z:$Z=$D73),Population!$AA:$AA)/1000</f>
        <v>11.635629000000002</v>
      </c>
      <c r="R73" s="18" cm="1">
        <f t="array" ref="R73">_xlfn.XLOOKUP(1,(Population!$Y:$Y=R$1)*(Population!$Z:$Z=$D73),Population!$AA:$AA)/1000</f>
        <v>12.141776999999999</v>
      </c>
      <c r="S73" s="18" cm="1">
        <f t="array" ref="S73">_xlfn.XLOOKUP(1,(Population!$Y:$Y=S$1)*(Population!$Z:$Z=$D73),Population!$AA:$AA)/1000</f>
        <v>12.663299</v>
      </c>
      <c r="T73" s="18" cm="1">
        <f t="array" ref="T73">_xlfn.XLOOKUP(1,(Population!$Y:$Y=T$1)*(Population!$Z:$Z=$D73),Population!$AA:$AA)/1000</f>
        <v>13.199949</v>
      </c>
      <c r="U73" s="18" cm="1">
        <f t="array" ref="U73">_xlfn.XLOOKUP(1,(Population!$Y:$Y=U$1)*(Population!$Z:$Z=$D73),Population!$AA:$AA)/1000</f>
        <v>13.751595999999999</v>
      </c>
      <c r="V73" s="18" cm="1">
        <f t="array" ref="V73">_xlfn.XLOOKUP(1,(Population!$Y:$Y=V$1)*(Population!$Z:$Z=$D73),Population!$AA:$AA)/1000</f>
        <v>14.318035</v>
      </c>
      <c r="W73" s="18" cm="1">
        <f t="array" ref="W73">_xlfn.XLOOKUP(1,(Population!$Y:$Y=W$1)*(Population!$Z:$Z=$D73),Population!$AA:$AA)/1000</f>
        <v>14.898866</v>
      </c>
      <c r="X73" s="18" cm="1">
        <f t="array" ref="X73">_xlfn.XLOOKUP(1,(Population!$Y:$Y=X$1)*(Population!$Z:$Z=$D73),Population!$AA:$AA)/1000</f>
        <v>15.493575999999999</v>
      </c>
      <c r="Y73" s="18" cm="1">
        <f t="array" ref="Y73">_xlfn.XLOOKUP(1,(Population!$Y:$Y=Y$1)*(Population!$Z:$Z=$D73),Population!$AA:$AA)/1000</f>
        <v>16.101659999999999</v>
      </c>
      <c r="Z73" s="18" cm="1">
        <f t="array" ref="Z73">_xlfn.XLOOKUP(1,(Population!$Y:$Y=Z$1)*(Population!$Z:$Z=$D73),Population!$AA:$AA)/1000</f>
        <v>16.722617999999997</v>
      </c>
      <c r="AA73" s="18" cm="1">
        <f t="array" ref="AA73">_xlfn.XLOOKUP(1,(Population!$Y:$Y=AA$1)*(Population!$Z:$Z=$D73),Population!$AA:$AA)/1000</f>
        <v>17.355954000000001</v>
      </c>
      <c r="AB73" s="18" cm="1">
        <f t="array" ref="AB73">_xlfn.XLOOKUP(1,(Population!$Y:$Y=AB$1)*(Population!$Z:$Z=$D73),Population!$AA:$AA)/1000</f>
        <v>18.000969000000001</v>
      </c>
      <c r="AC73" s="18" cm="1">
        <f t="array" ref="AC73">_xlfn.XLOOKUP(1,(Population!$Y:$Y=AC$1)*(Population!$Z:$Z=$D73),Population!$AA:$AA)/1000</f>
        <v>18.656511999999999</v>
      </c>
      <c r="AD73" s="18" cm="1">
        <f t="array" ref="AD73">_xlfn.XLOOKUP(1,(Population!$Y:$Y=AD$1)*(Population!$Z:$Z=$D73),Population!$AA:$AA)/1000</f>
        <v>19.327758000000003</v>
      </c>
      <c r="AE73" s="18" cm="1">
        <f t="array" ref="AE73">_xlfn.XLOOKUP(1,(Population!$Y:$Y=AE$1)*(Population!$Z:$Z=$D73),Population!$AA:$AA)/1000</f>
        <v>20.013718000000001</v>
      </c>
      <c r="AF73" s="18" cm="1">
        <f t="array" ref="AF73">_xlfn.XLOOKUP(1,(Population!$Y:$Y=AF$1)*(Population!$Z:$Z=$D73),Population!$AA:$AA)/1000</f>
        <v>20.714338000000001</v>
      </c>
      <c r="AG73" s="18" cm="1">
        <f t="array" ref="AG73">_xlfn.XLOOKUP(1,(Population!$Y:$Y=AG$1)*(Population!$Z:$Z=$D73),Population!$AA:$AA)/1000</f>
        <v>21.429705999999999</v>
      </c>
      <c r="AH73" s="18" cm="1">
        <f t="array" ref="AH73">_xlfn.XLOOKUP(1,(Population!$Y:$Y=AH$1)*(Population!$Z:$Z=$D73),Population!$AA:$AA)/1000</f>
        <v>22.159955</v>
      </c>
      <c r="AI73" s="18" cm="1">
        <f t="array" ref="AI73">_xlfn.XLOOKUP(1,(Population!$Y:$Y=AI$1)*(Population!$Z:$Z=$D73),Population!$AA:$AA)/1000</f>
        <v>22.905168</v>
      </c>
      <c r="AJ73" s="18" cm="1">
        <f t="array" ref="AJ73">_xlfn.XLOOKUP(1,(Population!$Y:$Y=AJ$1)*(Population!$Z:$Z=$D73),Population!$AA:$AA)/1000</f>
        <v>23.665293000000002</v>
      </c>
      <c r="AK73" s="18" cm="1">
        <f t="array" ref="AK73">_xlfn.XLOOKUP(1,(Population!$Y:$Y=AK$1)*(Population!$Z:$Z=$D73),Population!$AA:$AA)/1000</f>
        <v>24.44022</v>
      </c>
      <c r="AL73" s="18" cm="1">
        <f t="array" ref="AL73">_xlfn.XLOOKUP(1,(Population!$Y:$Y=AL$1)*(Population!$Z:$Z=$D73),Population!$AA:$AA)/1000</f>
        <v>25.229882</v>
      </c>
      <c r="AM73" s="18" cm="1">
        <f t="array" ref="AM73">_xlfn.XLOOKUP(1,(Population!$Y:$Y=AM$1)*(Population!$Z:$Z=$D73),Population!$AA:$AA)/1000</f>
        <v>26.034199000000001</v>
      </c>
      <c r="AN73" s="18" cm="1">
        <f t="array" ref="AN73">_xlfn.XLOOKUP(1,(Population!$Y:$Y=AN$1)*(Population!$Z:$Z=$D73),Population!$AA:$AA)/1000</f>
        <v>26.853051000000001</v>
      </c>
      <c r="AO73" s="18" cm="1">
        <f t="array" ref="AO73">_xlfn.XLOOKUP(1,(Population!$Y:$Y=AO$1)*(Population!$Z:$Z=$D73),Population!$AA:$AA)/1000</f>
        <v>27.686271000000001</v>
      </c>
      <c r="AP73" s="18" cm="1">
        <f t="array" ref="AP73">_xlfn.XLOOKUP(1,(Population!$Y:$Y=AP$1)*(Population!$Z:$Z=$D73),Population!$AA:$AA)/1000</f>
        <v>28.533626000000002</v>
      </c>
      <c r="AQ73" s="18" cm="1">
        <f t="array" ref="AQ73">_xlfn.XLOOKUP(1,(Population!$Y:$Y=AQ$1)*(Population!$Z:$Z=$D73),Population!$AA:$AA)/1000</f>
        <v>29.394867999999999</v>
      </c>
      <c r="AR73" s="18" cm="1">
        <f t="array" ref="AR73">_xlfn.XLOOKUP(1,(Population!$Y:$Y=AR$1)*(Population!$Z:$Z=$D73),Population!$AA:$AA)/1000</f>
        <v>30.269683000000001</v>
      </c>
      <c r="AS73" s="18" cm="1">
        <f t="array" ref="AS73">_xlfn.XLOOKUP(1,(Population!$Y:$Y=AS$1)*(Population!$Z:$Z=$D73),Population!$AA:$AA)/1000</f>
        <v>31.157741000000001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647E-8B3C-934D-BB22-CCB9294307CA}">
  <dimension ref="A1:BJ75"/>
  <sheetViews>
    <sheetView workbookViewId="0">
      <pane xSplit="4" ySplit="1" topLeftCell="T2" activePane="bottomRight" state="frozen"/>
      <selection pane="topRight" activeCell="E1" sqref="E1"/>
      <selection pane="bottomLeft" activeCell="A2" sqref="A2"/>
      <selection pane="bottomRight" activeCell="BD3" sqref="BD3"/>
    </sheetView>
  </sheetViews>
  <sheetFormatPr baseColWidth="10" defaultRowHeight="16"/>
  <cols>
    <col min="3" max="3" width="8.33203125" bestFit="1" customWidth="1"/>
    <col min="4" max="4" width="11" bestFit="1" customWidth="1"/>
    <col min="5" max="45" width="5.6640625" bestFit="1" customWidth="1"/>
  </cols>
  <sheetData>
    <row r="1" spans="1:62" ht="17" thickBot="1">
      <c r="A1" s="1" t="s">
        <v>62</v>
      </c>
      <c r="B1" s="2" t="s">
        <v>1</v>
      </c>
      <c r="C1" s="2" t="s">
        <v>2</v>
      </c>
      <c r="D1" s="7" t="s">
        <v>3</v>
      </c>
      <c r="E1" s="164">
        <v>2010</v>
      </c>
      <c r="F1" s="165">
        <v>2011</v>
      </c>
      <c r="G1" s="165">
        <v>2012</v>
      </c>
      <c r="H1" s="165">
        <v>2013</v>
      </c>
      <c r="I1" s="165">
        <v>2014</v>
      </c>
      <c r="J1" s="165">
        <v>2015</v>
      </c>
      <c r="K1" s="165">
        <v>2016</v>
      </c>
      <c r="L1" s="165">
        <v>2017</v>
      </c>
      <c r="M1" s="165">
        <v>2018</v>
      </c>
      <c r="N1" s="165">
        <v>2019</v>
      </c>
      <c r="O1" s="165">
        <v>2020</v>
      </c>
      <c r="P1" s="165">
        <v>2021</v>
      </c>
      <c r="Q1" s="165">
        <v>2022</v>
      </c>
      <c r="R1" s="165">
        <v>2023</v>
      </c>
      <c r="S1" s="166">
        <v>2024</v>
      </c>
      <c r="T1" s="178">
        <v>2025</v>
      </c>
      <c r="U1" s="179">
        <v>2026</v>
      </c>
      <c r="V1" s="179">
        <v>2027</v>
      </c>
      <c r="W1" s="179">
        <v>2028</v>
      </c>
      <c r="X1" s="179">
        <v>2029</v>
      </c>
      <c r="Y1" s="179">
        <v>2030</v>
      </c>
      <c r="Z1" s="179">
        <v>2031</v>
      </c>
      <c r="AA1" s="179">
        <v>2032</v>
      </c>
      <c r="AB1" s="179">
        <v>2033</v>
      </c>
      <c r="AC1" s="179">
        <v>2034</v>
      </c>
      <c r="AD1" s="179">
        <v>2035</v>
      </c>
      <c r="AE1" s="179">
        <v>2036</v>
      </c>
      <c r="AF1" s="179">
        <v>2037</v>
      </c>
      <c r="AG1" s="179">
        <v>2038</v>
      </c>
      <c r="AH1" s="179">
        <v>2039</v>
      </c>
      <c r="AI1" s="179">
        <v>2040</v>
      </c>
      <c r="AJ1" s="179">
        <v>2041</v>
      </c>
      <c r="AK1" s="179">
        <v>2042</v>
      </c>
      <c r="AL1" s="179">
        <v>2043</v>
      </c>
      <c r="AM1" s="179">
        <v>2044</v>
      </c>
      <c r="AN1" s="179">
        <v>2045</v>
      </c>
      <c r="AO1" s="179">
        <v>2046</v>
      </c>
      <c r="AP1" s="179">
        <v>2047</v>
      </c>
      <c r="AQ1" s="179">
        <v>2048</v>
      </c>
      <c r="AR1" s="179">
        <v>2049</v>
      </c>
      <c r="AS1" s="180">
        <v>2050</v>
      </c>
      <c r="AT1" s="25" t="s">
        <v>271</v>
      </c>
      <c r="AU1" s="25"/>
      <c r="AV1" s="25"/>
      <c r="BD1">
        <v>2020</v>
      </c>
      <c r="BE1">
        <v>2025</v>
      </c>
      <c r="BF1">
        <v>2030</v>
      </c>
      <c r="BG1">
        <v>2035</v>
      </c>
      <c r="BH1">
        <v>2040</v>
      </c>
      <c r="BI1">
        <v>2045</v>
      </c>
      <c r="BJ1">
        <v>2050</v>
      </c>
    </row>
    <row r="2" spans="1:62">
      <c r="A2" s="3" t="s">
        <v>4</v>
      </c>
      <c r="B2" s="3" t="s">
        <v>36</v>
      </c>
      <c r="C2" s="4" t="s">
        <v>53</v>
      </c>
      <c r="D2" s="42" t="s">
        <v>57</v>
      </c>
      <c r="E2" s="195">
        <f t="shared" ref="E2:M2" si="0">SUM(E13,E24)</f>
        <v>8.153354210745297</v>
      </c>
      <c r="F2" s="195">
        <f t="shared" si="0"/>
        <v>8.2889674528276345</v>
      </c>
      <c r="G2" s="195">
        <f t="shared" si="0"/>
        <v>8.4207242049146824</v>
      </c>
      <c r="H2" s="195">
        <f t="shared" si="0"/>
        <v>8.5487707709908598</v>
      </c>
      <c r="I2" s="195">
        <f t="shared" si="0"/>
        <v>8.6735465376568026</v>
      </c>
      <c r="J2" s="195">
        <f t="shared" si="0"/>
        <v>8.7952043296904723</v>
      </c>
      <c r="K2" s="195">
        <f t="shared" si="0"/>
        <v>8.9133322292150599</v>
      </c>
      <c r="L2" s="195">
        <f t="shared" si="0"/>
        <v>9.0271450534164668</v>
      </c>
      <c r="M2" s="195">
        <f t="shared" si="0"/>
        <v>9.1359365438841635</v>
      </c>
      <c r="N2" s="195">
        <f>SUM(N13,N24)</f>
        <v>9.2388930013210633</v>
      </c>
      <c r="O2" s="195">
        <f t="shared" ref="O2:AS2" si="1">SUM(O13,O24)</f>
        <v>9.3353150588899254</v>
      </c>
      <c r="P2" s="195">
        <f t="shared" si="1"/>
        <v>9.4245601111387725</v>
      </c>
      <c r="Q2" s="195">
        <f t="shared" si="1"/>
        <v>9.5062239340466093</v>
      </c>
      <c r="R2" s="195">
        <f t="shared" si="1"/>
        <v>9.5800631255129165</v>
      </c>
      <c r="S2" s="196">
        <f t="shared" si="1"/>
        <v>9.645926269820329</v>
      </c>
      <c r="T2" s="197">
        <f t="shared" si="1"/>
        <v>9.6216309712248069</v>
      </c>
      <c r="U2" s="197">
        <f t="shared" si="1"/>
        <v>9.585456264708812</v>
      </c>
      <c r="V2" s="197">
        <f t="shared" si="1"/>
        <v>9.5366785821764797</v>
      </c>
      <c r="W2" s="197">
        <f t="shared" si="1"/>
        <v>9.4744403719698784</v>
      </c>
      <c r="X2" s="197">
        <f t="shared" si="1"/>
        <v>9.3978393883851954</v>
      </c>
      <c r="Y2" s="197">
        <f t="shared" si="1"/>
        <v>9.3061476122930173</v>
      </c>
      <c r="Z2" s="197">
        <f t="shared" si="1"/>
        <v>9.1989180571921132</v>
      </c>
      <c r="AA2" s="197">
        <f t="shared" si="1"/>
        <v>9.075894040445192</v>
      </c>
      <c r="AB2" s="197">
        <f t="shared" si="1"/>
        <v>8.9368413234327555</v>
      </c>
      <c r="AC2" s="197">
        <f t="shared" si="1"/>
        <v>8.7816419432347654</v>
      </c>
      <c r="AD2" s="197">
        <f t="shared" si="1"/>
        <v>8.6114656853663956</v>
      </c>
      <c r="AE2" s="197">
        <f t="shared" si="1"/>
        <v>8.4261490254786686</v>
      </c>
      <c r="AF2" s="197">
        <f t="shared" si="1"/>
        <v>8.225471683916501</v>
      </c>
      <c r="AG2" s="197">
        <f t="shared" si="1"/>
        <v>8.0092885934518012</v>
      </c>
      <c r="AH2" s="197">
        <f t="shared" si="1"/>
        <v>7.7774735445235974</v>
      </c>
      <c r="AI2" s="197">
        <f t="shared" si="1"/>
        <v>7.5299274673192746</v>
      </c>
      <c r="AJ2" s="197">
        <f t="shared" si="1"/>
        <v>7.2665572332630415</v>
      </c>
      <c r="AK2" s="197">
        <f t="shared" si="1"/>
        <v>6.9872866740556141</v>
      </c>
      <c r="AL2" s="197">
        <f t="shared" si="1"/>
        <v>6.6920509148706664</v>
      </c>
      <c r="AM2" s="197">
        <f t="shared" si="1"/>
        <v>6.3808059302888527</v>
      </c>
      <c r="AN2" s="197">
        <f t="shared" si="1"/>
        <v>6.0535559389091462</v>
      </c>
      <c r="AO2" s="197">
        <f t="shared" si="1"/>
        <v>5.7103376568881785</v>
      </c>
      <c r="AP2" s="197">
        <f t="shared" si="1"/>
        <v>5.3512352401890775</v>
      </c>
      <c r="AQ2" s="197">
        <f t="shared" si="1"/>
        <v>4.9763709965592176</v>
      </c>
      <c r="AR2" s="197">
        <f t="shared" si="1"/>
        <v>4.5858964984714934</v>
      </c>
      <c r="AS2" s="198">
        <f t="shared" si="1"/>
        <v>4.1799751533379492</v>
      </c>
      <c r="AT2" s="199" t="str">
        <f>_xlfn.TEXTJOIN("_",,A2,B2)</f>
        <v>overall_fuelwood</v>
      </c>
      <c r="BC2" s="87" t="s">
        <v>36</v>
      </c>
      <c r="BD2" s="54">
        <f>_xlfn.XLOOKUP(BD$1,$N$1:$AS$1,$N4:$AS4)+_xlfn.XLOOKUP(BD$1,$N$1:$AS$1,$N2:$AS2)</f>
        <v>9.3749295923688383</v>
      </c>
      <c r="BE2" s="54">
        <f t="shared" ref="BE2:BJ2" si="2">_xlfn.XLOOKUP(BE$1,$N$1:$AS$1,$N4:$AS4)+_xlfn.XLOOKUP(BE$1,$N$1:$AS$1,$N2:$AS2)</f>
        <v>9.7079699912686817</v>
      </c>
      <c r="BF2" s="54">
        <f t="shared" si="2"/>
        <v>9.4542111552863979</v>
      </c>
      <c r="BG2" s="54">
        <f t="shared" si="2"/>
        <v>8.8405040700029787</v>
      </c>
      <c r="BH2" s="54">
        <f t="shared" si="2"/>
        <v>7.8621649931663029</v>
      </c>
      <c r="BI2" s="54">
        <f t="shared" si="2"/>
        <v>6.5143435688556162</v>
      </c>
      <c r="BJ2" s="54">
        <f t="shared" si="2"/>
        <v>4.7973435357236633</v>
      </c>
    </row>
    <row r="3" spans="1:62">
      <c r="A3" s="3" t="s">
        <v>4</v>
      </c>
      <c r="B3" s="3" t="s">
        <v>8</v>
      </c>
      <c r="C3" s="4" t="s">
        <v>53</v>
      </c>
      <c r="D3" s="42" t="s">
        <v>57</v>
      </c>
      <c r="E3" s="199">
        <f t="shared" ref="E3:M3" si="3">SUM(E14,E25)</f>
        <v>0.64716970916986838</v>
      </c>
      <c r="F3" s="199">
        <f t="shared" si="3"/>
        <v>0.72045783786808992</v>
      </c>
      <c r="G3" s="199">
        <f t="shared" si="3"/>
        <v>0.79788272796412429</v>
      </c>
      <c r="H3" s="199">
        <f t="shared" si="3"/>
        <v>0.87963186515110792</v>
      </c>
      <c r="I3" s="199">
        <f t="shared" si="3"/>
        <v>0.96593011213230573</v>
      </c>
      <c r="J3" s="199">
        <f t="shared" si="3"/>
        <v>1.0569990082426988</v>
      </c>
      <c r="K3" s="199">
        <f t="shared" si="3"/>
        <v>1.1530251343227711</v>
      </c>
      <c r="L3" s="199">
        <f t="shared" si="3"/>
        <v>1.2541543952064671</v>
      </c>
      <c r="M3" s="199">
        <f t="shared" si="3"/>
        <v>1.3605265803137825</v>
      </c>
      <c r="N3" s="199">
        <f t="shared" ref="N3:AS3" si="4">SUM(N14,N25)</f>
        <v>1.4722553479850946</v>
      </c>
      <c r="O3" s="199">
        <f t="shared" si="4"/>
        <v>1.5894496465450823</v>
      </c>
      <c r="P3" s="199">
        <f t="shared" si="4"/>
        <v>1.712228575628149</v>
      </c>
      <c r="Q3" s="199">
        <f t="shared" si="4"/>
        <v>1.8407169238723902</v>
      </c>
      <c r="R3" s="199">
        <f t="shared" si="4"/>
        <v>1.9750209659669049</v>
      </c>
      <c r="S3" s="200">
        <f t="shared" si="4"/>
        <v>2.11524052124844</v>
      </c>
      <c r="T3" s="201">
        <f t="shared" si="4"/>
        <v>2.2740278908900833</v>
      </c>
      <c r="U3" s="201">
        <f t="shared" si="4"/>
        <v>2.4389165402245556</v>
      </c>
      <c r="V3" s="201">
        <f t="shared" si="4"/>
        <v>2.6099101255443076</v>
      </c>
      <c r="W3" s="201">
        <f t="shared" si="4"/>
        <v>2.7869533503550392</v>
      </c>
      <c r="X3" s="201">
        <f t="shared" si="4"/>
        <v>2.9699406684437868</v>
      </c>
      <c r="Y3" s="201">
        <f t="shared" si="4"/>
        <v>3.1587516484594067</v>
      </c>
      <c r="Z3" s="201">
        <f t="shared" si="4"/>
        <v>3.3532717625426938</v>
      </c>
      <c r="AA3" s="201">
        <f t="shared" si="4"/>
        <v>3.5533922147239814</v>
      </c>
      <c r="AB3" s="201">
        <f t="shared" si="4"/>
        <v>3.7589656994963025</v>
      </c>
      <c r="AC3" s="201">
        <f t="shared" si="4"/>
        <v>3.9697918373643475</v>
      </c>
      <c r="AD3" s="201">
        <f t="shared" si="4"/>
        <v>4.1867034757963388</v>
      </c>
      <c r="AE3" s="201">
        <f t="shared" si="4"/>
        <v>4.4095625619109615</v>
      </c>
      <c r="AF3" s="201">
        <f t="shared" si="4"/>
        <v>4.6383210457682305</v>
      </c>
      <c r="AG3" s="201">
        <f t="shared" si="4"/>
        <v>4.8729522700795425</v>
      </c>
      <c r="AH3" s="201">
        <f t="shared" si="4"/>
        <v>5.1134282303055834</v>
      </c>
      <c r="AI3" s="201">
        <f t="shared" si="4"/>
        <v>5.3597099765995804</v>
      </c>
      <c r="AJ3" s="201">
        <f t="shared" si="4"/>
        <v>5.611729665395389</v>
      </c>
      <c r="AK3" s="201">
        <f t="shared" si="4"/>
        <v>5.8694015464448306</v>
      </c>
      <c r="AL3" s="201">
        <f t="shared" si="4"/>
        <v>6.1326311919535987</v>
      </c>
      <c r="AM3" s="201">
        <f t="shared" si="4"/>
        <v>6.4013096931771205</v>
      </c>
      <c r="AN3" s="201">
        <f t="shared" si="4"/>
        <v>6.6753215739002272</v>
      </c>
      <c r="AO3" s="201">
        <f t="shared" si="4"/>
        <v>6.9545387521769602</v>
      </c>
      <c r="AP3" s="201">
        <f t="shared" si="4"/>
        <v>7.2388273187189496</v>
      </c>
      <c r="AQ3" s="201">
        <f t="shared" si="4"/>
        <v>7.5280537997943524</v>
      </c>
      <c r="AR3" s="201">
        <f t="shared" si="4"/>
        <v>7.8220759670786624</v>
      </c>
      <c r="AS3" s="202">
        <f t="shared" si="4"/>
        <v>8.1207387606642847</v>
      </c>
      <c r="AT3" s="199" t="str">
        <f t="shared" ref="AT3:AT34" si="5">_xlfn.TEXTJOIN("_",,A3,B3)</f>
        <v>overall_charcoal</v>
      </c>
      <c r="BB3" t="s">
        <v>135</v>
      </c>
      <c r="BC3" s="3" t="s">
        <v>8</v>
      </c>
      <c r="BD3" s="54">
        <f>6*(_xlfn.XLOOKUP(BD$1,$N$1:$AS$1,$N5:$AS5)+_xlfn.XLOOKUP(BD$1,$N$1:$AS$1,$N3:$AS3))</f>
        <v>9.5631075682564344</v>
      </c>
      <c r="BE3" s="54">
        <f t="shared" ref="BE3:BJ3" si="6">6*(_xlfn.XLOOKUP(BE$1,$N$1:$AS$1,$N5:$AS5)+_xlfn.XLOOKUP(BE$1,$N$1:$AS$1,$N3:$AS3))</f>
        <v>13.701726692036416</v>
      </c>
      <c r="BF3" s="54">
        <f t="shared" si="6"/>
        <v>19.051218919418694</v>
      </c>
      <c r="BG3" s="54">
        <f t="shared" si="6"/>
        <v>25.272913111202421</v>
      </c>
      <c r="BH3" s="54">
        <f t="shared" si="6"/>
        <v>32.379751543495502</v>
      </c>
      <c r="BI3" s="54">
        <f t="shared" si="6"/>
        <v>40.359121196699007</v>
      </c>
      <c r="BJ3" s="54">
        <f t="shared" si="6"/>
        <v>49.136011485576184</v>
      </c>
    </row>
    <row r="4" spans="1:62">
      <c r="A4" s="3" t="s">
        <v>4</v>
      </c>
      <c r="B4" t="s">
        <v>37</v>
      </c>
      <c r="C4" s="4" t="s">
        <v>53</v>
      </c>
      <c r="D4" s="42" t="s">
        <v>57</v>
      </c>
      <c r="E4" s="199">
        <f t="shared" ref="E4:M4" si="7">SUM(E15,E26)</f>
        <v>0</v>
      </c>
      <c r="F4" s="199">
        <f t="shared" si="7"/>
        <v>0</v>
      </c>
      <c r="G4" s="199">
        <f t="shared" si="7"/>
        <v>0</v>
      </c>
      <c r="H4" s="199">
        <f t="shared" si="7"/>
        <v>0</v>
      </c>
      <c r="I4" s="199">
        <f t="shared" si="7"/>
        <v>2.1722757921620955E-3</v>
      </c>
      <c r="J4" s="199">
        <f t="shared" si="7"/>
        <v>7.1725358108698017E-3</v>
      </c>
      <c r="K4" s="199">
        <f t="shared" si="7"/>
        <v>1.2633370614286193E-2</v>
      </c>
      <c r="L4" s="199">
        <f t="shared" si="7"/>
        <v>1.8581234612171701E-2</v>
      </c>
      <c r="M4" s="199">
        <f t="shared" si="7"/>
        <v>2.504293163080553E-2</v>
      </c>
      <c r="N4" s="199">
        <f t="shared" ref="N4:AS4" si="8">SUM(N15,N26)</f>
        <v>3.2045144559584307E-2</v>
      </c>
      <c r="O4" s="199">
        <f t="shared" si="8"/>
        <v>3.961453347891325E-2</v>
      </c>
      <c r="P4" s="199">
        <f t="shared" si="8"/>
        <v>4.7778312858962259E-2</v>
      </c>
      <c r="Q4" s="199">
        <f t="shared" si="8"/>
        <v>5.6563920870320181E-2</v>
      </c>
      <c r="R4" s="199">
        <f t="shared" si="8"/>
        <v>6.5997794221163461E-2</v>
      </c>
      <c r="S4" s="200">
        <f t="shared" si="8"/>
        <v>7.6105453178188398E-2</v>
      </c>
      <c r="T4" s="201">
        <f t="shared" si="8"/>
        <v>8.6339020043873907E-2</v>
      </c>
      <c r="U4" s="201">
        <f t="shared" si="8"/>
        <v>9.7248497358843874E-2</v>
      </c>
      <c r="V4" s="201">
        <f t="shared" si="8"/>
        <v>0.10885621395022387</v>
      </c>
      <c r="W4" s="201">
        <f t="shared" si="8"/>
        <v>0.1211824772108972</v>
      </c>
      <c r="X4" s="201">
        <f t="shared" si="8"/>
        <v>0.13424576593378071</v>
      </c>
      <c r="Y4" s="201">
        <f t="shared" si="8"/>
        <v>0.14806354299338073</v>
      </c>
      <c r="Z4" s="201">
        <f t="shared" si="8"/>
        <v>0.16265224740382708</v>
      </c>
      <c r="AA4" s="201">
        <f t="shared" si="8"/>
        <v>0.17802729733487957</v>
      </c>
      <c r="AB4" s="201">
        <f t="shared" si="8"/>
        <v>0.19420086754091154</v>
      </c>
      <c r="AC4" s="201">
        <f t="shared" si="8"/>
        <v>0.21117853195579045</v>
      </c>
      <c r="AD4" s="201">
        <f t="shared" si="8"/>
        <v>0.22903838463658244</v>
      </c>
      <c r="AE4" s="201">
        <f t="shared" si="8"/>
        <v>0.2477931925209918</v>
      </c>
      <c r="AF4" s="201">
        <f t="shared" si="8"/>
        <v>0.26746569497747824</v>
      </c>
      <c r="AG4" s="201">
        <f t="shared" si="8"/>
        <v>0.28808042560398711</v>
      </c>
      <c r="AH4" s="201">
        <f t="shared" si="8"/>
        <v>0.30966273371732689</v>
      </c>
      <c r="AI4" s="201">
        <f t="shared" si="8"/>
        <v>0.33223752584702831</v>
      </c>
      <c r="AJ4" s="201">
        <f t="shared" si="8"/>
        <v>0.35582785495362684</v>
      </c>
      <c r="AK4" s="201">
        <f t="shared" si="8"/>
        <v>0.38045576068896386</v>
      </c>
      <c r="AL4" s="201">
        <f t="shared" si="8"/>
        <v>0.40614374129483255</v>
      </c>
      <c r="AM4" s="201">
        <f t="shared" si="8"/>
        <v>0.4329139365492769</v>
      </c>
      <c r="AN4" s="201">
        <f t="shared" si="8"/>
        <v>0.46078762994646982</v>
      </c>
      <c r="AO4" s="201">
        <f t="shared" si="8"/>
        <v>0.48978501867554453</v>
      </c>
      <c r="AP4" s="201">
        <f t="shared" si="8"/>
        <v>0.51992474264237598</v>
      </c>
      <c r="AQ4" s="201">
        <f t="shared" si="8"/>
        <v>0.55122466563335815</v>
      </c>
      <c r="AR4" s="201">
        <f t="shared" si="8"/>
        <v>0.58370085204434419</v>
      </c>
      <c r="AS4" s="203">
        <f t="shared" si="8"/>
        <v>0.61736838238571434</v>
      </c>
      <c r="AT4" s="199" t="str">
        <f t="shared" si="5"/>
        <v>overall_Imp_fuelwood</v>
      </c>
      <c r="BC4" s="34" t="s">
        <v>11</v>
      </c>
      <c r="BD4" s="54">
        <f>_xlfn.XLOOKUP(BD$1,$N$1:$AS$1,$N6:$AS6)</f>
        <v>1.838123123665809E-3</v>
      </c>
      <c r="BE4" s="54">
        <f t="shared" ref="BE4:BJ4" si="9">_xlfn.XLOOKUP(BE$1,$N$1:$AS$1,$N6:$AS6)</f>
        <v>3.1011586490112524E-3</v>
      </c>
      <c r="BF4" s="54">
        <f t="shared" si="9"/>
        <v>3.0188870794070799E-3</v>
      </c>
      <c r="BG4" s="54">
        <f t="shared" si="9"/>
        <v>2.7117982536723085E-3</v>
      </c>
      <c r="BH4" s="54">
        <f t="shared" si="9"/>
        <v>2.1381412420124406E-3</v>
      </c>
      <c r="BI4" s="54">
        <f t="shared" si="9"/>
        <v>1.2509689518403558E-3</v>
      </c>
      <c r="BJ4" s="54">
        <f t="shared" si="9"/>
        <v>0</v>
      </c>
    </row>
    <row r="5" spans="1:62">
      <c r="A5" s="3" t="s">
        <v>4</v>
      </c>
      <c r="B5" t="s">
        <v>10</v>
      </c>
      <c r="C5" s="4" t="s">
        <v>53</v>
      </c>
      <c r="D5" s="42" t="s">
        <v>57</v>
      </c>
      <c r="E5" s="199">
        <f t="shared" ref="E5:M5" si="10">SUM(E16,E27)</f>
        <v>0</v>
      </c>
      <c r="F5" s="199">
        <f t="shared" si="10"/>
        <v>0</v>
      </c>
      <c r="G5" s="199">
        <f t="shared" si="10"/>
        <v>0</v>
      </c>
      <c r="H5" s="199">
        <f t="shared" si="10"/>
        <v>0</v>
      </c>
      <c r="I5" s="199">
        <f t="shared" si="10"/>
        <v>2.413639769068331E-4</v>
      </c>
      <c r="J5" s="199">
        <f t="shared" si="10"/>
        <v>7.9694842342997794E-4</v>
      </c>
      <c r="K5" s="199">
        <f t="shared" si="10"/>
        <v>1.4037078460316537E-3</v>
      </c>
      <c r="L5" s="199">
        <f t="shared" si="10"/>
        <v>2.0645816235745572E-3</v>
      </c>
      <c r="M5" s="199">
        <f t="shared" si="10"/>
        <v>2.7825479589781532E-3</v>
      </c>
      <c r="N5" s="199">
        <f t="shared" ref="N5:AS5" si="11">SUM(N16,N27)</f>
        <v>3.5605716177314235E-3</v>
      </c>
      <c r="O5" s="199">
        <f t="shared" si="11"/>
        <v>4.4016148309900128E-3</v>
      </c>
      <c r="P5" s="199">
        <f t="shared" si="11"/>
        <v>5.3087014287734931E-3</v>
      </c>
      <c r="Q5" s="199">
        <f t="shared" si="11"/>
        <v>6.2848800967019568E-3</v>
      </c>
      <c r="R5" s="199">
        <f t="shared" si="11"/>
        <v>7.3330882467957416E-3</v>
      </c>
      <c r="S5" s="200">
        <f t="shared" si="11"/>
        <v>8.4561614642430505E-3</v>
      </c>
      <c r="T5" s="201">
        <f t="shared" si="11"/>
        <v>9.5932244493192181E-3</v>
      </c>
      <c r="U5" s="201">
        <f t="shared" si="11"/>
        <v>1.0805388595426992E-2</v>
      </c>
      <c r="V5" s="201">
        <f t="shared" si="11"/>
        <v>1.2095134883358102E-2</v>
      </c>
      <c r="W5" s="201">
        <f t="shared" si="11"/>
        <v>1.3464719690099583E-2</v>
      </c>
      <c r="X5" s="201">
        <f t="shared" si="11"/>
        <v>1.4916196214864419E-2</v>
      </c>
      <c r="Y5" s="201">
        <f t="shared" si="11"/>
        <v>1.6451504777042204E-2</v>
      </c>
      <c r="Z5" s="201">
        <f t="shared" si="11"/>
        <v>1.8072471933758463E-2</v>
      </c>
      <c r="AA5" s="201">
        <f t="shared" si="11"/>
        <v>1.9780810814986522E-2</v>
      </c>
      <c r="AB5" s="201">
        <f t="shared" si="11"/>
        <v>2.1577874171212305E-2</v>
      </c>
      <c r="AC5" s="201">
        <f t="shared" si="11"/>
        <v>2.3464281328421075E-2</v>
      </c>
      <c r="AD5" s="201">
        <f t="shared" si="11"/>
        <v>2.5448709404064632E-2</v>
      </c>
      <c r="AE5" s="201">
        <f t="shared" si="11"/>
        <v>2.7532576946776795E-2</v>
      </c>
      <c r="AF5" s="201">
        <f t="shared" si="11"/>
        <v>2.9718410553053069E-2</v>
      </c>
      <c r="AG5" s="201">
        <f t="shared" si="11"/>
        <v>3.2008936178220732E-2</v>
      </c>
      <c r="AH5" s="201">
        <f t="shared" si="11"/>
        <v>3.4406970413036274E-2</v>
      </c>
      <c r="AI5" s="201">
        <f t="shared" si="11"/>
        <v>3.6915280649669785E-2</v>
      </c>
      <c r="AJ5" s="201">
        <f t="shared" si="11"/>
        <v>3.9536428328180731E-2</v>
      </c>
      <c r="AK5" s="201">
        <f t="shared" si="11"/>
        <v>4.227286229877375E-2</v>
      </c>
      <c r="AL5" s="201">
        <f t="shared" si="11"/>
        <v>4.5127082366092502E-2</v>
      </c>
      <c r="AM5" s="201">
        <f t="shared" si="11"/>
        <v>4.8101548505475225E-2</v>
      </c>
      <c r="AN5" s="201">
        <f t="shared" si="11"/>
        <v>5.1198625549607781E-2</v>
      </c>
      <c r="AO5" s="201">
        <f t="shared" si="11"/>
        <v>5.4420557630616095E-2</v>
      </c>
      <c r="AP5" s="201">
        <f t="shared" si="11"/>
        <v>5.776941584915294E-2</v>
      </c>
      <c r="AQ5" s="201">
        <f t="shared" si="11"/>
        <v>6.1247185070373203E-2</v>
      </c>
      <c r="AR5" s="201">
        <f t="shared" si="11"/>
        <v>6.4855650227149439E-2</v>
      </c>
      <c r="AS5" s="203">
        <f t="shared" si="11"/>
        <v>6.859648693174604E-2</v>
      </c>
      <c r="AT5" s="199" t="str">
        <f t="shared" si="5"/>
        <v>overall_Imp_charcoal</v>
      </c>
      <c r="BC5" s="3" t="s">
        <v>12</v>
      </c>
      <c r="BD5" s="54">
        <f t="shared" ref="BD5:BJ9" si="12">_xlfn.XLOOKUP(BD$1,$N$1:$AS$1,$N7:$AS7)</f>
        <v>1.4109146447841009E-4</v>
      </c>
      <c r="BE5" s="54">
        <f t="shared" si="12"/>
        <v>0</v>
      </c>
      <c r="BF5" s="54">
        <f t="shared" si="12"/>
        <v>0</v>
      </c>
      <c r="BG5" s="54">
        <f t="shared" si="12"/>
        <v>0</v>
      </c>
      <c r="BH5" s="54">
        <f t="shared" si="12"/>
        <v>0</v>
      </c>
      <c r="BI5" s="54">
        <f t="shared" si="12"/>
        <v>0</v>
      </c>
      <c r="BJ5" s="54">
        <f t="shared" si="12"/>
        <v>0</v>
      </c>
    </row>
    <row r="6" spans="1:62">
      <c r="A6" s="3" t="s">
        <v>4</v>
      </c>
      <c r="B6" t="s">
        <v>11</v>
      </c>
      <c r="C6" s="4" t="s">
        <v>53</v>
      </c>
      <c r="D6" s="42" t="s">
        <v>57</v>
      </c>
      <c r="E6" s="199">
        <f t="shared" ref="E6:M6" si="13">SUM(E17,E28)</f>
        <v>1.0031991454441227E-4</v>
      </c>
      <c r="F6" s="199">
        <f t="shared" si="13"/>
        <v>1.0039493622897029E-4</v>
      </c>
      <c r="G6" s="199">
        <f t="shared" si="13"/>
        <v>2.1283209400290156E-4</v>
      </c>
      <c r="H6" s="199">
        <f t="shared" si="13"/>
        <v>3.6209909496208659E-4</v>
      </c>
      <c r="I6" s="199">
        <f t="shared" si="13"/>
        <v>5.2507656236154001E-4</v>
      </c>
      <c r="J6" s="199">
        <f t="shared" si="13"/>
        <v>7.0259249209371857E-4</v>
      </c>
      <c r="K6" s="199">
        <f t="shared" si="13"/>
        <v>8.9549880426573756E-4</v>
      </c>
      <c r="L6" s="199">
        <f t="shared" si="13"/>
        <v>1.1046465911178993E-3</v>
      </c>
      <c r="M6" s="199">
        <f t="shared" si="13"/>
        <v>1.3308986634855097E-3</v>
      </c>
      <c r="N6" s="199">
        <f t="shared" ref="N6:AS6" si="14">SUM(N17,N28)</f>
        <v>1.5751066818746882E-3</v>
      </c>
      <c r="O6" s="199">
        <f t="shared" si="14"/>
        <v>1.838123123665809E-3</v>
      </c>
      <c r="P6" s="199">
        <f t="shared" si="14"/>
        <v>2.1208250106466652E-3</v>
      </c>
      <c r="Q6" s="199">
        <f t="shared" si="14"/>
        <v>2.4240991245201488E-3</v>
      </c>
      <c r="R6" s="199">
        <f t="shared" si="14"/>
        <v>2.7487920508564036E-3</v>
      </c>
      <c r="S6" s="200">
        <f t="shared" si="14"/>
        <v>3.0957171506529185E-3</v>
      </c>
      <c r="T6" s="201">
        <f t="shared" si="14"/>
        <v>3.1011586490112524E-3</v>
      </c>
      <c r="U6" s="201">
        <f t="shared" si="14"/>
        <v>3.0999367035397657E-3</v>
      </c>
      <c r="V6" s="201">
        <f t="shared" si="14"/>
        <v>3.0915915453781414E-3</v>
      </c>
      <c r="W6" s="201">
        <f t="shared" si="14"/>
        <v>3.0756307942582197E-3</v>
      </c>
      <c r="X6" s="201">
        <f t="shared" si="14"/>
        <v>3.0515550123634411E-3</v>
      </c>
      <c r="Y6" s="201">
        <f t="shared" si="14"/>
        <v>3.0188870794070799E-3</v>
      </c>
      <c r="Z6" s="201">
        <f t="shared" si="14"/>
        <v>2.9771722495235994E-3</v>
      </c>
      <c r="AA6" s="201">
        <f t="shared" si="14"/>
        <v>2.9259767079927957E-3</v>
      </c>
      <c r="AB6" s="201">
        <f t="shared" si="14"/>
        <v>2.8648537044602116E-3</v>
      </c>
      <c r="AC6" s="201">
        <f t="shared" si="14"/>
        <v>2.7933173803230162E-3</v>
      </c>
      <c r="AD6" s="201">
        <f t="shared" si="14"/>
        <v>2.7117982536723085E-3</v>
      </c>
      <c r="AE6" s="201">
        <f t="shared" si="14"/>
        <v>2.6197413485294493E-3</v>
      </c>
      <c r="AF6" s="201">
        <f t="shared" si="14"/>
        <v>2.5167379076420113E-3</v>
      </c>
      <c r="AG6" s="201">
        <f t="shared" si="14"/>
        <v>2.4023974648317791E-3</v>
      </c>
      <c r="AH6" s="201">
        <f t="shared" si="14"/>
        <v>2.2763311866889238E-3</v>
      </c>
      <c r="AI6" s="201">
        <f t="shared" si="14"/>
        <v>2.1381412420124406E-3</v>
      </c>
      <c r="AJ6" s="201">
        <f t="shared" si="14"/>
        <v>1.9874159565594469E-3</v>
      </c>
      <c r="AK6" s="201">
        <f t="shared" si="14"/>
        <v>1.8237416611168547E-3</v>
      </c>
      <c r="AL6" s="201">
        <f t="shared" si="14"/>
        <v>1.6467117560959971E-3</v>
      </c>
      <c r="AM6" s="201">
        <f t="shared" si="14"/>
        <v>1.4559217861542394E-3</v>
      </c>
      <c r="AN6" s="201">
        <f t="shared" si="14"/>
        <v>1.2509689518403558E-3</v>
      </c>
      <c r="AO6" s="201">
        <f t="shared" si="14"/>
        <v>1.0314535580169865E-3</v>
      </c>
      <c r="AP6" s="201">
        <f t="shared" si="14"/>
        <v>7.9698066399521653E-4</v>
      </c>
      <c r="AQ6" s="201">
        <f>SUM(AQ17,AQ28)</f>
        <v>5.4716391521443032E-4</v>
      </c>
      <c r="AR6" s="201">
        <f t="shared" si="14"/>
        <v>2.8162567859582062E-4</v>
      </c>
      <c r="AS6" s="202">
        <f t="shared" si="14"/>
        <v>0</v>
      </c>
      <c r="AT6" s="199" t="str">
        <f t="shared" si="5"/>
        <v>overall_Gas</v>
      </c>
      <c r="BC6" s="3" t="s">
        <v>13</v>
      </c>
      <c r="BD6" s="54">
        <f t="shared" si="12"/>
        <v>0.3083562253484326</v>
      </c>
      <c r="BE6" s="54">
        <f t="shared" si="12"/>
        <v>0.29081508489027647</v>
      </c>
      <c r="BF6" s="54">
        <f t="shared" si="12"/>
        <v>0.28277445702309012</v>
      </c>
      <c r="BG6" s="54">
        <f t="shared" si="12"/>
        <v>0.25374542960818758</v>
      </c>
      <c r="BH6" s="54">
        <f t="shared" si="12"/>
        <v>0.19987618986869021</v>
      </c>
      <c r="BI6" s="54">
        <f t="shared" si="12"/>
        <v>0.11683770866120327</v>
      </c>
      <c r="BJ6" s="54">
        <f t="shared" si="12"/>
        <v>0</v>
      </c>
    </row>
    <row r="7" spans="1:62">
      <c r="A7" s="3" t="s">
        <v>4</v>
      </c>
      <c r="B7" s="3" t="s">
        <v>12</v>
      </c>
      <c r="C7" s="4" t="s">
        <v>53</v>
      </c>
      <c r="D7" s="42" t="s">
        <v>57</v>
      </c>
      <c r="E7" s="199">
        <f t="shared" ref="E7:M7" si="15">SUM(E18,E29)</f>
        <v>3.3293868194047898E-4</v>
      </c>
      <c r="F7" s="199">
        <f t="shared" si="15"/>
        <v>3.2359649225190628E-4</v>
      </c>
      <c r="G7" s="199">
        <f t="shared" si="15"/>
        <v>3.1239256550049977E-4</v>
      </c>
      <c r="H7" s="199">
        <f t="shared" si="15"/>
        <v>2.9922529827646599E-4</v>
      </c>
      <c r="I7" s="199">
        <f t="shared" si="15"/>
        <v>2.8398911429553512E-4</v>
      </c>
      <c r="J7" s="199">
        <f t="shared" si="15"/>
        <v>2.6655958385035487E-4</v>
      </c>
      <c r="K7" s="199">
        <f t="shared" si="15"/>
        <v>2.4679142595349199E-4</v>
      </c>
      <c r="L7" s="199">
        <f t="shared" si="15"/>
        <v>2.245251077567487E-4</v>
      </c>
      <c r="M7" s="199">
        <f t="shared" si="15"/>
        <v>1.9959798903509892E-4</v>
      </c>
      <c r="N7" s="199">
        <f t="shared" ref="N7:AS7" si="16">SUM(N18,N29)</f>
        <v>1.7184263566835339E-4</v>
      </c>
      <c r="O7" s="199">
        <f t="shared" si="16"/>
        <v>1.4109146447841009E-4</v>
      </c>
      <c r="P7" s="199">
        <f t="shared" si="16"/>
        <v>1.0717823380847281E-4</v>
      </c>
      <c r="Q7" s="199">
        <f t="shared" si="16"/>
        <v>6.993478588618863E-5</v>
      </c>
      <c r="R7" s="199">
        <f t="shared" si="16"/>
        <v>2.9190775153562381E-5</v>
      </c>
      <c r="S7" s="200">
        <f t="shared" si="16"/>
        <v>0</v>
      </c>
      <c r="T7" s="201">
        <f t="shared" si="16"/>
        <v>0</v>
      </c>
      <c r="U7" s="201">
        <f t="shared" si="16"/>
        <v>0</v>
      </c>
      <c r="V7" s="201">
        <f t="shared" si="16"/>
        <v>0</v>
      </c>
      <c r="W7" s="201">
        <f t="shared" si="16"/>
        <v>0</v>
      </c>
      <c r="X7" s="201">
        <f t="shared" si="16"/>
        <v>0</v>
      </c>
      <c r="Y7" s="201">
        <f t="shared" si="16"/>
        <v>0</v>
      </c>
      <c r="Z7" s="201">
        <f t="shared" si="16"/>
        <v>0</v>
      </c>
      <c r="AA7" s="201">
        <f t="shared" si="16"/>
        <v>0</v>
      </c>
      <c r="AB7" s="201">
        <f t="shared" si="16"/>
        <v>0</v>
      </c>
      <c r="AC7" s="201">
        <f t="shared" si="16"/>
        <v>0</v>
      </c>
      <c r="AD7" s="201">
        <f t="shared" si="16"/>
        <v>0</v>
      </c>
      <c r="AE7" s="201">
        <f t="shared" si="16"/>
        <v>0</v>
      </c>
      <c r="AF7" s="201">
        <f t="shared" si="16"/>
        <v>0</v>
      </c>
      <c r="AG7" s="201">
        <f t="shared" si="16"/>
        <v>0</v>
      </c>
      <c r="AH7" s="201">
        <f t="shared" si="16"/>
        <v>0</v>
      </c>
      <c r="AI7" s="201">
        <f t="shared" si="16"/>
        <v>0</v>
      </c>
      <c r="AJ7" s="201">
        <f t="shared" si="16"/>
        <v>0</v>
      </c>
      <c r="AK7" s="201">
        <f t="shared" si="16"/>
        <v>0</v>
      </c>
      <c r="AL7" s="201">
        <f t="shared" si="16"/>
        <v>0</v>
      </c>
      <c r="AM7" s="201">
        <f t="shared" si="16"/>
        <v>0</v>
      </c>
      <c r="AN7" s="201">
        <f t="shared" si="16"/>
        <v>0</v>
      </c>
      <c r="AO7" s="201">
        <f t="shared" si="16"/>
        <v>0</v>
      </c>
      <c r="AP7" s="201">
        <f t="shared" si="16"/>
        <v>0</v>
      </c>
      <c r="AQ7" s="201">
        <f t="shared" si="16"/>
        <v>0</v>
      </c>
      <c r="AR7" s="201">
        <f t="shared" si="16"/>
        <v>0</v>
      </c>
      <c r="AS7" s="202">
        <f t="shared" si="16"/>
        <v>0</v>
      </c>
      <c r="AT7" s="199" t="str">
        <f t="shared" si="5"/>
        <v>overall_kerosene</v>
      </c>
      <c r="BC7" t="s">
        <v>14</v>
      </c>
      <c r="BD7" s="54">
        <f t="shared" si="12"/>
        <v>0</v>
      </c>
      <c r="BE7" s="54">
        <f t="shared" si="12"/>
        <v>0</v>
      </c>
      <c r="BF7" s="54">
        <f t="shared" si="12"/>
        <v>0</v>
      </c>
      <c r="BG7" s="54">
        <f t="shared" si="12"/>
        <v>0</v>
      </c>
      <c r="BH7" s="54">
        <f t="shared" si="12"/>
        <v>0</v>
      </c>
      <c r="BI7" s="54">
        <f t="shared" si="12"/>
        <v>0</v>
      </c>
      <c r="BJ7" s="54">
        <f t="shared" si="12"/>
        <v>0</v>
      </c>
    </row>
    <row r="8" spans="1:62">
      <c r="A8" s="3" t="s">
        <v>4</v>
      </c>
      <c r="B8" s="3" t="s">
        <v>13</v>
      </c>
      <c r="C8" s="4" t="s">
        <v>53</v>
      </c>
      <c r="D8" s="42" t="s">
        <v>123</v>
      </c>
      <c r="E8" s="199">
        <f t="shared" ref="E8:M8" si="17">SUM(E19,E30)</f>
        <v>0.29878206722327505</v>
      </c>
      <c r="F8" s="199">
        <f t="shared" si="17"/>
        <v>0.30224992235712889</v>
      </c>
      <c r="G8" s="199">
        <f t="shared" si="17"/>
        <v>0.30524227786858743</v>
      </c>
      <c r="H8" s="199">
        <f t="shared" si="17"/>
        <v>0.30773827103855683</v>
      </c>
      <c r="I8" s="199">
        <f t="shared" si="17"/>
        <v>0.30972076505882484</v>
      </c>
      <c r="J8" s="199">
        <f t="shared" si="17"/>
        <v>0.3111611389016159</v>
      </c>
      <c r="K8" s="199">
        <f t="shared" si="17"/>
        <v>0.312014103799233</v>
      </c>
      <c r="L8" s="199">
        <f t="shared" si="17"/>
        <v>0.31222153343469627</v>
      </c>
      <c r="M8" s="199">
        <f t="shared" si="17"/>
        <v>0.31172402964521884</v>
      </c>
      <c r="N8" s="199">
        <f t="shared" ref="N8:AS8" si="18">SUM(N19,N30)</f>
        <v>0.31045702387606683</v>
      </c>
      <c r="O8" s="199">
        <f t="shared" si="18"/>
        <v>0.3083562253484326</v>
      </c>
      <c r="P8" s="199">
        <f t="shared" si="18"/>
        <v>0.30536110235788327</v>
      </c>
      <c r="Q8" s="199">
        <f t="shared" si="18"/>
        <v>0.30141074260139633</v>
      </c>
      <c r="R8" s="199">
        <f t="shared" si="18"/>
        <v>0.29643860367094571</v>
      </c>
      <c r="S8" s="200">
        <f t="shared" si="18"/>
        <v>0.29037654054996637</v>
      </c>
      <c r="T8" s="201">
        <f t="shared" si="18"/>
        <v>0.29081508489027647</v>
      </c>
      <c r="U8" s="201">
        <f t="shared" si="18"/>
        <v>0.29063053231488722</v>
      </c>
      <c r="V8" s="201">
        <f t="shared" si="18"/>
        <v>0.28978008971704616</v>
      </c>
      <c r="W8" s="201">
        <f t="shared" si="18"/>
        <v>0.28821790572043293</v>
      </c>
      <c r="X8" s="201">
        <f t="shared" si="18"/>
        <v>0.2858974761915784</v>
      </c>
      <c r="Y8" s="201">
        <f t="shared" si="18"/>
        <v>0.28277445702309012</v>
      </c>
      <c r="Z8" s="201">
        <f t="shared" si="18"/>
        <v>0.27880671197832241</v>
      </c>
      <c r="AA8" s="201">
        <f t="shared" si="18"/>
        <v>0.27395413173179844</v>
      </c>
      <c r="AB8" s="201">
        <f t="shared" si="18"/>
        <v>0.26817543123395687</v>
      </c>
      <c r="AC8" s="201">
        <f t="shared" si="18"/>
        <v>0.26142577121393012</v>
      </c>
      <c r="AD8" s="201">
        <f t="shared" si="18"/>
        <v>0.25374542960818758</v>
      </c>
      <c r="AE8" s="201">
        <f t="shared" si="18"/>
        <v>0.2450831462636372</v>
      </c>
      <c r="AF8" s="201">
        <f t="shared" si="18"/>
        <v>0.2354011453160631</v>
      </c>
      <c r="AG8" s="201">
        <f t="shared" si="18"/>
        <v>0.2246633770513812</v>
      </c>
      <c r="AH8" s="201">
        <f t="shared" si="18"/>
        <v>0.21283395755280066</v>
      </c>
      <c r="AI8" s="201">
        <f t="shared" si="18"/>
        <v>0.19987618986869021</v>
      </c>
      <c r="AJ8" s="201">
        <f t="shared" si="18"/>
        <v>0.18575210939965336</v>
      </c>
      <c r="AK8" s="201">
        <f t="shared" si="18"/>
        <v>0.17042358249673425</v>
      </c>
      <c r="AL8" s="201">
        <f t="shared" si="18"/>
        <v>0.15385314313060583</v>
      </c>
      <c r="AM8" s="201">
        <f t="shared" si="18"/>
        <v>0.13600354209735543</v>
      </c>
      <c r="AN8" s="201">
        <f t="shared" si="18"/>
        <v>0.11683770866120327</v>
      </c>
      <c r="AO8" s="201">
        <f t="shared" si="18"/>
        <v>9.631887901026584E-2</v>
      </c>
      <c r="AP8" s="201">
        <f t="shared" si="18"/>
        <v>7.4410750007208107E-2</v>
      </c>
      <c r="AQ8" s="201">
        <f t="shared" si="18"/>
        <v>5.1077828500402753E-2</v>
      </c>
      <c r="AR8" s="201">
        <f t="shared" si="18"/>
        <v>2.628544005819192E-2</v>
      </c>
      <c r="AS8" s="202">
        <f t="shared" si="18"/>
        <v>0</v>
      </c>
      <c r="AT8" s="199" t="str">
        <f t="shared" si="5"/>
        <v>overall_electric</v>
      </c>
      <c r="BC8" t="s">
        <v>15</v>
      </c>
      <c r="BD8" s="54">
        <f t="shared" si="12"/>
        <v>0</v>
      </c>
      <c r="BE8" s="54">
        <f t="shared" si="12"/>
        <v>0</v>
      </c>
      <c r="BF8" s="54">
        <f t="shared" si="12"/>
        <v>0</v>
      </c>
      <c r="BG8" s="54">
        <f t="shared" si="12"/>
        <v>0</v>
      </c>
      <c r="BH8" s="54">
        <f t="shared" si="12"/>
        <v>0</v>
      </c>
      <c r="BI8" s="54">
        <f t="shared" si="12"/>
        <v>0</v>
      </c>
      <c r="BJ8" s="54">
        <f t="shared" si="12"/>
        <v>0</v>
      </c>
    </row>
    <row r="9" spans="1:62">
      <c r="A9" s="3" t="s">
        <v>4</v>
      </c>
      <c r="B9" t="s">
        <v>14</v>
      </c>
      <c r="C9" s="4" t="s">
        <v>53</v>
      </c>
      <c r="D9" s="42" t="s">
        <v>57</v>
      </c>
      <c r="E9" s="199">
        <f t="shared" ref="E9:M9" si="19">SUM(E20,E31)</f>
        <v>0</v>
      </c>
      <c r="F9" s="199">
        <f t="shared" si="19"/>
        <v>0</v>
      </c>
      <c r="G9" s="199">
        <f t="shared" si="19"/>
        <v>0</v>
      </c>
      <c r="H9" s="199">
        <f t="shared" si="19"/>
        <v>0</v>
      </c>
      <c r="I9" s="199">
        <f t="shared" si="19"/>
        <v>0</v>
      </c>
      <c r="J9" s="199">
        <f t="shared" si="19"/>
        <v>0</v>
      </c>
      <c r="K9" s="199">
        <f t="shared" si="19"/>
        <v>0</v>
      </c>
      <c r="L9" s="199">
        <f t="shared" si="19"/>
        <v>0</v>
      </c>
      <c r="M9" s="199">
        <f t="shared" si="19"/>
        <v>0</v>
      </c>
      <c r="N9" s="199">
        <f t="shared" ref="N9:AS9" si="20">SUM(N20,N31)</f>
        <v>0</v>
      </c>
      <c r="O9" s="199">
        <f t="shared" si="20"/>
        <v>0</v>
      </c>
      <c r="P9" s="199">
        <f t="shared" si="20"/>
        <v>0</v>
      </c>
      <c r="Q9" s="199">
        <f t="shared" si="20"/>
        <v>0</v>
      </c>
      <c r="R9" s="199">
        <f t="shared" si="20"/>
        <v>0</v>
      </c>
      <c r="S9" s="200">
        <f t="shared" si="20"/>
        <v>0</v>
      </c>
      <c r="T9" s="201">
        <f t="shared" si="20"/>
        <v>0</v>
      </c>
      <c r="U9" s="201">
        <f t="shared" si="20"/>
        <v>0</v>
      </c>
      <c r="V9" s="201">
        <f t="shared" si="20"/>
        <v>0</v>
      </c>
      <c r="W9" s="201">
        <f t="shared" si="20"/>
        <v>0</v>
      </c>
      <c r="X9" s="201">
        <f t="shared" si="20"/>
        <v>0</v>
      </c>
      <c r="Y9" s="201">
        <f t="shared" si="20"/>
        <v>0</v>
      </c>
      <c r="Z9" s="201">
        <f t="shared" si="20"/>
        <v>0</v>
      </c>
      <c r="AA9" s="201">
        <f t="shared" si="20"/>
        <v>0</v>
      </c>
      <c r="AB9" s="201">
        <f t="shared" si="20"/>
        <v>0</v>
      </c>
      <c r="AC9" s="201">
        <f t="shared" si="20"/>
        <v>0</v>
      </c>
      <c r="AD9" s="201">
        <f t="shared" si="20"/>
        <v>0</v>
      </c>
      <c r="AE9" s="201">
        <f t="shared" si="20"/>
        <v>0</v>
      </c>
      <c r="AF9" s="201">
        <f t="shared" si="20"/>
        <v>0</v>
      </c>
      <c r="AG9" s="201">
        <f t="shared" si="20"/>
        <v>0</v>
      </c>
      <c r="AH9" s="201">
        <f t="shared" si="20"/>
        <v>0</v>
      </c>
      <c r="AI9" s="201">
        <f t="shared" si="20"/>
        <v>0</v>
      </c>
      <c r="AJ9" s="201">
        <f t="shared" si="20"/>
        <v>0</v>
      </c>
      <c r="AK9" s="201">
        <f t="shared" si="20"/>
        <v>0</v>
      </c>
      <c r="AL9" s="201">
        <f t="shared" si="20"/>
        <v>0</v>
      </c>
      <c r="AM9" s="201">
        <f t="shared" si="20"/>
        <v>0</v>
      </c>
      <c r="AN9" s="201">
        <f t="shared" si="20"/>
        <v>0</v>
      </c>
      <c r="AO9" s="201">
        <f t="shared" si="20"/>
        <v>0</v>
      </c>
      <c r="AP9" s="201">
        <f t="shared" si="20"/>
        <v>0</v>
      </c>
      <c r="AQ9" s="201">
        <f t="shared" si="20"/>
        <v>0</v>
      </c>
      <c r="AR9" s="201">
        <f t="shared" si="20"/>
        <v>0</v>
      </c>
      <c r="AS9" s="204">
        <f t="shared" si="20"/>
        <v>0</v>
      </c>
      <c r="AT9" s="199" t="str">
        <f t="shared" si="5"/>
        <v>overall_pellets</v>
      </c>
      <c r="BC9" t="s">
        <v>16</v>
      </c>
      <c r="BD9" s="54">
        <f t="shared" si="12"/>
        <v>0</v>
      </c>
      <c r="BE9" s="54">
        <f t="shared" si="12"/>
        <v>0</v>
      </c>
      <c r="BF9" s="54">
        <f t="shared" si="12"/>
        <v>0</v>
      </c>
      <c r="BG9" s="54">
        <f t="shared" si="12"/>
        <v>0</v>
      </c>
      <c r="BH9" s="54">
        <f t="shared" si="12"/>
        <v>0</v>
      </c>
      <c r="BI9" s="54">
        <f t="shared" si="12"/>
        <v>0</v>
      </c>
      <c r="BJ9" s="54">
        <f t="shared" si="12"/>
        <v>0</v>
      </c>
    </row>
    <row r="10" spans="1:62">
      <c r="A10" s="3" t="s">
        <v>4</v>
      </c>
      <c r="B10" t="s">
        <v>15</v>
      </c>
      <c r="C10" s="4" t="s">
        <v>53</v>
      </c>
      <c r="D10" s="42" t="s">
        <v>57</v>
      </c>
      <c r="E10" s="199">
        <f t="shared" ref="E10:M10" si="21">SUM(E21,E32)</f>
        <v>0</v>
      </c>
      <c r="F10" s="199">
        <f t="shared" si="21"/>
        <v>0</v>
      </c>
      <c r="G10" s="199">
        <f t="shared" si="21"/>
        <v>0</v>
      </c>
      <c r="H10" s="199">
        <f t="shared" si="21"/>
        <v>0</v>
      </c>
      <c r="I10" s="199">
        <f t="shared" si="21"/>
        <v>0</v>
      </c>
      <c r="J10" s="199">
        <f t="shared" si="21"/>
        <v>0</v>
      </c>
      <c r="K10" s="199">
        <f t="shared" si="21"/>
        <v>0</v>
      </c>
      <c r="L10" s="199">
        <f t="shared" si="21"/>
        <v>0</v>
      </c>
      <c r="M10" s="199">
        <f t="shared" si="21"/>
        <v>0</v>
      </c>
      <c r="N10" s="199">
        <f t="shared" ref="N10:AS10" si="22">SUM(N21,N32)</f>
        <v>0</v>
      </c>
      <c r="O10" s="199">
        <f t="shared" si="22"/>
        <v>0</v>
      </c>
      <c r="P10" s="199">
        <f t="shared" si="22"/>
        <v>0</v>
      </c>
      <c r="Q10" s="199">
        <f t="shared" si="22"/>
        <v>0</v>
      </c>
      <c r="R10" s="199">
        <f t="shared" si="22"/>
        <v>0</v>
      </c>
      <c r="S10" s="200">
        <f t="shared" si="22"/>
        <v>0</v>
      </c>
      <c r="T10" s="201">
        <f t="shared" si="22"/>
        <v>0</v>
      </c>
      <c r="U10" s="201">
        <f t="shared" si="22"/>
        <v>0</v>
      </c>
      <c r="V10" s="201">
        <f t="shared" si="22"/>
        <v>0</v>
      </c>
      <c r="W10" s="201">
        <f t="shared" si="22"/>
        <v>0</v>
      </c>
      <c r="X10" s="201">
        <f t="shared" si="22"/>
        <v>0</v>
      </c>
      <c r="Y10" s="201">
        <f t="shared" si="22"/>
        <v>0</v>
      </c>
      <c r="Z10" s="201">
        <f t="shared" si="22"/>
        <v>0</v>
      </c>
      <c r="AA10" s="201">
        <f t="shared" si="22"/>
        <v>0</v>
      </c>
      <c r="AB10" s="201">
        <f t="shared" si="22"/>
        <v>0</v>
      </c>
      <c r="AC10" s="201">
        <f t="shared" si="22"/>
        <v>0</v>
      </c>
      <c r="AD10" s="201">
        <f t="shared" si="22"/>
        <v>0</v>
      </c>
      <c r="AE10" s="201">
        <f t="shared" si="22"/>
        <v>0</v>
      </c>
      <c r="AF10" s="201">
        <f t="shared" si="22"/>
        <v>0</v>
      </c>
      <c r="AG10" s="201">
        <f t="shared" si="22"/>
        <v>0</v>
      </c>
      <c r="AH10" s="201">
        <f t="shared" si="22"/>
        <v>0</v>
      </c>
      <c r="AI10" s="201">
        <f t="shared" si="22"/>
        <v>0</v>
      </c>
      <c r="AJ10" s="201">
        <f t="shared" si="22"/>
        <v>0</v>
      </c>
      <c r="AK10" s="201">
        <f t="shared" si="22"/>
        <v>0</v>
      </c>
      <c r="AL10" s="201">
        <f t="shared" si="22"/>
        <v>0</v>
      </c>
      <c r="AM10" s="201">
        <f t="shared" si="22"/>
        <v>0</v>
      </c>
      <c r="AN10" s="201">
        <f t="shared" si="22"/>
        <v>0</v>
      </c>
      <c r="AO10" s="201">
        <f t="shared" si="22"/>
        <v>0</v>
      </c>
      <c r="AP10" s="201">
        <f t="shared" si="22"/>
        <v>0</v>
      </c>
      <c r="AQ10" s="201">
        <f t="shared" si="22"/>
        <v>0</v>
      </c>
      <c r="AR10" s="201">
        <f t="shared" si="22"/>
        <v>0</v>
      </c>
      <c r="AS10" s="204">
        <f t="shared" si="22"/>
        <v>0</v>
      </c>
      <c r="AT10" s="199" t="str">
        <f t="shared" si="5"/>
        <v>overall_ethanol</v>
      </c>
    </row>
    <row r="11" spans="1:62">
      <c r="A11" s="3" t="s">
        <v>4</v>
      </c>
      <c r="B11" t="s">
        <v>16</v>
      </c>
      <c r="C11" s="4" t="s">
        <v>53</v>
      </c>
      <c r="D11" s="42" t="s">
        <v>57</v>
      </c>
      <c r="E11" s="199">
        <f t="shared" ref="E11:M11" si="23">SUM(E22,E33)</f>
        <v>0</v>
      </c>
      <c r="F11" s="199">
        <f t="shared" si="23"/>
        <v>0</v>
      </c>
      <c r="G11" s="199">
        <f t="shared" si="23"/>
        <v>0</v>
      </c>
      <c r="H11" s="199">
        <f t="shared" si="23"/>
        <v>0</v>
      </c>
      <c r="I11" s="199">
        <f t="shared" si="23"/>
        <v>0</v>
      </c>
      <c r="J11" s="199">
        <f t="shared" si="23"/>
        <v>0</v>
      </c>
      <c r="K11" s="199">
        <f t="shared" si="23"/>
        <v>0</v>
      </c>
      <c r="L11" s="199">
        <f t="shared" si="23"/>
        <v>0</v>
      </c>
      <c r="M11" s="199">
        <f t="shared" si="23"/>
        <v>0</v>
      </c>
      <c r="N11" s="199">
        <f t="shared" ref="N11:AS11" si="24">SUM(N22,N33)</f>
        <v>0</v>
      </c>
      <c r="O11" s="199">
        <f t="shared" si="24"/>
        <v>0</v>
      </c>
      <c r="P11" s="199">
        <f t="shared" si="24"/>
        <v>0</v>
      </c>
      <c r="Q11" s="199">
        <f t="shared" si="24"/>
        <v>0</v>
      </c>
      <c r="R11" s="199">
        <f t="shared" si="24"/>
        <v>0</v>
      </c>
      <c r="S11" s="200">
        <f t="shared" si="24"/>
        <v>0</v>
      </c>
      <c r="T11" s="201">
        <f t="shared" si="24"/>
        <v>0</v>
      </c>
      <c r="U11" s="201">
        <f t="shared" si="24"/>
        <v>0</v>
      </c>
      <c r="V11" s="201">
        <f t="shared" si="24"/>
        <v>0</v>
      </c>
      <c r="W11" s="201">
        <f t="shared" si="24"/>
        <v>0</v>
      </c>
      <c r="X11" s="201">
        <f t="shared" si="24"/>
        <v>0</v>
      </c>
      <c r="Y11" s="201">
        <f t="shared" si="24"/>
        <v>0</v>
      </c>
      <c r="Z11" s="201">
        <f t="shared" si="24"/>
        <v>0</v>
      </c>
      <c r="AA11" s="201">
        <f t="shared" si="24"/>
        <v>0</v>
      </c>
      <c r="AB11" s="201">
        <f t="shared" si="24"/>
        <v>0</v>
      </c>
      <c r="AC11" s="201">
        <f t="shared" si="24"/>
        <v>0</v>
      </c>
      <c r="AD11" s="201">
        <f t="shared" si="24"/>
        <v>0</v>
      </c>
      <c r="AE11" s="201">
        <f t="shared" si="24"/>
        <v>0</v>
      </c>
      <c r="AF11" s="201">
        <f t="shared" si="24"/>
        <v>0</v>
      </c>
      <c r="AG11" s="201">
        <f t="shared" si="24"/>
        <v>0</v>
      </c>
      <c r="AH11" s="201">
        <f t="shared" si="24"/>
        <v>0</v>
      </c>
      <c r="AI11" s="201">
        <f t="shared" si="24"/>
        <v>0</v>
      </c>
      <c r="AJ11" s="201">
        <f t="shared" si="24"/>
        <v>0</v>
      </c>
      <c r="AK11" s="201">
        <f t="shared" si="24"/>
        <v>0</v>
      </c>
      <c r="AL11" s="201">
        <f t="shared" si="24"/>
        <v>0</v>
      </c>
      <c r="AM11" s="201">
        <f t="shared" si="24"/>
        <v>0</v>
      </c>
      <c r="AN11" s="201">
        <f t="shared" si="24"/>
        <v>0</v>
      </c>
      <c r="AO11" s="201">
        <f t="shared" si="24"/>
        <v>0</v>
      </c>
      <c r="AP11" s="201">
        <f t="shared" si="24"/>
        <v>0</v>
      </c>
      <c r="AQ11" s="201">
        <f t="shared" si="24"/>
        <v>0</v>
      </c>
      <c r="AR11" s="201">
        <f t="shared" si="24"/>
        <v>0</v>
      </c>
      <c r="AS11" s="204">
        <f t="shared" si="24"/>
        <v>0</v>
      </c>
      <c r="AT11" s="199" t="str">
        <f t="shared" si="5"/>
        <v>overall_biogas</v>
      </c>
      <c r="BB11" t="s">
        <v>127</v>
      </c>
      <c r="BC11" t="s">
        <v>53</v>
      </c>
      <c r="BD11" s="54">
        <f>SUM(BD2:BD3)</f>
        <v>18.938037160625271</v>
      </c>
      <c r="BE11" s="54">
        <f t="shared" ref="BE11:BJ11" si="25">SUM(BE2:BE3)</f>
        <v>23.4096966833051</v>
      </c>
      <c r="BF11" s="54">
        <f t="shared" si="25"/>
        <v>28.505430074705092</v>
      </c>
      <c r="BG11" s="54">
        <f t="shared" si="25"/>
        <v>34.113417181205399</v>
      </c>
      <c r="BH11" s="54">
        <f t="shared" si="25"/>
        <v>40.241916536661805</v>
      </c>
      <c r="BI11" s="54">
        <f t="shared" si="25"/>
        <v>46.873464765554623</v>
      </c>
      <c r="BJ11" s="54">
        <f t="shared" si="25"/>
        <v>53.933355021299846</v>
      </c>
    </row>
    <row r="12" spans="1:62" ht="17" thickBot="1">
      <c r="A12" s="31" t="s">
        <v>4</v>
      </c>
      <c r="B12" s="31" t="s">
        <v>17</v>
      </c>
      <c r="C12" s="32" t="s">
        <v>53</v>
      </c>
      <c r="D12" s="43" t="s">
        <v>57</v>
      </c>
      <c r="E12" s="205">
        <f t="shared" ref="E12:M12" si="26">SUM(E23,E34)</f>
        <v>0</v>
      </c>
      <c r="F12" s="205">
        <f t="shared" si="26"/>
        <v>0</v>
      </c>
      <c r="G12" s="205">
        <f t="shared" si="26"/>
        <v>0</v>
      </c>
      <c r="H12" s="205">
        <f t="shared" si="26"/>
        <v>0</v>
      </c>
      <c r="I12" s="205">
        <f t="shared" si="26"/>
        <v>0</v>
      </c>
      <c r="J12" s="205">
        <f t="shared" si="26"/>
        <v>0</v>
      </c>
      <c r="K12" s="205">
        <f t="shared" si="26"/>
        <v>0</v>
      </c>
      <c r="L12" s="205">
        <f t="shared" si="26"/>
        <v>0</v>
      </c>
      <c r="M12" s="205">
        <f t="shared" si="26"/>
        <v>0</v>
      </c>
      <c r="N12" s="205">
        <f t="shared" ref="N12:AS12" si="27">SUM(N23,N34)</f>
        <v>0</v>
      </c>
      <c r="O12" s="205">
        <f t="shared" si="27"/>
        <v>0</v>
      </c>
      <c r="P12" s="205">
        <f t="shared" si="27"/>
        <v>0</v>
      </c>
      <c r="Q12" s="205">
        <f t="shared" si="27"/>
        <v>0</v>
      </c>
      <c r="R12" s="205">
        <f t="shared" si="27"/>
        <v>0</v>
      </c>
      <c r="S12" s="206">
        <f t="shared" si="27"/>
        <v>0</v>
      </c>
      <c r="T12" s="207">
        <f t="shared" si="27"/>
        <v>0</v>
      </c>
      <c r="U12" s="207">
        <f t="shared" si="27"/>
        <v>0</v>
      </c>
      <c r="V12" s="207">
        <f t="shared" si="27"/>
        <v>0</v>
      </c>
      <c r="W12" s="207">
        <f t="shared" si="27"/>
        <v>0</v>
      </c>
      <c r="X12" s="207">
        <f t="shared" si="27"/>
        <v>0</v>
      </c>
      <c r="Y12" s="207">
        <f t="shared" si="27"/>
        <v>0</v>
      </c>
      <c r="Z12" s="207">
        <f t="shared" si="27"/>
        <v>0</v>
      </c>
      <c r="AA12" s="207">
        <f t="shared" si="27"/>
        <v>0</v>
      </c>
      <c r="AB12" s="207">
        <f t="shared" si="27"/>
        <v>0</v>
      </c>
      <c r="AC12" s="207">
        <f t="shared" si="27"/>
        <v>0</v>
      </c>
      <c r="AD12" s="207">
        <f t="shared" si="27"/>
        <v>0</v>
      </c>
      <c r="AE12" s="207">
        <f t="shared" si="27"/>
        <v>0</v>
      </c>
      <c r="AF12" s="207">
        <f t="shared" si="27"/>
        <v>0</v>
      </c>
      <c r="AG12" s="207">
        <f t="shared" si="27"/>
        <v>0</v>
      </c>
      <c r="AH12" s="207">
        <f t="shared" si="27"/>
        <v>0</v>
      </c>
      <c r="AI12" s="207">
        <f t="shared" si="27"/>
        <v>0</v>
      </c>
      <c r="AJ12" s="207">
        <f t="shared" si="27"/>
        <v>0</v>
      </c>
      <c r="AK12" s="207">
        <f t="shared" si="27"/>
        <v>0</v>
      </c>
      <c r="AL12" s="207">
        <f t="shared" si="27"/>
        <v>0</v>
      </c>
      <c r="AM12" s="207">
        <f t="shared" si="27"/>
        <v>0</v>
      </c>
      <c r="AN12" s="207">
        <f t="shared" si="27"/>
        <v>0</v>
      </c>
      <c r="AO12" s="207">
        <f t="shared" si="27"/>
        <v>0</v>
      </c>
      <c r="AP12" s="207">
        <f t="shared" si="27"/>
        <v>0</v>
      </c>
      <c r="AQ12" s="207">
        <f t="shared" si="27"/>
        <v>0</v>
      </c>
      <c r="AR12" s="207">
        <f t="shared" si="27"/>
        <v>0</v>
      </c>
      <c r="AS12" s="208">
        <f t="shared" si="27"/>
        <v>0</v>
      </c>
      <c r="AT12" s="199" t="str">
        <f t="shared" si="5"/>
        <v>overall_other</v>
      </c>
      <c r="BC12" t="s">
        <v>68</v>
      </c>
      <c r="BD12" s="54">
        <f>SUM(NICCS_Fuel_cons!AU2:AU3)</f>
        <v>18.938037160625271</v>
      </c>
      <c r="BE12" s="54">
        <f>SUM(NICCS_Fuel_cons!AV2:AV3)</f>
        <v>23.409696683305093</v>
      </c>
      <c r="BF12" s="54">
        <f>SUM(NICCS_Fuel_cons!AW2:AW3)</f>
        <v>20.498862229896279</v>
      </c>
      <c r="BG12" s="54">
        <f>SUM(NICCS_Fuel_cons!AX2:AX3)</f>
        <v>15.611966544575168</v>
      </c>
      <c r="BH12" s="54">
        <f>SUM(NICCS_Fuel_cons!AY2:AY3)</f>
        <v>8.5242389719619069</v>
      </c>
      <c r="BI12" s="54">
        <f>SUM(NICCS_Fuel_cons!AZ2:AZ3)</f>
        <v>9.2974491189261901</v>
      </c>
      <c r="BJ12" s="54">
        <f>SUM(NICCS_Fuel_cons!BA2:BA3)</f>
        <v>10.032919956883333</v>
      </c>
    </row>
    <row r="13" spans="1:62">
      <c r="A13" s="28" t="s">
        <v>18</v>
      </c>
      <c r="B13" s="28" t="s">
        <v>36</v>
      </c>
      <c r="C13" s="29" t="s">
        <v>53</v>
      </c>
      <c r="D13" s="44" t="s">
        <v>57</v>
      </c>
      <c r="E13" s="195">
        <f>BAU_Scenario!E13*_xlfn.XLOOKUP($B13,params!$O$2:$O$12,params!$P$2:$P$12,0)</f>
        <v>6.9722868581636455</v>
      </c>
      <c r="F13" s="195">
        <f>BAU_Scenario!F13*_xlfn.XLOOKUP($B13,params!$O$2:$O$12,params!$P$2:$P$12,0)</f>
        <v>7.0874977375995387</v>
      </c>
      <c r="G13" s="195">
        <f>BAU_Scenario!G13*_xlfn.XLOOKUP($B13,params!$O$2:$O$12,params!$P$2:$P$12,0)</f>
        <v>7.2003031223112313</v>
      </c>
      <c r="H13" s="195">
        <f>BAU_Scenario!H13*_xlfn.XLOOKUP($B13,params!$O$2:$O$12,params!$P$2:$P$12,0)</f>
        <v>7.3109176753232612</v>
      </c>
      <c r="I13" s="195">
        <f>BAU_Scenario!I13*_xlfn.XLOOKUP($B13,params!$O$2:$O$12,params!$P$2:$P$12,0)</f>
        <v>7.4198339403190268</v>
      </c>
      <c r="J13" s="195">
        <f>BAU_Scenario!J13*_xlfn.XLOOKUP($B13,params!$O$2:$O$12,params!$P$2:$P$12,0)</f>
        <v>7.5273013798371622</v>
      </c>
      <c r="K13" s="195">
        <f>BAU_Scenario!K13*_xlfn.XLOOKUP($B13,params!$O$2:$O$12,params!$P$2:$P$12,0)</f>
        <v>7.633069067683957</v>
      </c>
      <c r="L13" s="195">
        <f>BAU_Scenario!L13*_xlfn.XLOOKUP($B13,params!$O$2:$O$12,params!$P$2:$P$12,0)</f>
        <v>7.7365647982959338</v>
      </c>
      <c r="M13" s="195">
        <f>BAU_Scenario!M13*_xlfn.XLOOKUP($B13,params!$O$2:$O$12,params!$P$2:$P$12,0)</f>
        <v>7.8373023833967341</v>
      </c>
      <c r="N13" s="195">
        <f>BAU_Scenario!N13*_xlfn.XLOOKUP($B13,params!$O$2:$O$12,params!$P$2:$P$12,0)</f>
        <v>7.9347108531834385</v>
      </c>
      <c r="O13" s="195">
        <f>BAU_Scenario!O13*_xlfn.XLOOKUP($B13,params!$O$2:$O$12,params!$P$2:$P$12,0)</f>
        <v>8.0283346130346906</v>
      </c>
      <c r="P13" s="195">
        <f>BAU_Scenario!P13*_xlfn.XLOOKUP($B13,params!$O$2:$O$12,params!$P$2:$P$12,0)</f>
        <v>8.1177592475463438</v>
      </c>
      <c r="Q13" s="195">
        <f>BAU_Scenario!Q13*_xlfn.XLOOKUP($B13,params!$O$2:$O$12,params!$P$2:$P$12,0)</f>
        <v>8.2028129502107401</v>
      </c>
      <c r="R13" s="195">
        <f>BAU_Scenario!R13*_xlfn.XLOOKUP($B13,params!$O$2:$O$12,params!$P$2:$P$12,0)</f>
        <v>8.28351187646002</v>
      </c>
      <c r="S13" s="196">
        <f>BAU_Scenario!S13*_xlfn.XLOOKUP($B13,params!$O$2:$O$12,params!$P$2:$P$12,0)</f>
        <v>8.3599725422317821</v>
      </c>
      <c r="T13" s="201">
        <f>BAU_Scenario!T13*_xlfn.XLOOKUP($B13,params!$O$2:$O$12,params!$P$2:$P$12,0)</f>
        <v>8.3327364005895035</v>
      </c>
      <c r="U13" s="201">
        <f>BAU_Scenario!U13*_xlfn.XLOOKUP($B13,params!$O$2:$O$12,params!$P$2:$P$12,0)</f>
        <v>8.2964071081483333</v>
      </c>
      <c r="V13" s="201">
        <f>BAU_Scenario!V13*_xlfn.XLOOKUP($B13,params!$O$2:$O$12,params!$P$2:$P$12,0)</f>
        <v>8.2504552363307546</v>
      </c>
      <c r="W13" s="201">
        <f>BAU_Scenario!W13*_xlfn.XLOOKUP($B13,params!$O$2:$O$12,params!$P$2:$P$12,0)</f>
        <v>8.1942309259712491</v>
      </c>
      <c r="X13" s="201">
        <f>BAU_Scenario!X13*_xlfn.XLOOKUP($B13,params!$O$2:$O$12,params!$P$2:$P$12,0)</f>
        <v>8.1270426430079699</v>
      </c>
      <c r="Y13" s="201">
        <f>BAU_Scenario!Y13*_xlfn.XLOOKUP($B13,params!$O$2:$O$12,params!$P$2:$P$12,0)</f>
        <v>8.0483644404207251</v>
      </c>
      <c r="Z13" s="201">
        <f>BAU_Scenario!Z13*_xlfn.XLOOKUP($B13,params!$O$2:$O$12,params!$P$2:$P$12,0)</f>
        <v>7.9579431431431109</v>
      </c>
      <c r="AA13" s="201">
        <f>BAU_Scenario!AA13*_xlfn.XLOOKUP($B13,params!$O$2:$O$12,params!$P$2:$P$12,0)</f>
        <v>7.8557077872457928</v>
      </c>
      <c r="AB13" s="201">
        <f>BAU_Scenario!AB13*_xlfn.XLOOKUP($B13,params!$O$2:$O$12,params!$P$2:$P$12,0)</f>
        <v>7.7416155825615904</v>
      </c>
      <c r="AC13" s="201">
        <f>BAU_Scenario!AC13*_xlfn.XLOOKUP($B13,params!$O$2:$O$12,params!$P$2:$P$12,0)</f>
        <v>7.6157573405573524</v>
      </c>
      <c r="AD13" s="201">
        <f>BAU_Scenario!AD13*_xlfn.XLOOKUP($B13,params!$O$2:$O$12,params!$P$2:$P$12,0)</f>
        <v>7.4791230218264211</v>
      </c>
      <c r="AE13" s="201">
        <f>BAU_Scenario!AE13*_xlfn.XLOOKUP($B13,params!$O$2:$O$12,params!$P$2:$P$12,0)</f>
        <v>7.3317871773898187</v>
      </c>
      <c r="AF13" s="201">
        <f>BAU_Scenario!AF13*_xlfn.XLOOKUP($B13,params!$O$2:$O$12,params!$P$2:$P$12,0)</f>
        <v>7.1737046773241007</v>
      </c>
      <c r="AG13" s="201">
        <f>BAU_Scenario!AG13*_xlfn.XLOOKUP($B13,params!$O$2:$O$12,params!$P$2:$P$12,0)</f>
        <v>7.0048981050808869</v>
      </c>
      <c r="AH13" s="201">
        <f>BAU_Scenario!AH13*_xlfn.XLOOKUP($B13,params!$O$2:$O$12,params!$P$2:$P$12,0)</f>
        <v>6.8254083432557788</v>
      </c>
      <c r="AI13" s="201">
        <f>BAU_Scenario!AI13*_xlfn.XLOOKUP($B13,params!$O$2:$O$12,params!$P$2:$P$12,0)</f>
        <v>6.6353074449331446</v>
      </c>
      <c r="AJ13" s="201">
        <f>BAU_Scenario!AJ13*_xlfn.XLOOKUP($B13,params!$O$2:$O$12,params!$P$2:$P$12,0)</f>
        <v>6.4346794466390405</v>
      </c>
      <c r="AK13" s="201">
        <f>BAU_Scenario!AK13*_xlfn.XLOOKUP($B13,params!$O$2:$O$12,params!$P$2:$P$12,0)</f>
        <v>6.2236263450496212</v>
      </c>
      <c r="AL13" s="201">
        <f>BAU_Scenario!AL13*_xlfn.XLOOKUP($B13,params!$O$2:$O$12,params!$P$2:$P$12,0)</f>
        <v>6.0022585361486422</v>
      </c>
      <c r="AM13" s="201">
        <f>BAU_Scenario!AM13*_xlfn.XLOOKUP($B13,params!$O$2:$O$12,params!$P$2:$P$12,0)</f>
        <v>5.7707065232331631</v>
      </c>
      <c r="AN13" s="201">
        <f>BAU_Scenario!AN13*_xlfn.XLOOKUP($B13,params!$O$2:$O$12,params!$P$2:$P$12,0)</f>
        <v>5.5291485849278121</v>
      </c>
      <c r="AO13" s="201">
        <f>BAU_Scenario!AO13*_xlfn.XLOOKUP($B13,params!$O$2:$O$12,params!$P$2:$P$12,0)</f>
        <v>5.2777943569340646</v>
      </c>
      <c r="AP13" s="201">
        <f>BAU_Scenario!AP13*_xlfn.XLOOKUP($B13,params!$O$2:$O$12,params!$P$2:$P$12,0)</f>
        <v>5.0168990790544719</v>
      </c>
      <c r="AQ13" s="201">
        <f>BAU_Scenario!AQ13*_xlfn.XLOOKUP($B13,params!$O$2:$O$12,params!$P$2:$P$12,0)</f>
        <v>4.7467526198837255</v>
      </c>
      <c r="AR13" s="201">
        <f>BAU_Scenario!AR13*_xlfn.XLOOKUP($B13,params!$O$2:$O$12,params!$P$2:$P$12,0)</f>
        <v>4.4676704960117837</v>
      </c>
      <c r="AS13" s="198">
        <f>BAU_Scenario!AS13*_xlfn.XLOOKUP($B13,params!$O$2:$O$12,params!$P$2:$P$12,0)</f>
        <v>4.1799751533379492</v>
      </c>
      <c r="AT13" s="199" t="str">
        <f t="shared" si="5"/>
        <v>rural_fuelwood</v>
      </c>
      <c r="BC13" t="s">
        <v>128</v>
      </c>
      <c r="BD13" s="21">
        <f>(BD12-BD11)/BD11</f>
        <v>0</v>
      </c>
      <c r="BE13" s="21">
        <f t="shared" ref="BE13:BJ13" si="28">(BE12-BE11)/BE11</f>
        <v>-3.0352496462153313E-16</v>
      </c>
      <c r="BF13" s="21">
        <f t="shared" si="28"/>
        <v>-0.28087868956285678</v>
      </c>
      <c r="BG13" s="21">
        <f t="shared" si="28"/>
        <v>-0.54235113821501013</v>
      </c>
      <c r="BH13" s="21">
        <f t="shared" si="28"/>
        <v>-0.78817512420920544</v>
      </c>
      <c r="BI13" s="21">
        <f t="shared" si="28"/>
        <v>-0.80164792243481642</v>
      </c>
      <c r="BJ13" s="21">
        <f t="shared" si="28"/>
        <v>-0.81397560094451671</v>
      </c>
    </row>
    <row r="14" spans="1:62">
      <c r="A14" s="3" t="s">
        <v>18</v>
      </c>
      <c r="B14" s="3" t="s">
        <v>8</v>
      </c>
      <c r="C14" s="4" t="s">
        <v>53</v>
      </c>
      <c r="D14" s="42" t="s">
        <v>57</v>
      </c>
      <c r="E14" s="199">
        <f>BAU_Scenario!E14*_xlfn.XLOOKUP($B14,params!$O$2:$O$12,params!$P$2:$P$12,0)</f>
        <v>1.6552591517834423E-2</v>
      </c>
      <c r="F14" s="199">
        <f>BAU_Scenario!F14*_xlfn.XLOOKUP($B14,params!$O$2:$O$12,params!$P$2:$P$12,0)</f>
        <v>4.3658499270064974E-2</v>
      </c>
      <c r="G14" s="199">
        <f>BAU_Scenario!G14*_xlfn.XLOOKUP($B14,params!$O$2:$O$12,params!$P$2:$P$12,0)</f>
        <v>7.2279490500471985E-2</v>
      </c>
      <c r="H14" s="199">
        <f>BAU_Scenario!H14*_xlfn.XLOOKUP($B14,params!$O$2:$O$12,params!$P$2:$P$12,0)</f>
        <v>0.10244705576784828</v>
      </c>
      <c r="I14" s="199">
        <f>BAU_Scenario!I14*_xlfn.XLOOKUP($B14,params!$O$2:$O$12,params!$P$2:$P$12,0)</f>
        <v>0.13420263798712659</v>
      </c>
      <c r="J14" s="199">
        <f>BAU_Scenario!J14*_xlfn.XLOOKUP($B14,params!$O$2:$O$12,params!$P$2:$P$12,0)</f>
        <v>0.16759215041843914</v>
      </c>
      <c r="K14" s="199">
        <f>BAU_Scenario!K14*_xlfn.XLOOKUP($B14,params!$O$2:$O$12,params!$P$2:$P$12,0)</f>
        <v>0.20265457256429592</v>
      </c>
      <c r="L14" s="199">
        <f>BAU_Scenario!L14*_xlfn.XLOOKUP($B14,params!$O$2:$O$12,params!$P$2:$P$12,0)</f>
        <v>0.23941690648406785</v>
      </c>
      <c r="M14" s="199">
        <f>BAU_Scenario!M14*_xlfn.XLOOKUP($B14,params!$O$2:$O$12,params!$P$2:$P$12,0)</f>
        <v>0.27790123567893887</v>
      </c>
      <c r="N14" s="199">
        <f>BAU_Scenario!N14*_xlfn.XLOOKUP($B14,params!$O$2:$O$12,params!$P$2:$P$12,0)</f>
        <v>0.31811933732741948</v>
      </c>
      <c r="O14" s="199">
        <f>BAU_Scenario!O14*_xlfn.XLOOKUP($B14,params!$O$2:$O$12,params!$P$2:$P$12,0)</f>
        <v>0.36007917407379103</v>
      </c>
      <c r="P14" s="199">
        <f>BAU_Scenario!P14*_xlfn.XLOOKUP($B14,params!$O$2:$O$12,params!$P$2:$P$12,0)</f>
        <v>0.4037834066497355</v>
      </c>
      <c r="Q14" s="199">
        <f>BAU_Scenario!Q14*_xlfn.XLOOKUP($B14,params!$O$2:$O$12,params!$P$2:$P$12,0)</f>
        <v>0.44924094833449146</v>
      </c>
      <c r="R14" s="199">
        <f>BAU_Scenario!R14*_xlfn.XLOOKUP($B14,params!$O$2:$O$12,params!$P$2:$P$12,0)</f>
        <v>0.49646946175837747</v>
      </c>
      <c r="S14" s="200">
        <f>BAU_Scenario!S14*_xlfn.XLOOKUP($B14,params!$O$2:$O$12,params!$P$2:$P$12,0)</f>
        <v>0.5454944586662992</v>
      </c>
      <c r="T14" s="201">
        <f>BAU_Scenario!T14*_xlfn.XLOOKUP($B14,params!$O$2:$O$12,params!$P$2:$P$12,0)</f>
        <v>0.62373664153659292</v>
      </c>
      <c r="U14" s="201">
        <f>BAU_Scenario!U14*_xlfn.XLOOKUP($B14,params!$O$2:$O$12,params!$P$2:$P$12,0)</f>
        <v>0.70504907621048774</v>
      </c>
      <c r="V14" s="201">
        <f>BAU_Scenario!V14*_xlfn.XLOOKUP($B14,params!$O$2:$O$12,params!$P$2:$P$12,0)</f>
        <v>0.78941369156459273</v>
      </c>
      <c r="W14" s="201">
        <f>BAU_Scenario!W14*_xlfn.XLOOKUP($B14,params!$O$2:$O$12,params!$P$2:$P$12,0)</f>
        <v>0.87677933557420074</v>
      </c>
      <c r="X14" s="201">
        <f>BAU_Scenario!X14*_xlfn.XLOOKUP($B14,params!$O$2:$O$12,params!$P$2:$P$12,0)</f>
        <v>0.96706091382087855</v>
      </c>
      <c r="Y14" s="201">
        <f>BAU_Scenario!Y14*_xlfn.XLOOKUP($B14,params!$O$2:$O$12,params!$P$2:$P$12,0)</f>
        <v>1.0601595838539335</v>
      </c>
      <c r="Z14" s="201">
        <f>BAU_Scenario!Z14*_xlfn.XLOOKUP($B14,params!$O$2:$O$12,params!$P$2:$P$12,0)</f>
        <v>1.1559838955182453</v>
      </c>
      <c r="AA14" s="201">
        <f>BAU_Scenario!AA14*_xlfn.XLOOKUP($B14,params!$O$2:$O$12,params!$P$2:$P$12,0)</f>
        <v>1.2544497252535631</v>
      </c>
      <c r="AB14" s="201">
        <f>BAU_Scenario!AB14*_xlfn.XLOOKUP($B14,params!$O$2:$O$12,params!$P$2:$P$12,0)</f>
        <v>1.35546365220793</v>
      </c>
      <c r="AC14" s="201">
        <f>BAU_Scenario!AC14*_xlfn.XLOOKUP($B14,params!$O$2:$O$12,params!$P$2:$P$12,0)</f>
        <v>1.4589429831505394</v>
      </c>
      <c r="AD14" s="201">
        <f>BAU_Scenario!AD14*_xlfn.XLOOKUP($B14,params!$O$2:$O$12,params!$P$2:$P$12,0)</f>
        <v>1.5649850506976175</v>
      </c>
      <c r="AE14" s="201">
        <f>BAU_Scenario!AE14*_xlfn.XLOOKUP($B14,params!$O$2:$O$12,params!$P$2:$P$12,0)</f>
        <v>1.6735369632420287</v>
      </c>
      <c r="AF14" s="201">
        <f>BAU_Scenario!AF14*_xlfn.XLOOKUP($B14,params!$O$2:$O$12,params!$P$2:$P$12,0)</f>
        <v>1.7845112197102757</v>
      </c>
      <c r="AG14" s="201">
        <f>BAU_Scenario!AG14*_xlfn.XLOOKUP($B14,params!$O$2:$O$12,params!$P$2:$P$12,0)</f>
        <v>1.8978222269791722</v>
      </c>
      <c r="AH14" s="201">
        <f>BAU_Scenario!AH14*_xlfn.XLOOKUP($B14,params!$O$2:$O$12,params!$P$2:$P$12,0)</f>
        <v>2.0133763755115082</v>
      </c>
      <c r="AI14" s="201">
        <f>BAU_Scenario!AI14*_xlfn.XLOOKUP($B14,params!$O$2:$O$12,params!$P$2:$P$12,0)</f>
        <v>2.1310755931647414</v>
      </c>
      <c r="AJ14" s="201">
        <f>BAU_Scenario!AJ14*_xlfn.XLOOKUP($B14,params!$O$2:$O$12,params!$P$2:$P$12,0)</f>
        <v>2.2508117339495652</v>
      </c>
      <c r="AK14" s="201">
        <f>BAU_Scenario!AK14*_xlfn.XLOOKUP($B14,params!$O$2:$O$12,params!$P$2:$P$12,0)</f>
        <v>2.3724672648522067</v>
      </c>
      <c r="AL14" s="201">
        <f>BAU_Scenario!AL14*_xlfn.XLOOKUP($B14,params!$O$2:$O$12,params!$P$2:$P$12,0)</f>
        <v>2.495910244545203</v>
      </c>
      <c r="AM14" s="201">
        <f>BAU_Scenario!AM14*_xlfn.XLOOKUP($B14,params!$O$2:$O$12,params!$P$2:$P$12,0)</f>
        <v>2.6209964231127532</v>
      </c>
      <c r="AN14" s="201">
        <f>BAU_Scenario!AN14*_xlfn.XLOOKUP($B14,params!$O$2:$O$12,params!$P$2:$P$12,0)</f>
        <v>2.7475811738122284</v>
      </c>
      <c r="AO14" s="201">
        <f>BAU_Scenario!AO14*_xlfn.XLOOKUP($B14,params!$O$2:$O$12,params!$P$2:$P$12,0)</f>
        <v>2.8755146985793489</v>
      </c>
      <c r="AP14" s="201">
        <f>BAU_Scenario!AP14*_xlfn.XLOOKUP($B14,params!$O$2:$O$12,params!$P$2:$P$12,0)</f>
        <v>3.0046518755069549</v>
      </c>
      <c r="AQ14" s="201">
        <f>BAU_Scenario!AQ14*_xlfn.XLOOKUP($B14,params!$O$2:$O$12,params!$P$2:$P$12,0)</f>
        <v>3.1348512501008221</v>
      </c>
      <c r="AR14" s="201">
        <f>BAU_Scenario!AR14*_xlfn.XLOOKUP($B14,params!$O$2:$O$12,params!$P$2:$P$12,0)</f>
        <v>3.265973601168505</v>
      </c>
      <c r="AS14" s="202">
        <f>BAU_Scenario!AS14*_xlfn.XLOOKUP($B14,params!$O$2:$O$12,params!$P$2:$P$12,0)</f>
        <v>3.3978706354135708</v>
      </c>
      <c r="AT14" s="199" t="str">
        <f t="shared" si="5"/>
        <v>rural_charcoal</v>
      </c>
      <c r="BC14" t="s">
        <v>129</v>
      </c>
      <c r="BD14" s="21">
        <f>BD11/SUM(BD2:BD9)</f>
        <v>0.98387731542938239</v>
      </c>
      <c r="BE14" s="21">
        <f t="shared" ref="BE14:BJ14" si="29">BE11/SUM(BE2:BE9)</f>
        <v>0.98760036098942428</v>
      </c>
      <c r="BF14" s="21">
        <f t="shared" si="29"/>
        <v>0.99007359499993297</v>
      </c>
      <c r="BG14" s="21">
        <f t="shared" si="29"/>
        <v>0.99253831350066846</v>
      </c>
      <c r="BH14" s="21">
        <f t="shared" si="29"/>
        <v>0.99500507673768979</v>
      </c>
      <c r="BI14" s="21">
        <f t="shared" si="29"/>
        <v>0.99748702332737593</v>
      </c>
      <c r="BJ14" s="21">
        <f t="shared" si="29"/>
        <v>1</v>
      </c>
    </row>
    <row r="15" spans="1:62">
      <c r="A15" s="3" t="s">
        <v>18</v>
      </c>
      <c r="B15" t="s">
        <v>37</v>
      </c>
      <c r="C15" s="4" t="s">
        <v>53</v>
      </c>
      <c r="D15" s="42" t="s">
        <v>57</v>
      </c>
      <c r="E15" s="199">
        <f>BAU_Scenario!E15*_xlfn.XLOOKUP($B15,params!$O$2:$O$12,params!$P$2:$P$12,0)</f>
        <v>0</v>
      </c>
      <c r="F15" s="199">
        <f>BAU_Scenario!F15*_xlfn.XLOOKUP($B15,params!$O$2:$O$12,params!$P$2:$P$12,0)</f>
        <v>0</v>
      </c>
      <c r="G15" s="199">
        <f>BAU_Scenario!G15*_xlfn.XLOOKUP($B15,params!$O$2:$O$12,params!$P$2:$P$12,0)</f>
        <v>0</v>
      </c>
      <c r="H15" s="199">
        <f>BAU_Scenario!H15*_xlfn.XLOOKUP($B15,params!$O$2:$O$12,params!$P$2:$P$12,0)</f>
        <v>0</v>
      </c>
      <c r="I15" s="199">
        <f>BAU_Scenario!I15*_xlfn.XLOOKUP($B15,params!$O$2:$O$12,params!$P$2:$P$12,0)</f>
        <v>0</v>
      </c>
      <c r="J15" s="199">
        <f>BAU_Scenario!J15*_xlfn.XLOOKUP($B15,params!$O$2:$O$12,params!$P$2:$P$12,0)</f>
        <v>0</v>
      </c>
      <c r="K15" s="199">
        <f>BAU_Scenario!K15*_xlfn.XLOOKUP($B15,params!$O$2:$O$12,params!$P$2:$P$12,0)</f>
        <v>0</v>
      </c>
      <c r="L15" s="199">
        <f>BAU_Scenario!L15*_xlfn.XLOOKUP($B15,params!$O$2:$O$12,params!$P$2:$P$12,0)</f>
        <v>0</v>
      </c>
      <c r="M15" s="199">
        <f>BAU_Scenario!M15*_xlfn.XLOOKUP($B15,params!$O$2:$O$12,params!$P$2:$P$12,0)</f>
        <v>0</v>
      </c>
      <c r="N15" s="199">
        <f>BAU_Scenario!N15*_xlfn.XLOOKUP($B15,params!$O$2:$O$12,params!$P$2:$P$12,0)</f>
        <v>0</v>
      </c>
      <c r="O15" s="199">
        <f>BAU_Scenario!O15*_xlfn.XLOOKUP($B15,params!$O$2:$O$12,params!$P$2:$P$12,0)</f>
        <v>0</v>
      </c>
      <c r="P15" s="199">
        <f>BAU_Scenario!P15*_xlfn.XLOOKUP($B15,params!$O$2:$O$12,params!$P$2:$P$12,0)</f>
        <v>0</v>
      </c>
      <c r="Q15" s="199">
        <f>BAU_Scenario!Q15*_xlfn.XLOOKUP($B15,params!$O$2:$O$12,params!$P$2:$P$12,0)</f>
        <v>0</v>
      </c>
      <c r="R15" s="199">
        <f>BAU_Scenario!R15*_xlfn.XLOOKUP($B15,params!$O$2:$O$12,params!$P$2:$P$12,0)</f>
        <v>0</v>
      </c>
      <c r="S15" s="200">
        <f>BAU_Scenario!S15*_xlfn.XLOOKUP($B15,params!$O$2:$O$12,params!$P$2:$P$12,0)</f>
        <v>0</v>
      </c>
      <c r="T15" s="201">
        <f>BAU_Scenario!T15*_xlfn.XLOOKUP($B15,params!$O$2:$O$12,params!$P$2:$P$12,0)</f>
        <v>0</v>
      </c>
      <c r="U15" s="201">
        <f>BAU_Scenario!U15*_xlfn.XLOOKUP($B15,params!$O$2:$O$12,params!$P$2:$P$12,0)</f>
        <v>0</v>
      </c>
      <c r="V15" s="201">
        <f>BAU_Scenario!V15*_xlfn.XLOOKUP($B15,params!$O$2:$O$12,params!$P$2:$P$12,0)</f>
        <v>0</v>
      </c>
      <c r="W15" s="201">
        <f>BAU_Scenario!W15*_xlfn.XLOOKUP($B15,params!$O$2:$O$12,params!$P$2:$P$12,0)</f>
        <v>0</v>
      </c>
      <c r="X15" s="201">
        <f>BAU_Scenario!X15*_xlfn.XLOOKUP($B15,params!$O$2:$O$12,params!$P$2:$P$12,0)</f>
        <v>0</v>
      </c>
      <c r="Y15" s="201">
        <f>BAU_Scenario!Y15*_xlfn.XLOOKUP($B15,params!$O$2:$O$12,params!$P$2:$P$12,0)</f>
        <v>0</v>
      </c>
      <c r="Z15" s="201">
        <f>BAU_Scenario!Z15*_xlfn.XLOOKUP($B15,params!$O$2:$O$12,params!$P$2:$P$12,0)</f>
        <v>0</v>
      </c>
      <c r="AA15" s="201">
        <f>BAU_Scenario!AA15*_xlfn.XLOOKUP($B15,params!$O$2:$O$12,params!$P$2:$P$12,0)</f>
        <v>0</v>
      </c>
      <c r="AB15" s="201">
        <f>BAU_Scenario!AB15*_xlfn.XLOOKUP($B15,params!$O$2:$O$12,params!$P$2:$P$12,0)</f>
        <v>0</v>
      </c>
      <c r="AC15" s="201">
        <f>BAU_Scenario!AC15*_xlfn.XLOOKUP($B15,params!$O$2:$O$12,params!$P$2:$P$12,0)</f>
        <v>0</v>
      </c>
      <c r="AD15" s="201">
        <f>BAU_Scenario!AD15*_xlfn.XLOOKUP($B15,params!$O$2:$O$12,params!$P$2:$P$12,0)</f>
        <v>0</v>
      </c>
      <c r="AE15" s="201">
        <f>BAU_Scenario!AE15*_xlfn.XLOOKUP($B15,params!$O$2:$O$12,params!$P$2:$P$12,0)</f>
        <v>0</v>
      </c>
      <c r="AF15" s="201">
        <f>BAU_Scenario!AF15*_xlfn.XLOOKUP($B15,params!$O$2:$O$12,params!$P$2:$P$12,0)</f>
        <v>0</v>
      </c>
      <c r="AG15" s="201">
        <f>BAU_Scenario!AG15*_xlfn.XLOOKUP($B15,params!$O$2:$O$12,params!$P$2:$P$12,0)</f>
        <v>0</v>
      </c>
      <c r="AH15" s="201">
        <f>BAU_Scenario!AH15*_xlfn.XLOOKUP($B15,params!$O$2:$O$12,params!$P$2:$P$12,0)</f>
        <v>0</v>
      </c>
      <c r="AI15" s="201">
        <f>BAU_Scenario!AI15*_xlfn.XLOOKUP($B15,params!$O$2:$O$12,params!$P$2:$P$12,0)</f>
        <v>0</v>
      </c>
      <c r="AJ15" s="201">
        <f>BAU_Scenario!AJ15*_xlfn.XLOOKUP($B15,params!$O$2:$O$12,params!$P$2:$P$12,0)</f>
        <v>0</v>
      </c>
      <c r="AK15" s="201">
        <f>BAU_Scenario!AK15*_xlfn.XLOOKUP($B15,params!$O$2:$O$12,params!$P$2:$P$12,0)</f>
        <v>0</v>
      </c>
      <c r="AL15" s="201">
        <f>BAU_Scenario!AL15*_xlfn.XLOOKUP($B15,params!$O$2:$O$12,params!$P$2:$P$12,0)</f>
        <v>0</v>
      </c>
      <c r="AM15" s="201">
        <f>BAU_Scenario!AM15*_xlfn.XLOOKUP($B15,params!$O$2:$O$12,params!$P$2:$P$12,0)</f>
        <v>0</v>
      </c>
      <c r="AN15" s="201">
        <f>BAU_Scenario!AN15*_xlfn.XLOOKUP($B15,params!$O$2:$O$12,params!$P$2:$P$12,0)</f>
        <v>0</v>
      </c>
      <c r="AO15" s="201">
        <f>BAU_Scenario!AO15*_xlfn.XLOOKUP($B15,params!$O$2:$O$12,params!$P$2:$P$12,0)</f>
        <v>0</v>
      </c>
      <c r="AP15" s="201">
        <f>BAU_Scenario!AP15*_xlfn.XLOOKUP($B15,params!$O$2:$O$12,params!$P$2:$P$12,0)</f>
        <v>0</v>
      </c>
      <c r="AQ15" s="201">
        <f>BAU_Scenario!AQ15*_xlfn.XLOOKUP($B15,params!$O$2:$O$12,params!$P$2:$P$12,0)</f>
        <v>0</v>
      </c>
      <c r="AR15" s="201">
        <f>BAU_Scenario!AR15*_xlfn.XLOOKUP($B15,params!$O$2:$O$12,params!$P$2:$P$12,0)</f>
        <v>0</v>
      </c>
      <c r="AS15" s="203">
        <f>BAU_Scenario!AS15*_xlfn.XLOOKUP($B15,params!$O$2:$O$12,params!$P$2:$P$12,0)</f>
        <v>0</v>
      </c>
      <c r="AT15" s="199" t="str">
        <f t="shared" si="5"/>
        <v>rural_Imp_fuelwood</v>
      </c>
    </row>
    <row r="16" spans="1:62">
      <c r="A16" s="3" t="s">
        <v>18</v>
      </c>
      <c r="B16" t="s">
        <v>10</v>
      </c>
      <c r="C16" s="4" t="s">
        <v>53</v>
      </c>
      <c r="D16" s="42" t="s">
        <v>57</v>
      </c>
      <c r="E16" s="199">
        <f>BAU_Scenario!E16*_xlfn.XLOOKUP($B16,params!$O$2:$O$12,params!$P$2:$P$12,0)</f>
        <v>0</v>
      </c>
      <c r="F16" s="199">
        <f>BAU_Scenario!F16*_xlfn.XLOOKUP($B16,params!$O$2:$O$12,params!$P$2:$P$12,0)</f>
        <v>0</v>
      </c>
      <c r="G16" s="199">
        <f>BAU_Scenario!G16*_xlfn.XLOOKUP($B16,params!$O$2:$O$12,params!$P$2:$P$12,0)</f>
        <v>0</v>
      </c>
      <c r="H16" s="199">
        <f>BAU_Scenario!H16*_xlfn.XLOOKUP($B16,params!$O$2:$O$12,params!$P$2:$P$12,0)</f>
        <v>0</v>
      </c>
      <c r="I16" s="199">
        <f>BAU_Scenario!I16*_xlfn.XLOOKUP($B16,params!$O$2:$O$12,params!$P$2:$P$12,0)</f>
        <v>0</v>
      </c>
      <c r="J16" s="199">
        <f>BAU_Scenario!J16*_xlfn.XLOOKUP($B16,params!$O$2:$O$12,params!$P$2:$P$12,0)</f>
        <v>0</v>
      </c>
      <c r="K16" s="199">
        <f>BAU_Scenario!K16*_xlfn.XLOOKUP($B16,params!$O$2:$O$12,params!$P$2:$P$12,0)</f>
        <v>0</v>
      </c>
      <c r="L16" s="199">
        <f>BAU_Scenario!L16*_xlfn.XLOOKUP($B16,params!$O$2:$O$12,params!$P$2:$P$12,0)</f>
        <v>0</v>
      </c>
      <c r="M16" s="199">
        <f>BAU_Scenario!M16*_xlfn.XLOOKUP($B16,params!$O$2:$O$12,params!$P$2:$P$12,0)</f>
        <v>0</v>
      </c>
      <c r="N16" s="199">
        <f>BAU_Scenario!N16*_xlfn.XLOOKUP($B16,params!$O$2:$O$12,params!$P$2:$P$12,0)</f>
        <v>0</v>
      </c>
      <c r="O16" s="199">
        <f>BAU_Scenario!O16*_xlfn.XLOOKUP($B16,params!$O$2:$O$12,params!$P$2:$P$12,0)</f>
        <v>0</v>
      </c>
      <c r="P16" s="199">
        <f>BAU_Scenario!P16*_xlfn.XLOOKUP($B16,params!$O$2:$O$12,params!$P$2:$P$12,0)</f>
        <v>0</v>
      </c>
      <c r="Q16" s="199">
        <f>BAU_Scenario!Q16*_xlfn.XLOOKUP($B16,params!$O$2:$O$12,params!$P$2:$P$12,0)</f>
        <v>0</v>
      </c>
      <c r="R16" s="199">
        <f>BAU_Scenario!R16*_xlfn.XLOOKUP($B16,params!$O$2:$O$12,params!$P$2:$P$12,0)</f>
        <v>0</v>
      </c>
      <c r="S16" s="200">
        <f>BAU_Scenario!S16*_xlfn.XLOOKUP($B16,params!$O$2:$O$12,params!$P$2:$P$12,0)</f>
        <v>0</v>
      </c>
      <c r="T16" s="201">
        <f>BAU_Scenario!T16*_xlfn.XLOOKUP($B16,params!$O$2:$O$12,params!$P$2:$P$12,0)</f>
        <v>0</v>
      </c>
      <c r="U16" s="201">
        <f>BAU_Scenario!U16*_xlfn.XLOOKUP($B16,params!$O$2:$O$12,params!$P$2:$P$12,0)</f>
        <v>0</v>
      </c>
      <c r="V16" s="201">
        <f>BAU_Scenario!V16*_xlfn.XLOOKUP($B16,params!$O$2:$O$12,params!$P$2:$P$12,0)</f>
        <v>0</v>
      </c>
      <c r="W16" s="201">
        <f>BAU_Scenario!W16*_xlfn.XLOOKUP($B16,params!$O$2:$O$12,params!$P$2:$P$12,0)</f>
        <v>0</v>
      </c>
      <c r="X16" s="201">
        <f>BAU_Scenario!X16*_xlfn.XLOOKUP($B16,params!$O$2:$O$12,params!$P$2:$P$12,0)</f>
        <v>0</v>
      </c>
      <c r="Y16" s="201">
        <f>BAU_Scenario!Y16*_xlfn.XLOOKUP($B16,params!$O$2:$O$12,params!$P$2:$P$12,0)</f>
        <v>0</v>
      </c>
      <c r="Z16" s="201">
        <f>BAU_Scenario!Z16*_xlfn.XLOOKUP($B16,params!$O$2:$O$12,params!$P$2:$P$12,0)</f>
        <v>0</v>
      </c>
      <c r="AA16" s="201">
        <f>BAU_Scenario!AA16*_xlfn.XLOOKUP($B16,params!$O$2:$O$12,params!$P$2:$P$12,0)</f>
        <v>0</v>
      </c>
      <c r="AB16" s="201">
        <f>BAU_Scenario!AB16*_xlfn.XLOOKUP($B16,params!$O$2:$O$12,params!$P$2:$P$12,0)</f>
        <v>0</v>
      </c>
      <c r="AC16" s="201">
        <f>BAU_Scenario!AC16*_xlfn.XLOOKUP($B16,params!$O$2:$O$12,params!$P$2:$P$12,0)</f>
        <v>0</v>
      </c>
      <c r="AD16" s="201">
        <f>BAU_Scenario!AD16*_xlfn.XLOOKUP($B16,params!$O$2:$O$12,params!$P$2:$P$12,0)</f>
        <v>0</v>
      </c>
      <c r="AE16" s="201">
        <f>BAU_Scenario!AE16*_xlfn.XLOOKUP($B16,params!$O$2:$O$12,params!$P$2:$P$12,0)</f>
        <v>0</v>
      </c>
      <c r="AF16" s="201">
        <f>BAU_Scenario!AF16*_xlfn.XLOOKUP($B16,params!$O$2:$O$12,params!$P$2:$P$12,0)</f>
        <v>0</v>
      </c>
      <c r="AG16" s="201">
        <f>BAU_Scenario!AG16*_xlfn.XLOOKUP($B16,params!$O$2:$O$12,params!$P$2:$P$12,0)</f>
        <v>0</v>
      </c>
      <c r="AH16" s="201">
        <f>BAU_Scenario!AH16*_xlfn.XLOOKUP($B16,params!$O$2:$O$12,params!$P$2:$P$12,0)</f>
        <v>0</v>
      </c>
      <c r="AI16" s="201">
        <f>BAU_Scenario!AI16*_xlfn.XLOOKUP($B16,params!$O$2:$O$12,params!$P$2:$P$12,0)</f>
        <v>0</v>
      </c>
      <c r="AJ16" s="201">
        <f>BAU_Scenario!AJ16*_xlfn.XLOOKUP($B16,params!$O$2:$O$12,params!$P$2:$P$12,0)</f>
        <v>0</v>
      </c>
      <c r="AK16" s="201">
        <f>BAU_Scenario!AK16*_xlfn.XLOOKUP($B16,params!$O$2:$O$12,params!$P$2:$P$12,0)</f>
        <v>0</v>
      </c>
      <c r="AL16" s="201">
        <f>BAU_Scenario!AL16*_xlfn.XLOOKUP($B16,params!$O$2:$O$12,params!$P$2:$P$12,0)</f>
        <v>0</v>
      </c>
      <c r="AM16" s="201">
        <f>BAU_Scenario!AM16*_xlfn.XLOOKUP($B16,params!$O$2:$O$12,params!$P$2:$P$12,0)</f>
        <v>0</v>
      </c>
      <c r="AN16" s="201">
        <f>BAU_Scenario!AN16*_xlfn.XLOOKUP($B16,params!$O$2:$O$12,params!$P$2:$P$12,0)</f>
        <v>0</v>
      </c>
      <c r="AO16" s="201">
        <f>BAU_Scenario!AO16*_xlfn.XLOOKUP($B16,params!$O$2:$O$12,params!$P$2:$P$12,0)</f>
        <v>0</v>
      </c>
      <c r="AP16" s="201">
        <f>BAU_Scenario!AP16*_xlfn.XLOOKUP($B16,params!$O$2:$O$12,params!$P$2:$P$12,0)</f>
        <v>0</v>
      </c>
      <c r="AQ16" s="201">
        <f>BAU_Scenario!AQ16*_xlfn.XLOOKUP($B16,params!$O$2:$O$12,params!$P$2:$P$12,0)</f>
        <v>0</v>
      </c>
      <c r="AR16" s="201">
        <f>BAU_Scenario!AR16*_xlfn.XLOOKUP($B16,params!$O$2:$O$12,params!$P$2:$P$12,0)</f>
        <v>0</v>
      </c>
      <c r="AS16" s="203">
        <f>BAU_Scenario!AS16*_xlfn.XLOOKUP($B16,params!$O$2:$O$12,params!$P$2:$P$12,0)</f>
        <v>0</v>
      </c>
      <c r="AT16" s="199" t="str">
        <f t="shared" si="5"/>
        <v>rural_Imp_charcoal</v>
      </c>
      <c r="BC16" s="28" t="s">
        <v>36</v>
      </c>
      <c r="BD16" s="54">
        <f>_xlfn.XLOOKUP(BD$1,$N$1:$AS$1,$N2:$AS2)</f>
        <v>9.3353150588899254</v>
      </c>
      <c r="BE16" s="54">
        <f t="shared" ref="BE16:BJ16" si="30">_xlfn.XLOOKUP(BE$1,$N$1:$AS$1,$N2:$AS2)</f>
        <v>9.6216309712248069</v>
      </c>
      <c r="BF16" s="54">
        <f t="shared" si="30"/>
        <v>9.3061476122930173</v>
      </c>
      <c r="BG16" s="54">
        <f t="shared" si="30"/>
        <v>8.6114656853663956</v>
      </c>
      <c r="BH16" s="54">
        <f t="shared" si="30"/>
        <v>7.5299274673192746</v>
      </c>
      <c r="BI16" s="54">
        <f t="shared" si="30"/>
        <v>6.0535559389091462</v>
      </c>
      <c r="BJ16" s="54">
        <f t="shared" si="30"/>
        <v>4.1799751533379492</v>
      </c>
    </row>
    <row r="17" spans="1:62">
      <c r="A17" s="3" t="s">
        <v>18</v>
      </c>
      <c r="B17" t="s">
        <v>11</v>
      </c>
      <c r="C17" s="4" t="s">
        <v>53</v>
      </c>
      <c r="D17" s="42" t="s">
        <v>57</v>
      </c>
      <c r="E17" s="199">
        <f>BAU_Scenario!E17*_xlfn.XLOOKUP($B17,params!$O$2:$O$12,params!$P$2:$P$12,0)</f>
        <v>1.0031991454441227E-4</v>
      </c>
      <c r="F17" s="199">
        <f>BAU_Scenario!F17*_xlfn.XLOOKUP($B17,params!$O$2:$O$12,params!$P$2:$P$12,0)</f>
        <v>1.0039493622897029E-4</v>
      </c>
      <c r="G17" s="199">
        <f>BAU_Scenario!G17*_xlfn.XLOOKUP($B17,params!$O$2:$O$12,params!$P$2:$P$12,0)</f>
        <v>1.0034564452308554E-4</v>
      </c>
      <c r="H17" s="199">
        <f>BAU_Scenario!H17*_xlfn.XLOOKUP($B17,params!$O$2:$O$12,params!$P$2:$P$12,0)</f>
        <v>1.0017330070672484E-4</v>
      </c>
      <c r="I17" s="199">
        <f>BAU_Scenario!I17*_xlfn.XLOOKUP($B17,params!$O$2:$O$12,params!$P$2:$P$12,0)</f>
        <v>9.9882616196533364E-5</v>
      </c>
      <c r="J17" s="199">
        <f>BAU_Scenario!J17*_xlfn.XLOOKUP($B17,params!$O$2:$O$12,params!$P$2:$P$12,0)</f>
        <v>9.9474507148452414E-5</v>
      </c>
      <c r="K17" s="199">
        <f>BAU_Scenario!K17*_xlfn.XLOOKUP($B17,params!$O$2:$O$12,params!$P$2:$P$12,0)</f>
        <v>9.8943028844590282E-5</v>
      </c>
      <c r="L17" s="199">
        <f>BAU_Scenario!L17*_xlfn.XLOOKUP($B17,params!$O$2:$O$12,params!$P$2:$P$12,0)</f>
        <v>9.8278275363376913E-5</v>
      </c>
      <c r="M17" s="199">
        <f>BAU_Scenario!M17*_xlfn.XLOOKUP($B17,params!$O$2:$O$12,params!$P$2:$P$12,0)</f>
        <v>9.7471880592980414E-5</v>
      </c>
      <c r="N17" s="199">
        <f>BAU_Scenario!N17*_xlfn.XLOOKUP($B17,params!$O$2:$O$12,params!$P$2:$P$12,0)</f>
        <v>9.6514854586731165E-5</v>
      </c>
      <c r="O17" s="199">
        <f>BAU_Scenario!O17*_xlfn.XLOOKUP($B17,params!$O$2:$O$12,params!$P$2:$P$12,0)</f>
        <v>9.5400108611729217E-5</v>
      </c>
      <c r="P17" s="199">
        <f>BAU_Scenario!P17*_xlfn.XLOOKUP($B17,params!$O$2:$O$12,params!$P$2:$P$12,0)</f>
        <v>9.4121464930595043E-5</v>
      </c>
      <c r="Q17" s="199">
        <f>BAU_Scenario!Q17*_xlfn.XLOOKUP($B17,params!$O$2:$O$12,params!$P$2:$P$12,0)</f>
        <v>9.2675901728729693E-5</v>
      </c>
      <c r="R17" s="199">
        <f>BAU_Scenario!R17*_xlfn.XLOOKUP($B17,params!$O$2:$O$12,params!$P$2:$P$12,0)</f>
        <v>9.1062611909909749E-5</v>
      </c>
      <c r="S17" s="200">
        <f>BAU_Scenario!S17*_xlfn.XLOOKUP($B17,params!$O$2:$O$12,params!$P$2:$P$12,0)</f>
        <v>8.9281783486019865E-5</v>
      </c>
      <c r="T17" s="201">
        <f>BAU_Scenario!T17*_xlfn.XLOOKUP($B17,params!$O$2:$O$12,params!$P$2:$P$12,0)</f>
        <v>8.7847875400583959E-5</v>
      </c>
      <c r="U17" s="201">
        <f>BAU_Scenario!U17*_xlfn.XLOOKUP($B17,params!$O$2:$O$12,params!$P$2:$P$12,0)</f>
        <v>8.6264522996059179E-5</v>
      </c>
      <c r="V17" s="201">
        <f>BAU_Scenario!V17*_xlfn.XLOOKUP($B17,params!$O$2:$O$12,params!$P$2:$P$12,0)</f>
        <v>8.4525836818218365E-5</v>
      </c>
      <c r="W17" s="201">
        <f>BAU_Scenario!W17*_xlfn.XLOOKUP($B17,params!$O$2:$O$12,params!$P$2:$P$12,0)</f>
        <v>8.2625001546757367E-5</v>
      </c>
      <c r="X17" s="201">
        <f>BAU_Scenario!X17*_xlfn.XLOOKUP($B17,params!$O$2:$O$12,params!$P$2:$P$12,0)</f>
        <v>8.0555202792452105E-5</v>
      </c>
      <c r="Y17" s="201">
        <f>BAU_Scenario!Y17*_xlfn.XLOOKUP($B17,params!$O$2:$O$12,params!$P$2:$P$12,0)</f>
        <v>7.8311745304444723E-5</v>
      </c>
      <c r="Z17" s="201">
        <f>BAU_Scenario!Z17*_xlfn.XLOOKUP($B17,params!$O$2:$O$12,params!$P$2:$P$12,0)</f>
        <v>7.5892995595762663E-5</v>
      </c>
      <c r="AA17" s="201">
        <f>BAU_Scenario!AA17*_xlfn.XLOOKUP($B17,params!$O$2:$O$12,params!$P$2:$P$12,0)</f>
        <v>7.3299331312504874E-5</v>
      </c>
      <c r="AB17" s="201">
        <f>BAU_Scenario!AB17*_xlfn.XLOOKUP($B17,params!$O$2:$O$12,params!$P$2:$P$12,0)</f>
        <v>7.0531590054352498E-5</v>
      </c>
      <c r="AC17" s="201">
        <f>BAU_Scenario!AC17*_xlfn.XLOOKUP($B17,params!$O$2:$O$12,params!$P$2:$P$12,0)</f>
        <v>6.7592007530903336E-5</v>
      </c>
      <c r="AD17" s="201">
        <f>BAU_Scenario!AD17*_xlfn.XLOOKUP($B17,params!$O$2:$O$12,params!$P$2:$P$12,0)</f>
        <v>6.4490688568545715E-5</v>
      </c>
      <c r="AE17" s="201">
        <f>BAU_Scenario!AE17*_xlfn.XLOOKUP($B17,params!$O$2:$O$12,params!$P$2:$P$12,0)</f>
        <v>6.1229254363994473E-5</v>
      </c>
      <c r="AF17" s="201">
        <f>BAU_Scenario!AF17*_xlfn.XLOOKUP($B17,params!$O$2:$O$12,params!$P$2:$P$12,0)</f>
        <v>5.780843078731565E-5</v>
      </c>
      <c r="AG17" s="201">
        <f>BAU_Scenario!AG17*_xlfn.XLOOKUP($B17,params!$O$2:$O$12,params!$P$2:$P$12,0)</f>
        <v>5.4229702725093704E-5</v>
      </c>
      <c r="AH17" s="201">
        <f>BAU_Scenario!AH17*_xlfn.XLOOKUP($B17,params!$O$2:$O$12,params!$P$2:$P$12,0)</f>
        <v>5.0494882059253255E-5</v>
      </c>
      <c r="AI17" s="201">
        <f>BAU_Scenario!AI17*_xlfn.XLOOKUP($B17,params!$O$2:$O$12,params!$P$2:$P$12,0)</f>
        <v>4.6606206361552433E-5</v>
      </c>
      <c r="AJ17" s="201">
        <f>BAU_Scenario!AJ17*_xlfn.XLOOKUP($B17,params!$O$2:$O$12,params!$P$2:$P$12,0)</f>
        <v>4.256619625210752E-5</v>
      </c>
      <c r="AK17" s="201">
        <f>BAU_Scenario!AK17*_xlfn.XLOOKUP($B17,params!$O$2:$O$12,params!$P$2:$P$12,0)</f>
        <v>3.8377714988521123E-5</v>
      </c>
      <c r="AL17" s="201">
        <f>BAU_Scenario!AL17*_xlfn.XLOOKUP($B17,params!$O$2:$O$12,params!$P$2:$P$12,0)</f>
        <v>3.4043929174300746E-5</v>
      </c>
      <c r="AM17" s="201">
        <f>BAU_Scenario!AM17*_xlfn.XLOOKUP($B17,params!$O$2:$O$12,params!$P$2:$P$12,0)</f>
        <v>2.9568414715777187E-5</v>
      </c>
      <c r="AN17" s="201">
        <f>BAU_Scenario!AN17*_xlfn.XLOOKUP($B17,params!$O$2:$O$12,params!$P$2:$P$12,0)</f>
        <v>2.4955307657084878E-5</v>
      </c>
      <c r="AO17" s="201">
        <f>BAU_Scenario!AO17*_xlfn.XLOOKUP($B17,params!$O$2:$O$12,params!$P$2:$P$12,0)</f>
        <v>2.0209182022449362E-5</v>
      </c>
      <c r="AP17" s="201">
        <f>BAU_Scenario!AP17*_xlfn.XLOOKUP($B17,params!$O$2:$O$12,params!$P$2:$P$12,0)</f>
        <v>1.5335074582918673E-5</v>
      </c>
      <c r="AQ17" s="201">
        <f>BAU_Scenario!AQ17*_xlfn.XLOOKUP($B17,params!$O$2:$O$12,params!$P$2:$P$12,0)</f>
        <v>1.0338371823236049E-5</v>
      </c>
      <c r="AR17" s="201">
        <f>BAU_Scenario!AR17*_xlfn.XLOOKUP($B17,params!$O$2:$O$12,params!$P$2:$P$12,0)</f>
        <v>5.2247261446286409E-6</v>
      </c>
      <c r="AS17" s="202">
        <f>BAU_Scenario!AS17*_xlfn.XLOOKUP($B17,params!$O$2:$O$12,params!$P$2:$P$12,0)</f>
        <v>0</v>
      </c>
      <c r="AT17" s="199" t="str">
        <f t="shared" si="5"/>
        <v>rural_Gas</v>
      </c>
      <c r="BC17" s="3" t="s">
        <v>8</v>
      </c>
      <c r="BD17" s="54">
        <f t="shared" ref="BD17:BJ25" si="31">_xlfn.XLOOKUP(BD$1,$N$1:$AS$1,$N3:$AS3)</f>
        <v>1.5894496465450823</v>
      </c>
      <c r="BE17" s="54">
        <f t="shared" si="31"/>
        <v>2.2740278908900833</v>
      </c>
      <c r="BF17" s="54">
        <f t="shared" si="31"/>
        <v>3.1587516484594067</v>
      </c>
      <c r="BG17" s="54">
        <f t="shared" si="31"/>
        <v>4.1867034757963388</v>
      </c>
      <c r="BH17" s="54">
        <f t="shared" si="31"/>
        <v>5.3597099765995804</v>
      </c>
      <c r="BI17" s="54">
        <f t="shared" si="31"/>
        <v>6.6753215739002272</v>
      </c>
      <c r="BJ17" s="54">
        <f t="shared" si="31"/>
        <v>8.1207387606642847</v>
      </c>
    </row>
    <row r="18" spans="1:62">
      <c r="A18" s="3" t="s">
        <v>18</v>
      </c>
      <c r="B18" s="3" t="s">
        <v>12</v>
      </c>
      <c r="C18" s="4" t="s">
        <v>53</v>
      </c>
      <c r="D18" s="42" t="s">
        <v>57</v>
      </c>
      <c r="E18" s="199">
        <f>BAU_Scenario!E18*_xlfn.XLOOKUP($B18,params!$O$2:$O$12,params!$P$2:$P$12,0)</f>
        <v>0</v>
      </c>
      <c r="F18" s="199">
        <f>BAU_Scenario!F18*_xlfn.XLOOKUP($B18,params!$O$2:$O$12,params!$P$2:$P$12,0)</f>
        <v>0</v>
      </c>
      <c r="G18" s="199">
        <f>BAU_Scenario!G18*_xlfn.XLOOKUP($B18,params!$O$2:$O$12,params!$P$2:$P$12,0)</f>
        <v>0</v>
      </c>
      <c r="H18" s="199">
        <f>BAU_Scenario!H18*_xlfn.XLOOKUP($B18,params!$O$2:$O$12,params!$P$2:$P$12,0)</f>
        <v>0</v>
      </c>
      <c r="I18" s="199">
        <f>BAU_Scenario!I18*_xlfn.XLOOKUP($B18,params!$O$2:$O$12,params!$P$2:$P$12,0)</f>
        <v>0</v>
      </c>
      <c r="J18" s="199">
        <f>BAU_Scenario!J18*_xlfn.XLOOKUP($B18,params!$O$2:$O$12,params!$P$2:$P$12,0)</f>
        <v>0</v>
      </c>
      <c r="K18" s="199">
        <f>BAU_Scenario!K18*_xlfn.XLOOKUP($B18,params!$O$2:$O$12,params!$P$2:$P$12,0)</f>
        <v>0</v>
      </c>
      <c r="L18" s="199">
        <f>BAU_Scenario!L18*_xlfn.XLOOKUP($B18,params!$O$2:$O$12,params!$P$2:$P$12,0)</f>
        <v>0</v>
      </c>
      <c r="M18" s="199">
        <f>BAU_Scenario!M18*_xlfn.XLOOKUP($B18,params!$O$2:$O$12,params!$P$2:$P$12,0)</f>
        <v>0</v>
      </c>
      <c r="N18" s="199">
        <f>BAU_Scenario!N18*_xlfn.XLOOKUP($B18,params!$O$2:$O$12,params!$P$2:$P$12,0)</f>
        <v>0</v>
      </c>
      <c r="O18" s="199">
        <f>BAU_Scenario!O18*_xlfn.XLOOKUP($B18,params!$O$2:$O$12,params!$P$2:$P$12,0)</f>
        <v>0</v>
      </c>
      <c r="P18" s="199">
        <f>BAU_Scenario!P18*_xlfn.XLOOKUP($B18,params!$O$2:$O$12,params!$P$2:$P$12,0)</f>
        <v>0</v>
      </c>
      <c r="Q18" s="199">
        <f>BAU_Scenario!Q18*_xlfn.XLOOKUP($B18,params!$O$2:$O$12,params!$P$2:$P$12,0)</f>
        <v>0</v>
      </c>
      <c r="R18" s="199">
        <f>BAU_Scenario!R18*_xlfn.XLOOKUP($B18,params!$O$2:$O$12,params!$P$2:$P$12,0)</f>
        <v>0</v>
      </c>
      <c r="S18" s="200">
        <f>BAU_Scenario!S18*_xlfn.XLOOKUP($B18,params!$O$2:$O$12,params!$P$2:$P$12,0)</f>
        <v>0</v>
      </c>
      <c r="T18" s="201">
        <f>BAU_Scenario!T18*_xlfn.XLOOKUP($B18,params!$O$2:$O$12,params!$P$2:$P$12,0)</f>
        <v>0</v>
      </c>
      <c r="U18" s="201">
        <f>BAU_Scenario!U18*_xlfn.XLOOKUP($B18,params!$O$2:$O$12,params!$P$2:$P$12,0)</f>
        <v>0</v>
      </c>
      <c r="V18" s="201">
        <f>BAU_Scenario!V18*_xlfn.XLOOKUP($B18,params!$O$2:$O$12,params!$P$2:$P$12,0)</f>
        <v>0</v>
      </c>
      <c r="W18" s="201">
        <f>BAU_Scenario!W18*_xlfn.XLOOKUP($B18,params!$O$2:$O$12,params!$P$2:$P$12,0)</f>
        <v>0</v>
      </c>
      <c r="X18" s="201">
        <f>BAU_Scenario!X18*_xlfn.XLOOKUP($B18,params!$O$2:$O$12,params!$P$2:$P$12,0)</f>
        <v>0</v>
      </c>
      <c r="Y18" s="201">
        <f>BAU_Scenario!Y18*_xlfn.XLOOKUP($B18,params!$O$2:$O$12,params!$P$2:$P$12,0)</f>
        <v>0</v>
      </c>
      <c r="Z18" s="201">
        <f>BAU_Scenario!Z18*_xlfn.XLOOKUP($B18,params!$O$2:$O$12,params!$P$2:$P$12,0)</f>
        <v>0</v>
      </c>
      <c r="AA18" s="201">
        <f>BAU_Scenario!AA18*_xlfn.XLOOKUP($B18,params!$O$2:$O$12,params!$P$2:$P$12,0)</f>
        <v>0</v>
      </c>
      <c r="AB18" s="201">
        <f>BAU_Scenario!AB18*_xlfn.XLOOKUP($B18,params!$O$2:$O$12,params!$P$2:$P$12,0)</f>
        <v>0</v>
      </c>
      <c r="AC18" s="201">
        <f>BAU_Scenario!AC18*_xlfn.XLOOKUP($B18,params!$O$2:$O$12,params!$P$2:$P$12,0)</f>
        <v>0</v>
      </c>
      <c r="AD18" s="201">
        <f>BAU_Scenario!AD18*_xlfn.XLOOKUP($B18,params!$O$2:$O$12,params!$P$2:$P$12,0)</f>
        <v>0</v>
      </c>
      <c r="AE18" s="201">
        <f>BAU_Scenario!AE18*_xlfn.XLOOKUP($B18,params!$O$2:$O$12,params!$P$2:$P$12,0)</f>
        <v>0</v>
      </c>
      <c r="AF18" s="201">
        <f>BAU_Scenario!AF18*_xlfn.XLOOKUP($B18,params!$O$2:$O$12,params!$P$2:$P$12,0)</f>
        <v>0</v>
      </c>
      <c r="AG18" s="201">
        <f>BAU_Scenario!AG18*_xlfn.XLOOKUP($B18,params!$O$2:$O$12,params!$P$2:$P$12,0)</f>
        <v>0</v>
      </c>
      <c r="AH18" s="201">
        <f>BAU_Scenario!AH18*_xlfn.XLOOKUP($B18,params!$O$2:$O$12,params!$P$2:$P$12,0)</f>
        <v>0</v>
      </c>
      <c r="AI18" s="201">
        <f>BAU_Scenario!AI18*_xlfn.XLOOKUP($B18,params!$O$2:$O$12,params!$P$2:$P$12,0)</f>
        <v>0</v>
      </c>
      <c r="AJ18" s="201">
        <f>BAU_Scenario!AJ18*_xlfn.XLOOKUP($B18,params!$O$2:$O$12,params!$P$2:$P$12,0)</f>
        <v>0</v>
      </c>
      <c r="AK18" s="201">
        <f>BAU_Scenario!AK18*_xlfn.XLOOKUP($B18,params!$O$2:$O$12,params!$P$2:$P$12,0)</f>
        <v>0</v>
      </c>
      <c r="AL18" s="201">
        <f>BAU_Scenario!AL18*_xlfn.XLOOKUP($B18,params!$O$2:$O$12,params!$P$2:$P$12,0)</f>
        <v>0</v>
      </c>
      <c r="AM18" s="201">
        <f>BAU_Scenario!AM18*_xlfn.XLOOKUP($B18,params!$O$2:$O$12,params!$P$2:$P$12,0)</f>
        <v>0</v>
      </c>
      <c r="AN18" s="201">
        <f>BAU_Scenario!AN18*_xlfn.XLOOKUP($B18,params!$O$2:$O$12,params!$P$2:$P$12,0)</f>
        <v>0</v>
      </c>
      <c r="AO18" s="201">
        <f>BAU_Scenario!AO18*_xlfn.XLOOKUP($B18,params!$O$2:$O$12,params!$P$2:$P$12,0)</f>
        <v>0</v>
      </c>
      <c r="AP18" s="201">
        <f>BAU_Scenario!AP18*_xlfn.XLOOKUP($B18,params!$O$2:$O$12,params!$P$2:$P$12,0)</f>
        <v>0</v>
      </c>
      <c r="AQ18" s="201">
        <f>BAU_Scenario!AQ18*_xlfn.XLOOKUP($B18,params!$O$2:$O$12,params!$P$2:$P$12,0)</f>
        <v>0</v>
      </c>
      <c r="AR18" s="201">
        <f>BAU_Scenario!AR18*_xlfn.XLOOKUP($B18,params!$O$2:$O$12,params!$P$2:$P$12,0)</f>
        <v>0</v>
      </c>
      <c r="AS18" s="202">
        <f>BAU_Scenario!AS18*_xlfn.XLOOKUP($B18,params!$O$2:$O$12,params!$P$2:$P$12,0)</f>
        <v>0</v>
      </c>
      <c r="AT18" s="199" t="str">
        <f t="shared" si="5"/>
        <v>rural_kerosene</v>
      </c>
      <c r="BC18" t="s">
        <v>37</v>
      </c>
      <c r="BD18" s="54">
        <f t="shared" si="31"/>
        <v>3.961453347891325E-2</v>
      </c>
      <c r="BE18" s="54">
        <f t="shared" si="31"/>
        <v>8.6339020043873907E-2</v>
      </c>
      <c r="BF18" s="54">
        <f t="shared" si="31"/>
        <v>0.14806354299338073</v>
      </c>
      <c r="BG18" s="54">
        <f t="shared" si="31"/>
        <v>0.22903838463658244</v>
      </c>
      <c r="BH18" s="54">
        <f t="shared" si="31"/>
        <v>0.33223752584702831</v>
      </c>
      <c r="BI18" s="54">
        <f t="shared" si="31"/>
        <v>0.46078762994646982</v>
      </c>
      <c r="BJ18" s="54">
        <f t="shared" si="31"/>
        <v>0.61736838238571434</v>
      </c>
    </row>
    <row r="19" spans="1:62">
      <c r="A19" s="3" t="s">
        <v>18</v>
      </c>
      <c r="B19" s="3" t="s">
        <v>13</v>
      </c>
      <c r="C19" s="4" t="s">
        <v>53</v>
      </c>
      <c r="D19" s="42" t="s">
        <v>123</v>
      </c>
      <c r="E19" s="199">
        <f>BAU_Scenario!E19*_xlfn.XLOOKUP($B19,params!$O$2:$O$12,params!$P$2:$P$12,0)</f>
        <v>2.3503144594657091E-2</v>
      </c>
      <c r="F19" s="199">
        <f>BAU_Scenario!F19*_xlfn.XLOOKUP($B19,params!$O$2:$O$12,params!$P$2:$P$12,0)</f>
        <v>2.3080414781686445E-2</v>
      </c>
      <c r="G19" s="199">
        <f>BAU_Scenario!G19*_xlfn.XLOOKUP($B19,params!$O$2:$O$12,params!$P$2:$P$12,0)</f>
        <v>2.2603605117036019E-2</v>
      </c>
      <c r="H19" s="199">
        <f>BAU_Scenario!H19*_xlfn.XLOOKUP($B19,params!$O$2:$O$12,params!$P$2:$P$12,0)</f>
        <v>2.2072502714232202E-2</v>
      </c>
      <c r="I19" s="199">
        <f>BAU_Scenario!I19*_xlfn.XLOOKUP($B19,params!$O$2:$O$12,params!$P$2:$P$12,0)</f>
        <v>2.1487550503780223E-2</v>
      </c>
      <c r="J19" s="199">
        <f>BAU_Scenario!J19*_xlfn.XLOOKUP($B19,params!$O$2:$O$12,params!$P$2:$P$12,0)</f>
        <v>2.0848219429289355E-2</v>
      </c>
      <c r="K19" s="199">
        <f>BAU_Scenario!K19*_xlfn.XLOOKUP($B19,params!$O$2:$O$12,params!$P$2:$P$12,0)</f>
        <v>2.0152467341319407E-2</v>
      </c>
      <c r="L19" s="199">
        <f>BAU_Scenario!L19*_xlfn.XLOOKUP($B19,params!$O$2:$O$12,params!$P$2:$P$12,0)</f>
        <v>1.9397508079654877E-2</v>
      </c>
      <c r="M19" s="199">
        <f>BAU_Scenario!M19*_xlfn.XLOOKUP($B19,params!$O$2:$O$12,params!$P$2:$P$12,0)</f>
        <v>1.8581000295744408E-2</v>
      </c>
      <c r="N19" s="199">
        <f>BAU_Scenario!N19*_xlfn.XLOOKUP($B19,params!$O$2:$O$12,params!$P$2:$P$12,0)</f>
        <v>1.7700622306533353E-2</v>
      </c>
      <c r="O19" s="199">
        <f>BAU_Scenario!O19*_xlfn.XLOOKUP($B19,params!$O$2:$O$12,params!$P$2:$P$12,0)</f>
        <v>1.6754564938288027E-2</v>
      </c>
      <c r="P19" s="199">
        <f>BAU_Scenario!P19*_xlfn.XLOOKUP($B19,params!$O$2:$O$12,params!$P$2:$P$12,0)</f>
        <v>1.5741321053017801E-2</v>
      </c>
      <c r="Q19" s="199">
        <f>BAU_Scenario!Q19*_xlfn.XLOOKUP($B19,params!$O$2:$O$12,params!$P$2:$P$12,0)</f>
        <v>1.4660029738619946E-2</v>
      </c>
      <c r="R19" s="199">
        <f>BAU_Scenario!R19*_xlfn.XLOOKUP($B19,params!$O$2:$O$12,params!$P$2:$P$12,0)</f>
        <v>1.3510212701509461E-2</v>
      </c>
      <c r="S19" s="200">
        <f>BAU_Scenario!S19*_xlfn.XLOOKUP($B19,params!$O$2:$O$12,params!$P$2:$P$12,0)</f>
        <v>1.2291499893688504E-2</v>
      </c>
      <c r="T19" s="201">
        <f>BAU_Scenario!T19*_xlfn.XLOOKUP($B19,params!$O$2:$O$12,params!$P$2:$P$12,0)</f>
        <v>1.2094092534745521E-2</v>
      </c>
      <c r="U19" s="201">
        <f>BAU_Scenario!U19*_xlfn.XLOOKUP($B19,params!$O$2:$O$12,params!$P$2:$P$12,0)</f>
        <v>1.1876111047906885E-2</v>
      </c>
      <c r="V19" s="201">
        <f>BAU_Scenario!V19*_xlfn.XLOOKUP($B19,params!$O$2:$O$12,params!$P$2:$P$12,0)</f>
        <v>1.1636744626945611E-2</v>
      </c>
      <c r="W19" s="201">
        <f>BAU_Scenario!W19*_xlfn.XLOOKUP($B19,params!$O$2:$O$12,params!$P$2:$P$12,0)</f>
        <v>1.1375055000855862E-2</v>
      </c>
      <c r="X19" s="201">
        <f>BAU_Scenario!X19*_xlfn.XLOOKUP($B19,params!$O$2:$O$12,params!$P$2:$P$12,0)</f>
        <v>1.1090104026814408E-2</v>
      </c>
      <c r="Y19" s="201">
        <f>BAU_Scenario!Y19*_xlfn.XLOOKUP($B19,params!$O$2:$O$12,params!$P$2:$P$12,0)</f>
        <v>1.0781245305598838E-2</v>
      </c>
      <c r="Z19" s="201">
        <f>BAU_Scenario!Z19*_xlfn.XLOOKUP($B19,params!$O$2:$O$12,params!$P$2:$P$12,0)</f>
        <v>1.044825395365323E-2</v>
      </c>
      <c r="AA19" s="201">
        <f>BAU_Scenario!AA19*_xlfn.XLOOKUP($B19,params!$O$2:$O$12,params!$P$2:$P$12,0)</f>
        <v>1.0091181961840716E-2</v>
      </c>
      <c r="AB19" s="201">
        <f>BAU_Scenario!AB19*_xlfn.XLOOKUP($B19,params!$O$2:$O$12,params!$P$2:$P$12,0)</f>
        <v>9.7101446432295343E-3</v>
      </c>
      <c r="AC19" s="201">
        <f>BAU_Scenario!AC19*_xlfn.XLOOKUP($B19,params!$O$2:$O$12,params!$P$2:$P$12,0)</f>
        <v>9.3054497898821913E-3</v>
      </c>
      <c r="AD19" s="201">
        <f>BAU_Scenario!AD19*_xlfn.XLOOKUP($B19,params!$O$2:$O$12,params!$P$2:$P$12,0)</f>
        <v>8.8784885419353251E-3</v>
      </c>
      <c r="AE19" s="201">
        <f>BAU_Scenario!AE19*_xlfn.XLOOKUP($B19,params!$O$2:$O$12,params!$P$2:$P$12,0)</f>
        <v>8.4294840909345144E-3</v>
      </c>
      <c r="AF19" s="201">
        <f>BAU_Scenario!AF19*_xlfn.XLOOKUP($B19,params!$O$2:$O$12,params!$P$2:$P$12,0)</f>
        <v>7.9585363680358262E-3</v>
      </c>
      <c r="AG19" s="201">
        <f>BAU_Scenario!AG19*_xlfn.XLOOKUP($B19,params!$O$2:$O$12,params!$P$2:$P$12,0)</f>
        <v>7.4658497988519899E-3</v>
      </c>
      <c r="AH19" s="201">
        <f>BAU_Scenario!AH19*_xlfn.XLOOKUP($B19,params!$O$2:$O$12,params!$P$2:$P$12,0)</f>
        <v>6.9516738267253611E-3</v>
      </c>
      <c r="AI19" s="201">
        <f>BAU_Scenario!AI19*_xlfn.XLOOKUP($B19,params!$O$2:$O$12,params!$P$2:$P$12,0)</f>
        <v>6.4163165000836603E-3</v>
      </c>
      <c r="AJ19" s="201">
        <f>BAU_Scenario!AJ19*_xlfn.XLOOKUP($B19,params!$O$2:$O$12,params!$P$2:$P$12,0)</f>
        <v>5.8601248348654324E-3</v>
      </c>
      <c r="AK19" s="201">
        <f>BAU_Scenario!AK19*_xlfn.XLOOKUP($B19,params!$O$2:$O$12,params!$P$2:$P$12,0)</f>
        <v>5.2834930182065519E-3</v>
      </c>
      <c r="AL19" s="201">
        <f>BAU_Scenario!AL19*_xlfn.XLOOKUP($B19,params!$O$2:$O$12,params!$P$2:$P$12,0)</f>
        <v>4.6868569991344242E-3</v>
      </c>
      <c r="AM19" s="201">
        <f>BAU_Scenario!AM19*_xlfn.XLOOKUP($B19,params!$O$2:$O$12,params!$P$2:$P$12,0)</f>
        <v>4.0707090757480429E-3</v>
      </c>
      <c r="AN19" s="201">
        <f>BAU_Scenario!AN19*_xlfn.XLOOKUP($B19,params!$O$2:$O$12,params!$P$2:$P$12,0)</f>
        <v>3.4356186607994118E-3</v>
      </c>
      <c r="AO19" s="201">
        <f>BAU_Scenario!AO19*_xlfn.XLOOKUP($B19,params!$O$2:$O$12,params!$P$2:$P$12,0)</f>
        <v>2.7822154641362383E-3</v>
      </c>
      <c r="AP19" s="201">
        <f>BAU_Scenario!AP19*_xlfn.XLOOKUP($B19,params!$O$2:$O$12,params!$P$2:$P$12,0)</f>
        <v>2.111192902359134E-3</v>
      </c>
      <c r="AQ19" s="201">
        <f>BAU_Scenario!AQ19*_xlfn.XLOOKUP($B19,params!$O$2:$O$12,params!$P$2:$P$12,0)</f>
        <v>1.4232925374538007E-3</v>
      </c>
      <c r="AR19" s="201">
        <f>BAU_Scenario!AR19*_xlfn.XLOOKUP($B19,params!$O$2:$O$12,params!$P$2:$P$12,0)</f>
        <v>7.1929254035690501E-4</v>
      </c>
      <c r="AS19" s="202">
        <f>BAU_Scenario!AS19*_xlfn.XLOOKUP($B19,params!$O$2:$O$12,params!$P$2:$P$12,0)</f>
        <v>0</v>
      </c>
      <c r="AT19" s="199" t="str">
        <f t="shared" si="5"/>
        <v>rural_electric</v>
      </c>
      <c r="BC19" t="s">
        <v>10</v>
      </c>
      <c r="BD19" s="54">
        <f t="shared" si="31"/>
        <v>4.4016148309900128E-3</v>
      </c>
      <c r="BE19" s="54">
        <f t="shared" si="31"/>
        <v>9.5932244493192181E-3</v>
      </c>
      <c r="BF19" s="54">
        <f t="shared" si="31"/>
        <v>1.6451504777042204E-2</v>
      </c>
      <c r="BG19" s="54">
        <f t="shared" si="31"/>
        <v>2.5448709404064632E-2</v>
      </c>
      <c r="BH19" s="54">
        <f t="shared" si="31"/>
        <v>3.6915280649669785E-2</v>
      </c>
      <c r="BI19" s="54">
        <f t="shared" si="31"/>
        <v>5.1198625549607781E-2</v>
      </c>
      <c r="BJ19" s="54">
        <f t="shared" si="31"/>
        <v>6.859648693174604E-2</v>
      </c>
    </row>
    <row r="20" spans="1:62">
      <c r="A20" s="3" t="s">
        <v>18</v>
      </c>
      <c r="B20" t="s">
        <v>14</v>
      </c>
      <c r="C20" s="4" t="s">
        <v>53</v>
      </c>
      <c r="D20" s="42" t="s">
        <v>57</v>
      </c>
      <c r="E20" s="199">
        <f>BAU_Scenario!E20*_xlfn.XLOOKUP($B20,params!$O$2:$O$12,params!$P$2:$P$12,0)</f>
        <v>0</v>
      </c>
      <c r="F20" s="199">
        <f>BAU_Scenario!F20*_xlfn.XLOOKUP($B20,params!$O$2:$O$12,params!$P$2:$P$12,0)</f>
        <v>0</v>
      </c>
      <c r="G20" s="199">
        <f>BAU_Scenario!G20*_xlfn.XLOOKUP($B20,params!$O$2:$O$12,params!$P$2:$P$12,0)</f>
        <v>0</v>
      </c>
      <c r="H20" s="199">
        <f>BAU_Scenario!H20*_xlfn.XLOOKUP($B20,params!$O$2:$O$12,params!$P$2:$P$12,0)</f>
        <v>0</v>
      </c>
      <c r="I20" s="199">
        <f>BAU_Scenario!I20*_xlfn.XLOOKUP($B20,params!$O$2:$O$12,params!$P$2:$P$12,0)</f>
        <v>0</v>
      </c>
      <c r="J20" s="199">
        <f>BAU_Scenario!J20*_xlfn.XLOOKUP($B20,params!$O$2:$O$12,params!$P$2:$P$12,0)</f>
        <v>0</v>
      </c>
      <c r="K20" s="199">
        <f>BAU_Scenario!K20*_xlfn.XLOOKUP($B20,params!$O$2:$O$12,params!$P$2:$P$12,0)</f>
        <v>0</v>
      </c>
      <c r="L20" s="199">
        <f>BAU_Scenario!L20*_xlfn.XLOOKUP($B20,params!$O$2:$O$12,params!$P$2:$P$12,0)</f>
        <v>0</v>
      </c>
      <c r="M20" s="199">
        <f>BAU_Scenario!M20*_xlfn.XLOOKUP($B20,params!$O$2:$O$12,params!$P$2:$P$12,0)</f>
        <v>0</v>
      </c>
      <c r="N20" s="199">
        <f>BAU_Scenario!N20*_xlfn.XLOOKUP($B20,params!$O$2:$O$12,params!$P$2:$P$12,0)</f>
        <v>0</v>
      </c>
      <c r="O20" s="199">
        <f>BAU_Scenario!O20*_xlfn.XLOOKUP($B20,params!$O$2:$O$12,params!$P$2:$P$12,0)</f>
        <v>0</v>
      </c>
      <c r="P20" s="199">
        <f>BAU_Scenario!P20*_xlfn.XLOOKUP($B20,params!$O$2:$O$12,params!$P$2:$P$12,0)</f>
        <v>0</v>
      </c>
      <c r="Q20" s="199">
        <f>BAU_Scenario!Q20*_xlfn.XLOOKUP($B20,params!$O$2:$O$12,params!$P$2:$P$12,0)</f>
        <v>0</v>
      </c>
      <c r="R20" s="199">
        <f>BAU_Scenario!R20*_xlfn.XLOOKUP($B20,params!$O$2:$O$12,params!$P$2:$P$12,0)</f>
        <v>0</v>
      </c>
      <c r="S20" s="200">
        <f>BAU_Scenario!S20*_xlfn.XLOOKUP($B20,params!$O$2:$O$12,params!$P$2:$P$12,0)</f>
        <v>0</v>
      </c>
      <c r="T20" s="201">
        <f>BAU_Scenario!T20*_xlfn.XLOOKUP($B20,params!$O$2:$O$12,params!$P$2:$P$12,0)</f>
        <v>0</v>
      </c>
      <c r="U20" s="201">
        <f>BAU_Scenario!U20*_xlfn.XLOOKUP($B20,params!$O$2:$O$12,params!$P$2:$P$12,0)</f>
        <v>0</v>
      </c>
      <c r="V20" s="201">
        <f>BAU_Scenario!V20*_xlfn.XLOOKUP($B20,params!$O$2:$O$12,params!$P$2:$P$12,0)</f>
        <v>0</v>
      </c>
      <c r="W20" s="201">
        <f>BAU_Scenario!W20*_xlfn.XLOOKUP($B20,params!$O$2:$O$12,params!$P$2:$P$12,0)</f>
        <v>0</v>
      </c>
      <c r="X20" s="201">
        <f>BAU_Scenario!X20*_xlfn.XLOOKUP($B20,params!$O$2:$O$12,params!$P$2:$P$12,0)</f>
        <v>0</v>
      </c>
      <c r="Y20" s="201">
        <f>BAU_Scenario!Y20*_xlfn.XLOOKUP($B20,params!$O$2:$O$12,params!$P$2:$P$12,0)</f>
        <v>0</v>
      </c>
      <c r="Z20" s="201">
        <f>BAU_Scenario!Z20*_xlfn.XLOOKUP($B20,params!$O$2:$O$12,params!$P$2:$P$12,0)</f>
        <v>0</v>
      </c>
      <c r="AA20" s="201">
        <f>BAU_Scenario!AA20*_xlfn.XLOOKUP($B20,params!$O$2:$O$12,params!$P$2:$P$12,0)</f>
        <v>0</v>
      </c>
      <c r="AB20" s="201">
        <f>BAU_Scenario!AB20*_xlfn.XLOOKUP($B20,params!$O$2:$O$12,params!$P$2:$P$12,0)</f>
        <v>0</v>
      </c>
      <c r="AC20" s="201">
        <f>BAU_Scenario!AC20*_xlfn.XLOOKUP($B20,params!$O$2:$O$12,params!$P$2:$P$12,0)</f>
        <v>0</v>
      </c>
      <c r="AD20" s="201">
        <f>BAU_Scenario!AD20*_xlfn.XLOOKUP($B20,params!$O$2:$O$12,params!$P$2:$P$12,0)</f>
        <v>0</v>
      </c>
      <c r="AE20" s="201">
        <f>BAU_Scenario!AE20*_xlfn.XLOOKUP($B20,params!$O$2:$O$12,params!$P$2:$P$12,0)</f>
        <v>0</v>
      </c>
      <c r="AF20" s="201">
        <f>BAU_Scenario!AF20*_xlfn.XLOOKUP($B20,params!$O$2:$O$12,params!$P$2:$P$12,0)</f>
        <v>0</v>
      </c>
      <c r="AG20" s="201">
        <f>BAU_Scenario!AG20*_xlfn.XLOOKUP($B20,params!$O$2:$O$12,params!$P$2:$P$12,0)</f>
        <v>0</v>
      </c>
      <c r="AH20" s="201">
        <f>BAU_Scenario!AH20*_xlfn.XLOOKUP($B20,params!$O$2:$O$12,params!$P$2:$P$12,0)</f>
        <v>0</v>
      </c>
      <c r="AI20" s="201">
        <f>BAU_Scenario!AI20*_xlfn.XLOOKUP($B20,params!$O$2:$O$12,params!$P$2:$P$12,0)</f>
        <v>0</v>
      </c>
      <c r="AJ20" s="201">
        <f>BAU_Scenario!AJ20*_xlfn.XLOOKUP($B20,params!$O$2:$O$12,params!$P$2:$P$12,0)</f>
        <v>0</v>
      </c>
      <c r="AK20" s="201">
        <f>BAU_Scenario!AK20*_xlfn.XLOOKUP($B20,params!$O$2:$O$12,params!$P$2:$P$12,0)</f>
        <v>0</v>
      </c>
      <c r="AL20" s="201">
        <f>BAU_Scenario!AL20*_xlfn.XLOOKUP($B20,params!$O$2:$O$12,params!$P$2:$P$12,0)</f>
        <v>0</v>
      </c>
      <c r="AM20" s="201">
        <f>BAU_Scenario!AM20*_xlfn.XLOOKUP($B20,params!$O$2:$O$12,params!$P$2:$P$12,0)</f>
        <v>0</v>
      </c>
      <c r="AN20" s="201">
        <f>BAU_Scenario!AN20*_xlfn.XLOOKUP($B20,params!$O$2:$O$12,params!$P$2:$P$12,0)</f>
        <v>0</v>
      </c>
      <c r="AO20" s="201">
        <f>BAU_Scenario!AO20*_xlfn.XLOOKUP($B20,params!$O$2:$O$12,params!$P$2:$P$12,0)</f>
        <v>0</v>
      </c>
      <c r="AP20" s="201">
        <f>BAU_Scenario!AP20*_xlfn.XLOOKUP($B20,params!$O$2:$O$12,params!$P$2:$P$12,0)</f>
        <v>0</v>
      </c>
      <c r="AQ20" s="201">
        <f>BAU_Scenario!AQ20*_xlfn.XLOOKUP($B20,params!$O$2:$O$12,params!$P$2:$P$12,0)</f>
        <v>0</v>
      </c>
      <c r="AR20" s="201">
        <f>BAU_Scenario!AR20*_xlfn.XLOOKUP($B20,params!$O$2:$O$12,params!$P$2:$P$12,0)</f>
        <v>0</v>
      </c>
      <c r="AS20" s="204">
        <f>BAU_Scenario!AS20*_xlfn.XLOOKUP($B20,params!$O$2:$O$12,params!$P$2:$P$12,0)</f>
        <v>0</v>
      </c>
      <c r="AT20" s="199" t="str">
        <f t="shared" si="5"/>
        <v>rural_pellets</v>
      </c>
      <c r="BC20" s="34" t="s">
        <v>11</v>
      </c>
      <c r="BD20" s="54">
        <f t="shared" si="31"/>
        <v>1.838123123665809E-3</v>
      </c>
      <c r="BE20" s="54">
        <f t="shared" si="31"/>
        <v>3.1011586490112524E-3</v>
      </c>
      <c r="BF20" s="54">
        <f t="shared" si="31"/>
        <v>3.0188870794070799E-3</v>
      </c>
      <c r="BG20" s="54">
        <f t="shared" si="31"/>
        <v>2.7117982536723085E-3</v>
      </c>
      <c r="BH20" s="54">
        <f t="shared" si="31"/>
        <v>2.1381412420124406E-3</v>
      </c>
      <c r="BI20" s="54">
        <f t="shared" si="31"/>
        <v>1.2509689518403558E-3</v>
      </c>
      <c r="BJ20" s="54">
        <f t="shared" si="31"/>
        <v>0</v>
      </c>
    </row>
    <row r="21" spans="1:62">
      <c r="A21" s="3" t="s">
        <v>18</v>
      </c>
      <c r="B21" t="s">
        <v>15</v>
      </c>
      <c r="C21" s="4" t="s">
        <v>53</v>
      </c>
      <c r="D21" s="42" t="s">
        <v>57</v>
      </c>
      <c r="E21" s="199">
        <f>BAU_Scenario!E21*_xlfn.XLOOKUP($B21,params!$O$2:$O$12,params!$P$2:$P$12,0)</f>
        <v>0</v>
      </c>
      <c r="F21" s="199">
        <f>BAU_Scenario!F21*_xlfn.XLOOKUP($B21,params!$O$2:$O$12,params!$P$2:$P$12,0)</f>
        <v>0</v>
      </c>
      <c r="G21" s="199">
        <f>BAU_Scenario!G21*_xlfn.XLOOKUP($B21,params!$O$2:$O$12,params!$P$2:$P$12,0)</f>
        <v>0</v>
      </c>
      <c r="H21" s="199">
        <f>BAU_Scenario!H21*_xlfn.XLOOKUP($B21,params!$O$2:$O$12,params!$P$2:$P$12,0)</f>
        <v>0</v>
      </c>
      <c r="I21" s="199">
        <f>BAU_Scenario!I21*_xlfn.XLOOKUP($B21,params!$O$2:$O$12,params!$P$2:$P$12,0)</f>
        <v>0</v>
      </c>
      <c r="J21" s="199">
        <f>BAU_Scenario!J21*_xlfn.XLOOKUP($B21,params!$O$2:$O$12,params!$P$2:$P$12,0)</f>
        <v>0</v>
      </c>
      <c r="K21" s="199">
        <f>BAU_Scenario!K21*_xlfn.XLOOKUP($B21,params!$O$2:$O$12,params!$P$2:$P$12,0)</f>
        <v>0</v>
      </c>
      <c r="L21" s="199">
        <f>BAU_Scenario!L21*_xlfn.XLOOKUP($B21,params!$O$2:$O$12,params!$P$2:$P$12,0)</f>
        <v>0</v>
      </c>
      <c r="M21" s="199">
        <f>BAU_Scenario!M21*_xlfn.XLOOKUP($B21,params!$O$2:$O$12,params!$P$2:$P$12,0)</f>
        <v>0</v>
      </c>
      <c r="N21" s="199">
        <f>BAU_Scenario!N21*_xlfn.XLOOKUP($B21,params!$O$2:$O$12,params!$P$2:$P$12,0)</f>
        <v>0</v>
      </c>
      <c r="O21" s="199">
        <f>BAU_Scenario!O21*_xlfn.XLOOKUP($B21,params!$O$2:$O$12,params!$P$2:$P$12,0)</f>
        <v>0</v>
      </c>
      <c r="P21" s="199">
        <f>BAU_Scenario!P21*_xlfn.XLOOKUP($B21,params!$O$2:$O$12,params!$P$2:$P$12,0)</f>
        <v>0</v>
      </c>
      <c r="Q21" s="199">
        <f>BAU_Scenario!Q21*_xlfn.XLOOKUP($B21,params!$O$2:$O$12,params!$P$2:$P$12,0)</f>
        <v>0</v>
      </c>
      <c r="R21" s="199">
        <f>BAU_Scenario!R21*_xlfn.XLOOKUP($B21,params!$O$2:$O$12,params!$P$2:$P$12,0)</f>
        <v>0</v>
      </c>
      <c r="S21" s="200">
        <f>BAU_Scenario!S21*_xlfn.XLOOKUP($B21,params!$O$2:$O$12,params!$P$2:$P$12,0)</f>
        <v>0</v>
      </c>
      <c r="T21" s="201">
        <f>BAU_Scenario!T21*_xlfn.XLOOKUP($B21,params!$O$2:$O$12,params!$P$2:$P$12,0)</f>
        <v>0</v>
      </c>
      <c r="U21" s="201">
        <f>BAU_Scenario!U21*_xlfn.XLOOKUP($B21,params!$O$2:$O$12,params!$P$2:$P$12,0)</f>
        <v>0</v>
      </c>
      <c r="V21" s="201">
        <f>BAU_Scenario!V21*_xlfn.XLOOKUP($B21,params!$O$2:$O$12,params!$P$2:$P$12,0)</f>
        <v>0</v>
      </c>
      <c r="W21" s="201">
        <f>BAU_Scenario!W21*_xlfn.XLOOKUP($B21,params!$O$2:$O$12,params!$P$2:$P$12,0)</f>
        <v>0</v>
      </c>
      <c r="X21" s="201">
        <f>BAU_Scenario!X21*_xlfn.XLOOKUP($B21,params!$O$2:$O$12,params!$P$2:$P$12,0)</f>
        <v>0</v>
      </c>
      <c r="Y21" s="201">
        <f>BAU_Scenario!Y21*_xlfn.XLOOKUP($B21,params!$O$2:$O$12,params!$P$2:$P$12,0)</f>
        <v>0</v>
      </c>
      <c r="Z21" s="201">
        <f>BAU_Scenario!Z21*_xlfn.XLOOKUP($B21,params!$O$2:$O$12,params!$P$2:$P$12,0)</f>
        <v>0</v>
      </c>
      <c r="AA21" s="201">
        <f>BAU_Scenario!AA21*_xlfn.XLOOKUP($B21,params!$O$2:$O$12,params!$P$2:$P$12,0)</f>
        <v>0</v>
      </c>
      <c r="AB21" s="201">
        <f>BAU_Scenario!AB21*_xlfn.XLOOKUP($B21,params!$O$2:$O$12,params!$P$2:$P$12,0)</f>
        <v>0</v>
      </c>
      <c r="AC21" s="201">
        <f>BAU_Scenario!AC21*_xlfn.XLOOKUP($B21,params!$O$2:$O$12,params!$P$2:$P$12,0)</f>
        <v>0</v>
      </c>
      <c r="AD21" s="201">
        <f>BAU_Scenario!AD21*_xlfn.XLOOKUP($B21,params!$O$2:$O$12,params!$P$2:$P$12,0)</f>
        <v>0</v>
      </c>
      <c r="AE21" s="201">
        <f>BAU_Scenario!AE21*_xlfn.XLOOKUP($B21,params!$O$2:$O$12,params!$P$2:$P$12,0)</f>
        <v>0</v>
      </c>
      <c r="AF21" s="201">
        <f>BAU_Scenario!AF21*_xlfn.XLOOKUP($B21,params!$O$2:$O$12,params!$P$2:$P$12,0)</f>
        <v>0</v>
      </c>
      <c r="AG21" s="201">
        <f>BAU_Scenario!AG21*_xlfn.XLOOKUP($B21,params!$O$2:$O$12,params!$P$2:$P$12,0)</f>
        <v>0</v>
      </c>
      <c r="AH21" s="201">
        <f>BAU_Scenario!AH21*_xlfn.XLOOKUP($B21,params!$O$2:$O$12,params!$P$2:$P$12,0)</f>
        <v>0</v>
      </c>
      <c r="AI21" s="201">
        <f>BAU_Scenario!AI21*_xlfn.XLOOKUP($B21,params!$O$2:$O$12,params!$P$2:$P$12,0)</f>
        <v>0</v>
      </c>
      <c r="AJ21" s="201">
        <f>BAU_Scenario!AJ21*_xlfn.XLOOKUP($B21,params!$O$2:$O$12,params!$P$2:$P$12,0)</f>
        <v>0</v>
      </c>
      <c r="AK21" s="201">
        <f>BAU_Scenario!AK21*_xlfn.XLOOKUP($B21,params!$O$2:$O$12,params!$P$2:$P$12,0)</f>
        <v>0</v>
      </c>
      <c r="AL21" s="201">
        <f>BAU_Scenario!AL21*_xlfn.XLOOKUP($B21,params!$O$2:$O$12,params!$P$2:$P$12,0)</f>
        <v>0</v>
      </c>
      <c r="AM21" s="201">
        <f>BAU_Scenario!AM21*_xlfn.XLOOKUP($B21,params!$O$2:$O$12,params!$P$2:$P$12,0)</f>
        <v>0</v>
      </c>
      <c r="AN21" s="201">
        <f>BAU_Scenario!AN21*_xlfn.XLOOKUP($B21,params!$O$2:$O$12,params!$P$2:$P$12,0)</f>
        <v>0</v>
      </c>
      <c r="AO21" s="201">
        <f>BAU_Scenario!AO21*_xlfn.XLOOKUP($B21,params!$O$2:$O$12,params!$P$2:$P$12,0)</f>
        <v>0</v>
      </c>
      <c r="AP21" s="201">
        <f>BAU_Scenario!AP21*_xlfn.XLOOKUP($B21,params!$O$2:$O$12,params!$P$2:$P$12,0)</f>
        <v>0</v>
      </c>
      <c r="AQ21" s="201">
        <f>BAU_Scenario!AQ21*_xlfn.XLOOKUP($B21,params!$O$2:$O$12,params!$P$2:$P$12,0)</f>
        <v>0</v>
      </c>
      <c r="AR21" s="201">
        <f>BAU_Scenario!AR21*_xlfn.XLOOKUP($B21,params!$O$2:$O$12,params!$P$2:$P$12,0)</f>
        <v>0</v>
      </c>
      <c r="AS21" s="204">
        <f>BAU_Scenario!AS21*_xlfn.XLOOKUP($B21,params!$O$2:$O$12,params!$P$2:$P$12,0)</f>
        <v>0</v>
      </c>
      <c r="AT21" s="199" t="str">
        <f t="shared" si="5"/>
        <v>rural_ethanol</v>
      </c>
      <c r="BC21" s="3" t="s">
        <v>12</v>
      </c>
      <c r="BD21" s="54">
        <f t="shared" si="31"/>
        <v>1.4109146447841009E-4</v>
      </c>
      <c r="BE21" s="54">
        <f t="shared" si="31"/>
        <v>0</v>
      </c>
      <c r="BF21" s="54">
        <f t="shared" si="31"/>
        <v>0</v>
      </c>
      <c r="BG21" s="54">
        <f t="shared" si="31"/>
        <v>0</v>
      </c>
      <c r="BH21" s="54">
        <f t="shared" si="31"/>
        <v>0</v>
      </c>
      <c r="BI21" s="54">
        <f t="shared" si="31"/>
        <v>0</v>
      </c>
      <c r="BJ21" s="54">
        <f t="shared" si="31"/>
        <v>0</v>
      </c>
    </row>
    <row r="22" spans="1:62">
      <c r="A22" s="3" t="s">
        <v>18</v>
      </c>
      <c r="B22" t="s">
        <v>16</v>
      </c>
      <c r="C22" s="4" t="s">
        <v>53</v>
      </c>
      <c r="D22" s="42" t="s">
        <v>57</v>
      </c>
      <c r="E22" s="199">
        <f>BAU_Scenario!E22*_xlfn.XLOOKUP($B22,params!$O$2:$O$12,params!$P$2:$P$12,0)</f>
        <v>0</v>
      </c>
      <c r="F22" s="199">
        <f>BAU_Scenario!F22*_xlfn.XLOOKUP($B22,params!$O$2:$O$12,params!$P$2:$P$12,0)</f>
        <v>0</v>
      </c>
      <c r="G22" s="199">
        <f>BAU_Scenario!G22*_xlfn.XLOOKUP($B22,params!$O$2:$O$12,params!$P$2:$P$12,0)</f>
        <v>0</v>
      </c>
      <c r="H22" s="199">
        <f>BAU_Scenario!H22*_xlfn.XLOOKUP($B22,params!$O$2:$O$12,params!$P$2:$P$12,0)</f>
        <v>0</v>
      </c>
      <c r="I22" s="199">
        <f>BAU_Scenario!I22*_xlfn.XLOOKUP($B22,params!$O$2:$O$12,params!$P$2:$P$12,0)</f>
        <v>0</v>
      </c>
      <c r="J22" s="199">
        <f>BAU_Scenario!J22*_xlfn.XLOOKUP($B22,params!$O$2:$O$12,params!$P$2:$P$12,0)</f>
        <v>0</v>
      </c>
      <c r="K22" s="199">
        <f>BAU_Scenario!K22*_xlfn.XLOOKUP($B22,params!$O$2:$O$12,params!$P$2:$P$12,0)</f>
        <v>0</v>
      </c>
      <c r="L22" s="199">
        <f>BAU_Scenario!L22*_xlfn.XLOOKUP($B22,params!$O$2:$O$12,params!$P$2:$P$12,0)</f>
        <v>0</v>
      </c>
      <c r="M22" s="199">
        <f>BAU_Scenario!M22*_xlfn.XLOOKUP($B22,params!$O$2:$O$12,params!$P$2:$P$12,0)</f>
        <v>0</v>
      </c>
      <c r="N22" s="199">
        <f>BAU_Scenario!N22*_xlfn.XLOOKUP($B22,params!$O$2:$O$12,params!$P$2:$P$12,0)</f>
        <v>0</v>
      </c>
      <c r="O22" s="199">
        <f>BAU_Scenario!O22*_xlfn.XLOOKUP($B22,params!$O$2:$O$12,params!$P$2:$P$12,0)</f>
        <v>0</v>
      </c>
      <c r="P22" s="199">
        <f>BAU_Scenario!P22*_xlfn.XLOOKUP($B22,params!$O$2:$O$12,params!$P$2:$P$12,0)</f>
        <v>0</v>
      </c>
      <c r="Q22" s="199">
        <f>BAU_Scenario!Q22*_xlfn.XLOOKUP($B22,params!$O$2:$O$12,params!$P$2:$P$12,0)</f>
        <v>0</v>
      </c>
      <c r="R22" s="199">
        <f>BAU_Scenario!R22*_xlfn.XLOOKUP($B22,params!$O$2:$O$12,params!$P$2:$P$12,0)</f>
        <v>0</v>
      </c>
      <c r="S22" s="200">
        <f>BAU_Scenario!S22*_xlfn.XLOOKUP($B22,params!$O$2:$O$12,params!$P$2:$P$12,0)</f>
        <v>0</v>
      </c>
      <c r="T22" s="201">
        <f>BAU_Scenario!T22*_xlfn.XLOOKUP($B22,params!$O$2:$O$12,params!$P$2:$P$12,0)</f>
        <v>0</v>
      </c>
      <c r="U22" s="201">
        <f>BAU_Scenario!U22*_xlfn.XLOOKUP($B22,params!$O$2:$O$12,params!$P$2:$P$12,0)</f>
        <v>0</v>
      </c>
      <c r="V22" s="201">
        <f>BAU_Scenario!V22*_xlfn.XLOOKUP($B22,params!$O$2:$O$12,params!$P$2:$P$12,0)</f>
        <v>0</v>
      </c>
      <c r="W22" s="201">
        <f>BAU_Scenario!W22*_xlfn.XLOOKUP($B22,params!$O$2:$O$12,params!$P$2:$P$12,0)</f>
        <v>0</v>
      </c>
      <c r="X22" s="201">
        <f>BAU_Scenario!X22*_xlfn.XLOOKUP($B22,params!$O$2:$O$12,params!$P$2:$P$12,0)</f>
        <v>0</v>
      </c>
      <c r="Y22" s="201">
        <f>BAU_Scenario!Y22*_xlfn.XLOOKUP($B22,params!$O$2:$O$12,params!$P$2:$P$12,0)</f>
        <v>0</v>
      </c>
      <c r="Z22" s="201">
        <f>BAU_Scenario!Z22*_xlfn.XLOOKUP($B22,params!$O$2:$O$12,params!$P$2:$P$12,0)</f>
        <v>0</v>
      </c>
      <c r="AA22" s="201">
        <f>BAU_Scenario!AA22*_xlfn.XLOOKUP($B22,params!$O$2:$O$12,params!$P$2:$P$12,0)</f>
        <v>0</v>
      </c>
      <c r="AB22" s="201">
        <f>BAU_Scenario!AB22*_xlfn.XLOOKUP($B22,params!$O$2:$O$12,params!$P$2:$P$12,0)</f>
        <v>0</v>
      </c>
      <c r="AC22" s="201">
        <f>BAU_Scenario!AC22*_xlfn.XLOOKUP($B22,params!$O$2:$O$12,params!$P$2:$P$12,0)</f>
        <v>0</v>
      </c>
      <c r="AD22" s="201">
        <f>BAU_Scenario!AD22*_xlfn.XLOOKUP($B22,params!$O$2:$O$12,params!$P$2:$P$12,0)</f>
        <v>0</v>
      </c>
      <c r="AE22" s="201">
        <f>BAU_Scenario!AE22*_xlfn.XLOOKUP($B22,params!$O$2:$O$12,params!$P$2:$P$12,0)</f>
        <v>0</v>
      </c>
      <c r="AF22" s="201">
        <f>BAU_Scenario!AF22*_xlfn.XLOOKUP($B22,params!$O$2:$O$12,params!$P$2:$P$12,0)</f>
        <v>0</v>
      </c>
      <c r="AG22" s="201">
        <f>BAU_Scenario!AG22*_xlfn.XLOOKUP($B22,params!$O$2:$O$12,params!$P$2:$P$12,0)</f>
        <v>0</v>
      </c>
      <c r="AH22" s="201">
        <f>BAU_Scenario!AH22*_xlfn.XLOOKUP($B22,params!$O$2:$O$12,params!$P$2:$P$12,0)</f>
        <v>0</v>
      </c>
      <c r="AI22" s="201">
        <f>BAU_Scenario!AI22*_xlfn.XLOOKUP($B22,params!$O$2:$O$12,params!$P$2:$P$12,0)</f>
        <v>0</v>
      </c>
      <c r="AJ22" s="201">
        <f>BAU_Scenario!AJ22*_xlfn.XLOOKUP($B22,params!$O$2:$O$12,params!$P$2:$P$12,0)</f>
        <v>0</v>
      </c>
      <c r="AK22" s="201">
        <f>BAU_Scenario!AK22*_xlfn.XLOOKUP($B22,params!$O$2:$O$12,params!$P$2:$P$12,0)</f>
        <v>0</v>
      </c>
      <c r="AL22" s="201">
        <f>BAU_Scenario!AL22*_xlfn.XLOOKUP($B22,params!$O$2:$O$12,params!$P$2:$P$12,0)</f>
        <v>0</v>
      </c>
      <c r="AM22" s="201">
        <f>BAU_Scenario!AM22*_xlfn.XLOOKUP($B22,params!$O$2:$O$12,params!$P$2:$P$12,0)</f>
        <v>0</v>
      </c>
      <c r="AN22" s="201">
        <f>BAU_Scenario!AN22*_xlfn.XLOOKUP($B22,params!$O$2:$O$12,params!$P$2:$P$12,0)</f>
        <v>0</v>
      </c>
      <c r="AO22" s="201">
        <f>BAU_Scenario!AO22*_xlfn.XLOOKUP($B22,params!$O$2:$O$12,params!$P$2:$P$12,0)</f>
        <v>0</v>
      </c>
      <c r="AP22" s="201">
        <f>BAU_Scenario!AP22*_xlfn.XLOOKUP($B22,params!$O$2:$O$12,params!$P$2:$P$12,0)</f>
        <v>0</v>
      </c>
      <c r="AQ22" s="201">
        <f>BAU_Scenario!AQ22*_xlfn.XLOOKUP($B22,params!$O$2:$O$12,params!$P$2:$P$12,0)</f>
        <v>0</v>
      </c>
      <c r="AR22" s="201">
        <f>BAU_Scenario!AR22*_xlfn.XLOOKUP($B22,params!$O$2:$O$12,params!$P$2:$P$12,0)</f>
        <v>0</v>
      </c>
      <c r="AS22" s="204">
        <f>BAU_Scenario!AS22*_xlfn.XLOOKUP($B22,params!$O$2:$O$12,params!$P$2:$P$12,0)</f>
        <v>0</v>
      </c>
      <c r="AT22" s="199" t="str">
        <f t="shared" si="5"/>
        <v>rural_biogas</v>
      </c>
      <c r="BC22" s="3" t="s">
        <v>13</v>
      </c>
      <c r="BD22" s="54">
        <f t="shared" si="31"/>
        <v>0.3083562253484326</v>
      </c>
      <c r="BE22" s="54">
        <f t="shared" si="31"/>
        <v>0.29081508489027647</v>
      </c>
      <c r="BF22" s="54">
        <f t="shared" si="31"/>
        <v>0.28277445702309012</v>
      </c>
      <c r="BG22" s="54">
        <f t="shared" si="31"/>
        <v>0.25374542960818758</v>
      </c>
      <c r="BH22" s="54">
        <f t="shared" si="31"/>
        <v>0.19987618986869021</v>
      </c>
      <c r="BI22" s="54">
        <f t="shared" si="31"/>
        <v>0.11683770866120327</v>
      </c>
      <c r="BJ22" s="54">
        <f t="shared" si="31"/>
        <v>0</v>
      </c>
    </row>
    <row r="23" spans="1:62" ht="17" thickBot="1">
      <c r="A23" s="31" t="s">
        <v>18</v>
      </c>
      <c r="B23" s="31" t="s">
        <v>17</v>
      </c>
      <c r="C23" s="32" t="s">
        <v>53</v>
      </c>
      <c r="D23" s="43" t="s">
        <v>57</v>
      </c>
      <c r="E23" s="205">
        <f>BAU_Scenario!E23*_xlfn.XLOOKUP($B23,params!$O$2:$O$12,params!$P$2:$P$12,0)</f>
        <v>0</v>
      </c>
      <c r="F23" s="205">
        <f>BAU_Scenario!F23*_xlfn.XLOOKUP($B23,params!$O$2:$O$12,params!$P$2:$P$12,0)</f>
        <v>0</v>
      </c>
      <c r="G23" s="205">
        <f>BAU_Scenario!G23*_xlfn.XLOOKUP($B23,params!$O$2:$O$12,params!$P$2:$P$12,0)</f>
        <v>0</v>
      </c>
      <c r="H23" s="205">
        <f>BAU_Scenario!H23*_xlfn.XLOOKUP($B23,params!$O$2:$O$12,params!$P$2:$P$12,0)</f>
        <v>0</v>
      </c>
      <c r="I23" s="205">
        <f>BAU_Scenario!I23*_xlfn.XLOOKUP($B23,params!$O$2:$O$12,params!$P$2:$P$12,0)</f>
        <v>0</v>
      </c>
      <c r="J23" s="205">
        <f>BAU_Scenario!J23*_xlfn.XLOOKUP($B23,params!$O$2:$O$12,params!$P$2:$P$12,0)</f>
        <v>0</v>
      </c>
      <c r="K23" s="205">
        <f>BAU_Scenario!K23*_xlfn.XLOOKUP($B23,params!$O$2:$O$12,params!$P$2:$P$12,0)</f>
        <v>0</v>
      </c>
      <c r="L23" s="205">
        <f>BAU_Scenario!L23*_xlfn.XLOOKUP($B23,params!$O$2:$O$12,params!$P$2:$P$12,0)</f>
        <v>0</v>
      </c>
      <c r="M23" s="205">
        <f>BAU_Scenario!M23*_xlfn.XLOOKUP($B23,params!$O$2:$O$12,params!$P$2:$P$12,0)</f>
        <v>0</v>
      </c>
      <c r="N23" s="205">
        <f>BAU_Scenario!N23*_xlfn.XLOOKUP($B23,params!$O$2:$O$12,params!$P$2:$P$12,0)</f>
        <v>0</v>
      </c>
      <c r="O23" s="205">
        <f>BAU_Scenario!O23*_xlfn.XLOOKUP($B23,params!$O$2:$O$12,params!$P$2:$P$12,0)</f>
        <v>0</v>
      </c>
      <c r="P23" s="205">
        <f>BAU_Scenario!P23*_xlfn.XLOOKUP($B23,params!$O$2:$O$12,params!$P$2:$P$12,0)</f>
        <v>0</v>
      </c>
      <c r="Q23" s="205">
        <f>BAU_Scenario!Q23*_xlfn.XLOOKUP($B23,params!$O$2:$O$12,params!$P$2:$P$12,0)</f>
        <v>0</v>
      </c>
      <c r="R23" s="205">
        <f>BAU_Scenario!R23*_xlfn.XLOOKUP($B23,params!$O$2:$O$12,params!$P$2:$P$12,0)</f>
        <v>0</v>
      </c>
      <c r="S23" s="206">
        <f>BAU_Scenario!S23*_xlfn.XLOOKUP($B23,params!$O$2:$O$12,params!$P$2:$P$12,0)</f>
        <v>0</v>
      </c>
      <c r="T23" s="207">
        <f>BAU_Scenario!T23*_xlfn.XLOOKUP($B23,params!$O$2:$O$12,params!$P$2:$P$12,0)</f>
        <v>0</v>
      </c>
      <c r="U23" s="207">
        <f>BAU_Scenario!U23*_xlfn.XLOOKUP($B23,params!$O$2:$O$12,params!$P$2:$P$12,0)</f>
        <v>0</v>
      </c>
      <c r="V23" s="207">
        <f>BAU_Scenario!V23*_xlfn.XLOOKUP($B23,params!$O$2:$O$12,params!$P$2:$P$12,0)</f>
        <v>0</v>
      </c>
      <c r="W23" s="207">
        <f>BAU_Scenario!W23*_xlfn.XLOOKUP($B23,params!$O$2:$O$12,params!$P$2:$P$12,0)</f>
        <v>0</v>
      </c>
      <c r="X23" s="207">
        <f>BAU_Scenario!X23*_xlfn.XLOOKUP($B23,params!$O$2:$O$12,params!$P$2:$P$12,0)</f>
        <v>0</v>
      </c>
      <c r="Y23" s="207">
        <f>BAU_Scenario!Y23*_xlfn.XLOOKUP($B23,params!$O$2:$O$12,params!$P$2:$P$12,0)</f>
        <v>0</v>
      </c>
      <c r="Z23" s="207">
        <f>BAU_Scenario!Z23*_xlfn.XLOOKUP($B23,params!$O$2:$O$12,params!$P$2:$P$12,0)</f>
        <v>0</v>
      </c>
      <c r="AA23" s="207">
        <f>BAU_Scenario!AA23*_xlfn.XLOOKUP($B23,params!$O$2:$O$12,params!$P$2:$P$12,0)</f>
        <v>0</v>
      </c>
      <c r="AB23" s="207">
        <f>BAU_Scenario!AB23*_xlfn.XLOOKUP($B23,params!$O$2:$O$12,params!$P$2:$P$12,0)</f>
        <v>0</v>
      </c>
      <c r="AC23" s="207">
        <f>BAU_Scenario!AC23*_xlfn.XLOOKUP($B23,params!$O$2:$O$12,params!$P$2:$P$12,0)</f>
        <v>0</v>
      </c>
      <c r="AD23" s="207">
        <f>BAU_Scenario!AD23*_xlfn.XLOOKUP($B23,params!$O$2:$O$12,params!$P$2:$P$12,0)</f>
        <v>0</v>
      </c>
      <c r="AE23" s="207">
        <f>BAU_Scenario!AE23*_xlfn.XLOOKUP($B23,params!$O$2:$O$12,params!$P$2:$P$12,0)</f>
        <v>0</v>
      </c>
      <c r="AF23" s="207">
        <f>BAU_Scenario!AF23*_xlfn.XLOOKUP($B23,params!$O$2:$O$12,params!$P$2:$P$12,0)</f>
        <v>0</v>
      </c>
      <c r="AG23" s="207">
        <f>BAU_Scenario!AG23*_xlfn.XLOOKUP($B23,params!$O$2:$O$12,params!$P$2:$P$12,0)</f>
        <v>0</v>
      </c>
      <c r="AH23" s="207">
        <f>BAU_Scenario!AH23*_xlfn.XLOOKUP($B23,params!$O$2:$O$12,params!$P$2:$P$12,0)</f>
        <v>0</v>
      </c>
      <c r="AI23" s="207">
        <f>BAU_Scenario!AI23*_xlfn.XLOOKUP($B23,params!$O$2:$O$12,params!$P$2:$P$12,0)</f>
        <v>0</v>
      </c>
      <c r="AJ23" s="207">
        <f>BAU_Scenario!AJ23*_xlfn.XLOOKUP($B23,params!$O$2:$O$12,params!$P$2:$P$12,0)</f>
        <v>0</v>
      </c>
      <c r="AK23" s="207">
        <f>BAU_Scenario!AK23*_xlfn.XLOOKUP($B23,params!$O$2:$O$12,params!$P$2:$P$12,0)</f>
        <v>0</v>
      </c>
      <c r="AL23" s="207">
        <f>BAU_Scenario!AL23*_xlfn.XLOOKUP($B23,params!$O$2:$O$12,params!$P$2:$P$12,0)</f>
        <v>0</v>
      </c>
      <c r="AM23" s="207">
        <f>BAU_Scenario!AM23*_xlfn.XLOOKUP($B23,params!$O$2:$O$12,params!$P$2:$P$12,0)</f>
        <v>0</v>
      </c>
      <c r="AN23" s="207">
        <f>BAU_Scenario!AN23*_xlfn.XLOOKUP($B23,params!$O$2:$O$12,params!$P$2:$P$12,0)</f>
        <v>0</v>
      </c>
      <c r="AO23" s="207">
        <f>BAU_Scenario!AO23*_xlfn.XLOOKUP($B23,params!$O$2:$O$12,params!$P$2:$P$12,0)</f>
        <v>0</v>
      </c>
      <c r="AP23" s="207">
        <f>BAU_Scenario!AP23*_xlfn.XLOOKUP($B23,params!$O$2:$O$12,params!$P$2:$P$12,0)</f>
        <v>0</v>
      </c>
      <c r="AQ23" s="207">
        <f>BAU_Scenario!AQ23*_xlfn.XLOOKUP($B23,params!$O$2:$O$12,params!$P$2:$P$12,0)</f>
        <v>0</v>
      </c>
      <c r="AR23" s="207">
        <f>BAU_Scenario!AR23*_xlfn.XLOOKUP($B23,params!$O$2:$O$12,params!$P$2:$P$12,0)</f>
        <v>0</v>
      </c>
      <c r="AS23" s="208">
        <f>BAU_Scenario!AS23*_xlfn.XLOOKUP($B23,params!$O$2:$O$12,params!$P$2:$P$12,0)</f>
        <v>0</v>
      </c>
      <c r="AT23" s="199" t="str">
        <f t="shared" si="5"/>
        <v>rural_other</v>
      </c>
      <c r="BC23" t="s">
        <v>14</v>
      </c>
      <c r="BD23" s="54">
        <f t="shared" si="31"/>
        <v>0</v>
      </c>
      <c r="BE23" s="54">
        <f t="shared" si="31"/>
        <v>0</v>
      </c>
      <c r="BF23" s="54">
        <f t="shared" si="31"/>
        <v>0</v>
      </c>
      <c r="BG23" s="54">
        <f t="shared" si="31"/>
        <v>0</v>
      </c>
      <c r="BH23" s="54">
        <f t="shared" si="31"/>
        <v>0</v>
      </c>
      <c r="BI23" s="54">
        <f t="shared" si="31"/>
        <v>0</v>
      </c>
      <c r="BJ23" s="54">
        <f t="shared" si="31"/>
        <v>0</v>
      </c>
    </row>
    <row r="24" spans="1:62">
      <c r="A24" s="86" t="s">
        <v>19</v>
      </c>
      <c r="B24" s="87" t="s">
        <v>36</v>
      </c>
      <c r="C24" s="88" t="s">
        <v>53</v>
      </c>
      <c r="D24" s="89" t="s">
        <v>57</v>
      </c>
      <c r="E24" s="195">
        <f>BAU_Scenario!E24*_xlfn.XLOOKUP($B24,params!$O$2:$O$12,params!$P$2:$P$12,0)</f>
        <v>1.181067352581652</v>
      </c>
      <c r="F24" s="195">
        <f>BAU_Scenario!F24*_xlfn.XLOOKUP($B24,params!$O$2:$O$12,params!$P$2:$P$12,0)</f>
        <v>1.2014697152280953</v>
      </c>
      <c r="G24" s="195">
        <f>BAU_Scenario!G24*_xlfn.XLOOKUP($B24,params!$O$2:$O$12,params!$P$2:$P$12,0)</f>
        <v>1.2204210826034512</v>
      </c>
      <c r="H24" s="195">
        <f>BAU_Scenario!H24*_xlfn.XLOOKUP($B24,params!$O$2:$O$12,params!$P$2:$P$12,0)</f>
        <v>1.2378530956675984</v>
      </c>
      <c r="I24" s="195">
        <f>BAU_Scenario!I24*_xlfn.XLOOKUP($B24,params!$O$2:$O$12,params!$P$2:$P$12,0)</f>
        <v>1.2537125973377758</v>
      </c>
      <c r="J24" s="195">
        <f>BAU_Scenario!J24*_xlfn.XLOOKUP($B24,params!$O$2:$O$12,params!$P$2:$P$12,0)</f>
        <v>1.2679029498533105</v>
      </c>
      <c r="K24" s="195">
        <f>BAU_Scenario!K24*_xlfn.XLOOKUP($B24,params!$O$2:$O$12,params!$P$2:$P$12,0)</f>
        <v>1.2802631615311031</v>
      </c>
      <c r="L24" s="195">
        <f>BAU_Scenario!L24*_xlfn.XLOOKUP($B24,params!$O$2:$O$12,params!$P$2:$P$12,0)</f>
        <v>1.2905802551205332</v>
      </c>
      <c r="M24" s="195">
        <f>BAU_Scenario!M24*_xlfn.XLOOKUP($B24,params!$O$2:$O$12,params!$P$2:$P$12,0)</f>
        <v>1.2986341604874292</v>
      </c>
      <c r="N24" s="195">
        <f>BAU_Scenario!N24*_xlfn.XLOOKUP($B24,params!$O$2:$O$12,params!$P$2:$P$12,0)</f>
        <v>1.3041821481376243</v>
      </c>
      <c r="O24" s="195">
        <f>BAU_Scenario!O24*_xlfn.XLOOKUP($B24,params!$O$2:$O$12,params!$P$2:$P$12,0)</f>
        <v>1.3069804458552352</v>
      </c>
      <c r="P24" s="195">
        <f>BAU_Scenario!P24*_xlfn.XLOOKUP($B24,params!$O$2:$O$12,params!$P$2:$P$12,0)</f>
        <v>1.3068008635924291</v>
      </c>
      <c r="Q24" s="195">
        <f>BAU_Scenario!Q24*_xlfn.XLOOKUP($B24,params!$O$2:$O$12,params!$P$2:$P$12,0)</f>
        <v>1.3034109838358701</v>
      </c>
      <c r="R24" s="195">
        <f>BAU_Scenario!R24*_xlfn.XLOOKUP($B24,params!$O$2:$O$12,params!$P$2:$P$12,0)</f>
        <v>1.2965512490528972</v>
      </c>
      <c r="S24" s="196">
        <f>BAU_Scenario!S24*_xlfn.XLOOKUP($B24,params!$O$2:$O$12,params!$P$2:$P$12,0)</f>
        <v>1.2859537275885473</v>
      </c>
      <c r="T24" s="201">
        <f>BAU_Scenario!T24*_xlfn.XLOOKUP($B24,params!$O$2:$O$12,params!$P$2:$P$12,0)</f>
        <v>1.2888945706353025</v>
      </c>
      <c r="U24" s="201">
        <f>BAU_Scenario!U24*_xlfn.XLOOKUP($B24,params!$O$2:$O$12,params!$P$2:$P$12,0)</f>
        <v>1.2890491565604789</v>
      </c>
      <c r="V24" s="201">
        <f>BAU_Scenario!V24*_xlfn.XLOOKUP($B24,params!$O$2:$O$12,params!$P$2:$P$12,0)</f>
        <v>1.2862233458457251</v>
      </c>
      <c r="W24" s="201">
        <f>BAU_Scenario!W24*_xlfn.XLOOKUP($B24,params!$O$2:$O$12,params!$P$2:$P$12,0)</f>
        <v>1.2802094459986291</v>
      </c>
      <c r="X24" s="201">
        <f>BAU_Scenario!X24*_xlfn.XLOOKUP($B24,params!$O$2:$O$12,params!$P$2:$P$12,0)</f>
        <v>1.2707967453772251</v>
      </c>
      <c r="Y24" s="201">
        <f>BAU_Scenario!Y24*_xlfn.XLOOKUP($B24,params!$O$2:$O$12,params!$P$2:$P$12,0)</f>
        <v>1.2577831718722925</v>
      </c>
      <c r="Z24" s="201">
        <f>BAU_Scenario!Z24*_xlfn.XLOOKUP($B24,params!$O$2:$O$12,params!$P$2:$P$12,0)</f>
        <v>1.2409749140490021</v>
      </c>
      <c r="AA24" s="201">
        <f>BAU_Scenario!AA24*_xlfn.XLOOKUP($B24,params!$O$2:$O$12,params!$P$2:$P$12,0)</f>
        <v>1.2201862531993994</v>
      </c>
      <c r="AB24" s="201">
        <f>BAU_Scenario!AB24*_xlfn.XLOOKUP($B24,params!$O$2:$O$12,params!$P$2:$P$12,0)</f>
        <v>1.1952257408711642</v>
      </c>
      <c r="AC24" s="201">
        <f>BAU_Scenario!AC24*_xlfn.XLOOKUP($B24,params!$O$2:$O$12,params!$P$2:$P$12,0)</f>
        <v>1.1658846026774126</v>
      </c>
      <c r="AD24" s="201">
        <f>BAU_Scenario!AD24*_xlfn.XLOOKUP($B24,params!$O$2:$O$12,params!$P$2:$P$12,0)</f>
        <v>1.1323426635399738</v>
      </c>
      <c r="AE24" s="201">
        <f>BAU_Scenario!AE24*_xlfn.XLOOKUP($B24,params!$O$2:$O$12,params!$P$2:$P$12,0)</f>
        <v>1.0943618480888497</v>
      </c>
      <c r="AF24" s="201">
        <f>BAU_Scenario!AF24*_xlfn.XLOOKUP($B24,params!$O$2:$O$12,params!$P$2:$P$12,0)</f>
        <v>1.0517670065924001</v>
      </c>
      <c r="AG24" s="201">
        <f>BAU_Scenario!AG24*_xlfn.XLOOKUP($B24,params!$O$2:$O$12,params!$P$2:$P$12,0)</f>
        <v>1.0043904883709136</v>
      </c>
      <c r="AH24" s="201">
        <f>BAU_Scenario!AH24*_xlfn.XLOOKUP($B24,params!$O$2:$O$12,params!$P$2:$P$12,0)</f>
        <v>0.95206520126781857</v>
      </c>
      <c r="AI24" s="201">
        <f>BAU_Scenario!AI24*_xlfn.XLOOKUP($B24,params!$O$2:$O$12,params!$P$2:$P$12,0)</f>
        <v>0.89462002238612981</v>
      </c>
      <c r="AJ24" s="201">
        <f>BAU_Scenario!AJ24*_xlfn.XLOOKUP($B24,params!$O$2:$O$12,params!$P$2:$P$12,0)</f>
        <v>0.83187778662400058</v>
      </c>
      <c r="AK24" s="201">
        <f>BAU_Scenario!AK24*_xlfn.XLOOKUP($B24,params!$O$2:$O$12,params!$P$2:$P$12,0)</f>
        <v>0.76366032900599301</v>
      </c>
      <c r="AL24" s="201">
        <f>BAU_Scenario!AL24*_xlfn.XLOOKUP($B24,params!$O$2:$O$12,params!$P$2:$P$12,0)</f>
        <v>0.68979237872202381</v>
      </c>
      <c r="AM24" s="201">
        <f>BAU_Scenario!AM24*_xlfn.XLOOKUP($B24,params!$O$2:$O$12,params!$P$2:$P$12,0)</f>
        <v>0.61009940705568977</v>
      </c>
      <c r="AN24" s="201">
        <f>BAU_Scenario!AN24*_xlfn.XLOOKUP($B24,params!$O$2:$O$12,params!$P$2:$P$12,0)</f>
        <v>0.52440735398133398</v>
      </c>
      <c r="AO24" s="201">
        <f>BAU_Scenario!AO24*_xlfn.XLOOKUP($B24,params!$O$2:$O$12,params!$P$2:$P$12,0)</f>
        <v>0.43254329995411345</v>
      </c>
      <c r="AP24" s="201">
        <f>BAU_Scenario!AP24*_xlfn.XLOOKUP($B24,params!$O$2:$O$12,params!$P$2:$P$12,0)</f>
        <v>0.33433616113460551</v>
      </c>
      <c r="AQ24" s="201">
        <f>BAU_Scenario!AQ24*_xlfn.XLOOKUP($B24,params!$O$2:$O$12,params!$P$2:$P$12,0)</f>
        <v>0.22961837667549237</v>
      </c>
      <c r="AR24" s="201">
        <f>BAU_Scenario!AR24*_xlfn.XLOOKUP($B24,params!$O$2:$O$12,params!$P$2:$P$12,0)</f>
        <v>0.11822600245970989</v>
      </c>
      <c r="AS24" s="198">
        <f>BAU_Scenario!AS24*_xlfn.XLOOKUP($B24,params!$O$2:$O$12,params!$P$2:$P$12,0)</f>
        <v>0</v>
      </c>
      <c r="AT24" s="199" t="str">
        <f t="shared" si="5"/>
        <v>urban_fuelwood</v>
      </c>
      <c r="BC24" t="s">
        <v>15</v>
      </c>
      <c r="BD24" s="54">
        <f t="shared" si="31"/>
        <v>0</v>
      </c>
      <c r="BE24" s="54">
        <f t="shared" si="31"/>
        <v>0</v>
      </c>
      <c r="BF24" s="54">
        <f t="shared" si="31"/>
        <v>0</v>
      </c>
      <c r="BG24" s="54">
        <f t="shared" si="31"/>
        <v>0</v>
      </c>
      <c r="BH24" s="54">
        <f t="shared" si="31"/>
        <v>0</v>
      </c>
      <c r="BI24" s="54">
        <f t="shared" si="31"/>
        <v>0</v>
      </c>
      <c r="BJ24" s="54">
        <f t="shared" si="31"/>
        <v>0</v>
      </c>
    </row>
    <row r="25" spans="1:62">
      <c r="A25" s="90" t="s">
        <v>19</v>
      </c>
      <c r="B25" s="3" t="s">
        <v>8</v>
      </c>
      <c r="C25" s="4" t="s">
        <v>53</v>
      </c>
      <c r="D25" s="91" t="s">
        <v>57</v>
      </c>
      <c r="E25" s="199">
        <f>BAU_Scenario!E25*_xlfn.XLOOKUP($B25,params!$O$2:$O$12,params!$P$2:$P$12,0)</f>
        <v>0.63061711765203399</v>
      </c>
      <c r="F25" s="199">
        <f>BAU_Scenario!F25*_xlfn.XLOOKUP($B25,params!$O$2:$O$12,params!$P$2:$P$12,0)</f>
        <v>0.67679933859802499</v>
      </c>
      <c r="G25" s="199">
        <f>BAU_Scenario!G25*_xlfn.XLOOKUP($B25,params!$O$2:$O$12,params!$P$2:$P$12,0)</f>
        <v>0.7256032374636523</v>
      </c>
      <c r="H25" s="199">
        <f>BAU_Scenario!H25*_xlfn.XLOOKUP($B25,params!$O$2:$O$12,params!$P$2:$P$12,0)</f>
        <v>0.77718480938325962</v>
      </c>
      <c r="I25" s="199">
        <f>BAU_Scenario!I25*_xlfn.XLOOKUP($B25,params!$O$2:$O$12,params!$P$2:$P$12,0)</f>
        <v>0.83172747414517911</v>
      </c>
      <c r="J25" s="199">
        <f>BAU_Scenario!J25*_xlfn.XLOOKUP($B25,params!$O$2:$O$12,params!$P$2:$P$12,0)</f>
        <v>0.88940685782425954</v>
      </c>
      <c r="K25" s="199">
        <f>BAU_Scenario!K25*_xlfn.XLOOKUP($B25,params!$O$2:$O$12,params!$P$2:$P$12,0)</f>
        <v>0.95037056175847523</v>
      </c>
      <c r="L25" s="199">
        <f>BAU_Scenario!L25*_xlfn.XLOOKUP($B25,params!$O$2:$O$12,params!$P$2:$P$12,0)</f>
        <v>1.0147374887223992</v>
      </c>
      <c r="M25" s="199">
        <f>BAU_Scenario!M25*_xlfn.XLOOKUP($B25,params!$O$2:$O$12,params!$P$2:$P$12,0)</f>
        <v>1.0826253446348437</v>
      </c>
      <c r="N25" s="199">
        <f>BAU_Scenario!N25*_xlfn.XLOOKUP($B25,params!$O$2:$O$12,params!$P$2:$P$12,0)</f>
        <v>1.1541360106576752</v>
      </c>
      <c r="O25" s="199">
        <f>BAU_Scenario!O25*_xlfn.XLOOKUP($B25,params!$O$2:$O$12,params!$P$2:$P$12,0)</f>
        <v>1.2293704724712913</v>
      </c>
      <c r="P25" s="199">
        <f>BAU_Scenario!P25*_xlfn.XLOOKUP($B25,params!$O$2:$O$12,params!$P$2:$P$12,0)</f>
        <v>1.3084451689784136</v>
      </c>
      <c r="Q25" s="199">
        <f>BAU_Scenario!Q25*_xlfn.XLOOKUP($B25,params!$O$2:$O$12,params!$P$2:$P$12,0)</f>
        <v>1.3914759755378987</v>
      </c>
      <c r="R25" s="199">
        <f>BAU_Scenario!R25*_xlfn.XLOOKUP($B25,params!$O$2:$O$12,params!$P$2:$P$12,0)</f>
        <v>1.4785515042085273</v>
      </c>
      <c r="S25" s="200">
        <f>BAU_Scenario!S25*_xlfn.XLOOKUP($B25,params!$O$2:$O$12,params!$P$2:$P$12,0)</f>
        <v>1.5697460625821407</v>
      </c>
      <c r="T25" s="201">
        <f>BAU_Scenario!T25*_xlfn.XLOOKUP($B25,params!$O$2:$O$12,params!$P$2:$P$12,0)</f>
        <v>1.6502912493534903</v>
      </c>
      <c r="U25" s="201">
        <f>BAU_Scenario!U25*_xlfn.XLOOKUP($B25,params!$O$2:$O$12,params!$P$2:$P$12,0)</f>
        <v>1.7338674640140677</v>
      </c>
      <c r="V25" s="201">
        <f>BAU_Scenario!V25*_xlfn.XLOOKUP($B25,params!$O$2:$O$12,params!$P$2:$P$12,0)</f>
        <v>1.8204964339797149</v>
      </c>
      <c r="W25" s="201">
        <f>BAU_Scenario!W25*_xlfn.XLOOKUP($B25,params!$O$2:$O$12,params!$P$2:$P$12,0)</f>
        <v>1.9101740147808386</v>
      </c>
      <c r="X25" s="201">
        <f>BAU_Scenario!X25*_xlfn.XLOOKUP($B25,params!$O$2:$O$12,params!$P$2:$P$12,0)</f>
        <v>2.0028797546229082</v>
      </c>
      <c r="Y25" s="201">
        <f>BAU_Scenario!Y25*_xlfn.XLOOKUP($B25,params!$O$2:$O$12,params!$P$2:$P$12,0)</f>
        <v>2.0985920646054734</v>
      </c>
      <c r="Z25" s="201">
        <f>BAU_Scenario!Z25*_xlfn.XLOOKUP($B25,params!$O$2:$O$12,params!$P$2:$P$12,0)</f>
        <v>2.1972878670244484</v>
      </c>
      <c r="AA25" s="201">
        <f>BAU_Scenario!AA25*_xlfn.XLOOKUP($B25,params!$O$2:$O$12,params!$P$2:$P$12,0)</f>
        <v>2.2989424894704182</v>
      </c>
      <c r="AB25" s="201">
        <f>BAU_Scenario!AB25*_xlfn.XLOOKUP($B25,params!$O$2:$O$12,params!$P$2:$P$12,0)</f>
        <v>2.4035020472883728</v>
      </c>
      <c r="AC25" s="201">
        <f>BAU_Scenario!AC25*_xlfn.XLOOKUP($B25,params!$O$2:$O$12,params!$P$2:$P$12,0)</f>
        <v>2.5108488542138079</v>
      </c>
      <c r="AD25" s="201">
        <f>BAU_Scenario!AD25*_xlfn.XLOOKUP($B25,params!$O$2:$O$12,params!$P$2:$P$12,0)</f>
        <v>2.6217184250987215</v>
      </c>
      <c r="AE25" s="201">
        <f>BAU_Scenario!AE25*_xlfn.XLOOKUP($B25,params!$O$2:$O$12,params!$P$2:$P$12,0)</f>
        <v>2.7360255986689324</v>
      </c>
      <c r="AF25" s="201">
        <f>BAU_Scenario!AF25*_xlfn.XLOOKUP($B25,params!$O$2:$O$12,params!$P$2:$P$12,0)</f>
        <v>2.853809826057955</v>
      </c>
      <c r="AG25" s="201">
        <f>BAU_Scenario!AG25*_xlfn.XLOOKUP($B25,params!$O$2:$O$12,params!$P$2:$P$12,0)</f>
        <v>2.9751300431003704</v>
      </c>
      <c r="AH25" s="201">
        <f>BAU_Scenario!AH25*_xlfn.XLOOKUP($B25,params!$O$2:$O$12,params!$P$2:$P$12,0)</f>
        <v>3.1000518547940756</v>
      </c>
      <c r="AI25" s="201">
        <f>BAU_Scenario!AI25*_xlfn.XLOOKUP($B25,params!$O$2:$O$12,params!$P$2:$P$12,0)</f>
        <v>3.2286343834348386</v>
      </c>
      <c r="AJ25" s="201">
        <f>BAU_Scenario!AJ25*_xlfn.XLOOKUP($B25,params!$O$2:$O$12,params!$P$2:$P$12,0)</f>
        <v>3.3609179314458233</v>
      </c>
      <c r="AK25" s="201">
        <f>BAU_Scenario!AK25*_xlfn.XLOOKUP($B25,params!$O$2:$O$12,params!$P$2:$P$12,0)</f>
        <v>3.4969342815926239</v>
      </c>
      <c r="AL25" s="201">
        <f>BAU_Scenario!AL25*_xlfn.XLOOKUP($B25,params!$O$2:$O$12,params!$P$2:$P$12,0)</f>
        <v>3.6367209474083957</v>
      </c>
      <c r="AM25" s="201">
        <f>BAU_Scenario!AM25*_xlfn.XLOOKUP($B25,params!$O$2:$O$12,params!$P$2:$P$12,0)</f>
        <v>3.7803132700643678</v>
      </c>
      <c r="AN25" s="201">
        <f>BAU_Scenario!AN25*_xlfn.XLOOKUP($B25,params!$O$2:$O$12,params!$P$2:$P$12,0)</f>
        <v>3.9277404000879983</v>
      </c>
      <c r="AO25" s="201">
        <f>BAU_Scenario!AO25*_xlfn.XLOOKUP($B25,params!$O$2:$O$12,params!$P$2:$P$12,0)</f>
        <v>4.0790240535976112</v>
      </c>
      <c r="AP25" s="201">
        <f>BAU_Scenario!AP25*_xlfn.XLOOKUP($B25,params!$O$2:$O$12,params!$P$2:$P$12,0)</f>
        <v>4.2341754432119947</v>
      </c>
      <c r="AQ25" s="201">
        <f>BAU_Scenario!AQ25*_xlfn.XLOOKUP($B25,params!$O$2:$O$12,params!$P$2:$P$12,0)</f>
        <v>4.3932025496935303</v>
      </c>
      <c r="AR25" s="201">
        <f>BAU_Scenario!AR25*_xlfn.XLOOKUP($B25,params!$O$2:$O$12,params!$P$2:$P$12,0)</f>
        <v>4.5561023659101574</v>
      </c>
      <c r="AS25" s="202">
        <f>BAU_Scenario!AS25*_xlfn.XLOOKUP($B25,params!$O$2:$O$12,params!$P$2:$P$12,0)</f>
        <v>4.7228681252507139</v>
      </c>
      <c r="AT25" s="199" t="str">
        <f t="shared" si="5"/>
        <v>urban_charcoal</v>
      </c>
      <c r="BC25" t="s">
        <v>16</v>
      </c>
      <c r="BD25" s="54">
        <f t="shared" si="31"/>
        <v>0</v>
      </c>
      <c r="BE25" s="54">
        <f t="shared" si="31"/>
        <v>0</v>
      </c>
      <c r="BF25" s="54">
        <f t="shared" si="31"/>
        <v>0</v>
      </c>
      <c r="BG25" s="54">
        <f t="shared" si="31"/>
        <v>0</v>
      </c>
      <c r="BH25" s="54">
        <f t="shared" si="31"/>
        <v>0</v>
      </c>
      <c r="BI25" s="54">
        <f t="shared" si="31"/>
        <v>0</v>
      </c>
      <c r="BJ25" s="54">
        <f t="shared" si="31"/>
        <v>0</v>
      </c>
    </row>
    <row r="26" spans="1:62">
      <c r="A26" s="90" t="s">
        <v>19</v>
      </c>
      <c r="B26" t="s">
        <v>37</v>
      </c>
      <c r="C26" s="4" t="s">
        <v>53</v>
      </c>
      <c r="D26" s="91" t="s">
        <v>57</v>
      </c>
      <c r="E26" s="199">
        <f>BAU_Scenario!E26*_xlfn.XLOOKUP($B26,params!$O$2:$O$12,params!$P$2:$P$12,0)</f>
        <v>0</v>
      </c>
      <c r="F26" s="199">
        <f>BAU_Scenario!F26*_xlfn.XLOOKUP($B26,params!$O$2:$O$12,params!$P$2:$P$12,0)</f>
        <v>0</v>
      </c>
      <c r="G26" s="199">
        <f>BAU_Scenario!G26*_xlfn.XLOOKUP($B26,params!$O$2:$O$12,params!$P$2:$P$12,0)</f>
        <v>0</v>
      </c>
      <c r="H26" s="199">
        <f>BAU_Scenario!H26*_xlfn.XLOOKUP($B26,params!$O$2:$O$12,params!$P$2:$P$12,0)</f>
        <v>0</v>
      </c>
      <c r="I26" s="199">
        <f>BAU_Scenario!I26*_xlfn.XLOOKUP($B26,params!$O$2:$O$12,params!$P$2:$P$12,0)</f>
        <v>2.1722757921620955E-3</v>
      </c>
      <c r="J26" s="199">
        <f>BAU_Scenario!J26*_xlfn.XLOOKUP($B26,params!$O$2:$O$12,params!$P$2:$P$12,0)</f>
        <v>7.1725358108698017E-3</v>
      </c>
      <c r="K26" s="199">
        <f>BAU_Scenario!K26*_xlfn.XLOOKUP($B26,params!$O$2:$O$12,params!$P$2:$P$12,0)</f>
        <v>1.2633370614286193E-2</v>
      </c>
      <c r="L26" s="199">
        <f>BAU_Scenario!L26*_xlfn.XLOOKUP($B26,params!$O$2:$O$12,params!$P$2:$P$12,0)</f>
        <v>1.8581234612171701E-2</v>
      </c>
      <c r="M26" s="199">
        <f>BAU_Scenario!M26*_xlfn.XLOOKUP($B26,params!$O$2:$O$12,params!$P$2:$P$12,0)</f>
        <v>2.504293163080553E-2</v>
      </c>
      <c r="N26" s="199">
        <f>BAU_Scenario!N26*_xlfn.XLOOKUP($B26,params!$O$2:$O$12,params!$P$2:$P$12,0)</f>
        <v>3.2045144559584307E-2</v>
      </c>
      <c r="O26" s="199">
        <f>BAU_Scenario!O26*_xlfn.XLOOKUP($B26,params!$O$2:$O$12,params!$P$2:$P$12,0)</f>
        <v>3.961453347891325E-2</v>
      </c>
      <c r="P26" s="199">
        <f>BAU_Scenario!P26*_xlfn.XLOOKUP($B26,params!$O$2:$O$12,params!$P$2:$P$12,0)</f>
        <v>4.7778312858962259E-2</v>
      </c>
      <c r="Q26" s="199">
        <f>BAU_Scenario!Q26*_xlfn.XLOOKUP($B26,params!$O$2:$O$12,params!$P$2:$P$12,0)</f>
        <v>5.6563920870320181E-2</v>
      </c>
      <c r="R26" s="199">
        <f>BAU_Scenario!R26*_xlfn.XLOOKUP($B26,params!$O$2:$O$12,params!$P$2:$P$12,0)</f>
        <v>6.5997794221163461E-2</v>
      </c>
      <c r="S26" s="200">
        <f>BAU_Scenario!S26*_xlfn.XLOOKUP($B26,params!$O$2:$O$12,params!$P$2:$P$12,0)</f>
        <v>7.6105453178188398E-2</v>
      </c>
      <c r="T26" s="201">
        <f>BAU_Scenario!T26*_xlfn.XLOOKUP($B26,params!$O$2:$O$12,params!$P$2:$P$12,0)</f>
        <v>8.6339020043873907E-2</v>
      </c>
      <c r="U26" s="201">
        <f>BAU_Scenario!U26*_xlfn.XLOOKUP($B26,params!$O$2:$O$12,params!$P$2:$P$12,0)</f>
        <v>9.7248497358843874E-2</v>
      </c>
      <c r="V26" s="201">
        <f>BAU_Scenario!V26*_xlfn.XLOOKUP($B26,params!$O$2:$O$12,params!$P$2:$P$12,0)</f>
        <v>0.10885621395022387</v>
      </c>
      <c r="W26" s="201">
        <f>BAU_Scenario!W26*_xlfn.XLOOKUP($B26,params!$O$2:$O$12,params!$P$2:$P$12,0)</f>
        <v>0.1211824772108972</v>
      </c>
      <c r="X26" s="201">
        <f>BAU_Scenario!X26*_xlfn.XLOOKUP($B26,params!$O$2:$O$12,params!$P$2:$P$12,0)</f>
        <v>0.13424576593378071</v>
      </c>
      <c r="Y26" s="201">
        <f>BAU_Scenario!Y26*_xlfn.XLOOKUP($B26,params!$O$2:$O$12,params!$P$2:$P$12,0)</f>
        <v>0.14806354299338073</v>
      </c>
      <c r="Z26" s="201">
        <f>BAU_Scenario!Z26*_xlfn.XLOOKUP($B26,params!$O$2:$O$12,params!$P$2:$P$12,0)</f>
        <v>0.16265224740382708</v>
      </c>
      <c r="AA26" s="201">
        <f>BAU_Scenario!AA26*_xlfn.XLOOKUP($B26,params!$O$2:$O$12,params!$P$2:$P$12,0)</f>
        <v>0.17802729733487957</v>
      </c>
      <c r="AB26" s="201">
        <f>BAU_Scenario!AB26*_xlfn.XLOOKUP($B26,params!$O$2:$O$12,params!$P$2:$P$12,0)</f>
        <v>0.19420086754091154</v>
      </c>
      <c r="AC26" s="201">
        <f>BAU_Scenario!AC26*_xlfn.XLOOKUP($B26,params!$O$2:$O$12,params!$P$2:$P$12,0)</f>
        <v>0.21117853195579045</v>
      </c>
      <c r="AD26" s="201">
        <f>BAU_Scenario!AD26*_xlfn.XLOOKUP($B26,params!$O$2:$O$12,params!$P$2:$P$12,0)</f>
        <v>0.22903838463658244</v>
      </c>
      <c r="AE26" s="201">
        <f>BAU_Scenario!AE26*_xlfn.XLOOKUP($B26,params!$O$2:$O$12,params!$P$2:$P$12,0)</f>
        <v>0.2477931925209918</v>
      </c>
      <c r="AF26" s="201">
        <f>BAU_Scenario!AF26*_xlfn.XLOOKUP($B26,params!$O$2:$O$12,params!$P$2:$P$12,0)</f>
        <v>0.26746569497747824</v>
      </c>
      <c r="AG26" s="201">
        <f>BAU_Scenario!AG26*_xlfn.XLOOKUP($B26,params!$O$2:$O$12,params!$P$2:$P$12,0)</f>
        <v>0.28808042560398711</v>
      </c>
      <c r="AH26" s="201">
        <f>BAU_Scenario!AH26*_xlfn.XLOOKUP($B26,params!$O$2:$O$12,params!$P$2:$P$12,0)</f>
        <v>0.30966273371732689</v>
      </c>
      <c r="AI26" s="201">
        <f>BAU_Scenario!AI26*_xlfn.XLOOKUP($B26,params!$O$2:$O$12,params!$P$2:$P$12,0)</f>
        <v>0.33223752584702831</v>
      </c>
      <c r="AJ26" s="201">
        <f>BAU_Scenario!AJ26*_xlfn.XLOOKUP($B26,params!$O$2:$O$12,params!$P$2:$P$12,0)</f>
        <v>0.35582785495362684</v>
      </c>
      <c r="AK26" s="201">
        <f>BAU_Scenario!AK26*_xlfn.XLOOKUP($B26,params!$O$2:$O$12,params!$P$2:$P$12,0)</f>
        <v>0.38045576068896386</v>
      </c>
      <c r="AL26" s="201">
        <f>BAU_Scenario!AL26*_xlfn.XLOOKUP($B26,params!$O$2:$O$12,params!$P$2:$P$12,0)</f>
        <v>0.40614374129483255</v>
      </c>
      <c r="AM26" s="201">
        <f>BAU_Scenario!AM26*_xlfn.XLOOKUP($B26,params!$O$2:$O$12,params!$P$2:$P$12,0)</f>
        <v>0.4329139365492769</v>
      </c>
      <c r="AN26" s="201">
        <f>BAU_Scenario!AN26*_xlfn.XLOOKUP($B26,params!$O$2:$O$12,params!$P$2:$P$12,0)</f>
        <v>0.46078762994646982</v>
      </c>
      <c r="AO26" s="201">
        <f>BAU_Scenario!AO26*_xlfn.XLOOKUP($B26,params!$O$2:$O$12,params!$P$2:$P$12,0)</f>
        <v>0.48978501867554453</v>
      </c>
      <c r="AP26" s="201">
        <f>BAU_Scenario!AP26*_xlfn.XLOOKUP($B26,params!$O$2:$O$12,params!$P$2:$P$12,0)</f>
        <v>0.51992474264237598</v>
      </c>
      <c r="AQ26" s="201">
        <f>BAU_Scenario!AQ26*_xlfn.XLOOKUP($B26,params!$O$2:$O$12,params!$P$2:$P$12,0)</f>
        <v>0.55122466563335815</v>
      </c>
      <c r="AR26" s="201">
        <f>BAU_Scenario!AR26*_xlfn.XLOOKUP($B26,params!$O$2:$O$12,params!$P$2:$P$12,0)</f>
        <v>0.58370085204434419</v>
      </c>
      <c r="AS26" s="203">
        <f>BAU_Scenario!AS26*_xlfn.XLOOKUP($B26,params!$O$2:$O$12,params!$P$2:$P$12,0)</f>
        <v>0.61736838238571434</v>
      </c>
      <c r="AT26" s="199" t="str">
        <f t="shared" si="5"/>
        <v>urban_Imp_fuelwood</v>
      </c>
    </row>
    <row r="27" spans="1:62">
      <c r="A27" s="90" t="s">
        <v>19</v>
      </c>
      <c r="B27" t="s">
        <v>10</v>
      </c>
      <c r="C27" s="4" t="s">
        <v>53</v>
      </c>
      <c r="D27" s="91" t="s">
        <v>57</v>
      </c>
      <c r="E27" s="199">
        <f>BAU_Scenario!E27*_xlfn.XLOOKUP($B27,params!$O$2:$O$12,params!$P$2:$P$12,0)</f>
        <v>0</v>
      </c>
      <c r="F27" s="199">
        <f>BAU_Scenario!F27*_xlfn.XLOOKUP($B27,params!$O$2:$O$12,params!$P$2:$P$12,0)</f>
        <v>0</v>
      </c>
      <c r="G27" s="199">
        <f>BAU_Scenario!G27*_xlfn.XLOOKUP($B27,params!$O$2:$O$12,params!$P$2:$P$12,0)</f>
        <v>0</v>
      </c>
      <c r="H27" s="199">
        <f>BAU_Scenario!H27*_xlfn.XLOOKUP($B27,params!$O$2:$O$12,params!$P$2:$P$12,0)</f>
        <v>0</v>
      </c>
      <c r="I27" s="199">
        <f>BAU_Scenario!I27*_xlfn.XLOOKUP($B27,params!$O$2:$O$12,params!$P$2:$P$12,0)</f>
        <v>2.413639769068331E-4</v>
      </c>
      <c r="J27" s="199">
        <f>BAU_Scenario!J27*_xlfn.XLOOKUP($B27,params!$O$2:$O$12,params!$P$2:$P$12,0)</f>
        <v>7.9694842342997794E-4</v>
      </c>
      <c r="K27" s="199">
        <f>BAU_Scenario!K27*_xlfn.XLOOKUP($B27,params!$O$2:$O$12,params!$P$2:$P$12,0)</f>
        <v>1.4037078460316537E-3</v>
      </c>
      <c r="L27" s="199">
        <f>BAU_Scenario!L27*_xlfn.XLOOKUP($B27,params!$O$2:$O$12,params!$P$2:$P$12,0)</f>
        <v>2.0645816235745572E-3</v>
      </c>
      <c r="M27" s="199">
        <f>BAU_Scenario!M27*_xlfn.XLOOKUP($B27,params!$O$2:$O$12,params!$P$2:$P$12,0)</f>
        <v>2.7825479589781532E-3</v>
      </c>
      <c r="N27" s="199">
        <f>BAU_Scenario!N27*_xlfn.XLOOKUP($B27,params!$O$2:$O$12,params!$P$2:$P$12,0)</f>
        <v>3.5605716177314235E-3</v>
      </c>
      <c r="O27" s="199">
        <f>BAU_Scenario!O27*_xlfn.XLOOKUP($B27,params!$O$2:$O$12,params!$P$2:$P$12,0)</f>
        <v>4.4016148309900128E-3</v>
      </c>
      <c r="P27" s="199">
        <f>BAU_Scenario!P27*_xlfn.XLOOKUP($B27,params!$O$2:$O$12,params!$P$2:$P$12,0)</f>
        <v>5.3087014287734931E-3</v>
      </c>
      <c r="Q27" s="199">
        <f>BAU_Scenario!Q27*_xlfn.XLOOKUP($B27,params!$O$2:$O$12,params!$P$2:$P$12,0)</f>
        <v>6.2848800967019568E-3</v>
      </c>
      <c r="R27" s="199">
        <f>BAU_Scenario!R27*_xlfn.XLOOKUP($B27,params!$O$2:$O$12,params!$P$2:$P$12,0)</f>
        <v>7.3330882467957416E-3</v>
      </c>
      <c r="S27" s="200">
        <f>BAU_Scenario!S27*_xlfn.XLOOKUP($B27,params!$O$2:$O$12,params!$P$2:$P$12,0)</f>
        <v>8.4561614642430505E-3</v>
      </c>
      <c r="T27" s="201">
        <f>BAU_Scenario!T27*_xlfn.XLOOKUP($B27,params!$O$2:$O$12,params!$P$2:$P$12,0)</f>
        <v>9.5932244493192181E-3</v>
      </c>
      <c r="U27" s="201">
        <f>BAU_Scenario!U27*_xlfn.XLOOKUP($B27,params!$O$2:$O$12,params!$P$2:$P$12,0)</f>
        <v>1.0805388595426992E-2</v>
      </c>
      <c r="V27" s="201">
        <f>BAU_Scenario!V27*_xlfn.XLOOKUP($B27,params!$O$2:$O$12,params!$P$2:$P$12,0)</f>
        <v>1.2095134883358102E-2</v>
      </c>
      <c r="W27" s="201">
        <f>BAU_Scenario!W27*_xlfn.XLOOKUP($B27,params!$O$2:$O$12,params!$P$2:$P$12,0)</f>
        <v>1.3464719690099583E-2</v>
      </c>
      <c r="X27" s="201">
        <f>BAU_Scenario!X27*_xlfn.XLOOKUP($B27,params!$O$2:$O$12,params!$P$2:$P$12,0)</f>
        <v>1.4916196214864419E-2</v>
      </c>
      <c r="Y27" s="201">
        <f>BAU_Scenario!Y27*_xlfn.XLOOKUP($B27,params!$O$2:$O$12,params!$P$2:$P$12,0)</f>
        <v>1.6451504777042204E-2</v>
      </c>
      <c r="Z27" s="201">
        <f>BAU_Scenario!Z27*_xlfn.XLOOKUP($B27,params!$O$2:$O$12,params!$P$2:$P$12,0)</f>
        <v>1.8072471933758463E-2</v>
      </c>
      <c r="AA27" s="201">
        <f>BAU_Scenario!AA27*_xlfn.XLOOKUP($B27,params!$O$2:$O$12,params!$P$2:$P$12,0)</f>
        <v>1.9780810814986522E-2</v>
      </c>
      <c r="AB27" s="201">
        <f>BAU_Scenario!AB27*_xlfn.XLOOKUP($B27,params!$O$2:$O$12,params!$P$2:$P$12,0)</f>
        <v>2.1577874171212305E-2</v>
      </c>
      <c r="AC27" s="201">
        <f>BAU_Scenario!AC27*_xlfn.XLOOKUP($B27,params!$O$2:$O$12,params!$P$2:$P$12,0)</f>
        <v>2.3464281328421075E-2</v>
      </c>
      <c r="AD27" s="201">
        <f>BAU_Scenario!AD27*_xlfn.XLOOKUP($B27,params!$O$2:$O$12,params!$P$2:$P$12,0)</f>
        <v>2.5448709404064632E-2</v>
      </c>
      <c r="AE27" s="201">
        <f>BAU_Scenario!AE27*_xlfn.XLOOKUP($B27,params!$O$2:$O$12,params!$P$2:$P$12,0)</f>
        <v>2.7532576946776795E-2</v>
      </c>
      <c r="AF27" s="201">
        <f>BAU_Scenario!AF27*_xlfn.XLOOKUP($B27,params!$O$2:$O$12,params!$P$2:$P$12,0)</f>
        <v>2.9718410553053069E-2</v>
      </c>
      <c r="AG27" s="201">
        <f>BAU_Scenario!AG27*_xlfn.XLOOKUP($B27,params!$O$2:$O$12,params!$P$2:$P$12,0)</f>
        <v>3.2008936178220732E-2</v>
      </c>
      <c r="AH27" s="201">
        <f>BAU_Scenario!AH27*_xlfn.XLOOKUP($B27,params!$O$2:$O$12,params!$P$2:$P$12,0)</f>
        <v>3.4406970413036274E-2</v>
      </c>
      <c r="AI27" s="201">
        <f>BAU_Scenario!AI27*_xlfn.XLOOKUP($B27,params!$O$2:$O$12,params!$P$2:$P$12,0)</f>
        <v>3.6915280649669785E-2</v>
      </c>
      <c r="AJ27" s="201">
        <f>BAU_Scenario!AJ27*_xlfn.XLOOKUP($B27,params!$O$2:$O$12,params!$P$2:$P$12,0)</f>
        <v>3.9536428328180731E-2</v>
      </c>
      <c r="AK27" s="201">
        <f>BAU_Scenario!AK27*_xlfn.XLOOKUP($B27,params!$O$2:$O$12,params!$P$2:$P$12,0)</f>
        <v>4.227286229877375E-2</v>
      </c>
      <c r="AL27" s="201">
        <f>BAU_Scenario!AL27*_xlfn.XLOOKUP($B27,params!$O$2:$O$12,params!$P$2:$P$12,0)</f>
        <v>4.5127082366092502E-2</v>
      </c>
      <c r="AM27" s="201">
        <f>BAU_Scenario!AM27*_xlfn.XLOOKUP($B27,params!$O$2:$O$12,params!$P$2:$P$12,0)</f>
        <v>4.8101548505475225E-2</v>
      </c>
      <c r="AN27" s="201">
        <f>BAU_Scenario!AN27*_xlfn.XLOOKUP($B27,params!$O$2:$O$12,params!$P$2:$P$12,0)</f>
        <v>5.1198625549607781E-2</v>
      </c>
      <c r="AO27" s="201">
        <f>BAU_Scenario!AO27*_xlfn.XLOOKUP($B27,params!$O$2:$O$12,params!$P$2:$P$12,0)</f>
        <v>5.4420557630616095E-2</v>
      </c>
      <c r="AP27" s="201">
        <f>BAU_Scenario!AP27*_xlfn.XLOOKUP($B27,params!$O$2:$O$12,params!$P$2:$P$12,0)</f>
        <v>5.776941584915294E-2</v>
      </c>
      <c r="AQ27" s="201">
        <f>BAU_Scenario!AQ27*_xlfn.XLOOKUP($B27,params!$O$2:$O$12,params!$P$2:$P$12,0)</f>
        <v>6.1247185070373203E-2</v>
      </c>
      <c r="AR27" s="201">
        <f>BAU_Scenario!AR27*_xlfn.XLOOKUP($B27,params!$O$2:$O$12,params!$P$2:$P$12,0)</f>
        <v>6.4855650227149439E-2</v>
      </c>
      <c r="AS27" s="203">
        <f>BAU_Scenario!AS27*_xlfn.XLOOKUP($B27,params!$O$2:$O$12,params!$P$2:$P$12,0)</f>
        <v>6.859648693174604E-2</v>
      </c>
      <c r="AT27" s="199" t="str">
        <f t="shared" si="5"/>
        <v>urban_Imp_charcoal</v>
      </c>
      <c r="BB27" t="s">
        <v>130</v>
      </c>
      <c r="BC27" t="s">
        <v>53</v>
      </c>
      <c r="BD27" s="54">
        <f>SUM(BD16:BD17)</f>
        <v>10.924764705435008</v>
      </c>
      <c r="BE27" s="54">
        <f t="shared" ref="BE27:BJ27" si="32">SUM(BE16:BE17)</f>
        <v>11.895658862114891</v>
      </c>
      <c r="BF27" s="54">
        <f t="shared" si="32"/>
        <v>12.464899260752425</v>
      </c>
      <c r="BG27" s="54">
        <f t="shared" si="32"/>
        <v>12.798169161162734</v>
      </c>
      <c r="BH27" s="54">
        <f t="shared" si="32"/>
        <v>12.889637443918854</v>
      </c>
      <c r="BI27" s="54">
        <f t="shared" si="32"/>
        <v>12.728877512809373</v>
      </c>
      <c r="BJ27" s="54">
        <f t="shared" si="32"/>
        <v>12.300713914002234</v>
      </c>
    </row>
    <row r="28" spans="1:62">
      <c r="A28" s="90" t="s">
        <v>19</v>
      </c>
      <c r="B28" t="s">
        <v>11</v>
      </c>
      <c r="C28" s="4" t="s">
        <v>53</v>
      </c>
      <c r="D28" s="91" t="s">
        <v>57</v>
      </c>
      <c r="E28" s="199">
        <f>BAU_Scenario!E28*_xlfn.XLOOKUP($B28,params!$O$2:$O$12,params!$P$2:$P$12,0)</f>
        <v>0</v>
      </c>
      <c r="F28" s="199">
        <f>BAU_Scenario!F28*_xlfn.XLOOKUP($B28,params!$O$2:$O$12,params!$P$2:$P$12,0)</f>
        <v>0</v>
      </c>
      <c r="G28" s="199">
        <f>BAU_Scenario!G28*_xlfn.XLOOKUP($B28,params!$O$2:$O$12,params!$P$2:$P$12,0)</f>
        <v>1.1248644947981602E-4</v>
      </c>
      <c r="H28" s="199">
        <f>BAU_Scenario!H28*_xlfn.XLOOKUP($B28,params!$O$2:$O$12,params!$P$2:$P$12,0)</f>
        <v>2.6192579425536177E-4</v>
      </c>
      <c r="I28" s="199">
        <f>BAU_Scenario!I28*_xlfn.XLOOKUP($B28,params!$O$2:$O$12,params!$P$2:$P$12,0)</f>
        <v>4.2519394616500662E-4</v>
      </c>
      <c r="J28" s="199">
        <f>BAU_Scenario!J28*_xlfn.XLOOKUP($B28,params!$O$2:$O$12,params!$P$2:$P$12,0)</f>
        <v>6.031179849452661E-4</v>
      </c>
      <c r="K28" s="199">
        <f>BAU_Scenario!K28*_xlfn.XLOOKUP($B28,params!$O$2:$O$12,params!$P$2:$P$12,0)</f>
        <v>7.9655577542114733E-4</v>
      </c>
      <c r="L28" s="199">
        <f>BAU_Scenario!L28*_xlfn.XLOOKUP($B28,params!$O$2:$O$12,params!$P$2:$P$12,0)</f>
        <v>1.0063683157545225E-3</v>
      </c>
      <c r="M28" s="199">
        <f>BAU_Scenario!M28*_xlfn.XLOOKUP($B28,params!$O$2:$O$12,params!$P$2:$P$12,0)</f>
        <v>1.2334267828925292E-3</v>
      </c>
      <c r="N28" s="199">
        <f>BAU_Scenario!N28*_xlfn.XLOOKUP($B28,params!$O$2:$O$12,params!$P$2:$P$12,0)</f>
        <v>1.4785918272879569E-3</v>
      </c>
      <c r="O28" s="199">
        <f>BAU_Scenario!O28*_xlfn.XLOOKUP($B28,params!$O$2:$O$12,params!$P$2:$P$12,0)</f>
        <v>1.7427230150540798E-3</v>
      </c>
      <c r="P28" s="199">
        <f>BAU_Scenario!P28*_xlfn.XLOOKUP($B28,params!$O$2:$O$12,params!$P$2:$P$12,0)</f>
        <v>2.0267035457160703E-3</v>
      </c>
      <c r="Q28" s="199">
        <f>BAU_Scenario!Q28*_xlfn.XLOOKUP($B28,params!$O$2:$O$12,params!$P$2:$P$12,0)</f>
        <v>2.331423222791419E-3</v>
      </c>
      <c r="R28" s="199">
        <f>BAU_Scenario!R28*_xlfn.XLOOKUP($B28,params!$O$2:$O$12,params!$P$2:$P$12,0)</f>
        <v>2.6577294389464939E-3</v>
      </c>
      <c r="S28" s="200">
        <f>BAU_Scenario!S28*_xlfn.XLOOKUP($B28,params!$O$2:$O$12,params!$P$2:$P$12,0)</f>
        <v>3.0064353671668985E-3</v>
      </c>
      <c r="T28" s="201">
        <f>BAU_Scenario!T28*_xlfn.XLOOKUP($B28,params!$O$2:$O$12,params!$P$2:$P$12,0)</f>
        <v>3.0133107736106685E-3</v>
      </c>
      <c r="U28" s="201">
        <f>BAU_Scenario!U28*_xlfn.XLOOKUP($B28,params!$O$2:$O$12,params!$P$2:$P$12,0)</f>
        <v>3.0136721805437065E-3</v>
      </c>
      <c r="V28" s="201">
        <f>BAU_Scenario!V28*_xlfn.XLOOKUP($B28,params!$O$2:$O$12,params!$P$2:$P$12,0)</f>
        <v>3.0070657085599231E-3</v>
      </c>
      <c r="W28" s="201">
        <f>BAU_Scenario!W28*_xlfn.XLOOKUP($B28,params!$O$2:$O$12,params!$P$2:$P$12,0)</f>
        <v>2.9930057927114624E-3</v>
      </c>
      <c r="X28" s="201">
        <f>BAU_Scenario!X28*_xlfn.XLOOKUP($B28,params!$O$2:$O$12,params!$P$2:$P$12,0)</f>
        <v>2.970999809570989E-3</v>
      </c>
      <c r="Y28" s="201">
        <f>BAU_Scenario!Y28*_xlfn.XLOOKUP($B28,params!$O$2:$O$12,params!$P$2:$P$12,0)</f>
        <v>2.9405753341026353E-3</v>
      </c>
      <c r="Z28" s="201">
        <f>BAU_Scenario!Z28*_xlfn.XLOOKUP($B28,params!$O$2:$O$12,params!$P$2:$P$12,0)</f>
        <v>2.9012792539278368E-3</v>
      </c>
      <c r="AA28" s="201">
        <f>BAU_Scenario!AA28*_xlfn.XLOOKUP($B28,params!$O$2:$O$12,params!$P$2:$P$12,0)</f>
        <v>2.8526773766802908E-3</v>
      </c>
      <c r="AB28" s="201">
        <f>BAU_Scenario!AB28*_xlfn.XLOOKUP($B28,params!$O$2:$O$12,params!$P$2:$P$12,0)</f>
        <v>2.794322114405859E-3</v>
      </c>
      <c r="AC28" s="201">
        <f>BAU_Scenario!AC28*_xlfn.XLOOKUP($B28,params!$O$2:$O$12,params!$P$2:$P$12,0)</f>
        <v>2.7257253727921127E-3</v>
      </c>
      <c r="AD28" s="201">
        <f>BAU_Scenario!AD28*_xlfn.XLOOKUP($B28,params!$O$2:$O$12,params!$P$2:$P$12,0)</f>
        <v>2.6473075651037626E-3</v>
      </c>
      <c r="AE28" s="201">
        <f>BAU_Scenario!AE28*_xlfn.XLOOKUP($B28,params!$O$2:$O$12,params!$P$2:$P$12,0)</f>
        <v>2.5585120941654547E-3</v>
      </c>
      <c r="AF28" s="201">
        <f>BAU_Scenario!AF28*_xlfn.XLOOKUP($B28,params!$O$2:$O$12,params!$P$2:$P$12,0)</f>
        <v>2.4589294768546958E-3</v>
      </c>
      <c r="AG28" s="201">
        <f>BAU_Scenario!AG28*_xlfn.XLOOKUP($B28,params!$O$2:$O$12,params!$P$2:$P$12,0)</f>
        <v>2.3481677621066854E-3</v>
      </c>
      <c r="AH28" s="201">
        <f>BAU_Scenario!AH28*_xlfn.XLOOKUP($B28,params!$O$2:$O$12,params!$P$2:$P$12,0)</f>
        <v>2.2258363046296706E-3</v>
      </c>
      <c r="AI28" s="201">
        <f>BAU_Scenario!AI28*_xlfn.XLOOKUP($B28,params!$O$2:$O$12,params!$P$2:$P$12,0)</f>
        <v>2.0915350356508883E-3</v>
      </c>
      <c r="AJ28" s="201">
        <f>BAU_Scenario!AJ28*_xlfn.XLOOKUP($B28,params!$O$2:$O$12,params!$P$2:$P$12,0)</f>
        <v>1.9448497603073395E-3</v>
      </c>
      <c r="AK28" s="201">
        <f>BAU_Scenario!AK28*_xlfn.XLOOKUP($B28,params!$O$2:$O$12,params!$P$2:$P$12,0)</f>
        <v>1.7853639461283335E-3</v>
      </c>
      <c r="AL28" s="201">
        <f>BAU_Scenario!AL28*_xlfn.XLOOKUP($B28,params!$O$2:$O$12,params!$P$2:$P$12,0)</f>
        <v>1.6126678269216964E-3</v>
      </c>
      <c r="AM28" s="201">
        <f>BAU_Scenario!AM28*_xlfn.XLOOKUP($B28,params!$O$2:$O$12,params!$P$2:$P$12,0)</f>
        <v>1.4263533714384622E-3</v>
      </c>
      <c r="AN28" s="201">
        <f>BAU_Scenario!AN28*_xlfn.XLOOKUP($B28,params!$O$2:$O$12,params!$P$2:$P$12,0)</f>
        <v>1.2260136441832709E-3</v>
      </c>
      <c r="AO28" s="201">
        <f>BAU_Scenario!AO28*_xlfn.XLOOKUP($B28,params!$O$2:$O$12,params!$P$2:$P$12,0)</f>
        <v>1.0112443759945371E-3</v>
      </c>
      <c r="AP28" s="201">
        <f>BAU_Scenario!AP28*_xlfn.XLOOKUP($B28,params!$O$2:$O$12,params!$P$2:$P$12,0)</f>
        <v>7.8164558941229791E-4</v>
      </c>
      <c r="AQ28" s="201">
        <f>BAU_Scenario!AQ28*_xlfn.XLOOKUP($B28,params!$O$2:$O$12,params!$P$2:$P$12,0)</f>
        <v>5.3682554339119423E-4</v>
      </c>
      <c r="AR28" s="201">
        <f>BAU_Scenario!AR28*_xlfn.XLOOKUP($B28,params!$O$2:$O$12,params!$P$2:$P$12,0)</f>
        <v>2.7640095245119197E-4</v>
      </c>
      <c r="AS28" s="202">
        <f>BAU_Scenario!AS28*_xlfn.XLOOKUP($B28,params!$O$2:$O$12,params!$P$2:$P$12,0)</f>
        <v>0</v>
      </c>
      <c r="AT28" s="199" t="str">
        <f t="shared" si="5"/>
        <v>urban_Gas</v>
      </c>
      <c r="BC28" t="s">
        <v>68</v>
      </c>
      <c r="BD28" s="54">
        <f>SUM(NICCS_Fuel_cons!AU16:AU17)</f>
        <v>10.924764705435008</v>
      </c>
      <c r="BE28" s="54">
        <f>SUM(NICCS_Fuel_cons!AV16:AV17)</f>
        <v>11.895658862114889</v>
      </c>
      <c r="BF28" s="54">
        <f>SUM(NICCS_Fuel_cons!AW16:AW17)</f>
        <v>9.0437189233982185</v>
      </c>
      <c r="BG28" s="54">
        <f>SUM(NICCS_Fuel_cons!AX16:AX17)</f>
        <v>5.087384570463362</v>
      </c>
      <c r="BH28" s="54">
        <f>SUM(NICCS_Fuel_cons!AY16:AY17)</f>
        <v>0</v>
      </c>
      <c r="BI28" s="54">
        <f>SUM(NICCS_Fuel_cons!AZ16:AZ17)</f>
        <v>0</v>
      </c>
      <c r="BJ28" s="54">
        <f>SUM(NICCS_Fuel_cons!BA16:BA17)</f>
        <v>0</v>
      </c>
    </row>
    <row r="29" spans="1:62">
      <c r="A29" s="90" t="s">
        <v>19</v>
      </c>
      <c r="B29" s="3" t="s">
        <v>12</v>
      </c>
      <c r="C29" s="4" t="s">
        <v>53</v>
      </c>
      <c r="D29" s="91" t="s">
        <v>57</v>
      </c>
      <c r="E29" s="199">
        <f>BAU_Scenario!E29*_xlfn.XLOOKUP($B29,params!$O$2:$O$12,params!$P$2:$P$12,0)</f>
        <v>3.3293868194047898E-4</v>
      </c>
      <c r="F29" s="199">
        <f>BAU_Scenario!F29*_xlfn.XLOOKUP($B29,params!$O$2:$O$12,params!$P$2:$P$12,0)</f>
        <v>3.2359649225190628E-4</v>
      </c>
      <c r="G29" s="199">
        <f>BAU_Scenario!G29*_xlfn.XLOOKUP($B29,params!$O$2:$O$12,params!$P$2:$P$12,0)</f>
        <v>3.1239256550049977E-4</v>
      </c>
      <c r="H29" s="199">
        <f>BAU_Scenario!H29*_xlfn.XLOOKUP($B29,params!$O$2:$O$12,params!$P$2:$P$12,0)</f>
        <v>2.9922529827646599E-4</v>
      </c>
      <c r="I29" s="199">
        <f>BAU_Scenario!I29*_xlfn.XLOOKUP($B29,params!$O$2:$O$12,params!$P$2:$P$12,0)</f>
        <v>2.8398911429553512E-4</v>
      </c>
      <c r="J29" s="199">
        <f>BAU_Scenario!J29*_xlfn.XLOOKUP($B29,params!$O$2:$O$12,params!$P$2:$P$12,0)</f>
        <v>2.6655958385035487E-4</v>
      </c>
      <c r="K29" s="199">
        <f>BAU_Scenario!K29*_xlfn.XLOOKUP($B29,params!$O$2:$O$12,params!$P$2:$P$12,0)</f>
        <v>2.4679142595349199E-4</v>
      </c>
      <c r="L29" s="199">
        <f>BAU_Scenario!L29*_xlfn.XLOOKUP($B29,params!$O$2:$O$12,params!$P$2:$P$12,0)</f>
        <v>2.245251077567487E-4</v>
      </c>
      <c r="M29" s="199">
        <f>BAU_Scenario!M29*_xlfn.XLOOKUP($B29,params!$O$2:$O$12,params!$P$2:$P$12,0)</f>
        <v>1.9959798903509892E-4</v>
      </c>
      <c r="N29" s="199">
        <f>BAU_Scenario!N29*_xlfn.XLOOKUP($B29,params!$O$2:$O$12,params!$P$2:$P$12,0)</f>
        <v>1.7184263566835339E-4</v>
      </c>
      <c r="O29" s="199">
        <f>BAU_Scenario!O29*_xlfn.XLOOKUP($B29,params!$O$2:$O$12,params!$P$2:$P$12,0)</f>
        <v>1.4109146447841009E-4</v>
      </c>
      <c r="P29" s="199">
        <f>BAU_Scenario!P29*_xlfn.XLOOKUP($B29,params!$O$2:$O$12,params!$P$2:$P$12,0)</f>
        <v>1.0717823380847281E-4</v>
      </c>
      <c r="Q29" s="199">
        <f>BAU_Scenario!Q29*_xlfn.XLOOKUP($B29,params!$O$2:$O$12,params!$P$2:$P$12,0)</f>
        <v>6.993478588618863E-5</v>
      </c>
      <c r="R29" s="199">
        <f>BAU_Scenario!R29*_xlfn.XLOOKUP($B29,params!$O$2:$O$12,params!$P$2:$P$12,0)</f>
        <v>2.9190775153562381E-5</v>
      </c>
      <c r="S29" s="200">
        <f>BAU_Scenario!S29*_xlfn.XLOOKUP($B29,params!$O$2:$O$12,params!$P$2:$P$12,0)</f>
        <v>0</v>
      </c>
      <c r="T29" s="201">
        <f>BAU_Scenario!T29*_xlfn.XLOOKUP($B29,params!$O$2:$O$12,params!$P$2:$P$12,0)</f>
        <v>0</v>
      </c>
      <c r="U29" s="201">
        <f>BAU_Scenario!U29*_xlfn.XLOOKUP($B29,params!$O$2:$O$12,params!$P$2:$P$12,0)</f>
        <v>0</v>
      </c>
      <c r="V29" s="201">
        <f>BAU_Scenario!V29*_xlfn.XLOOKUP($B29,params!$O$2:$O$12,params!$P$2:$P$12,0)</f>
        <v>0</v>
      </c>
      <c r="W29" s="201">
        <f>BAU_Scenario!W29*_xlfn.XLOOKUP($B29,params!$O$2:$O$12,params!$P$2:$P$12,0)</f>
        <v>0</v>
      </c>
      <c r="X29" s="201">
        <f>BAU_Scenario!X29*_xlfn.XLOOKUP($B29,params!$O$2:$O$12,params!$P$2:$P$12,0)</f>
        <v>0</v>
      </c>
      <c r="Y29" s="201">
        <f>BAU_Scenario!Y29*_xlfn.XLOOKUP($B29,params!$O$2:$O$12,params!$P$2:$P$12,0)</f>
        <v>0</v>
      </c>
      <c r="Z29" s="201">
        <f>BAU_Scenario!Z29*_xlfn.XLOOKUP($B29,params!$O$2:$O$12,params!$P$2:$P$12,0)</f>
        <v>0</v>
      </c>
      <c r="AA29" s="201">
        <f>BAU_Scenario!AA29*_xlfn.XLOOKUP($B29,params!$O$2:$O$12,params!$P$2:$P$12,0)</f>
        <v>0</v>
      </c>
      <c r="AB29" s="201">
        <f>BAU_Scenario!AB29*_xlfn.XLOOKUP($B29,params!$O$2:$O$12,params!$P$2:$P$12,0)</f>
        <v>0</v>
      </c>
      <c r="AC29" s="201">
        <f>BAU_Scenario!AC29*_xlfn.XLOOKUP($B29,params!$O$2:$O$12,params!$P$2:$P$12,0)</f>
        <v>0</v>
      </c>
      <c r="AD29" s="201">
        <f>BAU_Scenario!AD29*_xlfn.XLOOKUP($B29,params!$O$2:$O$12,params!$P$2:$P$12,0)</f>
        <v>0</v>
      </c>
      <c r="AE29" s="201">
        <f>BAU_Scenario!AE29*_xlfn.XLOOKUP($B29,params!$O$2:$O$12,params!$P$2:$P$12,0)</f>
        <v>0</v>
      </c>
      <c r="AF29" s="201">
        <f>BAU_Scenario!AF29*_xlfn.XLOOKUP($B29,params!$O$2:$O$12,params!$P$2:$P$12,0)</f>
        <v>0</v>
      </c>
      <c r="AG29" s="201">
        <f>BAU_Scenario!AG29*_xlfn.XLOOKUP($B29,params!$O$2:$O$12,params!$P$2:$P$12,0)</f>
        <v>0</v>
      </c>
      <c r="AH29" s="201">
        <f>BAU_Scenario!AH29*_xlfn.XLOOKUP($B29,params!$O$2:$O$12,params!$P$2:$P$12,0)</f>
        <v>0</v>
      </c>
      <c r="AI29" s="201">
        <f>BAU_Scenario!AI29*_xlfn.XLOOKUP($B29,params!$O$2:$O$12,params!$P$2:$P$12,0)</f>
        <v>0</v>
      </c>
      <c r="AJ29" s="201">
        <f>BAU_Scenario!AJ29*_xlfn.XLOOKUP($B29,params!$O$2:$O$12,params!$P$2:$P$12,0)</f>
        <v>0</v>
      </c>
      <c r="AK29" s="201">
        <f>BAU_Scenario!AK29*_xlfn.XLOOKUP($B29,params!$O$2:$O$12,params!$P$2:$P$12,0)</f>
        <v>0</v>
      </c>
      <c r="AL29" s="201">
        <f>BAU_Scenario!AL29*_xlfn.XLOOKUP($B29,params!$O$2:$O$12,params!$P$2:$P$12,0)</f>
        <v>0</v>
      </c>
      <c r="AM29" s="201">
        <f>BAU_Scenario!AM29*_xlfn.XLOOKUP($B29,params!$O$2:$O$12,params!$P$2:$P$12,0)</f>
        <v>0</v>
      </c>
      <c r="AN29" s="201">
        <f>BAU_Scenario!AN29*_xlfn.XLOOKUP($B29,params!$O$2:$O$12,params!$P$2:$P$12,0)</f>
        <v>0</v>
      </c>
      <c r="AO29" s="201">
        <f>BAU_Scenario!AO29*_xlfn.XLOOKUP($B29,params!$O$2:$O$12,params!$P$2:$P$12,0)</f>
        <v>0</v>
      </c>
      <c r="AP29" s="201">
        <f>BAU_Scenario!AP29*_xlfn.XLOOKUP($B29,params!$O$2:$O$12,params!$P$2:$P$12,0)</f>
        <v>0</v>
      </c>
      <c r="AQ29" s="201">
        <f>BAU_Scenario!AQ29*_xlfn.XLOOKUP($B29,params!$O$2:$O$12,params!$P$2:$P$12,0)</f>
        <v>0</v>
      </c>
      <c r="AR29" s="201">
        <f>BAU_Scenario!AR29*_xlfn.XLOOKUP($B29,params!$O$2:$O$12,params!$P$2:$P$12,0)</f>
        <v>0</v>
      </c>
      <c r="AS29" s="202">
        <f>BAU_Scenario!AS29*_xlfn.XLOOKUP($B29,params!$O$2:$O$12,params!$P$2:$P$12,0)</f>
        <v>0</v>
      </c>
      <c r="AT29" s="199" t="str">
        <f t="shared" si="5"/>
        <v>urban_kerosene</v>
      </c>
      <c r="BC29" t="s">
        <v>128</v>
      </c>
      <c r="BD29" s="21">
        <f>(BD28-BD27)/BD27</f>
        <v>0</v>
      </c>
      <c r="BE29" s="21">
        <f t="shared" ref="BE29" si="33">(BE28-BE27)/BE27</f>
        <v>-1.4932815912009416E-16</v>
      </c>
      <c r="BF29" s="21">
        <f t="shared" ref="BF29" si="34">(BF28-BF27)/BF27</f>
        <v>-0.2744651413370261</v>
      </c>
      <c r="BG29" s="21">
        <f t="shared" ref="BG29" si="35">(BG28-BG27)/BG27</f>
        <v>-0.60249122304919078</v>
      </c>
      <c r="BH29" s="21">
        <f t="shared" ref="BH29" si="36">(BH28-BH27)/BH27</f>
        <v>-1</v>
      </c>
      <c r="BI29" s="21">
        <f t="shared" ref="BI29" si="37">(BI28-BI27)/BI27</f>
        <v>-1</v>
      </c>
      <c r="BJ29" s="21">
        <f t="shared" ref="BJ29" si="38">(BJ28-BJ27)/BJ27</f>
        <v>-1</v>
      </c>
    </row>
    <row r="30" spans="1:62">
      <c r="A30" s="90" t="s">
        <v>19</v>
      </c>
      <c r="B30" s="3" t="s">
        <v>13</v>
      </c>
      <c r="C30" s="4" t="s">
        <v>53</v>
      </c>
      <c r="D30" s="42" t="s">
        <v>123</v>
      </c>
      <c r="E30" s="199">
        <f>BAU_Scenario!E30*_xlfn.XLOOKUP($B30,params!$O$2:$O$12,params!$P$2:$P$12,0)</f>
        <v>0.27527892262861797</v>
      </c>
      <c r="F30" s="199">
        <f>BAU_Scenario!F30*_xlfn.XLOOKUP($B30,params!$O$2:$O$12,params!$P$2:$P$12,0)</f>
        <v>0.27916950757544245</v>
      </c>
      <c r="G30" s="199">
        <f>BAU_Scenario!G30*_xlfn.XLOOKUP($B30,params!$O$2:$O$12,params!$P$2:$P$12,0)</f>
        <v>0.28263867275155141</v>
      </c>
      <c r="H30" s="199">
        <f>BAU_Scenario!H30*_xlfn.XLOOKUP($B30,params!$O$2:$O$12,params!$P$2:$P$12,0)</f>
        <v>0.28566576832432461</v>
      </c>
      <c r="I30" s="199">
        <f>BAU_Scenario!I30*_xlfn.XLOOKUP($B30,params!$O$2:$O$12,params!$P$2:$P$12,0)</f>
        <v>0.28823321455504464</v>
      </c>
      <c r="J30" s="199">
        <f>BAU_Scenario!J30*_xlfn.XLOOKUP($B30,params!$O$2:$O$12,params!$P$2:$P$12,0)</f>
        <v>0.29031291947232657</v>
      </c>
      <c r="K30" s="199">
        <f>BAU_Scenario!K30*_xlfn.XLOOKUP($B30,params!$O$2:$O$12,params!$P$2:$P$12,0)</f>
        <v>0.29186163645791358</v>
      </c>
      <c r="L30" s="199">
        <f>BAU_Scenario!L30*_xlfn.XLOOKUP($B30,params!$O$2:$O$12,params!$P$2:$P$12,0)</f>
        <v>0.29282402535504137</v>
      </c>
      <c r="M30" s="199">
        <f>BAU_Scenario!M30*_xlfn.XLOOKUP($B30,params!$O$2:$O$12,params!$P$2:$P$12,0)</f>
        <v>0.29314302934947445</v>
      </c>
      <c r="N30" s="199">
        <f>BAU_Scenario!N30*_xlfn.XLOOKUP($B30,params!$O$2:$O$12,params!$P$2:$P$12,0)</f>
        <v>0.29275640156953348</v>
      </c>
      <c r="O30" s="199">
        <f>BAU_Scenario!O30*_xlfn.XLOOKUP($B30,params!$O$2:$O$12,params!$P$2:$P$12,0)</f>
        <v>0.29160166041014457</v>
      </c>
      <c r="P30" s="199">
        <f>BAU_Scenario!P30*_xlfn.XLOOKUP($B30,params!$O$2:$O$12,params!$P$2:$P$12,0)</f>
        <v>0.28961978130486549</v>
      </c>
      <c r="Q30" s="199">
        <f>BAU_Scenario!Q30*_xlfn.XLOOKUP($B30,params!$O$2:$O$12,params!$P$2:$P$12,0)</f>
        <v>0.28675071286277637</v>
      </c>
      <c r="R30" s="199">
        <f>BAU_Scenario!R30*_xlfn.XLOOKUP($B30,params!$O$2:$O$12,params!$P$2:$P$12,0)</f>
        <v>0.28292839096943623</v>
      </c>
      <c r="S30" s="200">
        <f>BAU_Scenario!S30*_xlfn.XLOOKUP($B30,params!$O$2:$O$12,params!$P$2:$P$12,0)</f>
        <v>0.27808504065627787</v>
      </c>
      <c r="T30" s="201">
        <f>BAU_Scenario!T30*_xlfn.XLOOKUP($B30,params!$O$2:$O$12,params!$P$2:$P$12,0)</f>
        <v>0.27872099235553094</v>
      </c>
      <c r="U30" s="201">
        <f>BAU_Scenario!U30*_xlfn.XLOOKUP($B30,params!$O$2:$O$12,params!$P$2:$P$12,0)</f>
        <v>0.27875442126698036</v>
      </c>
      <c r="V30" s="201">
        <f>BAU_Scenario!V30*_xlfn.XLOOKUP($B30,params!$O$2:$O$12,params!$P$2:$P$12,0)</f>
        <v>0.27814334509010052</v>
      </c>
      <c r="W30" s="201">
        <f>BAU_Scenario!W30*_xlfn.XLOOKUP($B30,params!$O$2:$O$12,params!$P$2:$P$12,0)</f>
        <v>0.27684285071957709</v>
      </c>
      <c r="X30" s="201">
        <f>BAU_Scenario!X30*_xlfn.XLOOKUP($B30,params!$O$2:$O$12,params!$P$2:$P$12,0)</f>
        <v>0.27480737216476397</v>
      </c>
      <c r="Y30" s="201">
        <f>BAU_Scenario!Y30*_xlfn.XLOOKUP($B30,params!$O$2:$O$12,params!$P$2:$P$12,0)</f>
        <v>0.2719932117174913</v>
      </c>
      <c r="Z30" s="201">
        <f>BAU_Scenario!Z30*_xlfn.XLOOKUP($B30,params!$O$2:$O$12,params!$P$2:$P$12,0)</f>
        <v>0.26835845802466918</v>
      </c>
      <c r="AA30" s="201">
        <f>BAU_Scenario!AA30*_xlfn.XLOOKUP($B30,params!$O$2:$O$12,params!$P$2:$P$12,0)</f>
        <v>0.26386294976995772</v>
      </c>
      <c r="AB30" s="201">
        <f>BAU_Scenario!AB30*_xlfn.XLOOKUP($B30,params!$O$2:$O$12,params!$P$2:$P$12,0)</f>
        <v>0.25846528659072732</v>
      </c>
      <c r="AC30" s="201">
        <f>BAU_Scenario!AC30*_xlfn.XLOOKUP($B30,params!$O$2:$O$12,params!$P$2:$P$12,0)</f>
        <v>0.25212032142404794</v>
      </c>
      <c r="AD30" s="201">
        <f>BAU_Scenario!AD30*_xlfn.XLOOKUP($B30,params!$O$2:$O$12,params!$P$2:$P$12,0)</f>
        <v>0.24486694106625223</v>
      </c>
      <c r="AE30" s="201">
        <f>BAU_Scenario!AE30*_xlfn.XLOOKUP($B30,params!$O$2:$O$12,params!$P$2:$P$12,0)</f>
        <v>0.23665366217270267</v>
      </c>
      <c r="AF30" s="201">
        <f>BAU_Scenario!AF30*_xlfn.XLOOKUP($B30,params!$O$2:$O$12,params!$P$2:$P$12,0)</f>
        <v>0.22744260894802726</v>
      </c>
      <c r="AG30" s="201">
        <f>BAU_Scenario!AG30*_xlfn.XLOOKUP($B30,params!$O$2:$O$12,params!$P$2:$P$12,0)</f>
        <v>0.21719752725252922</v>
      </c>
      <c r="AH30" s="201">
        <f>BAU_Scenario!AH30*_xlfn.XLOOKUP($B30,params!$O$2:$O$12,params!$P$2:$P$12,0)</f>
        <v>0.20588228372607528</v>
      </c>
      <c r="AI30" s="201">
        <f>BAU_Scenario!AI30*_xlfn.XLOOKUP($B30,params!$O$2:$O$12,params!$P$2:$P$12,0)</f>
        <v>0.19345987336860654</v>
      </c>
      <c r="AJ30" s="201">
        <f>BAU_Scenario!AJ30*_xlfn.XLOOKUP($B30,params!$O$2:$O$12,params!$P$2:$P$12,0)</f>
        <v>0.17989198456478794</v>
      </c>
      <c r="AK30" s="201">
        <f>BAU_Scenario!AK30*_xlfn.XLOOKUP($B30,params!$O$2:$O$12,params!$P$2:$P$12,0)</f>
        <v>0.16514008947852771</v>
      </c>
      <c r="AL30" s="201">
        <f>BAU_Scenario!AL30*_xlfn.XLOOKUP($B30,params!$O$2:$O$12,params!$P$2:$P$12,0)</f>
        <v>0.1491662861314714</v>
      </c>
      <c r="AM30" s="201">
        <f>BAU_Scenario!AM30*_xlfn.XLOOKUP($B30,params!$O$2:$O$12,params!$P$2:$P$12,0)</f>
        <v>0.13193283302160738</v>
      </c>
      <c r="AN30" s="201">
        <f>BAU_Scenario!AN30*_xlfn.XLOOKUP($B30,params!$O$2:$O$12,params!$P$2:$P$12,0)</f>
        <v>0.11340209000040385</v>
      </c>
      <c r="AO30" s="201">
        <f>BAU_Scenario!AO30*_xlfn.XLOOKUP($B30,params!$O$2:$O$12,params!$P$2:$P$12,0)</f>
        <v>9.3536663546129606E-2</v>
      </c>
      <c r="AP30" s="201">
        <f>BAU_Scenario!AP30*_xlfn.XLOOKUP($B30,params!$O$2:$O$12,params!$P$2:$P$12,0)</f>
        <v>7.2299557104848977E-2</v>
      </c>
      <c r="AQ30" s="201">
        <f>BAU_Scenario!AQ30*_xlfn.XLOOKUP($B30,params!$O$2:$O$12,params!$P$2:$P$12,0)</f>
        <v>4.9654535962948949E-2</v>
      </c>
      <c r="AR30" s="201">
        <f>BAU_Scenario!AR30*_xlfn.XLOOKUP($B30,params!$O$2:$O$12,params!$P$2:$P$12,0)</f>
        <v>2.5566147517835015E-2</v>
      </c>
      <c r="AS30" s="202">
        <f>BAU_Scenario!AS30*_xlfn.XLOOKUP($B30,params!$O$2:$O$12,params!$P$2:$P$12,0)</f>
        <v>0</v>
      </c>
      <c r="AT30" s="199" t="str">
        <f t="shared" si="5"/>
        <v>urban_electric</v>
      </c>
      <c r="BC30" t="s">
        <v>129</v>
      </c>
      <c r="BD30" s="21">
        <f>BD28/SUM(NICCS_Fuel_cons!AU16:AU25)</f>
        <v>0.9685833908419772</v>
      </c>
      <c r="BE30" s="21">
        <f>BE28/SUM(NICCS_Fuel_cons!AV16:AV25)</f>
        <v>0.96826761183551735</v>
      </c>
      <c r="BF30" s="21">
        <f>BF28/SUM(NICCS_Fuel_cons!AW16:AW25)</f>
        <v>0.79581387610600729</v>
      </c>
      <c r="BG30" s="21">
        <f>BG28/SUM(NICCS_Fuel_cons!AX16:AX25)</f>
        <v>0.51735354655592447</v>
      </c>
      <c r="BH30" s="21">
        <f>BH28/SUM(NICCS_Fuel_cons!AY16:AY25)</f>
        <v>0</v>
      </c>
      <c r="BI30" s="21">
        <f>BI28/SUM(NICCS_Fuel_cons!AZ16:AZ25)</f>
        <v>0</v>
      </c>
      <c r="BJ30" s="21">
        <f>BJ28/SUM(NICCS_Fuel_cons!BA16:BA25)</f>
        <v>0</v>
      </c>
    </row>
    <row r="31" spans="1:62">
      <c r="A31" s="90" t="s">
        <v>19</v>
      </c>
      <c r="B31" t="s">
        <v>14</v>
      </c>
      <c r="C31" s="4" t="s">
        <v>53</v>
      </c>
      <c r="D31" s="91" t="s">
        <v>57</v>
      </c>
      <c r="E31" s="199">
        <f>BAU_Scenario!E31*_xlfn.XLOOKUP($B31,params!$O$2:$O$12,params!$P$2:$P$12,0)</f>
        <v>0</v>
      </c>
      <c r="F31" s="199">
        <f>BAU_Scenario!F31*_xlfn.XLOOKUP($B31,params!$O$2:$O$12,params!$P$2:$P$12,0)</f>
        <v>0</v>
      </c>
      <c r="G31" s="199">
        <f>BAU_Scenario!G31*_xlfn.XLOOKUP($B31,params!$O$2:$O$12,params!$P$2:$P$12,0)</f>
        <v>0</v>
      </c>
      <c r="H31" s="199">
        <f>BAU_Scenario!H31*_xlfn.XLOOKUP($B31,params!$O$2:$O$12,params!$P$2:$P$12,0)</f>
        <v>0</v>
      </c>
      <c r="I31" s="199">
        <f>BAU_Scenario!I31*_xlfn.XLOOKUP($B31,params!$O$2:$O$12,params!$P$2:$P$12,0)</f>
        <v>0</v>
      </c>
      <c r="J31" s="199">
        <f>BAU_Scenario!J31*_xlfn.XLOOKUP($B31,params!$O$2:$O$12,params!$P$2:$P$12,0)</f>
        <v>0</v>
      </c>
      <c r="K31" s="199">
        <f>BAU_Scenario!K31*_xlfn.XLOOKUP($B31,params!$O$2:$O$12,params!$P$2:$P$12,0)</f>
        <v>0</v>
      </c>
      <c r="L31" s="199">
        <f>BAU_Scenario!L31*_xlfn.XLOOKUP($B31,params!$O$2:$O$12,params!$P$2:$P$12,0)</f>
        <v>0</v>
      </c>
      <c r="M31" s="199">
        <f>BAU_Scenario!M31*_xlfn.XLOOKUP($B31,params!$O$2:$O$12,params!$P$2:$P$12,0)</f>
        <v>0</v>
      </c>
      <c r="N31" s="199">
        <f>BAU_Scenario!N31*_xlfn.XLOOKUP($B31,params!$O$2:$O$12,params!$P$2:$P$12,0)</f>
        <v>0</v>
      </c>
      <c r="O31" s="199">
        <f>BAU_Scenario!O31*_xlfn.XLOOKUP($B31,params!$O$2:$O$12,params!$P$2:$P$12,0)</f>
        <v>0</v>
      </c>
      <c r="P31" s="199">
        <f>BAU_Scenario!P31*_xlfn.XLOOKUP($B31,params!$O$2:$O$12,params!$P$2:$P$12,0)</f>
        <v>0</v>
      </c>
      <c r="Q31" s="199">
        <f>BAU_Scenario!Q31*_xlfn.XLOOKUP($B31,params!$O$2:$O$12,params!$P$2:$P$12,0)</f>
        <v>0</v>
      </c>
      <c r="R31" s="199">
        <f>BAU_Scenario!R31*_xlfn.XLOOKUP($B31,params!$O$2:$O$12,params!$P$2:$P$12,0)</f>
        <v>0</v>
      </c>
      <c r="S31" s="200">
        <f>BAU_Scenario!S31*_xlfn.XLOOKUP($B31,params!$O$2:$O$12,params!$P$2:$P$12,0)</f>
        <v>0</v>
      </c>
      <c r="T31" s="201">
        <f>BAU_Scenario!T31*_xlfn.XLOOKUP($B31,params!$O$2:$O$12,params!$P$2:$P$12,0)</f>
        <v>0</v>
      </c>
      <c r="U31" s="201">
        <f>BAU_Scenario!U31*_xlfn.XLOOKUP($B31,params!$O$2:$O$12,params!$P$2:$P$12,0)</f>
        <v>0</v>
      </c>
      <c r="V31" s="201">
        <f>BAU_Scenario!V31*_xlfn.XLOOKUP($B31,params!$O$2:$O$12,params!$P$2:$P$12,0)</f>
        <v>0</v>
      </c>
      <c r="W31" s="201">
        <f>BAU_Scenario!W31*_xlfn.XLOOKUP($B31,params!$O$2:$O$12,params!$P$2:$P$12,0)</f>
        <v>0</v>
      </c>
      <c r="X31" s="201">
        <f>BAU_Scenario!X31*_xlfn.XLOOKUP($B31,params!$O$2:$O$12,params!$P$2:$P$12,0)</f>
        <v>0</v>
      </c>
      <c r="Y31" s="201">
        <f>BAU_Scenario!Y31*_xlfn.XLOOKUP($B31,params!$O$2:$O$12,params!$P$2:$P$12,0)</f>
        <v>0</v>
      </c>
      <c r="Z31" s="201">
        <f>BAU_Scenario!Z31*_xlfn.XLOOKUP($B31,params!$O$2:$O$12,params!$P$2:$P$12,0)</f>
        <v>0</v>
      </c>
      <c r="AA31" s="201">
        <f>BAU_Scenario!AA31*_xlfn.XLOOKUP($B31,params!$O$2:$O$12,params!$P$2:$P$12,0)</f>
        <v>0</v>
      </c>
      <c r="AB31" s="201">
        <f>BAU_Scenario!AB31*_xlfn.XLOOKUP($B31,params!$O$2:$O$12,params!$P$2:$P$12,0)</f>
        <v>0</v>
      </c>
      <c r="AC31" s="201">
        <f>BAU_Scenario!AC31*_xlfn.XLOOKUP($B31,params!$O$2:$O$12,params!$P$2:$P$12,0)</f>
        <v>0</v>
      </c>
      <c r="AD31" s="201">
        <f>BAU_Scenario!AD31*_xlfn.XLOOKUP($B31,params!$O$2:$O$12,params!$P$2:$P$12,0)</f>
        <v>0</v>
      </c>
      <c r="AE31" s="201">
        <f>BAU_Scenario!AE31*_xlfn.XLOOKUP($B31,params!$O$2:$O$12,params!$P$2:$P$12,0)</f>
        <v>0</v>
      </c>
      <c r="AF31" s="201">
        <f>BAU_Scenario!AF31*_xlfn.XLOOKUP($B31,params!$O$2:$O$12,params!$P$2:$P$12,0)</f>
        <v>0</v>
      </c>
      <c r="AG31" s="201">
        <f>BAU_Scenario!AG31*_xlfn.XLOOKUP($B31,params!$O$2:$O$12,params!$P$2:$P$12,0)</f>
        <v>0</v>
      </c>
      <c r="AH31" s="201">
        <f>BAU_Scenario!AH31*_xlfn.XLOOKUP($B31,params!$O$2:$O$12,params!$P$2:$P$12,0)</f>
        <v>0</v>
      </c>
      <c r="AI31" s="201">
        <f>BAU_Scenario!AI31*_xlfn.XLOOKUP($B31,params!$O$2:$O$12,params!$P$2:$P$12,0)</f>
        <v>0</v>
      </c>
      <c r="AJ31" s="201">
        <f>BAU_Scenario!AJ31*_xlfn.XLOOKUP($B31,params!$O$2:$O$12,params!$P$2:$P$12,0)</f>
        <v>0</v>
      </c>
      <c r="AK31" s="201">
        <f>BAU_Scenario!AK31*_xlfn.XLOOKUP($B31,params!$O$2:$O$12,params!$P$2:$P$12,0)</f>
        <v>0</v>
      </c>
      <c r="AL31" s="201">
        <f>BAU_Scenario!AL31*_xlfn.XLOOKUP($B31,params!$O$2:$O$12,params!$P$2:$P$12,0)</f>
        <v>0</v>
      </c>
      <c r="AM31" s="201">
        <f>BAU_Scenario!AM31*_xlfn.XLOOKUP($B31,params!$O$2:$O$12,params!$P$2:$P$12,0)</f>
        <v>0</v>
      </c>
      <c r="AN31" s="201">
        <f>BAU_Scenario!AN31*_xlfn.XLOOKUP($B31,params!$O$2:$O$12,params!$P$2:$P$12,0)</f>
        <v>0</v>
      </c>
      <c r="AO31" s="201">
        <f>BAU_Scenario!AO31*_xlfn.XLOOKUP($B31,params!$O$2:$O$12,params!$P$2:$P$12,0)</f>
        <v>0</v>
      </c>
      <c r="AP31" s="201">
        <f>BAU_Scenario!AP31*_xlfn.XLOOKUP($B31,params!$O$2:$O$12,params!$P$2:$P$12,0)</f>
        <v>0</v>
      </c>
      <c r="AQ31" s="201">
        <f>BAU_Scenario!AQ31*_xlfn.XLOOKUP($B31,params!$O$2:$O$12,params!$P$2:$P$12,0)</f>
        <v>0</v>
      </c>
      <c r="AR31" s="201">
        <f>BAU_Scenario!AR31*_xlfn.XLOOKUP($B31,params!$O$2:$O$12,params!$P$2:$P$12,0)</f>
        <v>0</v>
      </c>
      <c r="AS31" s="204">
        <f>BAU_Scenario!AS31*_xlfn.XLOOKUP($B31,params!$O$2:$O$12,params!$P$2:$P$12,0)</f>
        <v>0</v>
      </c>
      <c r="AT31" s="199" t="str">
        <f t="shared" si="5"/>
        <v>urban_pellets</v>
      </c>
    </row>
    <row r="32" spans="1:62">
      <c r="A32" s="90" t="s">
        <v>19</v>
      </c>
      <c r="B32" t="s">
        <v>15</v>
      </c>
      <c r="C32" s="4" t="s">
        <v>53</v>
      </c>
      <c r="D32" s="91" t="s">
        <v>57</v>
      </c>
      <c r="E32" s="199">
        <f>BAU_Scenario!E32*_xlfn.XLOOKUP($B32,params!$O$2:$O$12,params!$P$2:$P$12,0)</f>
        <v>0</v>
      </c>
      <c r="F32" s="199">
        <f>BAU_Scenario!F32*_xlfn.XLOOKUP($B32,params!$O$2:$O$12,params!$P$2:$P$12,0)</f>
        <v>0</v>
      </c>
      <c r="G32" s="199">
        <f>BAU_Scenario!G32*_xlfn.XLOOKUP($B32,params!$O$2:$O$12,params!$P$2:$P$12,0)</f>
        <v>0</v>
      </c>
      <c r="H32" s="199">
        <f>BAU_Scenario!H32*_xlfn.XLOOKUP($B32,params!$O$2:$O$12,params!$P$2:$P$12,0)</f>
        <v>0</v>
      </c>
      <c r="I32" s="199">
        <f>BAU_Scenario!I32*_xlfn.XLOOKUP($B32,params!$O$2:$O$12,params!$P$2:$P$12,0)</f>
        <v>0</v>
      </c>
      <c r="J32" s="199">
        <f>BAU_Scenario!J32*_xlfn.XLOOKUP($B32,params!$O$2:$O$12,params!$P$2:$P$12,0)</f>
        <v>0</v>
      </c>
      <c r="K32" s="199">
        <f>BAU_Scenario!K32*_xlfn.XLOOKUP($B32,params!$O$2:$O$12,params!$P$2:$P$12,0)</f>
        <v>0</v>
      </c>
      <c r="L32" s="199">
        <f>BAU_Scenario!L32*_xlfn.XLOOKUP($B32,params!$O$2:$O$12,params!$P$2:$P$12,0)</f>
        <v>0</v>
      </c>
      <c r="M32" s="199">
        <f>BAU_Scenario!M32*_xlfn.XLOOKUP($B32,params!$O$2:$O$12,params!$P$2:$P$12,0)</f>
        <v>0</v>
      </c>
      <c r="N32" s="199">
        <f>BAU_Scenario!N32*_xlfn.XLOOKUP($B32,params!$O$2:$O$12,params!$P$2:$P$12,0)</f>
        <v>0</v>
      </c>
      <c r="O32" s="199">
        <f>BAU_Scenario!O32*_xlfn.XLOOKUP($B32,params!$O$2:$O$12,params!$P$2:$P$12,0)</f>
        <v>0</v>
      </c>
      <c r="P32" s="199">
        <f>BAU_Scenario!P32*_xlfn.XLOOKUP($B32,params!$O$2:$O$12,params!$P$2:$P$12,0)</f>
        <v>0</v>
      </c>
      <c r="Q32" s="199">
        <f>BAU_Scenario!Q32*_xlfn.XLOOKUP($B32,params!$O$2:$O$12,params!$P$2:$P$12,0)</f>
        <v>0</v>
      </c>
      <c r="R32" s="199">
        <f>BAU_Scenario!R32*_xlfn.XLOOKUP($B32,params!$O$2:$O$12,params!$P$2:$P$12,0)</f>
        <v>0</v>
      </c>
      <c r="S32" s="200">
        <f>BAU_Scenario!S32*_xlfn.XLOOKUP($B32,params!$O$2:$O$12,params!$P$2:$P$12,0)</f>
        <v>0</v>
      </c>
      <c r="T32" s="201">
        <f>BAU_Scenario!T32*_xlfn.XLOOKUP($B32,params!$O$2:$O$12,params!$P$2:$P$12,0)</f>
        <v>0</v>
      </c>
      <c r="U32" s="201">
        <f>BAU_Scenario!U32*_xlfn.XLOOKUP($B32,params!$O$2:$O$12,params!$P$2:$P$12,0)</f>
        <v>0</v>
      </c>
      <c r="V32" s="201">
        <f>BAU_Scenario!V32*_xlfn.XLOOKUP($B32,params!$O$2:$O$12,params!$P$2:$P$12,0)</f>
        <v>0</v>
      </c>
      <c r="W32" s="201">
        <f>BAU_Scenario!W32*_xlfn.XLOOKUP($B32,params!$O$2:$O$12,params!$P$2:$P$12,0)</f>
        <v>0</v>
      </c>
      <c r="X32" s="201">
        <f>BAU_Scenario!X32*_xlfn.XLOOKUP($B32,params!$O$2:$O$12,params!$P$2:$P$12,0)</f>
        <v>0</v>
      </c>
      <c r="Y32" s="201">
        <f>BAU_Scenario!Y32*_xlfn.XLOOKUP($B32,params!$O$2:$O$12,params!$P$2:$P$12,0)</f>
        <v>0</v>
      </c>
      <c r="Z32" s="201">
        <f>BAU_Scenario!Z32*_xlfn.XLOOKUP($B32,params!$O$2:$O$12,params!$P$2:$P$12,0)</f>
        <v>0</v>
      </c>
      <c r="AA32" s="201">
        <f>BAU_Scenario!AA32*_xlfn.XLOOKUP($B32,params!$O$2:$O$12,params!$P$2:$P$12,0)</f>
        <v>0</v>
      </c>
      <c r="AB32" s="201">
        <f>BAU_Scenario!AB32*_xlfn.XLOOKUP($B32,params!$O$2:$O$12,params!$P$2:$P$12,0)</f>
        <v>0</v>
      </c>
      <c r="AC32" s="201">
        <f>BAU_Scenario!AC32*_xlfn.XLOOKUP($B32,params!$O$2:$O$12,params!$P$2:$P$12,0)</f>
        <v>0</v>
      </c>
      <c r="AD32" s="201">
        <f>BAU_Scenario!AD32*_xlfn.XLOOKUP($B32,params!$O$2:$O$12,params!$P$2:$P$12,0)</f>
        <v>0</v>
      </c>
      <c r="AE32" s="201">
        <f>BAU_Scenario!AE32*_xlfn.XLOOKUP($B32,params!$O$2:$O$12,params!$P$2:$P$12,0)</f>
        <v>0</v>
      </c>
      <c r="AF32" s="201">
        <f>BAU_Scenario!AF32*_xlfn.XLOOKUP($B32,params!$O$2:$O$12,params!$P$2:$P$12,0)</f>
        <v>0</v>
      </c>
      <c r="AG32" s="201">
        <f>BAU_Scenario!AG32*_xlfn.XLOOKUP($B32,params!$O$2:$O$12,params!$P$2:$P$12,0)</f>
        <v>0</v>
      </c>
      <c r="AH32" s="201">
        <f>BAU_Scenario!AH32*_xlfn.XLOOKUP($B32,params!$O$2:$O$12,params!$P$2:$P$12,0)</f>
        <v>0</v>
      </c>
      <c r="AI32" s="201">
        <f>BAU_Scenario!AI32*_xlfn.XLOOKUP($B32,params!$O$2:$O$12,params!$P$2:$P$12,0)</f>
        <v>0</v>
      </c>
      <c r="AJ32" s="201">
        <f>BAU_Scenario!AJ32*_xlfn.XLOOKUP($B32,params!$O$2:$O$12,params!$P$2:$P$12,0)</f>
        <v>0</v>
      </c>
      <c r="AK32" s="201">
        <f>BAU_Scenario!AK32*_xlfn.XLOOKUP($B32,params!$O$2:$O$12,params!$P$2:$P$12,0)</f>
        <v>0</v>
      </c>
      <c r="AL32" s="201">
        <f>BAU_Scenario!AL32*_xlfn.XLOOKUP($B32,params!$O$2:$O$12,params!$P$2:$P$12,0)</f>
        <v>0</v>
      </c>
      <c r="AM32" s="201">
        <f>BAU_Scenario!AM32*_xlfn.XLOOKUP($B32,params!$O$2:$O$12,params!$P$2:$P$12,0)</f>
        <v>0</v>
      </c>
      <c r="AN32" s="201">
        <f>BAU_Scenario!AN32*_xlfn.XLOOKUP($B32,params!$O$2:$O$12,params!$P$2:$P$12,0)</f>
        <v>0</v>
      </c>
      <c r="AO32" s="201">
        <f>BAU_Scenario!AO32*_xlfn.XLOOKUP($B32,params!$O$2:$O$12,params!$P$2:$P$12,0)</f>
        <v>0</v>
      </c>
      <c r="AP32" s="201">
        <f>BAU_Scenario!AP32*_xlfn.XLOOKUP($B32,params!$O$2:$O$12,params!$P$2:$P$12,0)</f>
        <v>0</v>
      </c>
      <c r="AQ32" s="201">
        <f>BAU_Scenario!AQ32*_xlfn.XLOOKUP($B32,params!$O$2:$O$12,params!$P$2:$P$12,0)</f>
        <v>0</v>
      </c>
      <c r="AR32" s="201">
        <f>BAU_Scenario!AR32*_xlfn.XLOOKUP($B32,params!$O$2:$O$12,params!$P$2:$P$12,0)</f>
        <v>0</v>
      </c>
      <c r="AS32" s="204">
        <f>BAU_Scenario!AS32*_xlfn.XLOOKUP($B32,params!$O$2:$O$12,params!$P$2:$P$12,0)</f>
        <v>0</v>
      </c>
      <c r="AT32" s="199" t="str">
        <f t="shared" si="5"/>
        <v>urban_ethanol</v>
      </c>
    </row>
    <row r="33" spans="1:62">
      <c r="A33" s="90" t="s">
        <v>19</v>
      </c>
      <c r="B33" t="s">
        <v>16</v>
      </c>
      <c r="C33" s="4" t="s">
        <v>53</v>
      </c>
      <c r="D33" s="91" t="s">
        <v>57</v>
      </c>
      <c r="E33" s="199">
        <f>BAU_Scenario!E33*_xlfn.XLOOKUP($B33,params!$O$2:$O$12,params!$P$2:$P$12,0)</f>
        <v>0</v>
      </c>
      <c r="F33" s="199">
        <f>BAU_Scenario!F33*_xlfn.XLOOKUP($B33,params!$O$2:$O$12,params!$P$2:$P$12,0)</f>
        <v>0</v>
      </c>
      <c r="G33" s="199">
        <f>BAU_Scenario!G33*_xlfn.XLOOKUP($B33,params!$O$2:$O$12,params!$P$2:$P$12,0)</f>
        <v>0</v>
      </c>
      <c r="H33" s="199">
        <f>BAU_Scenario!H33*_xlfn.XLOOKUP($B33,params!$O$2:$O$12,params!$P$2:$P$12,0)</f>
        <v>0</v>
      </c>
      <c r="I33" s="199">
        <f>BAU_Scenario!I33*_xlfn.XLOOKUP($B33,params!$O$2:$O$12,params!$P$2:$P$12,0)</f>
        <v>0</v>
      </c>
      <c r="J33" s="199">
        <f>BAU_Scenario!J33*_xlfn.XLOOKUP($B33,params!$O$2:$O$12,params!$P$2:$P$12,0)</f>
        <v>0</v>
      </c>
      <c r="K33" s="199">
        <f>BAU_Scenario!K33*_xlfn.XLOOKUP($B33,params!$O$2:$O$12,params!$P$2:$P$12,0)</f>
        <v>0</v>
      </c>
      <c r="L33" s="199">
        <f>BAU_Scenario!L33*_xlfn.XLOOKUP($B33,params!$O$2:$O$12,params!$P$2:$P$12,0)</f>
        <v>0</v>
      </c>
      <c r="M33" s="199">
        <f>BAU_Scenario!M33*_xlfn.XLOOKUP($B33,params!$O$2:$O$12,params!$P$2:$P$12,0)</f>
        <v>0</v>
      </c>
      <c r="N33" s="199">
        <f>BAU_Scenario!N33*_xlfn.XLOOKUP($B33,params!$O$2:$O$12,params!$P$2:$P$12,0)</f>
        <v>0</v>
      </c>
      <c r="O33" s="199">
        <f>BAU_Scenario!O33*_xlfn.XLOOKUP($B33,params!$O$2:$O$12,params!$P$2:$P$12,0)</f>
        <v>0</v>
      </c>
      <c r="P33" s="199">
        <f>BAU_Scenario!P33*_xlfn.XLOOKUP($B33,params!$O$2:$O$12,params!$P$2:$P$12,0)</f>
        <v>0</v>
      </c>
      <c r="Q33" s="199">
        <f>BAU_Scenario!Q33*_xlfn.XLOOKUP($B33,params!$O$2:$O$12,params!$P$2:$P$12,0)</f>
        <v>0</v>
      </c>
      <c r="R33" s="199">
        <f>BAU_Scenario!R33*_xlfn.XLOOKUP($B33,params!$O$2:$O$12,params!$P$2:$P$12,0)</f>
        <v>0</v>
      </c>
      <c r="S33" s="200">
        <f>BAU_Scenario!S33*_xlfn.XLOOKUP($B33,params!$O$2:$O$12,params!$P$2:$P$12,0)</f>
        <v>0</v>
      </c>
      <c r="T33" s="201">
        <f>BAU_Scenario!T33*_xlfn.XLOOKUP($B33,params!$O$2:$O$12,params!$P$2:$P$12,0)</f>
        <v>0</v>
      </c>
      <c r="U33" s="201">
        <f>BAU_Scenario!U33*_xlfn.XLOOKUP($B33,params!$O$2:$O$12,params!$P$2:$P$12,0)</f>
        <v>0</v>
      </c>
      <c r="V33" s="201">
        <f>BAU_Scenario!V33*_xlfn.XLOOKUP($B33,params!$O$2:$O$12,params!$P$2:$P$12,0)</f>
        <v>0</v>
      </c>
      <c r="W33" s="201">
        <f>BAU_Scenario!W33*_xlfn.XLOOKUP($B33,params!$O$2:$O$12,params!$P$2:$P$12,0)</f>
        <v>0</v>
      </c>
      <c r="X33" s="201">
        <f>BAU_Scenario!X33*_xlfn.XLOOKUP($B33,params!$O$2:$O$12,params!$P$2:$P$12,0)</f>
        <v>0</v>
      </c>
      <c r="Y33" s="201">
        <f>BAU_Scenario!Y33*_xlfn.XLOOKUP($B33,params!$O$2:$O$12,params!$P$2:$P$12,0)</f>
        <v>0</v>
      </c>
      <c r="Z33" s="201">
        <f>BAU_Scenario!Z33*_xlfn.XLOOKUP($B33,params!$O$2:$O$12,params!$P$2:$P$12,0)</f>
        <v>0</v>
      </c>
      <c r="AA33" s="201">
        <f>BAU_Scenario!AA33*_xlfn.XLOOKUP($B33,params!$O$2:$O$12,params!$P$2:$P$12,0)</f>
        <v>0</v>
      </c>
      <c r="AB33" s="201">
        <f>BAU_Scenario!AB33*_xlfn.XLOOKUP($B33,params!$O$2:$O$12,params!$P$2:$P$12,0)</f>
        <v>0</v>
      </c>
      <c r="AC33" s="201">
        <f>BAU_Scenario!AC33*_xlfn.XLOOKUP($B33,params!$O$2:$O$12,params!$P$2:$P$12,0)</f>
        <v>0</v>
      </c>
      <c r="AD33" s="201">
        <f>BAU_Scenario!AD33*_xlfn.XLOOKUP($B33,params!$O$2:$O$12,params!$P$2:$P$12,0)</f>
        <v>0</v>
      </c>
      <c r="AE33" s="201">
        <f>BAU_Scenario!AE33*_xlfn.XLOOKUP($B33,params!$O$2:$O$12,params!$P$2:$P$12,0)</f>
        <v>0</v>
      </c>
      <c r="AF33" s="201">
        <f>BAU_Scenario!AF33*_xlfn.XLOOKUP($B33,params!$O$2:$O$12,params!$P$2:$P$12,0)</f>
        <v>0</v>
      </c>
      <c r="AG33" s="201">
        <f>BAU_Scenario!AG33*_xlfn.XLOOKUP($B33,params!$O$2:$O$12,params!$P$2:$P$12,0)</f>
        <v>0</v>
      </c>
      <c r="AH33" s="201">
        <f>BAU_Scenario!AH33*_xlfn.XLOOKUP($B33,params!$O$2:$O$12,params!$P$2:$P$12,0)</f>
        <v>0</v>
      </c>
      <c r="AI33" s="201">
        <f>BAU_Scenario!AI33*_xlfn.XLOOKUP($B33,params!$O$2:$O$12,params!$P$2:$P$12,0)</f>
        <v>0</v>
      </c>
      <c r="AJ33" s="201">
        <f>BAU_Scenario!AJ33*_xlfn.XLOOKUP($B33,params!$O$2:$O$12,params!$P$2:$P$12,0)</f>
        <v>0</v>
      </c>
      <c r="AK33" s="201">
        <f>BAU_Scenario!AK33*_xlfn.XLOOKUP($B33,params!$O$2:$O$12,params!$P$2:$P$12,0)</f>
        <v>0</v>
      </c>
      <c r="AL33" s="201">
        <f>BAU_Scenario!AL33*_xlfn.XLOOKUP($B33,params!$O$2:$O$12,params!$P$2:$P$12,0)</f>
        <v>0</v>
      </c>
      <c r="AM33" s="201">
        <f>BAU_Scenario!AM33*_xlfn.XLOOKUP($B33,params!$O$2:$O$12,params!$P$2:$P$12,0)</f>
        <v>0</v>
      </c>
      <c r="AN33" s="201">
        <f>BAU_Scenario!AN33*_xlfn.XLOOKUP($B33,params!$O$2:$O$12,params!$P$2:$P$12,0)</f>
        <v>0</v>
      </c>
      <c r="AO33" s="201">
        <f>BAU_Scenario!AO33*_xlfn.XLOOKUP($B33,params!$O$2:$O$12,params!$P$2:$P$12,0)</f>
        <v>0</v>
      </c>
      <c r="AP33" s="201">
        <f>BAU_Scenario!AP33*_xlfn.XLOOKUP($B33,params!$O$2:$O$12,params!$P$2:$P$12,0)</f>
        <v>0</v>
      </c>
      <c r="AQ33" s="201">
        <f>BAU_Scenario!AQ33*_xlfn.XLOOKUP($B33,params!$O$2:$O$12,params!$P$2:$P$12,0)</f>
        <v>0</v>
      </c>
      <c r="AR33" s="201">
        <f>BAU_Scenario!AR33*_xlfn.XLOOKUP($B33,params!$O$2:$O$12,params!$P$2:$P$12,0)</f>
        <v>0</v>
      </c>
      <c r="AS33" s="204">
        <f>BAU_Scenario!AS33*_xlfn.XLOOKUP($B33,params!$O$2:$O$12,params!$P$2:$P$12,0)</f>
        <v>0</v>
      </c>
      <c r="AT33" s="199" t="str">
        <f t="shared" si="5"/>
        <v>urban_biogas</v>
      </c>
    </row>
    <row r="34" spans="1:62" ht="17" thickBot="1">
      <c r="A34" s="92" t="s">
        <v>19</v>
      </c>
      <c r="B34" s="31" t="s">
        <v>17</v>
      </c>
      <c r="C34" s="32" t="s">
        <v>53</v>
      </c>
      <c r="D34" s="93" t="s">
        <v>57</v>
      </c>
      <c r="E34" s="205">
        <f>BAU_Scenario!E34*_xlfn.XLOOKUP($B34,params!$O$2:$O$12,params!$P$2:$P$12,0)</f>
        <v>0</v>
      </c>
      <c r="F34" s="205">
        <f>BAU_Scenario!F34*_xlfn.XLOOKUP($B34,params!$O$2:$O$12,params!$P$2:$P$12,0)</f>
        <v>0</v>
      </c>
      <c r="G34" s="205">
        <f>BAU_Scenario!G34*_xlfn.XLOOKUP($B34,params!$O$2:$O$12,params!$P$2:$P$12,0)</f>
        <v>0</v>
      </c>
      <c r="H34" s="205">
        <f>BAU_Scenario!H34*_xlfn.XLOOKUP($B34,params!$O$2:$O$12,params!$P$2:$P$12,0)</f>
        <v>0</v>
      </c>
      <c r="I34" s="205">
        <f>BAU_Scenario!I34*_xlfn.XLOOKUP($B34,params!$O$2:$O$12,params!$P$2:$P$12,0)</f>
        <v>0</v>
      </c>
      <c r="J34" s="205">
        <f>BAU_Scenario!J34*_xlfn.XLOOKUP($B34,params!$O$2:$O$12,params!$P$2:$P$12,0)</f>
        <v>0</v>
      </c>
      <c r="K34" s="205">
        <f>BAU_Scenario!K34*_xlfn.XLOOKUP($B34,params!$O$2:$O$12,params!$P$2:$P$12,0)</f>
        <v>0</v>
      </c>
      <c r="L34" s="205">
        <f>BAU_Scenario!L34*_xlfn.XLOOKUP($B34,params!$O$2:$O$12,params!$P$2:$P$12,0)</f>
        <v>0</v>
      </c>
      <c r="M34" s="205">
        <f>BAU_Scenario!M34*_xlfn.XLOOKUP($B34,params!$O$2:$O$12,params!$P$2:$P$12,0)</f>
        <v>0</v>
      </c>
      <c r="N34" s="205">
        <f>BAU_Scenario!N34*_xlfn.XLOOKUP($B34,params!$O$2:$O$12,params!$P$2:$P$12,0)</f>
        <v>0</v>
      </c>
      <c r="O34" s="205">
        <f>BAU_Scenario!O34*_xlfn.XLOOKUP($B34,params!$O$2:$O$12,params!$P$2:$P$12,0)</f>
        <v>0</v>
      </c>
      <c r="P34" s="205">
        <f>BAU_Scenario!P34*_xlfn.XLOOKUP($B34,params!$O$2:$O$12,params!$P$2:$P$12,0)</f>
        <v>0</v>
      </c>
      <c r="Q34" s="205">
        <f>BAU_Scenario!Q34*_xlfn.XLOOKUP($B34,params!$O$2:$O$12,params!$P$2:$P$12,0)</f>
        <v>0</v>
      </c>
      <c r="R34" s="205">
        <f>BAU_Scenario!R34*_xlfn.XLOOKUP($B34,params!$O$2:$O$12,params!$P$2:$P$12,0)</f>
        <v>0</v>
      </c>
      <c r="S34" s="206">
        <f>BAU_Scenario!S34*_xlfn.XLOOKUP($B34,params!$O$2:$O$12,params!$P$2:$P$12,0)</f>
        <v>0</v>
      </c>
      <c r="T34" s="207">
        <f>BAU_Scenario!T34*_xlfn.XLOOKUP($B34,params!$O$2:$O$12,params!$P$2:$P$12,0)</f>
        <v>0</v>
      </c>
      <c r="U34" s="207">
        <f>BAU_Scenario!U34*_xlfn.XLOOKUP($B34,params!$O$2:$O$12,params!$P$2:$P$12,0)</f>
        <v>0</v>
      </c>
      <c r="V34" s="207">
        <f>BAU_Scenario!V34*_xlfn.XLOOKUP($B34,params!$O$2:$O$12,params!$P$2:$P$12,0)</f>
        <v>0</v>
      </c>
      <c r="W34" s="207">
        <f>BAU_Scenario!W34*_xlfn.XLOOKUP($B34,params!$O$2:$O$12,params!$P$2:$P$12,0)</f>
        <v>0</v>
      </c>
      <c r="X34" s="207">
        <f>BAU_Scenario!X34*_xlfn.XLOOKUP($B34,params!$O$2:$O$12,params!$P$2:$P$12,0)</f>
        <v>0</v>
      </c>
      <c r="Y34" s="207">
        <f>BAU_Scenario!Y34*_xlfn.XLOOKUP($B34,params!$O$2:$O$12,params!$P$2:$P$12,0)</f>
        <v>0</v>
      </c>
      <c r="Z34" s="207">
        <f>BAU_Scenario!Z34*_xlfn.XLOOKUP($B34,params!$O$2:$O$12,params!$P$2:$P$12,0)</f>
        <v>0</v>
      </c>
      <c r="AA34" s="207">
        <f>BAU_Scenario!AA34*_xlfn.XLOOKUP($B34,params!$O$2:$O$12,params!$P$2:$P$12,0)</f>
        <v>0</v>
      </c>
      <c r="AB34" s="207">
        <f>BAU_Scenario!AB34*_xlfn.XLOOKUP($B34,params!$O$2:$O$12,params!$P$2:$P$12,0)</f>
        <v>0</v>
      </c>
      <c r="AC34" s="207">
        <f>BAU_Scenario!AC34*_xlfn.XLOOKUP($B34,params!$O$2:$O$12,params!$P$2:$P$12,0)</f>
        <v>0</v>
      </c>
      <c r="AD34" s="207">
        <f>BAU_Scenario!AD34*_xlfn.XLOOKUP($B34,params!$O$2:$O$12,params!$P$2:$P$12,0)</f>
        <v>0</v>
      </c>
      <c r="AE34" s="207">
        <f>BAU_Scenario!AE34*_xlfn.XLOOKUP($B34,params!$O$2:$O$12,params!$P$2:$P$12,0)</f>
        <v>0</v>
      </c>
      <c r="AF34" s="207">
        <f>BAU_Scenario!AF34*_xlfn.XLOOKUP($B34,params!$O$2:$O$12,params!$P$2:$P$12,0)</f>
        <v>0</v>
      </c>
      <c r="AG34" s="207">
        <f>BAU_Scenario!AG34*_xlfn.XLOOKUP($B34,params!$O$2:$O$12,params!$P$2:$P$12,0)</f>
        <v>0</v>
      </c>
      <c r="AH34" s="207">
        <f>BAU_Scenario!AH34*_xlfn.XLOOKUP($B34,params!$O$2:$O$12,params!$P$2:$P$12,0)</f>
        <v>0</v>
      </c>
      <c r="AI34" s="207">
        <f>BAU_Scenario!AI34*_xlfn.XLOOKUP($B34,params!$O$2:$O$12,params!$P$2:$P$12,0)</f>
        <v>0</v>
      </c>
      <c r="AJ34" s="207">
        <f>BAU_Scenario!AJ34*_xlfn.XLOOKUP($B34,params!$O$2:$O$12,params!$P$2:$P$12,0)</f>
        <v>0</v>
      </c>
      <c r="AK34" s="207">
        <f>BAU_Scenario!AK34*_xlfn.XLOOKUP($B34,params!$O$2:$O$12,params!$P$2:$P$12,0)</f>
        <v>0</v>
      </c>
      <c r="AL34" s="207">
        <f>BAU_Scenario!AL34*_xlfn.XLOOKUP($B34,params!$O$2:$O$12,params!$P$2:$P$12,0)</f>
        <v>0</v>
      </c>
      <c r="AM34" s="207">
        <f>BAU_Scenario!AM34*_xlfn.XLOOKUP($B34,params!$O$2:$O$12,params!$P$2:$P$12,0)</f>
        <v>0</v>
      </c>
      <c r="AN34" s="207">
        <f>BAU_Scenario!AN34*_xlfn.XLOOKUP($B34,params!$O$2:$O$12,params!$P$2:$P$12,0)</f>
        <v>0</v>
      </c>
      <c r="AO34" s="207">
        <f>BAU_Scenario!AO34*_xlfn.XLOOKUP($B34,params!$O$2:$O$12,params!$P$2:$P$12,0)</f>
        <v>0</v>
      </c>
      <c r="AP34" s="207">
        <f>BAU_Scenario!AP34*_xlfn.XLOOKUP($B34,params!$O$2:$O$12,params!$P$2:$P$12,0)</f>
        <v>0</v>
      </c>
      <c r="AQ34" s="207">
        <f>BAU_Scenario!AQ34*_xlfn.XLOOKUP($B34,params!$O$2:$O$12,params!$P$2:$P$12,0)</f>
        <v>0</v>
      </c>
      <c r="AR34" s="207">
        <f>BAU_Scenario!AR34*_xlfn.XLOOKUP($B34,params!$O$2:$O$12,params!$P$2:$P$12,0)</f>
        <v>0</v>
      </c>
      <c r="AS34" s="208">
        <f>BAU_Scenario!AS34*_xlfn.XLOOKUP($B34,params!$O$2:$O$12,params!$P$2:$P$12,0)</f>
        <v>0</v>
      </c>
      <c r="AT34" s="199" t="str">
        <f t="shared" si="5"/>
        <v>urban_other</v>
      </c>
    </row>
    <row r="35" spans="1:62">
      <c r="D35" t="s">
        <v>4</v>
      </c>
      <c r="E35" s="54">
        <f t="shared" ref="E35:M35" si="39">SUM(E2:E12)</f>
        <v>9.0997392457349253</v>
      </c>
      <c r="F35" s="54">
        <f t="shared" si="39"/>
        <v>9.3120992044813349</v>
      </c>
      <c r="G35" s="54">
        <f t="shared" si="39"/>
        <v>9.5243744354068962</v>
      </c>
      <c r="H35" s="54">
        <f t="shared" si="39"/>
        <v>9.7368022315737637</v>
      </c>
      <c r="I35" s="54">
        <f t="shared" si="39"/>
        <v>9.9524201202936595</v>
      </c>
      <c r="J35" s="54">
        <f t="shared" si="39"/>
        <v>10.172303113145031</v>
      </c>
      <c r="K35" s="54">
        <f t="shared" si="39"/>
        <v>10.393550836027602</v>
      </c>
      <c r="L35" s="54">
        <f t="shared" si="39"/>
        <v>10.615495969992253</v>
      </c>
      <c r="M35" s="54">
        <f t="shared" si="39"/>
        <v>10.83754313008547</v>
      </c>
      <c r="N35" s="54">
        <f>SUM(N2:N12)</f>
        <v>11.058958038677082</v>
      </c>
      <c r="O35" s="54">
        <f>SUM(O2:O12)</f>
        <v>11.279116293681486</v>
      </c>
      <c r="P35" s="54">
        <f t="shared" ref="P35:AS35" si="40">SUM(P2:P12)</f>
        <v>11.497464806656996</v>
      </c>
      <c r="Q35" s="54">
        <f t="shared" si="40"/>
        <v>11.713694435397825</v>
      </c>
      <c r="R35" s="54">
        <f t="shared" si="40"/>
        <v>11.927631560444736</v>
      </c>
      <c r="S35" s="54">
        <f t="shared" si="40"/>
        <v>12.13920066341182</v>
      </c>
      <c r="T35" s="54">
        <f t="shared" si="40"/>
        <v>12.285507350147371</v>
      </c>
      <c r="U35" s="54">
        <f t="shared" si="40"/>
        <v>12.426157159906067</v>
      </c>
      <c r="V35" s="54">
        <f t="shared" si="40"/>
        <v>12.560411737816795</v>
      </c>
      <c r="W35" s="54">
        <f t="shared" si="40"/>
        <v>12.687334455740608</v>
      </c>
      <c r="X35" s="54">
        <f t="shared" si="40"/>
        <v>12.80589105018157</v>
      </c>
      <c r="Y35" s="54">
        <f t="shared" si="40"/>
        <v>12.915207652625343</v>
      </c>
      <c r="Z35" s="54">
        <f t="shared" si="40"/>
        <v>13.014698423300239</v>
      </c>
      <c r="AA35" s="54">
        <f t="shared" si="40"/>
        <v>13.10397447175883</v>
      </c>
      <c r="AB35" s="54">
        <f t="shared" si="40"/>
        <v>13.1826260495796</v>
      </c>
      <c r="AC35" s="54">
        <f t="shared" si="40"/>
        <v>13.250295682477578</v>
      </c>
      <c r="AD35" s="54">
        <f t="shared" si="40"/>
        <v>13.309113483065243</v>
      </c>
      <c r="AE35" s="54">
        <f t="shared" si="40"/>
        <v>13.358740244469567</v>
      </c>
      <c r="AF35" s="54">
        <f t="shared" si="40"/>
        <v>13.398894718438969</v>
      </c>
      <c r="AG35" s="54">
        <f t="shared" si="40"/>
        <v>13.429395999829765</v>
      </c>
      <c r="AH35" s="54">
        <f t="shared" si="40"/>
        <v>13.450081767699034</v>
      </c>
      <c r="AI35" s="54">
        <f t="shared" si="40"/>
        <v>13.460804581526254</v>
      </c>
      <c r="AJ35" s="54">
        <f t="shared" si="40"/>
        <v>13.46139070729645</v>
      </c>
      <c r="AK35" s="54">
        <f t="shared" si="40"/>
        <v>13.451664167646033</v>
      </c>
      <c r="AL35" s="54">
        <f t="shared" si="40"/>
        <v>13.431452785371892</v>
      </c>
      <c r="AM35" s="54">
        <f t="shared" si="40"/>
        <v>13.400590572404235</v>
      </c>
      <c r="AN35" s="54">
        <f t="shared" si="40"/>
        <v>13.358952445918494</v>
      </c>
      <c r="AO35" s="54">
        <f t="shared" si="40"/>
        <v>13.306432317939581</v>
      </c>
      <c r="AP35" s="54">
        <f t="shared" si="40"/>
        <v>13.24296444807076</v>
      </c>
      <c r="AQ35" s="54">
        <f t="shared" si="40"/>
        <v>13.168521639472917</v>
      </c>
      <c r="AR35" s="54">
        <f t="shared" si="40"/>
        <v>13.083096033558439</v>
      </c>
      <c r="AS35" s="54">
        <f t="shared" si="40"/>
        <v>12.986678783319695</v>
      </c>
      <c r="AT35" s="199"/>
      <c r="BB35" s="215" t="s">
        <v>302</v>
      </c>
    </row>
    <row r="36" spans="1:62">
      <c r="D36" t="s">
        <v>18</v>
      </c>
      <c r="E36" s="54">
        <f t="shared" ref="E36:M36" si="41">SUM(E13:E23)</f>
        <v>7.0124429141906814</v>
      </c>
      <c r="F36" s="54">
        <f t="shared" si="41"/>
        <v>7.1543370465875196</v>
      </c>
      <c r="G36" s="54">
        <f t="shared" si="41"/>
        <v>7.2952865635732627</v>
      </c>
      <c r="H36" s="54">
        <f t="shared" si="41"/>
        <v>7.4355374071060485</v>
      </c>
      <c r="I36" s="54">
        <f t="shared" si="41"/>
        <v>7.5756240114261297</v>
      </c>
      <c r="J36" s="54">
        <f t="shared" si="41"/>
        <v>7.7158412241920393</v>
      </c>
      <c r="K36" s="54">
        <f t="shared" si="41"/>
        <v>7.8559750506184178</v>
      </c>
      <c r="L36" s="54">
        <f t="shared" si="41"/>
        <v>7.995477491135019</v>
      </c>
      <c r="M36" s="54">
        <f t="shared" si="41"/>
        <v>8.133882091252012</v>
      </c>
      <c r="N36" s="54">
        <f>SUM(N13:N23)</f>
        <v>8.2706273276719777</v>
      </c>
      <c r="O36" s="54">
        <f t="shared" ref="O36:AS36" si="42">SUM(O13:O23)</f>
        <v>8.4052637521553812</v>
      </c>
      <c r="P36" s="54">
        <f t="shared" si="42"/>
        <v>8.5373780967140274</v>
      </c>
      <c r="Q36" s="54">
        <f t="shared" si="42"/>
        <v>8.6668066041855791</v>
      </c>
      <c r="R36" s="54">
        <f t="shared" si="42"/>
        <v>8.7935826135318162</v>
      </c>
      <c r="S36" s="54">
        <f t="shared" si="42"/>
        <v>8.9178477825752562</v>
      </c>
      <c r="T36" s="54">
        <f t="shared" si="42"/>
        <v>8.9686549825362434</v>
      </c>
      <c r="U36" s="54">
        <f t="shared" si="42"/>
        <v>9.0134185599297254</v>
      </c>
      <c r="V36" s="54">
        <f t="shared" si="42"/>
        <v>9.0515901983591114</v>
      </c>
      <c r="W36" s="54">
        <f t="shared" si="42"/>
        <v>9.0824679415478524</v>
      </c>
      <c r="X36" s="54">
        <f t="shared" si="42"/>
        <v>9.1052742160584561</v>
      </c>
      <c r="Y36" s="54">
        <f t="shared" si="42"/>
        <v>9.119383581325561</v>
      </c>
      <c r="Z36" s="54">
        <f t="shared" si="42"/>
        <v>9.1244511856106048</v>
      </c>
      <c r="AA36" s="54">
        <f t="shared" si="42"/>
        <v>9.1203219937925084</v>
      </c>
      <c r="AB36" s="54">
        <f t="shared" si="42"/>
        <v>9.1068599110028039</v>
      </c>
      <c r="AC36" s="54">
        <f t="shared" si="42"/>
        <v>9.0840733655053061</v>
      </c>
      <c r="AD36" s="54">
        <f t="shared" si="42"/>
        <v>9.0530510517545419</v>
      </c>
      <c r="AE36" s="54">
        <f t="shared" si="42"/>
        <v>9.013814853977145</v>
      </c>
      <c r="AF36" s="54">
        <f t="shared" si="42"/>
        <v>8.9662322418332003</v>
      </c>
      <c r="AG36" s="54">
        <f t="shared" si="42"/>
        <v>8.9102404115616363</v>
      </c>
      <c r="AH36" s="54">
        <f t="shared" si="42"/>
        <v>8.8457868874760699</v>
      </c>
      <c r="AI36" s="54">
        <f t="shared" si="42"/>
        <v>8.7728459608043288</v>
      </c>
      <c r="AJ36" s="54">
        <f t="shared" si="42"/>
        <v>8.6913938716197237</v>
      </c>
      <c r="AK36" s="54">
        <f t="shared" si="42"/>
        <v>8.6014154806350227</v>
      </c>
      <c r="AL36" s="54">
        <f t="shared" si="42"/>
        <v>8.502889681622154</v>
      </c>
      <c r="AM36" s="54">
        <f t="shared" si="42"/>
        <v>8.3958032238363796</v>
      </c>
      <c r="AN36" s="54">
        <f t="shared" si="42"/>
        <v>8.2801903327084965</v>
      </c>
      <c r="AO36" s="54">
        <f t="shared" si="42"/>
        <v>8.1561114801595735</v>
      </c>
      <c r="AP36" s="54">
        <f t="shared" si="42"/>
        <v>8.0236774825383677</v>
      </c>
      <c r="AQ36" s="54">
        <f t="shared" si="42"/>
        <v>7.8830375008938249</v>
      </c>
      <c r="AR36" s="54">
        <f t="shared" si="42"/>
        <v>7.7343686144467902</v>
      </c>
      <c r="AS36" s="54">
        <f t="shared" si="42"/>
        <v>7.57784578875152</v>
      </c>
      <c r="AT36" s="199"/>
      <c r="BB36" t="s">
        <v>135</v>
      </c>
      <c r="BC36" s="22" t="s">
        <v>8</v>
      </c>
      <c r="BD36" s="54">
        <v>6.9456981269719744</v>
      </c>
      <c r="BE36" s="54">
        <v>9.951582865914629</v>
      </c>
      <c r="BF36" s="54">
        <v>13.836926398733908</v>
      </c>
      <c r="BG36" s="54">
        <v>18.35575141309517</v>
      </c>
      <c r="BH36" s="54">
        <v>23.51745790186472</v>
      </c>
      <c r="BI36" s="54">
        <v>29.312885011629767</v>
      </c>
      <c r="BJ36" s="54">
        <v>35.687552451578625</v>
      </c>
    </row>
    <row r="37" spans="1:62">
      <c r="D37" t="s">
        <v>19</v>
      </c>
      <c r="E37" s="54">
        <f t="shared" ref="E37:M37" si="43">SUM(E24:E34)</f>
        <v>2.0872963315442443</v>
      </c>
      <c r="F37" s="54">
        <f t="shared" si="43"/>
        <v>2.1577621578938149</v>
      </c>
      <c r="G37" s="54">
        <f t="shared" si="43"/>
        <v>2.2290878718336353</v>
      </c>
      <c r="H37" s="54">
        <f t="shared" si="43"/>
        <v>2.3012648244677143</v>
      </c>
      <c r="I37" s="54">
        <f t="shared" si="43"/>
        <v>2.3767961088675289</v>
      </c>
      <c r="J37" s="54">
        <f t="shared" si="43"/>
        <v>2.4564618889529912</v>
      </c>
      <c r="K37" s="54">
        <f t="shared" si="43"/>
        <v>2.5375757854091843</v>
      </c>
      <c r="L37" s="54">
        <f t="shared" si="43"/>
        <v>2.6200184788572312</v>
      </c>
      <c r="M37" s="54">
        <f t="shared" si="43"/>
        <v>2.7036610388334585</v>
      </c>
      <c r="N37" s="54">
        <f>SUM(N24:N34)</f>
        <v>2.7883307110051057</v>
      </c>
      <c r="O37" s="54">
        <f t="shared" ref="O37:AS37" si="44">SUM(O24:O34)</f>
        <v>2.8738525415261069</v>
      </c>
      <c r="P37" s="54">
        <f t="shared" si="44"/>
        <v>2.9600867099429689</v>
      </c>
      <c r="Q37" s="54">
        <f t="shared" si="44"/>
        <v>3.0468878312122452</v>
      </c>
      <c r="R37" s="54">
        <f t="shared" si="44"/>
        <v>3.1340489469129196</v>
      </c>
      <c r="S37" s="54">
        <f t="shared" si="44"/>
        <v>3.2213528808365641</v>
      </c>
      <c r="T37" s="54">
        <f t="shared" si="44"/>
        <v>3.3168523676111272</v>
      </c>
      <c r="U37" s="54">
        <f t="shared" si="44"/>
        <v>3.4127385999763415</v>
      </c>
      <c r="V37" s="54">
        <f t="shared" si="44"/>
        <v>3.5088215394576827</v>
      </c>
      <c r="W37" s="54">
        <f t="shared" si="44"/>
        <v>3.6048665141927532</v>
      </c>
      <c r="X37" s="54">
        <f t="shared" si="44"/>
        <v>3.7006168341231134</v>
      </c>
      <c r="Y37" s="54">
        <f t="shared" si="44"/>
        <v>3.7958240712997831</v>
      </c>
      <c r="Z37" s="54">
        <f t="shared" si="44"/>
        <v>3.8902472376896329</v>
      </c>
      <c r="AA37" s="54">
        <f t="shared" si="44"/>
        <v>3.9836524779663218</v>
      </c>
      <c r="AB37" s="54">
        <f t="shared" si="44"/>
        <v>4.0757661385767943</v>
      </c>
      <c r="AC37" s="54">
        <f t="shared" si="44"/>
        <v>4.1662223169722719</v>
      </c>
      <c r="AD37" s="54">
        <f t="shared" si="44"/>
        <v>4.2560624313106983</v>
      </c>
      <c r="AE37" s="54">
        <f t="shared" si="44"/>
        <v>4.3449253904924188</v>
      </c>
      <c r="AF37" s="54">
        <f t="shared" si="44"/>
        <v>4.432662476605767</v>
      </c>
      <c r="AG37" s="54">
        <f t="shared" si="44"/>
        <v>4.519155588268128</v>
      </c>
      <c r="AH37" s="54">
        <f t="shared" si="44"/>
        <v>4.6042948802229615</v>
      </c>
      <c r="AI37" s="54">
        <f t="shared" si="44"/>
        <v>4.6879586207219237</v>
      </c>
      <c r="AJ37" s="54">
        <f t="shared" si="44"/>
        <v>4.7699968356767268</v>
      </c>
      <c r="AK37" s="54">
        <f t="shared" si="44"/>
        <v>4.8502486870110104</v>
      </c>
      <c r="AL37" s="54">
        <f t="shared" si="44"/>
        <v>4.9285631037497382</v>
      </c>
      <c r="AM37" s="54">
        <f t="shared" si="44"/>
        <v>5.0047873485678549</v>
      </c>
      <c r="AN37" s="54">
        <f t="shared" si="44"/>
        <v>5.078762113209998</v>
      </c>
      <c r="AO37" s="54">
        <f t="shared" si="44"/>
        <v>5.1503208377800078</v>
      </c>
      <c r="AP37" s="54">
        <f t="shared" si="44"/>
        <v>5.2192869655323895</v>
      </c>
      <c r="AQ37" s="54">
        <f t="shared" si="44"/>
        <v>5.2854841385790943</v>
      </c>
      <c r="AR37" s="54">
        <f t="shared" si="44"/>
        <v>5.3487274191116461</v>
      </c>
      <c r="AS37" s="54">
        <f t="shared" si="44"/>
        <v>5.4088329945681739</v>
      </c>
      <c r="BB37" t="s">
        <v>127</v>
      </c>
      <c r="BC37" t="s">
        <v>53</v>
      </c>
      <c r="BD37" s="54">
        <v>16.30978527579412</v>
      </c>
      <c r="BE37" s="54">
        <v>19.635921985669931</v>
      </c>
      <c r="BF37" s="54">
        <v>23.250612765129787</v>
      </c>
      <c r="BG37" s="54">
        <v>27.133567990974328</v>
      </c>
      <c r="BH37" s="54">
        <v>31.288689939326588</v>
      </c>
      <c r="BI37" s="54">
        <v>35.701111637384962</v>
      </c>
      <c r="BJ37" s="54">
        <v>40.315923106753431</v>
      </c>
    </row>
    <row r="38" spans="1:62">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row>
    <row r="73" spans="4:45">
      <c r="D73" t="s">
        <v>4</v>
      </c>
      <c r="N73" s="54">
        <f>SUM(N40:N50)</f>
        <v>0</v>
      </c>
      <c r="O73" s="54">
        <f t="shared" ref="O73:AS73" si="45">SUM(O40:O50)</f>
        <v>0</v>
      </c>
      <c r="P73" s="54">
        <f t="shared" si="45"/>
        <v>0</v>
      </c>
      <c r="Q73" s="54">
        <f t="shared" si="45"/>
        <v>0</v>
      </c>
      <c r="R73" s="54">
        <f t="shared" si="45"/>
        <v>0</v>
      </c>
      <c r="S73" s="54">
        <f t="shared" si="45"/>
        <v>0</v>
      </c>
      <c r="T73" s="54">
        <f t="shared" si="45"/>
        <v>0</v>
      </c>
      <c r="U73" s="54">
        <f t="shared" si="45"/>
        <v>0</v>
      </c>
      <c r="V73" s="54">
        <f t="shared" si="45"/>
        <v>0</v>
      </c>
      <c r="W73" s="54">
        <f t="shared" si="45"/>
        <v>0</v>
      </c>
      <c r="X73" s="54">
        <f t="shared" si="45"/>
        <v>0</v>
      </c>
      <c r="Y73" s="54">
        <f t="shared" si="45"/>
        <v>0</v>
      </c>
      <c r="Z73" s="54">
        <f t="shared" si="45"/>
        <v>0</v>
      </c>
      <c r="AA73" s="54">
        <f t="shared" si="45"/>
        <v>0</v>
      </c>
      <c r="AB73" s="54">
        <f t="shared" si="45"/>
        <v>0</v>
      </c>
      <c r="AC73" s="54">
        <f t="shared" si="45"/>
        <v>0</v>
      </c>
      <c r="AD73" s="54">
        <f t="shared" si="45"/>
        <v>0</v>
      </c>
      <c r="AE73" s="54">
        <f t="shared" si="45"/>
        <v>0</v>
      </c>
      <c r="AF73" s="54">
        <f t="shared" si="45"/>
        <v>0</v>
      </c>
      <c r="AG73" s="54">
        <f t="shared" si="45"/>
        <v>0</v>
      </c>
      <c r="AH73" s="54">
        <f t="shared" si="45"/>
        <v>0</v>
      </c>
      <c r="AI73" s="54">
        <f t="shared" si="45"/>
        <v>0</v>
      </c>
      <c r="AJ73" s="54">
        <f t="shared" si="45"/>
        <v>0</v>
      </c>
      <c r="AK73" s="54">
        <f t="shared" si="45"/>
        <v>0</v>
      </c>
      <c r="AL73" s="54">
        <f t="shared" si="45"/>
        <v>0</v>
      </c>
      <c r="AM73" s="54">
        <f t="shared" si="45"/>
        <v>0</v>
      </c>
      <c r="AN73" s="54">
        <f t="shared" si="45"/>
        <v>0</v>
      </c>
      <c r="AO73" s="54">
        <f t="shared" si="45"/>
        <v>0</v>
      </c>
      <c r="AP73" s="54">
        <f t="shared" si="45"/>
        <v>0</v>
      </c>
      <c r="AQ73" s="54">
        <f t="shared" si="45"/>
        <v>0</v>
      </c>
      <c r="AR73" s="54">
        <f t="shared" si="45"/>
        <v>0</v>
      </c>
      <c r="AS73" s="54">
        <f t="shared" si="45"/>
        <v>0</v>
      </c>
    </row>
    <row r="74" spans="4:45">
      <c r="D74" t="s">
        <v>18</v>
      </c>
      <c r="N74" s="54">
        <f>SUM(N51:N61)</f>
        <v>0</v>
      </c>
      <c r="O74" s="54">
        <f t="shared" ref="O74:AS74" si="46">SUM(O51:O61)</f>
        <v>0</v>
      </c>
      <c r="P74" s="54">
        <f t="shared" si="46"/>
        <v>0</v>
      </c>
      <c r="Q74" s="54">
        <f t="shared" si="46"/>
        <v>0</v>
      </c>
      <c r="R74" s="54">
        <f t="shared" si="46"/>
        <v>0</v>
      </c>
      <c r="S74" s="54">
        <f t="shared" si="46"/>
        <v>0</v>
      </c>
      <c r="T74" s="54">
        <f t="shared" si="46"/>
        <v>0</v>
      </c>
      <c r="U74" s="54">
        <f t="shared" si="46"/>
        <v>0</v>
      </c>
      <c r="V74" s="54">
        <f t="shared" si="46"/>
        <v>0</v>
      </c>
      <c r="W74" s="54">
        <f t="shared" si="46"/>
        <v>0</v>
      </c>
      <c r="X74" s="54">
        <f t="shared" si="46"/>
        <v>0</v>
      </c>
      <c r="Y74" s="54">
        <f t="shared" si="46"/>
        <v>0</v>
      </c>
      <c r="Z74" s="54">
        <f t="shared" si="46"/>
        <v>0</v>
      </c>
      <c r="AA74" s="54">
        <f t="shared" si="46"/>
        <v>0</v>
      </c>
      <c r="AB74" s="54">
        <f t="shared" si="46"/>
        <v>0</v>
      </c>
      <c r="AC74" s="54">
        <f t="shared" si="46"/>
        <v>0</v>
      </c>
      <c r="AD74" s="54">
        <f t="shared" si="46"/>
        <v>0</v>
      </c>
      <c r="AE74" s="54">
        <f t="shared" si="46"/>
        <v>0</v>
      </c>
      <c r="AF74" s="54">
        <f t="shared" si="46"/>
        <v>0</v>
      </c>
      <c r="AG74" s="54">
        <f t="shared" si="46"/>
        <v>0</v>
      </c>
      <c r="AH74" s="54">
        <f t="shared" si="46"/>
        <v>0</v>
      </c>
      <c r="AI74" s="54">
        <f t="shared" si="46"/>
        <v>0</v>
      </c>
      <c r="AJ74" s="54">
        <f t="shared" si="46"/>
        <v>0</v>
      </c>
      <c r="AK74" s="54">
        <f t="shared" si="46"/>
        <v>0</v>
      </c>
      <c r="AL74" s="54">
        <f t="shared" si="46"/>
        <v>0</v>
      </c>
      <c r="AM74" s="54">
        <f t="shared" si="46"/>
        <v>0</v>
      </c>
      <c r="AN74" s="54">
        <f t="shared" si="46"/>
        <v>0</v>
      </c>
      <c r="AO74" s="54">
        <f t="shared" si="46"/>
        <v>0</v>
      </c>
      <c r="AP74" s="54">
        <f t="shared" si="46"/>
        <v>0</v>
      </c>
      <c r="AQ74" s="54">
        <f t="shared" si="46"/>
        <v>0</v>
      </c>
      <c r="AR74" s="54">
        <f t="shared" si="46"/>
        <v>0</v>
      </c>
      <c r="AS74" s="54">
        <f t="shared" si="46"/>
        <v>0</v>
      </c>
    </row>
    <row r="75" spans="4:45">
      <c r="D75" t="s">
        <v>19</v>
      </c>
      <c r="N75" s="54">
        <f>SUM(N62:N72)</f>
        <v>0</v>
      </c>
      <c r="O75" s="54">
        <f t="shared" ref="O75:AS75" si="47">SUM(O62:O72)</f>
        <v>0</v>
      </c>
      <c r="P75" s="54">
        <f t="shared" si="47"/>
        <v>0</v>
      </c>
      <c r="Q75" s="54">
        <f t="shared" si="47"/>
        <v>0</v>
      </c>
      <c r="R75" s="54">
        <f t="shared" si="47"/>
        <v>0</v>
      </c>
      <c r="S75" s="54">
        <f t="shared" si="47"/>
        <v>0</v>
      </c>
      <c r="T75" s="54">
        <f t="shared" si="47"/>
        <v>0</v>
      </c>
      <c r="U75" s="54">
        <f t="shared" si="47"/>
        <v>0</v>
      </c>
      <c r="V75" s="54">
        <f t="shared" si="47"/>
        <v>0</v>
      </c>
      <c r="W75" s="54">
        <f t="shared" si="47"/>
        <v>0</v>
      </c>
      <c r="X75" s="54">
        <f t="shared" si="47"/>
        <v>0</v>
      </c>
      <c r="Y75" s="54">
        <f t="shared" si="47"/>
        <v>0</v>
      </c>
      <c r="Z75" s="54">
        <f t="shared" si="47"/>
        <v>0</v>
      </c>
      <c r="AA75" s="54">
        <f t="shared" si="47"/>
        <v>0</v>
      </c>
      <c r="AB75" s="54">
        <f t="shared" si="47"/>
        <v>0</v>
      </c>
      <c r="AC75" s="54">
        <f t="shared" si="47"/>
        <v>0</v>
      </c>
      <c r="AD75" s="54">
        <f t="shared" si="47"/>
        <v>0</v>
      </c>
      <c r="AE75" s="54">
        <f t="shared" si="47"/>
        <v>0</v>
      </c>
      <c r="AF75" s="54">
        <f t="shared" si="47"/>
        <v>0</v>
      </c>
      <c r="AG75" s="54">
        <f t="shared" si="47"/>
        <v>0</v>
      </c>
      <c r="AH75" s="54">
        <f t="shared" si="47"/>
        <v>0</v>
      </c>
      <c r="AI75" s="54">
        <f t="shared" si="47"/>
        <v>0</v>
      </c>
      <c r="AJ75" s="54">
        <f t="shared" si="47"/>
        <v>0</v>
      </c>
      <c r="AK75" s="54">
        <f t="shared" si="47"/>
        <v>0</v>
      </c>
      <c r="AL75" s="54">
        <f t="shared" si="47"/>
        <v>0</v>
      </c>
      <c r="AM75" s="54">
        <f t="shared" si="47"/>
        <v>0</v>
      </c>
      <c r="AN75" s="54">
        <f t="shared" si="47"/>
        <v>0</v>
      </c>
      <c r="AO75" s="54">
        <f t="shared" si="47"/>
        <v>0</v>
      </c>
      <c r="AP75" s="54">
        <f t="shared" si="47"/>
        <v>0</v>
      </c>
      <c r="AQ75" s="54">
        <f t="shared" si="47"/>
        <v>0</v>
      </c>
      <c r="AR75" s="54">
        <f t="shared" si="47"/>
        <v>0</v>
      </c>
      <c r="AS75" s="54">
        <f t="shared" si="47"/>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E11B-96C4-664D-97F4-C1B3BA519970}">
  <dimension ref="A1:BA113"/>
  <sheetViews>
    <sheetView workbookViewId="0">
      <pane xSplit="4" ySplit="1" topLeftCell="E2" activePane="bottomRight" state="frozen"/>
      <selection pane="topRight" activeCell="E1" sqref="E1"/>
      <selection pane="bottomLeft" activeCell="A2" sqref="A2"/>
      <selection pane="bottomRight" activeCell="AW13" sqref="AW13"/>
    </sheetView>
  </sheetViews>
  <sheetFormatPr baseColWidth="10" defaultRowHeight="16"/>
  <cols>
    <col min="3" max="3" width="8.33203125" bestFit="1" customWidth="1"/>
    <col min="4" max="4" width="11" bestFit="1" customWidth="1"/>
  </cols>
  <sheetData>
    <row r="1" spans="1:53" ht="17" thickBot="1">
      <c r="A1" s="1" t="s">
        <v>120</v>
      </c>
      <c r="B1" s="2" t="s">
        <v>1</v>
      </c>
      <c r="C1" s="2" t="s">
        <v>2</v>
      </c>
      <c r="D1" s="7" t="s">
        <v>3</v>
      </c>
      <c r="E1" s="8">
        <v>2019</v>
      </c>
      <c r="F1" s="9">
        <v>2020</v>
      </c>
      <c r="G1" s="2">
        <v>2021</v>
      </c>
      <c r="H1" s="2">
        <v>2022</v>
      </c>
      <c r="I1" s="7">
        <v>2023</v>
      </c>
      <c r="J1" s="8">
        <v>2024</v>
      </c>
      <c r="K1" s="9">
        <v>2025</v>
      </c>
      <c r="L1" s="2">
        <v>2026</v>
      </c>
      <c r="M1" s="2">
        <v>2027</v>
      </c>
      <c r="N1" s="2">
        <v>2028</v>
      </c>
      <c r="O1" s="7">
        <v>2029</v>
      </c>
      <c r="P1" s="8">
        <v>2030</v>
      </c>
      <c r="Q1" s="9">
        <v>2031</v>
      </c>
      <c r="R1" s="2">
        <v>2032</v>
      </c>
      <c r="S1" s="2">
        <v>2033</v>
      </c>
      <c r="T1" s="2">
        <v>2034</v>
      </c>
      <c r="U1" s="2">
        <v>2035</v>
      </c>
      <c r="V1" s="2">
        <v>2036</v>
      </c>
      <c r="W1" s="2">
        <v>2037</v>
      </c>
      <c r="X1" s="2">
        <v>2038</v>
      </c>
      <c r="Y1" s="2">
        <v>2039</v>
      </c>
      <c r="Z1" s="2">
        <v>2040</v>
      </c>
      <c r="AA1" s="2">
        <v>2041</v>
      </c>
      <c r="AB1" s="2">
        <v>2042</v>
      </c>
      <c r="AC1" s="2">
        <v>2043</v>
      </c>
      <c r="AD1" s="2">
        <v>2044</v>
      </c>
      <c r="AE1" s="2">
        <v>2045</v>
      </c>
      <c r="AF1" s="2">
        <v>2046</v>
      </c>
      <c r="AG1" s="2">
        <v>2047</v>
      </c>
      <c r="AH1" s="2">
        <v>2048</v>
      </c>
      <c r="AI1" s="7">
        <v>2049</v>
      </c>
      <c r="AJ1" s="8">
        <v>2050</v>
      </c>
      <c r="AK1" s="25" t="s">
        <v>49</v>
      </c>
      <c r="AL1" s="25" t="s">
        <v>51</v>
      </c>
      <c r="AM1" s="25" t="s">
        <v>50</v>
      </c>
      <c r="AU1">
        <v>2020</v>
      </c>
      <c r="AV1">
        <v>2025</v>
      </c>
      <c r="AW1">
        <v>2030</v>
      </c>
      <c r="AX1">
        <v>2035</v>
      </c>
      <c r="AY1">
        <v>2040</v>
      </c>
      <c r="AZ1">
        <v>2045</v>
      </c>
      <c r="BA1">
        <v>2050</v>
      </c>
    </row>
    <row r="2" spans="1:53">
      <c r="A2" s="3" t="s">
        <v>4</v>
      </c>
      <c r="B2" s="3" t="s">
        <v>36</v>
      </c>
      <c r="C2" s="4" t="s">
        <v>53</v>
      </c>
      <c r="D2" s="42" t="s">
        <v>122</v>
      </c>
      <c r="E2" s="107">
        <f>SUM(E13,E24)</f>
        <v>7890.32519775532</v>
      </c>
      <c r="F2" s="108">
        <f t="shared" ref="F2:AJ2" si="0">SUM(F13,F24)</f>
        <v>7972.6728762430157</v>
      </c>
      <c r="G2" s="108">
        <f t="shared" si="0"/>
        <v>8048.8911509252084</v>
      </c>
      <c r="H2" s="108">
        <f t="shared" si="0"/>
        <v>8118.634800899571</v>
      </c>
      <c r="I2" s="108">
        <f t="shared" si="0"/>
        <v>8181.6959525900584</v>
      </c>
      <c r="J2" s="108">
        <f t="shared" si="0"/>
        <v>8237.945291884047</v>
      </c>
      <c r="K2" s="108">
        <f t="shared" si="0"/>
        <v>8217.1962901727129</v>
      </c>
      <c r="L2" s="108">
        <f t="shared" si="0"/>
        <v>8186.3018747591195</v>
      </c>
      <c r="M2" s="108">
        <f t="shared" si="0"/>
        <v>8144.6440941659312</v>
      </c>
      <c r="N2" s="108">
        <f t="shared" si="0"/>
        <v>8091.4905704498196</v>
      </c>
      <c r="O2" s="108">
        <f t="shared" si="0"/>
        <v>8026.0707554498358</v>
      </c>
      <c r="P2" s="108">
        <f t="shared" si="0"/>
        <v>7947.7628963563711</v>
      </c>
      <c r="Q2" s="108">
        <f t="shared" si="0"/>
        <v>7856.1852516714753</v>
      </c>
      <c r="R2" s="108">
        <f t="shared" si="0"/>
        <v>7751.1186057942577</v>
      </c>
      <c r="S2" s="108">
        <f t="shared" si="0"/>
        <v>7632.3629110695001</v>
      </c>
      <c r="T2" s="108">
        <f t="shared" si="0"/>
        <v>7499.817423198052</v>
      </c>
      <c r="U2" s="108">
        <f t="shared" si="0"/>
        <v>7354.4811783333798</v>
      </c>
      <c r="V2" s="108">
        <f t="shared" si="0"/>
        <v>7196.2145211844227</v>
      </c>
      <c r="W2" s="108">
        <f t="shared" si="0"/>
        <v>7024.8293255208182</v>
      </c>
      <c r="X2" s="108">
        <f t="shared" si="0"/>
        <v>6840.2016990531947</v>
      </c>
      <c r="Y2" s="108">
        <f t="shared" si="0"/>
        <v>6642.2238545738246</v>
      </c>
      <c r="Z2" s="108">
        <f t="shared" si="0"/>
        <v>6430.8111831324013</v>
      </c>
      <c r="AA2" s="108">
        <f t="shared" si="0"/>
        <v>6205.8841497945905</v>
      </c>
      <c r="AB2" s="108">
        <f t="shared" si="0"/>
        <v>5967.3777042723286</v>
      </c>
      <c r="AC2" s="108">
        <f t="shared" si="0"/>
        <v>5715.236441283103</v>
      </c>
      <c r="AD2" s="108">
        <f t="shared" si="0"/>
        <v>5449.4227616388325</v>
      </c>
      <c r="AE2" s="108">
        <f t="shared" si="0"/>
        <v>5169.9402681648526</v>
      </c>
      <c r="AF2" s="108">
        <f t="shared" si="0"/>
        <v>4876.8203176931775</v>
      </c>
      <c r="AG2" s="108">
        <f t="shared" si="0"/>
        <v>4570.1347822453063</v>
      </c>
      <c r="AH2" s="108">
        <f t="shared" si="0"/>
        <v>4249.9881167489921</v>
      </c>
      <c r="AI2" s="108">
        <f t="shared" si="0"/>
        <v>3916.5097691913479</v>
      </c>
      <c r="AJ2" s="109">
        <f t="shared" si="0"/>
        <v>3569.8392949953632</v>
      </c>
      <c r="AT2" s="87" t="s">
        <v>36</v>
      </c>
      <c r="AU2" s="54">
        <f>_xlfn.XLOOKUP(AU$1,$E$1:$AJ$1,$E4:$AJ4)+_xlfn.XLOOKUP(AU$1,$E$1:$AJ$1,$E2:$AJ2)</f>
        <v>8006.5050195161648</v>
      </c>
      <c r="AV2" s="54">
        <f t="shared" ref="AV2:BA2" si="1">_xlfn.XLOOKUP(AV$1,$E$1:$AJ$1,$E4:$AJ4)+_xlfn.XLOOKUP(AV$1,$E$1:$AJ$1,$E2:$AJ2)</f>
        <v>8290.9327156626787</v>
      </c>
      <c r="AW2" s="54">
        <f t="shared" si="1"/>
        <v>8074.2141393767797</v>
      </c>
      <c r="AX2" s="54">
        <f t="shared" si="1"/>
        <v>7550.0876581673592</v>
      </c>
      <c r="AY2" s="54">
        <f t="shared" si="1"/>
        <v>6714.5531987024324</v>
      </c>
      <c r="AZ2" s="54">
        <f t="shared" si="1"/>
        <v>5563.4683939761062</v>
      </c>
      <c r="BA2" s="54">
        <f t="shared" si="1"/>
        <v>4097.092647008305</v>
      </c>
    </row>
    <row r="3" spans="1:53">
      <c r="A3" s="3" t="s">
        <v>4</v>
      </c>
      <c r="B3" s="3" t="s">
        <v>8</v>
      </c>
      <c r="C3" s="4" t="s">
        <v>53</v>
      </c>
      <c r="D3" s="42" t="s">
        <v>122</v>
      </c>
      <c r="E3" s="110">
        <f t="shared" ref="E3:AJ10" si="2">SUM(E14,E25)</f>
        <v>5800.9537565286437</v>
      </c>
      <c r="F3" s="18">
        <f t="shared" si="2"/>
        <v>6262.7206011223589</v>
      </c>
      <c r="G3" s="18">
        <f t="shared" si="2"/>
        <v>6746.4919053745271</v>
      </c>
      <c r="H3" s="18">
        <f t="shared" si="2"/>
        <v>7252.7593592083158</v>
      </c>
      <c r="I3" s="18">
        <f t="shared" si="2"/>
        <v>7781.9417042216364</v>
      </c>
      <c r="J3" s="18">
        <f t="shared" si="2"/>
        <v>8334.4322467504262</v>
      </c>
      <c r="K3" s="18">
        <f t="shared" si="2"/>
        <v>8960.0833538580482</v>
      </c>
      <c r="L3" s="18">
        <f t="shared" si="2"/>
        <v>9609.7746122900917</v>
      </c>
      <c r="M3" s="18">
        <f t="shared" si="2"/>
        <v>10283.520428503598</v>
      </c>
      <c r="N3" s="18">
        <f t="shared" si="2"/>
        <v>10981.102924257017</v>
      </c>
      <c r="O3" s="18">
        <f t="shared" si="2"/>
        <v>11702.106228280856</v>
      </c>
      <c r="P3" s="18">
        <f t="shared" si="2"/>
        <v>12446.055819154786</v>
      </c>
      <c r="Q3" s="18">
        <f t="shared" si="2"/>
        <v>13212.500436290078</v>
      </c>
      <c r="R3" s="18">
        <f t="shared" si="2"/>
        <v>14001.011403784967</v>
      </c>
      <c r="S3" s="18">
        <f t="shared" si="2"/>
        <v>14811.008311158916</v>
      </c>
      <c r="T3" s="18">
        <f t="shared" si="2"/>
        <v>15641.701626767397</v>
      </c>
      <c r="U3" s="18">
        <f t="shared" si="2"/>
        <v>16496.372921063543</v>
      </c>
      <c r="V3" s="18">
        <f t="shared" si="2"/>
        <v>17374.478240594195</v>
      </c>
      <c r="W3" s="18">
        <f t="shared" si="2"/>
        <v>18275.828259859369</v>
      </c>
      <c r="X3" s="18">
        <f t="shared" si="2"/>
        <v>19200.317944295144</v>
      </c>
      <c r="Y3" s="18">
        <f t="shared" si="2"/>
        <v>20147.836950924833</v>
      </c>
      <c r="Z3" s="18">
        <f t="shared" si="2"/>
        <v>21118.231810270288</v>
      </c>
      <c r="AA3" s="18">
        <f t="shared" si="2"/>
        <v>22111.235206345591</v>
      </c>
      <c r="AB3" s="18">
        <f t="shared" si="2"/>
        <v>23126.509267581809</v>
      </c>
      <c r="AC3" s="18">
        <f t="shared" si="2"/>
        <v>24163.681931300496</v>
      </c>
      <c r="AD3" s="18">
        <f t="shared" si="2"/>
        <v>25222.324077246267</v>
      </c>
      <c r="AE3" s="18">
        <f t="shared" si="2"/>
        <v>26301.980708135459</v>
      </c>
      <c r="AF3" s="18">
        <f t="shared" si="2"/>
        <v>27402.147157813142</v>
      </c>
      <c r="AG3" s="18">
        <f t="shared" si="2"/>
        <v>28522.295799335749</v>
      </c>
      <c r="AH3" s="18">
        <f t="shared" si="2"/>
        <v>29661.900721931626</v>
      </c>
      <c r="AI3" s="18">
        <f t="shared" si="2"/>
        <v>30820.401520142259</v>
      </c>
      <c r="AJ3" s="111">
        <f t="shared" si="2"/>
        <v>31997.187229738745</v>
      </c>
      <c r="AT3" s="3" t="s">
        <v>8</v>
      </c>
      <c r="AU3" s="54">
        <f>(_xlfn.XLOOKUP(AU$1,$E$1:$AJ$1,$E5:$AJ5)+_xlfn.XLOOKUP(AU$1,$E$1:$AJ$1,$E3:$AJ3))</f>
        <v>6280.0637638580683</v>
      </c>
      <c r="AV3" s="54">
        <f t="shared" ref="AV3:BA3" si="3">(_xlfn.XLOOKUP(AV$1,$E$1:$AJ$1,$E5:$AJ5)+_xlfn.XLOOKUP(AV$1,$E$1:$AJ$1,$E3:$AJ3))</f>
        <v>8997.8824024284349</v>
      </c>
      <c r="AW3" s="54">
        <f t="shared" si="3"/>
        <v>12510.877739188931</v>
      </c>
      <c r="AX3" s="54">
        <f t="shared" si="3"/>
        <v>16596.6454631999</v>
      </c>
      <c r="AY3" s="54">
        <f t="shared" si="3"/>
        <v>21263.684727966316</v>
      </c>
      <c r="AZ3" s="54">
        <f t="shared" si="3"/>
        <v>26503.712601735013</v>
      </c>
      <c r="BA3" s="54">
        <f t="shared" si="3"/>
        <v>32267.469860463079</v>
      </c>
    </row>
    <row r="4" spans="1:53">
      <c r="A4" s="3" t="s">
        <v>4</v>
      </c>
      <c r="B4" t="s">
        <v>37</v>
      </c>
      <c r="C4" s="4" t="s">
        <v>53</v>
      </c>
      <c r="D4" s="42" t="s">
        <v>122</v>
      </c>
      <c r="E4" s="110">
        <f t="shared" si="2"/>
        <v>27.367630683464512</v>
      </c>
      <c r="F4" s="18">
        <f t="shared" si="2"/>
        <v>33.832143273149342</v>
      </c>
      <c r="G4" s="18">
        <f t="shared" si="2"/>
        <v>40.804285297318835</v>
      </c>
      <c r="H4" s="18">
        <f t="shared" si="2"/>
        <v>48.307489876017407</v>
      </c>
      <c r="I4" s="18">
        <f t="shared" si="2"/>
        <v>56.364334846724127</v>
      </c>
      <c r="J4" s="18">
        <f t="shared" si="2"/>
        <v>64.996615375086918</v>
      </c>
      <c r="K4" s="18">
        <f t="shared" si="2"/>
        <v>73.736425489966109</v>
      </c>
      <c r="L4" s="18">
        <f t="shared" si="2"/>
        <v>83.053485849939875</v>
      </c>
      <c r="M4" s="18">
        <f t="shared" si="2"/>
        <v>92.966866023979321</v>
      </c>
      <c r="N4" s="18">
        <f t="shared" si="2"/>
        <v>103.49390920826012</v>
      </c>
      <c r="O4" s="18">
        <f t="shared" si="2"/>
        <v>114.65039691311635</v>
      </c>
      <c r="P4" s="18">
        <f t="shared" si="2"/>
        <v>126.4512430204084</v>
      </c>
      <c r="Q4" s="18">
        <f t="shared" si="2"/>
        <v>138.91048700081706</v>
      </c>
      <c r="R4" s="18">
        <f t="shared" si="2"/>
        <v>152.04129648961435</v>
      </c>
      <c r="S4" s="18">
        <f t="shared" si="2"/>
        <v>165.85406913630169</v>
      </c>
      <c r="T4" s="18">
        <f t="shared" si="2"/>
        <v>180.35356526777525</v>
      </c>
      <c r="U4" s="18">
        <f t="shared" si="2"/>
        <v>195.60647983397934</v>
      </c>
      <c r="V4" s="18">
        <f t="shared" si="2"/>
        <v>211.62371622888676</v>
      </c>
      <c r="W4" s="18">
        <f t="shared" si="2"/>
        <v>228.42469463756876</v>
      </c>
      <c r="X4" s="18">
        <f t="shared" si="2"/>
        <v>246.03036757739207</v>
      </c>
      <c r="Y4" s="18">
        <f t="shared" si="2"/>
        <v>264.4623842170538</v>
      </c>
      <c r="Z4" s="18">
        <f t="shared" si="2"/>
        <v>283.74201557003101</v>
      </c>
      <c r="AA4" s="18">
        <f t="shared" si="2"/>
        <v>303.88894963956943</v>
      </c>
      <c r="AB4" s="18">
        <f t="shared" si="2"/>
        <v>324.92200902922644</v>
      </c>
      <c r="AC4" s="18">
        <f t="shared" si="2"/>
        <v>346.86040799379435</v>
      </c>
      <c r="AD4" s="18">
        <f t="shared" si="2"/>
        <v>369.72305464797347</v>
      </c>
      <c r="AE4" s="18">
        <f t="shared" si="2"/>
        <v>393.52812581125346</v>
      </c>
      <c r="AF4" s="18">
        <f t="shared" si="2"/>
        <v>418.29287056210279</v>
      </c>
      <c r="AG4" s="18">
        <f t="shared" si="2"/>
        <v>444.03320800673771</v>
      </c>
      <c r="AH4" s="18">
        <f t="shared" si="2"/>
        <v>470.76439441924776</v>
      </c>
      <c r="AI4" s="18">
        <f t="shared" si="2"/>
        <v>498.50014933371222</v>
      </c>
      <c r="AJ4" s="111">
        <f t="shared" si="2"/>
        <v>527.25335201294229</v>
      </c>
      <c r="AT4" s="34" t="s">
        <v>11</v>
      </c>
      <c r="AU4" s="54">
        <f>_xlfn.XLOOKUP(AU$1,$E$1:$AJ$1,$E6:$AJ6)</f>
        <v>6.8750014127054451</v>
      </c>
      <c r="AV4" s="54">
        <f t="shared" ref="AV4:BA4" si="4">_xlfn.XLOOKUP(AV$1,$E$1:$AJ$1,$E6:$AJ6)</f>
        <v>11.599043512632706</v>
      </c>
      <c r="AW4" s="54">
        <f t="shared" si="4"/>
        <v>11.291329002123664</v>
      </c>
      <c r="AX4" s="54">
        <f t="shared" si="4"/>
        <v>10.142746470534524</v>
      </c>
      <c r="AY4" s="54">
        <f t="shared" si="4"/>
        <v>7.9971378794709489</v>
      </c>
      <c r="AZ4" s="54">
        <f t="shared" si="4"/>
        <v>4.6789103517729025</v>
      </c>
      <c r="BA4" s="54">
        <f t="shared" si="4"/>
        <v>0</v>
      </c>
    </row>
    <row r="5" spans="1:53">
      <c r="A5" s="3" t="s">
        <v>4</v>
      </c>
      <c r="B5" t="s">
        <v>10</v>
      </c>
      <c r="C5" s="4" t="s">
        <v>53</v>
      </c>
      <c r="D5" s="42" t="s">
        <v>122</v>
      </c>
      <c r="E5" s="110">
        <f t="shared" si="2"/>
        <v>14.029299556993344</v>
      </c>
      <c r="F5" s="18">
        <f t="shared" si="2"/>
        <v>17.343162735709221</v>
      </c>
      <c r="G5" s="18">
        <f t="shared" si="2"/>
        <v>20.917248857461342</v>
      </c>
      <c r="H5" s="18">
        <f t="shared" si="2"/>
        <v>24.763570297904892</v>
      </c>
      <c r="I5" s="18">
        <f t="shared" si="2"/>
        <v>28.893700994480252</v>
      </c>
      <c r="J5" s="18">
        <f t="shared" si="2"/>
        <v>33.318813668395045</v>
      </c>
      <c r="K5" s="18">
        <f t="shared" si="2"/>
        <v>37.799048570387093</v>
      </c>
      <c r="L5" s="18">
        <f t="shared" si="2"/>
        <v>42.575195701736767</v>
      </c>
      <c r="M5" s="18">
        <f t="shared" si="2"/>
        <v>47.657030577855416</v>
      </c>
      <c r="N5" s="18">
        <f t="shared" si="2"/>
        <v>53.053443734326407</v>
      </c>
      <c r="O5" s="18">
        <f t="shared" si="2"/>
        <v>58.772525149361599</v>
      </c>
      <c r="P5" s="18">
        <f t="shared" si="2"/>
        <v>64.821920034144838</v>
      </c>
      <c r="Q5" s="18">
        <f t="shared" si="2"/>
        <v>71.208825355855339</v>
      </c>
      <c r="R5" s="18">
        <f t="shared" si="2"/>
        <v>77.939991158069276</v>
      </c>
      <c r="S5" s="18">
        <f t="shared" si="2"/>
        <v>85.020747523658287</v>
      </c>
      <c r="T5" s="18">
        <f t="shared" si="2"/>
        <v>92.453534709610167</v>
      </c>
      <c r="U5" s="18">
        <f t="shared" si="2"/>
        <v>100.2725421363585</v>
      </c>
      <c r="V5" s="18">
        <f t="shared" si="2"/>
        <v>108.48335914344104</v>
      </c>
      <c r="W5" s="18">
        <f t="shared" si="2"/>
        <v>117.09594098043584</v>
      </c>
      <c r="X5" s="18">
        <f t="shared" si="2"/>
        <v>126.12102840696559</v>
      </c>
      <c r="Y5" s="18">
        <f t="shared" si="2"/>
        <v>135.5697193027234</v>
      </c>
      <c r="Z5" s="18">
        <f t="shared" si="2"/>
        <v>145.45291769602667</v>
      </c>
      <c r="AA5" s="18">
        <f t="shared" si="2"/>
        <v>155.78071612643069</v>
      </c>
      <c r="AB5" s="18">
        <f t="shared" si="2"/>
        <v>166.56276350899174</v>
      </c>
      <c r="AC5" s="18">
        <f t="shared" si="2"/>
        <v>177.80890952852025</v>
      </c>
      <c r="AD5" s="18">
        <f t="shared" si="2"/>
        <v>189.52884693512163</v>
      </c>
      <c r="AE5" s="18">
        <f t="shared" si="2"/>
        <v>201.73189359955208</v>
      </c>
      <c r="AF5" s="18">
        <f t="shared" si="2"/>
        <v>214.42689181041581</v>
      </c>
      <c r="AG5" s="18">
        <f t="shared" si="2"/>
        <v>227.62200208085227</v>
      </c>
      <c r="AH5" s="18">
        <f t="shared" si="2"/>
        <v>241.32504514045991</v>
      </c>
      <c r="AI5" s="18">
        <f t="shared" si="2"/>
        <v>255.54305394929307</v>
      </c>
      <c r="AJ5" s="111">
        <f t="shared" si="2"/>
        <v>270.28263072433333</v>
      </c>
      <c r="AT5" s="3" t="s">
        <v>12</v>
      </c>
      <c r="AU5" s="54">
        <f t="shared" ref="AU5:BA9" si="5">_xlfn.XLOOKUP(AU$1,$E$1:$AJ$1,$E7:$AJ7)</f>
        <v>0.50273922189598064</v>
      </c>
      <c r="AV5" s="54">
        <f t="shared" si="5"/>
        <v>0</v>
      </c>
      <c r="AW5" s="54">
        <f t="shared" si="5"/>
        <v>0</v>
      </c>
      <c r="AX5" s="54">
        <f t="shared" si="5"/>
        <v>0</v>
      </c>
      <c r="AY5" s="54">
        <f t="shared" si="5"/>
        <v>0</v>
      </c>
      <c r="AZ5" s="54">
        <f t="shared" si="5"/>
        <v>0</v>
      </c>
      <c r="BA5" s="54">
        <f t="shared" si="5"/>
        <v>0</v>
      </c>
    </row>
    <row r="6" spans="1:53">
      <c r="A6" s="3" t="s">
        <v>4</v>
      </c>
      <c r="B6" t="s">
        <v>11</v>
      </c>
      <c r="C6" s="4" t="s">
        <v>53</v>
      </c>
      <c r="D6" s="42" t="s">
        <v>122</v>
      </c>
      <c r="E6" s="110">
        <f t="shared" si="2"/>
        <v>5.8912596896414824</v>
      </c>
      <c r="F6" s="18">
        <f t="shared" si="2"/>
        <v>6.8750014127054451</v>
      </c>
      <c r="G6" s="18">
        <f t="shared" si="2"/>
        <v>7.9323712087459661</v>
      </c>
      <c r="H6" s="18">
        <f t="shared" si="2"/>
        <v>9.066685844404871</v>
      </c>
      <c r="I6" s="18">
        <f t="shared" si="2"/>
        <v>10.281111743582596</v>
      </c>
      <c r="J6" s="18">
        <f t="shared" si="2"/>
        <v>11.578691062669414</v>
      </c>
      <c r="K6" s="18">
        <f t="shared" si="2"/>
        <v>11.599043512632706</v>
      </c>
      <c r="L6" s="18">
        <f t="shared" si="2"/>
        <v>11.594473156743835</v>
      </c>
      <c r="M6" s="18">
        <f t="shared" si="2"/>
        <v>11.563260354178139</v>
      </c>
      <c r="N6" s="18">
        <f t="shared" si="2"/>
        <v>11.503563489977626</v>
      </c>
      <c r="O6" s="18">
        <f t="shared" si="2"/>
        <v>11.413514552337102</v>
      </c>
      <c r="P6" s="18">
        <f t="shared" si="2"/>
        <v>11.291329002123664</v>
      </c>
      <c r="Q6" s="18">
        <f t="shared" si="2"/>
        <v>11.135305985663402</v>
      </c>
      <c r="R6" s="18">
        <f t="shared" si="2"/>
        <v>10.943822936559187</v>
      </c>
      <c r="S6" s="18">
        <f t="shared" si="2"/>
        <v>10.715208906179512</v>
      </c>
      <c r="T6" s="18">
        <f t="shared" si="2"/>
        <v>10.447646672088174</v>
      </c>
      <c r="U6" s="18">
        <f t="shared" si="2"/>
        <v>10.142746470534524</v>
      </c>
      <c r="V6" s="18">
        <f t="shared" si="2"/>
        <v>9.7984325642689516</v>
      </c>
      <c r="W6" s="18">
        <f t="shared" si="2"/>
        <v>9.4131761075619718</v>
      </c>
      <c r="X6" s="18">
        <f t="shared" si="2"/>
        <v>8.9855166674903</v>
      </c>
      <c r="Y6" s="18">
        <f t="shared" si="2"/>
        <v>8.5139999180583263</v>
      </c>
      <c r="Z6" s="18">
        <f t="shared" si="2"/>
        <v>7.9971378794709489</v>
      </c>
      <c r="AA6" s="18">
        <f t="shared" si="2"/>
        <v>7.4333907957863836</v>
      </c>
      <c r="AB6" s="18">
        <f t="shared" si="2"/>
        <v>6.8212114494174321</v>
      </c>
      <c r="AC6" s="18">
        <f t="shared" si="2"/>
        <v>6.1590790647911753</v>
      </c>
      <c r="AD6" s="18">
        <f t="shared" si="2"/>
        <v>5.4454808863058846</v>
      </c>
      <c r="AE6" s="18">
        <f t="shared" si="2"/>
        <v>4.6789103517729025</v>
      </c>
      <c r="AF6" s="18">
        <f t="shared" si="2"/>
        <v>3.8578725098483146</v>
      </c>
      <c r="AG6" s="18">
        <f t="shared" si="2"/>
        <v>2.980890191914165</v>
      </c>
      <c r="AH6" s="18">
        <f t="shared" si="2"/>
        <v>2.0465183434385534</v>
      </c>
      <c r="AI6" s="18">
        <f t="shared" si="2"/>
        <v>1.0533445302287674</v>
      </c>
      <c r="AJ6" s="111">
        <f t="shared" si="2"/>
        <v>0</v>
      </c>
      <c r="AT6" s="3" t="s">
        <v>13</v>
      </c>
      <c r="AU6" s="54">
        <f t="shared" si="5"/>
        <v>75.833736395628335</v>
      </c>
      <c r="AV6" s="54">
        <f t="shared" si="5"/>
        <v>71.519861363336034</v>
      </c>
      <c r="AW6" s="54">
        <f t="shared" si="5"/>
        <v>69.542437838169477</v>
      </c>
      <c r="AX6" s="54">
        <f t="shared" si="5"/>
        <v>62.403358319616849</v>
      </c>
      <c r="AY6" s="54">
        <f t="shared" si="5"/>
        <v>49.155350365109335</v>
      </c>
      <c r="AZ6" s="54">
        <f t="shared" si="5"/>
        <v>28.73378019098244</v>
      </c>
      <c r="BA6" s="54">
        <f t="shared" si="5"/>
        <v>0</v>
      </c>
    </row>
    <row r="7" spans="1:53">
      <c r="A7" s="3" t="s">
        <v>4</v>
      </c>
      <c r="B7" s="3" t="s">
        <v>12</v>
      </c>
      <c r="C7" s="4" t="s">
        <v>53</v>
      </c>
      <c r="D7" s="42" t="s">
        <v>122</v>
      </c>
      <c r="E7" s="110">
        <f t="shared" si="2"/>
        <v>0.61231225619379859</v>
      </c>
      <c r="F7" s="18">
        <f t="shared" si="2"/>
        <v>0.50273922189598064</v>
      </c>
      <c r="G7" s="18">
        <f t="shared" si="2"/>
        <v>0.38189908984396626</v>
      </c>
      <c r="H7" s="18">
        <f t="shared" si="2"/>
        <v>0.24919267774178167</v>
      </c>
      <c r="I7" s="18">
        <f t="shared" si="2"/>
        <v>0.1040130077428469</v>
      </c>
      <c r="J7" s="18">
        <f t="shared" si="2"/>
        <v>0</v>
      </c>
      <c r="K7" s="18">
        <f t="shared" si="2"/>
        <v>0</v>
      </c>
      <c r="L7" s="18">
        <f t="shared" si="2"/>
        <v>0</v>
      </c>
      <c r="M7" s="18">
        <f t="shared" si="2"/>
        <v>0</v>
      </c>
      <c r="N7" s="18">
        <f t="shared" si="2"/>
        <v>0</v>
      </c>
      <c r="O7" s="18">
        <f t="shared" si="2"/>
        <v>0</v>
      </c>
      <c r="P7" s="18">
        <f t="shared" si="2"/>
        <v>0</v>
      </c>
      <c r="Q7" s="18">
        <f t="shared" si="2"/>
        <v>0</v>
      </c>
      <c r="R7" s="18">
        <f t="shared" si="2"/>
        <v>0</v>
      </c>
      <c r="S7" s="18">
        <f t="shared" si="2"/>
        <v>0</v>
      </c>
      <c r="T7" s="18">
        <f t="shared" si="2"/>
        <v>0</v>
      </c>
      <c r="U7" s="18">
        <f t="shared" si="2"/>
        <v>0</v>
      </c>
      <c r="V7" s="18">
        <f t="shared" si="2"/>
        <v>0</v>
      </c>
      <c r="W7" s="18">
        <f t="shared" si="2"/>
        <v>0</v>
      </c>
      <c r="X7" s="18">
        <f t="shared" si="2"/>
        <v>0</v>
      </c>
      <c r="Y7" s="18">
        <f t="shared" si="2"/>
        <v>0</v>
      </c>
      <c r="Z7" s="18">
        <f t="shared" si="2"/>
        <v>0</v>
      </c>
      <c r="AA7" s="18">
        <f t="shared" si="2"/>
        <v>0</v>
      </c>
      <c r="AB7" s="18">
        <f t="shared" si="2"/>
        <v>0</v>
      </c>
      <c r="AC7" s="18">
        <f t="shared" si="2"/>
        <v>0</v>
      </c>
      <c r="AD7" s="18">
        <f t="shared" si="2"/>
        <v>0</v>
      </c>
      <c r="AE7" s="18">
        <f t="shared" si="2"/>
        <v>0</v>
      </c>
      <c r="AF7" s="18">
        <f t="shared" si="2"/>
        <v>0</v>
      </c>
      <c r="AG7" s="18">
        <f t="shared" si="2"/>
        <v>0</v>
      </c>
      <c r="AH7" s="18">
        <f t="shared" si="2"/>
        <v>0</v>
      </c>
      <c r="AI7" s="18">
        <f t="shared" si="2"/>
        <v>0</v>
      </c>
      <c r="AJ7" s="111">
        <f t="shared" si="2"/>
        <v>0</v>
      </c>
      <c r="AT7" t="s">
        <v>14</v>
      </c>
      <c r="AU7" s="54">
        <f t="shared" si="5"/>
        <v>0</v>
      </c>
      <c r="AV7" s="54">
        <f t="shared" si="5"/>
        <v>0</v>
      </c>
      <c r="AW7" s="54">
        <f t="shared" si="5"/>
        <v>0</v>
      </c>
      <c r="AX7" s="54">
        <f t="shared" si="5"/>
        <v>0</v>
      </c>
      <c r="AY7" s="54">
        <f t="shared" si="5"/>
        <v>0</v>
      </c>
      <c r="AZ7" s="54">
        <f t="shared" si="5"/>
        <v>0</v>
      </c>
      <c r="BA7" s="54">
        <f t="shared" si="5"/>
        <v>0</v>
      </c>
    </row>
    <row r="8" spans="1:53">
      <c r="A8" s="3" t="s">
        <v>4</v>
      </c>
      <c r="B8" s="3" t="s">
        <v>13</v>
      </c>
      <c r="C8" s="4" t="s">
        <v>53</v>
      </c>
      <c r="D8" s="42" t="s">
        <v>122</v>
      </c>
      <c r="E8" s="110">
        <f t="shared" si="2"/>
        <v>76.350383664821365</v>
      </c>
      <c r="F8" s="18">
        <f t="shared" si="2"/>
        <v>75.833736395628335</v>
      </c>
      <c r="G8" s="18">
        <f t="shared" si="2"/>
        <v>75.097148810665033</v>
      </c>
      <c r="H8" s="18">
        <f t="shared" si="2"/>
        <v>74.125640808506731</v>
      </c>
      <c r="I8" s="18">
        <f t="shared" si="2"/>
        <v>72.902847681667239</v>
      </c>
      <c r="J8" s="18">
        <f t="shared" si="2"/>
        <v>71.412010594754037</v>
      </c>
      <c r="K8" s="18">
        <f t="shared" si="2"/>
        <v>71.519861363336034</v>
      </c>
      <c r="L8" s="18">
        <f t="shared" si="2"/>
        <v>71.474474534069373</v>
      </c>
      <c r="M8" s="18">
        <f t="shared" si="2"/>
        <v>71.265326041246112</v>
      </c>
      <c r="N8" s="18">
        <f t="shared" si="2"/>
        <v>70.881139701999118</v>
      </c>
      <c r="O8" s="18">
        <f t="shared" si="2"/>
        <v>70.310478801552065</v>
      </c>
      <c r="P8" s="18">
        <f t="shared" si="2"/>
        <v>69.542437838169477</v>
      </c>
      <c r="Q8" s="18">
        <f t="shared" si="2"/>
        <v>68.566654289548126</v>
      </c>
      <c r="R8" s="18">
        <f t="shared" si="2"/>
        <v>67.373264109610247</v>
      </c>
      <c r="S8" s="18">
        <f t="shared" si="2"/>
        <v>65.952114107636291</v>
      </c>
      <c r="T8" s="18">
        <f t="shared" si="2"/>
        <v>64.292177006835288</v>
      </c>
      <c r="U8" s="18">
        <f t="shared" si="2"/>
        <v>62.403358319616849</v>
      </c>
      <c r="V8" s="18">
        <f t="shared" si="2"/>
        <v>60.273051688081829</v>
      </c>
      <c r="W8" s="18">
        <f t="shared" si="2"/>
        <v>57.891966931933609</v>
      </c>
      <c r="X8" s="18">
        <f t="shared" si="2"/>
        <v>55.251238381241585</v>
      </c>
      <c r="Y8" s="18">
        <f t="shared" si="2"/>
        <v>52.342041140436713</v>
      </c>
      <c r="Z8" s="18">
        <f t="shared" si="2"/>
        <v>49.155350365109335</v>
      </c>
      <c r="AA8" s="18">
        <f t="shared" si="2"/>
        <v>45.681829459509672</v>
      </c>
      <c r="AB8" s="18">
        <f t="shared" si="2"/>
        <v>41.912100253699833</v>
      </c>
      <c r="AC8" s="18">
        <f t="shared" si="2"/>
        <v>37.83694876476585</v>
      </c>
      <c r="AD8" s="18">
        <f t="shared" si="2"/>
        <v>33.447214333449871</v>
      </c>
      <c r="AE8" s="18">
        <f t="shared" si="2"/>
        <v>28.73378019098244</v>
      </c>
      <c r="AF8" s="18">
        <f t="shared" si="2"/>
        <v>23.687605050079291</v>
      </c>
      <c r="AG8" s="18">
        <f t="shared" si="2"/>
        <v>18.299760916684544</v>
      </c>
      <c r="AH8" s="18">
        <f t="shared" si="2"/>
        <v>12.56151899571287</v>
      </c>
      <c r="AI8" s="18">
        <f t="shared" si="2"/>
        <v>6.4643518390576507</v>
      </c>
      <c r="AJ8" s="111">
        <f t="shared" si="2"/>
        <v>0</v>
      </c>
      <c r="AT8" t="s">
        <v>15</v>
      </c>
      <c r="AU8" s="54">
        <f t="shared" si="5"/>
        <v>0</v>
      </c>
      <c r="AV8" s="54">
        <f t="shared" si="5"/>
        <v>0</v>
      </c>
      <c r="AW8" s="54">
        <f t="shared" si="5"/>
        <v>0</v>
      </c>
      <c r="AX8" s="54">
        <f t="shared" si="5"/>
        <v>0</v>
      </c>
      <c r="AY8" s="54">
        <f t="shared" si="5"/>
        <v>0</v>
      </c>
      <c r="AZ8" s="54">
        <f t="shared" si="5"/>
        <v>0</v>
      </c>
      <c r="BA8" s="54">
        <f t="shared" si="5"/>
        <v>0</v>
      </c>
    </row>
    <row r="9" spans="1:53">
      <c r="A9" s="3" t="s">
        <v>4</v>
      </c>
      <c r="B9" t="s">
        <v>14</v>
      </c>
      <c r="C9" s="4" t="s">
        <v>53</v>
      </c>
      <c r="D9" s="42" t="s">
        <v>122</v>
      </c>
      <c r="E9" s="110">
        <f t="shared" si="2"/>
        <v>0</v>
      </c>
      <c r="F9" s="18">
        <f t="shared" si="2"/>
        <v>0</v>
      </c>
      <c r="G9" s="18">
        <f t="shared" si="2"/>
        <v>0</v>
      </c>
      <c r="H9" s="18">
        <f t="shared" si="2"/>
        <v>0</v>
      </c>
      <c r="I9" s="18">
        <f t="shared" si="2"/>
        <v>0</v>
      </c>
      <c r="J9" s="18">
        <f t="shared" si="2"/>
        <v>0</v>
      </c>
      <c r="K9" s="18">
        <f t="shared" si="2"/>
        <v>0</v>
      </c>
      <c r="L9" s="18">
        <f t="shared" si="2"/>
        <v>0</v>
      </c>
      <c r="M9" s="18">
        <f t="shared" si="2"/>
        <v>0</v>
      </c>
      <c r="N9" s="18">
        <f t="shared" si="2"/>
        <v>0</v>
      </c>
      <c r="O9" s="18">
        <f t="shared" si="2"/>
        <v>0</v>
      </c>
      <c r="P9" s="18">
        <f t="shared" si="2"/>
        <v>0</v>
      </c>
      <c r="Q9" s="18">
        <f t="shared" si="2"/>
        <v>0</v>
      </c>
      <c r="R9" s="18">
        <f t="shared" si="2"/>
        <v>0</v>
      </c>
      <c r="S9" s="18">
        <f t="shared" si="2"/>
        <v>0</v>
      </c>
      <c r="T9" s="18">
        <f t="shared" si="2"/>
        <v>0</v>
      </c>
      <c r="U9" s="18">
        <f t="shared" si="2"/>
        <v>0</v>
      </c>
      <c r="V9" s="18">
        <f t="shared" si="2"/>
        <v>0</v>
      </c>
      <c r="W9" s="18">
        <f t="shared" si="2"/>
        <v>0</v>
      </c>
      <c r="X9" s="18">
        <f t="shared" si="2"/>
        <v>0</v>
      </c>
      <c r="Y9" s="18">
        <f t="shared" si="2"/>
        <v>0</v>
      </c>
      <c r="Z9" s="18">
        <f t="shared" si="2"/>
        <v>0</v>
      </c>
      <c r="AA9" s="18">
        <f t="shared" si="2"/>
        <v>0</v>
      </c>
      <c r="AB9" s="18">
        <f t="shared" si="2"/>
        <v>0</v>
      </c>
      <c r="AC9" s="18">
        <f t="shared" si="2"/>
        <v>0</v>
      </c>
      <c r="AD9" s="18">
        <f t="shared" si="2"/>
        <v>0</v>
      </c>
      <c r="AE9" s="18">
        <f t="shared" si="2"/>
        <v>0</v>
      </c>
      <c r="AF9" s="18">
        <f t="shared" si="2"/>
        <v>0</v>
      </c>
      <c r="AG9" s="18">
        <f t="shared" si="2"/>
        <v>0</v>
      </c>
      <c r="AH9" s="18">
        <f t="shared" si="2"/>
        <v>0</v>
      </c>
      <c r="AI9" s="18">
        <f t="shared" si="2"/>
        <v>0</v>
      </c>
      <c r="AJ9" s="111">
        <f t="shared" si="2"/>
        <v>0</v>
      </c>
      <c r="AT9" t="s">
        <v>16</v>
      </c>
      <c r="AU9" s="54">
        <f t="shared" si="5"/>
        <v>0</v>
      </c>
      <c r="AV9" s="54">
        <f t="shared" si="5"/>
        <v>0</v>
      </c>
      <c r="AW9" s="54">
        <f t="shared" si="5"/>
        <v>0</v>
      </c>
      <c r="AX9" s="54">
        <f t="shared" si="5"/>
        <v>0</v>
      </c>
      <c r="AY9" s="54">
        <f t="shared" si="5"/>
        <v>0</v>
      </c>
      <c r="AZ9" s="54">
        <f t="shared" si="5"/>
        <v>0</v>
      </c>
      <c r="BA9" s="54">
        <f t="shared" si="5"/>
        <v>0</v>
      </c>
    </row>
    <row r="10" spans="1:53">
      <c r="A10" s="3" t="s">
        <v>4</v>
      </c>
      <c r="B10" t="s">
        <v>15</v>
      </c>
      <c r="C10" s="4" t="s">
        <v>53</v>
      </c>
      <c r="D10" s="42" t="s">
        <v>122</v>
      </c>
      <c r="E10" s="110">
        <f t="shared" si="2"/>
        <v>0</v>
      </c>
      <c r="F10" s="18">
        <f t="shared" si="2"/>
        <v>0</v>
      </c>
      <c r="G10" s="18">
        <f t="shared" si="2"/>
        <v>0</v>
      </c>
      <c r="H10" s="18">
        <f t="shared" si="2"/>
        <v>0</v>
      </c>
      <c r="I10" s="18">
        <f t="shared" si="2"/>
        <v>0</v>
      </c>
      <c r="J10" s="18">
        <f t="shared" si="2"/>
        <v>0</v>
      </c>
      <c r="K10" s="18">
        <f t="shared" si="2"/>
        <v>0</v>
      </c>
      <c r="L10" s="18">
        <f t="shared" si="2"/>
        <v>0</v>
      </c>
      <c r="M10" s="18">
        <f t="shared" si="2"/>
        <v>0</v>
      </c>
      <c r="N10" s="18">
        <f t="shared" si="2"/>
        <v>0</v>
      </c>
      <c r="O10" s="18">
        <f t="shared" si="2"/>
        <v>0</v>
      </c>
      <c r="P10" s="18">
        <f t="shared" si="2"/>
        <v>0</v>
      </c>
      <c r="Q10" s="18">
        <f t="shared" si="2"/>
        <v>0</v>
      </c>
      <c r="R10" s="18">
        <f t="shared" si="2"/>
        <v>0</v>
      </c>
      <c r="S10" s="18">
        <f t="shared" si="2"/>
        <v>0</v>
      </c>
      <c r="T10" s="18">
        <f t="shared" si="2"/>
        <v>0</v>
      </c>
      <c r="U10" s="18">
        <f t="shared" si="2"/>
        <v>0</v>
      </c>
      <c r="V10" s="18">
        <f t="shared" si="2"/>
        <v>0</v>
      </c>
      <c r="W10" s="18">
        <f t="shared" si="2"/>
        <v>0</v>
      </c>
      <c r="X10" s="18">
        <f t="shared" si="2"/>
        <v>0</v>
      </c>
      <c r="Y10" s="18">
        <f t="shared" si="2"/>
        <v>0</v>
      </c>
      <c r="Z10" s="18">
        <f t="shared" si="2"/>
        <v>0</v>
      </c>
      <c r="AA10" s="18">
        <f t="shared" si="2"/>
        <v>0</v>
      </c>
      <c r="AB10" s="18">
        <f t="shared" si="2"/>
        <v>0</v>
      </c>
      <c r="AC10" s="18">
        <f t="shared" si="2"/>
        <v>0</v>
      </c>
      <c r="AD10" s="18">
        <f t="shared" si="2"/>
        <v>0</v>
      </c>
      <c r="AE10" s="18">
        <f t="shared" si="2"/>
        <v>0</v>
      </c>
      <c r="AF10" s="18">
        <f t="shared" si="2"/>
        <v>0</v>
      </c>
      <c r="AG10" s="18">
        <f t="shared" si="2"/>
        <v>0</v>
      </c>
      <c r="AH10" s="18">
        <f t="shared" si="2"/>
        <v>0</v>
      </c>
      <c r="AI10" s="18">
        <f t="shared" si="2"/>
        <v>0</v>
      </c>
      <c r="AJ10" s="111">
        <f t="shared" ref="AJ10" si="6">SUM(AJ21,AJ32)</f>
        <v>0</v>
      </c>
    </row>
    <row r="11" spans="1:53">
      <c r="A11" s="3" t="s">
        <v>4</v>
      </c>
      <c r="B11" t="s">
        <v>16</v>
      </c>
      <c r="C11" s="4" t="s">
        <v>53</v>
      </c>
      <c r="D11" s="42" t="s">
        <v>122</v>
      </c>
      <c r="E11" s="110">
        <f t="shared" ref="E11:AJ12" si="7">SUM(E22,E33)</f>
        <v>0</v>
      </c>
      <c r="F11" s="18">
        <f t="shared" si="7"/>
        <v>0</v>
      </c>
      <c r="G11" s="18">
        <f t="shared" si="7"/>
        <v>0</v>
      </c>
      <c r="H11" s="18">
        <f t="shared" si="7"/>
        <v>0</v>
      </c>
      <c r="I11" s="18">
        <f t="shared" si="7"/>
        <v>0</v>
      </c>
      <c r="J11" s="18">
        <f t="shared" si="7"/>
        <v>0</v>
      </c>
      <c r="K11" s="18">
        <f t="shared" si="7"/>
        <v>0</v>
      </c>
      <c r="L11" s="18">
        <f t="shared" si="7"/>
        <v>0</v>
      </c>
      <c r="M11" s="18">
        <f t="shared" si="7"/>
        <v>0</v>
      </c>
      <c r="N11" s="18">
        <f t="shared" si="7"/>
        <v>0</v>
      </c>
      <c r="O11" s="18">
        <f t="shared" si="7"/>
        <v>0</v>
      </c>
      <c r="P11" s="18">
        <f t="shared" si="7"/>
        <v>0</v>
      </c>
      <c r="Q11" s="18">
        <f t="shared" si="7"/>
        <v>0</v>
      </c>
      <c r="R11" s="18">
        <f t="shared" si="7"/>
        <v>0</v>
      </c>
      <c r="S11" s="18">
        <f t="shared" si="7"/>
        <v>0</v>
      </c>
      <c r="T11" s="18">
        <f t="shared" si="7"/>
        <v>0</v>
      </c>
      <c r="U11" s="18">
        <f t="shared" si="7"/>
        <v>0</v>
      </c>
      <c r="V11" s="18">
        <f t="shared" si="7"/>
        <v>0</v>
      </c>
      <c r="W11" s="18">
        <f t="shared" si="7"/>
        <v>0</v>
      </c>
      <c r="X11" s="18">
        <f t="shared" si="7"/>
        <v>0</v>
      </c>
      <c r="Y11" s="18">
        <f t="shared" si="7"/>
        <v>0</v>
      </c>
      <c r="Z11" s="18">
        <f t="shared" si="7"/>
        <v>0</v>
      </c>
      <c r="AA11" s="18">
        <f t="shared" si="7"/>
        <v>0</v>
      </c>
      <c r="AB11" s="18">
        <f t="shared" si="7"/>
        <v>0</v>
      </c>
      <c r="AC11" s="18">
        <f t="shared" si="7"/>
        <v>0</v>
      </c>
      <c r="AD11" s="18">
        <f t="shared" si="7"/>
        <v>0</v>
      </c>
      <c r="AE11" s="18">
        <f t="shared" si="7"/>
        <v>0</v>
      </c>
      <c r="AF11" s="18">
        <f t="shared" si="7"/>
        <v>0</v>
      </c>
      <c r="AG11" s="18">
        <f t="shared" si="7"/>
        <v>0</v>
      </c>
      <c r="AH11" s="18">
        <f t="shared" si="7"/>
        <v>0</v>
      </c>
      <c r="AI11" s="18">
        <f t="shared" si="7"/>
        <v>0</v>
      </c>
      <c r="AJ11" s="111">
        <f t="shared" si="7"/>
        <v>0</v>
      </c>
    </row>
    <row r="12" spans="1:53" ht="17" thickBot="1">
      <c r="A12" s="31" t="s">
        <v>4</v>
      </c>
      <c r="B12" s="31" t="s">
        <v>17</v>
      </c>
      <c r="C12" s="32" t="s">
        <v>53</v>
      </c>
      <c r="D12" s="43" t="s">
        <v>122</v>
      </c>
      <c r="E12" s="112">
        <f t="shared" si="7"/>
        <v>0</v>
      </c>
      <c r="F12" s="113">
        <f t="shared" si="7"/>
        <v>0</v>
      </c>
      <c r="G12" s="113">
        <f t="shared" si="7"/>
        <v>0</v>
      </c>
      <c r="H12" s="113">
        <f t="shared" si="7"/>
        <v>0</v>
      </c>
      <c r="I12" s="113">
        <f t="shared" si="7"/>
        <v>0</v>
      </c>
      <c r="J12" s="113">
        <f t="shared" si="7"/>
        <v>0</v>
      </c>
      <c r="K12" s="113">
        <f t="shared" si="7"/>
        <v>0</v>
      </c>
      <c r="L12" s="113">
        <f t="shared" si="7"/>
        <v>0</v>
      </c>
      <c r="M12" s="113">
        <f t="shared" si="7"/>
        <v>0</v>
      </c>
      <c r="N12" s="113">
        <f t="shared" si="7"/>
        <v>0</v>
      </c>
      <c r="O12" s="113">
        <f t="shared" si="7"/>
        <v>0</v>
      </c>
      <c r="P12" s="113">
        <f t="shared" si="7"/>
        <v>0</v>
      </c>
      <c r="Q12" s="113">
        <f t="shared" si="7"/>
        <v>0</v>
      </c>
      <c r="R12" s="113">
        <f t="shared" si="7"/>
        <v>0</v>
      </c>
      <c r="S12" s="113">
        <f t="shared" si="7"/>
        <v>0</v>
      </c>
      <c r="T12" s="113">
        <f t="shared" si="7"/>
        <v>0</v>
      </c>
      <c r="U12" s="113">
        <f t="shared" si="7"/>
        <v>0</v>
      </c>
      <c r="V12" s="113">
        <f t="shared" si="7"/>
        <v>0</v>
      </c>
      <c r="W12" s="113">
        <f t="shared" si="7"/>
        <v>0</v>
      </c>
      <c r="X12" s="113">
        <f t="shared" si="7"/>
        <v>0</v>
      </c>
      <c r="Y12" s="113">
        <f t="shared" si="7"/>
        <v>0</v>
      </c>
      <c r="Z12" s="113">
        <f t="shared" si="7"/>
        <v>0</v>
      </c>
      <c r="AA12" s="113">
        <f t="shared" si="7"/>
        <v>0</v>
      </c>
      <c r="AB12" s="113">
        <f t="shared" si="7"/>
        <v>0</v>
      </c>
      <c r="AC12" s="113">
        <f t="shared" si="7"/>
        <v>0</v>
      </c>
      <c r="AD12" s="113">
        <f t="shared" si="7"/>
        <v>0</v>
      </c>
      <c r="AE12" s="113">
        <f t="shared" si="7"/>
        <v>0</v>
      </c>
      <c r="AF12" s="113">
        <f t="shared" si="7"/>
        <v>0</v>
      </c>
      <c r="AG12" s="113">
        <f t="shared" si="7"/>
        <v>0</v>
      </c>
      <c r="AH12" s="113">
        <f t="shared" si="7"/>
        <v>0</v>
      </c>
      <c r="AI12" s="113">
        <f t="shared" si="7"/>
        <v>0</v>
      </c>
      <c r="AJ12" s="114">
        <f t="shared" si="7"/>
        <v>0</v>
      </c>
      <c r="AS12" t="s">
        <v>132</v>
      </c>
      <c r="AT12" t="s">
        <v>53</v>
      </c>
      <c r="AU12" s="55">
        <f>SUM(AU2:AU9)</f>
        <v>14369.780260404465</v>
      </c>
      <c r="AV12" s="55">
        <f t="shared" ref="AV12:BA12" si="8">SUM(AV2:AV9)</f>
        <v>17371.934022967085</v>
      </c>
      <c r="AW12" s="55">
        <f t="shared" si="8"/>
        <v>20665.925645406005</v>
      </c>
      <c r="AX12" s="55">
        <f t="shared" si="8"/>
        <v>24219.27922615741</v>
      </c>
      <c r="AY12" s="55">
        <f t="shared" si="8"/>
        <v>28035.39041491333</v>
      </c>
      <c r="AZ12" s="55">
        <f t="shared" si="8"/>
        <v>32100.593686253873</v>
      </c>
      <c r="BA12" s="55">
        <f t="shared" si="8"/>
        <v>36364.562507471383</v>
      </c>
    </row>
    <row r="13" spans="1:53">
      <c r="A13" s="28" t="s">
        <v>18</v>
      </c>
      <c r="B13" s="28" t="s">
        <v>36</v>
      </c>
      <c r="C13" s="29" t="s">
        <v>53</v>
      </c>
      <c r="D13" s="44" t="s">
        <v>122</v>
      </c>
      <c r="E13" s="139">
        <f>BAU_Fuel_cons!N13*_xlfn.XLOOKUP($B13,efs!$A$74:$A$84,efs!$E$74:$E$84,0,0)</f>
        <v>6776.5098018586968</v>
      </c>
      <c r="F13" s="108">
        <f>BAU_Fuel_cons!O13*_xlfn.XLOOKUP($B13,efs!$A$74:$A$84,efs!$E$74:$E$84,0,0)</f>
        <v>6856.4676400279768</v>
      </c>
      <c r="G13" s="108">
        <f>BAU_Fuel_cons!P13*_xlfn.XLOOKUP($B13,efs!$A$74:$A$84,efs!$E$74:$E$84,0,0)</f>
        <v>6932.8392839994431</v>
      </c>
      <c r="H13" s="108">
        <f>BAU_Fuel_cons!Q13*_xlfn.XLOOKUP($B13,efs!$A$74:$A$84,efs!$E$74:$E$84,0,0)</f>
        <v>7005.4780052401056</v>
      </c>
      <c r="I13" s="108">
        <f>BAU_Fuel_cons!R13*_xlfn.XLOOKUP($B13,efs!$A$74:$A$84,efs!$E$74:$E$84,0,0)</f>
        <v>7074.3976010320957</v>
      </c>
      <c r="J13" s="108">
        <f>BAU_Fuel_cons!S13*_xlfn.XLOOKUP($B13,efs!$A$74:$A$84,efs!$E$74:$E$84,0,0)</f>
        <v>7139.6975799029215</v>
      </c>
      <c r="K13" s="108">
        <f>BAU_Fuel_cons!T13*_xlfn.XLOOKUP($B13,efs!$A$74:$A$84,efs!$E$74:$E$84,0,0)</f>
        <v>7116.4369993702776</v>
      </c>
      <c r="L13" s="108">
        <f>BAU_Fuel_cons!U13*_xlfn.XLOOKUP($B13,efs!$A$74:$A$84,efs!$E$74:$E$84,0,0)</f>
        <v>7085.4105623800233</v>
      </c>
      <c r="M13" s="108">
        <f>BAU_Fuel_cons!V13*_xlfn.XLOOKUP($B13,efs!$A$74:$A$84,efs!$E$74:$E$84,0,0)</f>
        <v>7046.166119129688</v>
      </c>
      <c r="N13" s="108">
        <f>BAU_Fuel_cons!W13*_xlfn.XLOOKUP($B13,efs!$A$74:$A$84,efs!$E$74:$E$84,0,0)</f>
        <v>6998.148668046254</v>
      </c>
      <c r="O13" s="108">
        <f>BAU_Fuel_cons!X13*_xlfn.XLOOKUP($B13,efs!$A$74:$A$84,efs!$E$74:$E$84,0,0)</f>
        <v>6940.7676157942933</v>
      </c>
      <c r="P13" s="108">
        <f>BAU_Fuel_cons!Y13*_xlfn.XLOOKUP($B13,efs!$A$74:$A$84,efs!$E$74:$E$84,0,0)</f>
        <v>6873.573785938328</v>
      </c>
      <c r="Q13" s="108">
        <f>BAU_Fuel_cons!Z13*_xlfn.XLOOKUP($B13,efs!$A$74:$A$84,efs!$E$74:$E$84,0,0)</f>
        <v>6796.3509584609164</v>
      </c>
      <c r="R13" s="108">
        <f>BAU_Fuel_cons!AA13*_xlfn.XLOOKUP($B13,efs!$A$74:$A$84,efs!$E$74:$E$84,0,0)</f>
        <v>6709.0385277808828</v>
      </c>
      <c r="S13" s="108">
        <f>BAU_Fuel_cons!AB13*_xlfn.XLOOKUP($B13,efs!$A$74:$A$84,efs!$E$74:$E$84,0,0)</f>
        <v>6611.5999496570212</v>
      </c>
      <c r="T13" s="108">
        <f>BAU_Fuel_cons!AC13*_xlfn.XLOOKUP($B13,efs!$A$74:$A$84,efs!$E$74:$E$84,0,0)</f>
        <v>6504.1127801347384</v>
      </c>
      <c r="U13" s="108">
        <f>BAU_Fuel_cons!AD13*_xlfn.XLOOKUP($B13,efs!$A$74:$A$84,efs!$E$74:$E$84,0,0)</f>
        <v>6387.4224788392648</v>
      </c>
      <c r="V13" s="108">
        <f>BAU_Fuel_cons!AE13*_xlfn.XLOOKUP($B13,efs!$A$74:$A$84,efs!$E$74:$E$84,0,0)</f>
        <v>6261.5927148486599</v>
      </c>
      <c r="W13" s="108">
        <f>BAU_Fuel_cons!AF13*_xlfn.XLOOKUP($B13,efs!$A$74:$A$84,efs!$E$74:$E$84,0,0)</f>
        <v>6126.5849456912147</v>
      </c>
      <c r="X13" s="108">
        <f>BAU_Fuel_cons!AG13*_xlfn.XLOOKUP($B13,efs!$A$74:$A$84,efs!$E$74:$E$84,0,0)</f>
        <v>5982.4184583937777</v>
      </c>
      <c r="Y13" s="108">
        <f>BAU_Fuel_cons!AH13*_xlfn.XLOOKUP($B13,efs!$A$74:$A$84,efs!$E$74:$E$84,0,0)</f>
        <v>5829.1281680673019</v>
      </c>
      <c r="Z13" s="108">
        <f>BAU_Fuel_cons!AI13*_xlfn.XLOOKUP($B13,efs!$A$74:$A$84,efs!$E$74:$E$84,0,0)</f>
        <v>5666.7756104679738</v>
      </c>
      <c r="AA13" s="108">
        <f>BAU_Fuel_cons!AJ13*_xlfn.XLOOKUP($B13,efs!$A$74:$A$84,efs!$E$74:$E$84,0,0)</f>
        <v>5495.4325556140184</v>
      </c>
      <c r="AB13" s="108">
        <f>BAU_Fuel_cons!AK13*_xlfn.XLOOKUP($B13,efs!$A$74:$A$84,efs!$E$74:$E$84,0,0)</f>
        <v>5315.1861120955909</v>
      </c>
      <c r="AC13" s="108">
        <f>BAU_Fuel_cons!AL13*_xlfn.XLOOKUP($B13,efs!$A$74:$A$84,efs!$E$74:$E$84,0,0)</f>
        <v>5126.1305617938915</v>
      </c>
      <c r="AD13" s="108">
        <f>BAU_Fuel_cons!AM13*_xlfn.XLOOKUP($B13,efs!$A$74:$A$84,efs!$E$74:$E$84,0,0)</f>
        <v>4928.3773589116063</v>
      </c>
      <c r="AE13" s="108">
        <f>BAU_Fuel_cons!AN13*_xlfn.XLOOKUP($B13,efs!$A$74:$A$84,efs!$E$74:$E$84,0,0)</f>
        <v>4722.0787593871819</v>
      </c>
      <c r="AF13" s="108">
        <f>BAU_Fuel_cons!AO13*_xlfn.XLOOKUP($B13,efs!$A$74:$A$84,efs!$E$74:$E$84,0,0)</f>
        <v>4507.4137991567932</v>
      </c>
      <c r="AG13" s="108">
        <f>BAU_Fuel_cons!AP13*_xlfn.XLOOKUP($B13,efs!$A$74:$A$84,efs!$E$74:$E$84,0,0)</f>
        <v>4284.6004615919601</v>
      </c>
      <c r="AH13" s="108">
        <f>BAU_Fuel_cons!AQ13*_xlfn.XLOOKUP($B13,efs!$A$74:$A$84,efs!$E$74:$E$84,0,0)</f>
        <v>4053.8863042167714</v>
      </c>
      <c r="AI13" s="108">
        <f>BAU_Fuel_cons!AR13*_xlfn.XLOOKUP($B13,efs!$A$74:$A$84,efs!$E$74:$E$84,0,0)</f>
        <v>3815.5407888054569</v>
      </c>
      <c r="AJ13" s="109">
        <f>BAU_Fuel_cons!AS13*_xlfn.XLOOKUP($B13,efs!$A$74:$A$84,efs!$E$74:$E$84,0,0)</f>
        <v>3569.8392949953632</v>
      </c>
      <c r="AT13" t="s">
        <v>68</v>
      </c>
      <c r="AU13" s="55">
        <f>SUM(NICCS_emissions!AU2:AU9)</f>
        <v>14369.780260404465</v>
      </c>
      <c r="AV13" s="55">
        <f>SUM(NICCS_emissions!AV2:AV9)</f>
        <v>17371.934022967085</v>
      </c>
      <c r="AW13" s="55">
        <f>SUM(NICCS_emissions!AW2:AW9)</f>
        <v>15897.029918172531</v>
      </c>
      <c r="AX13" s="55">
        <f>SUM(NICCS_emissions!AX2:AX9)</f>
        <v>13215.054498730029</v>
      </c>
      <c r="AY13" s="55">
        <f>SUM(NICCS_emissions!AY2:AY9)</f>
        <v>9196.9373483161471</v>
      </c>
      <c r="AZ13" s="55">
        <f>SUM(NICCS_emissions!AZ2:AZ9)</f>
        <v>10141.898023822734</v>
      </c>
      <c r="BA13" s="55">
        <f>SUM(NICCS_emissions!BA2:BA9)</f>
        <v>11073.271149870785</v>
      </c>
    </row>
    <row r="14" spans="1:53">
      <c r="A14" s="3" t="s">
        <v>18</v>
      </c>
      <c r="B14" s="3" t="s">
        <v>8</v>
      </c>
      <c r="C14" s="4" t="s">
        <v>53</v>
      </c>
      <c r="D14" s="42" t="s">
        <v>122</v>
      </c>
      <c r="E14" s="110">
        <f>BAU_Fuel_cons!N14*_xlfn.XLOOKUP($B14,efs!$A$74:$A$84,efs!$E$74:$E$84,0,0)</f>
        <v>1253.4480295279457</v>
      </c>
      <c r="F14" s="18">
        <f>BAU_Fuel_cons!O14*_xlfn.XLOOKUP($B14,efs!$A$74:$A$84,efs!$E$74:$E$84,0,0)</f>
        <v>1418.7774154461667</v>
      </c>
      <c r="G14" s="18">
        <f>BAU_Fuel_cons!P14*_xlfn.XLOOKUP($B14,efs!$A$74:$A$84,efs!$E$74:$E$84,0,0)</f>
        <v>1590.9800380989548</v>
      </c>
      <c r="H14" s="18">
        <f>BAU_Fuel_cons!Q14*_xlfn.XLOOKUP($B14,efs!$A$74:$A$84,efs!$E$74:$E$84,0,0)</f>
        <v>1770.0910174271226</v>
      </c>
      <c r="I14" s="18">
        <f>BAU_Fuel_cons!R14*_xlfn.XLOOKUP($B14,efs!$A$74:$A$84,efs!$E$74:$E$84,0,0)</f>
        <v>1956.179947405544</v>
      </c>
      <c r="J14" s="18">
        <f>BAU_Fuel_cons!S14*_xlfn.XLOOKUP($B14,efs!$A$74:$A$84,efs!$E$74:$E$84,0,0)</f>
        <v>2149.3473489476933</v>
      </c>
      <c r="K14" s="18">
        <f>BAU_Fuel_cons!T14*_xlfn.XLOOKUP($B14,efs!$A$74:$A$84,efs!$E$74:$E$84,0,0)</f>
        <v>2457.6357754503401</v>
      </c>
      <c r="L14" s="18">
        <f>BAU_Fuel_cons!U14*_xlfn.XLOOKUP($B14,efs!$A$74:$A$84,efs!$E$74:$E$84,0,0)</f>
        <v>2778.0215522923581</v>
      </c>
      <c r="M14" s="18">
        <f>BAU_Fuel_cons!V14*_xlfn.XLOOKUP($B14,efs!$A$74:$A$84,efs!$E$74:$E$84,0,0)</f>
        <v>3110.4334759618955</v>
      </c>
      <c r="N14" s="18">
        <f>BAU_Fuel_cons!W14*_xlfn.XLOOKUP($B14,efs!$A$74:$A$84,efs!$E$74:$E$84,0,0)</f>
        <v>3454.6699981811448</v>
      </c>
      <c r="O14" s="18">
        <f>BAU_Fuel_cons!X14*_xlfn.XLOOKUP($B14,efs!$A$74:$A$84,efs!$E$74:$E$84,0,0)</f>
        <v>3810.3958314696124</v>
      </c>
      <c r="P14" s="18">
        <f>BAU_Fuel_cons!Y14*_xlfn.XLOOKUP($B14,efs!$A$74:$A$84,efs!$E$74:$E$84,0,0)</f>
        <v>4177.221518600034</v>
      </c>
      <c r="Q14" s="18">
        <f>BAU_Fuel_cons!Z14*_xlfn.XLOOKUP($B14,efs!$A$74:$A$84,efs!$E$74:$E$84,0,0)</f>
        <v>4554.7867293337695</v>
      </c>
      <c r="R14" s="18">
        <f>BAU_Fuel_cons!AA14*_xlfn.XLOOKUP($B14,efs!$A$74:$A$84,efs!$E$74:$E$84,0,0)</f>
        <v>4942.7600015480839</v>
      </c>
      <c r="S14" s="18">
        <f>BAU_Fuel_cons!AB14*_xlfn.XLOOKUP($B14,efs!$A$74:$A$84,efs!$E$74:$E$84,0,0)</f>
        <v>5340.7732401004887</v>
      </c>
      <c r="T14" s="18">
        <f>BAU_Fuel_cons!AC14*_xlfn.XLOOKUP($B14,efs!$A$74:$A$84,efs!$E$74:$E$84,0,0)</f>
        <v>5748.5006186263217</v>
      </c>
      <c r="U14" s="18">
        <f>BAU_Fuel_cons!AD14*_xlfn.XLOOKUP($B14,efs!$A$74:$A$84,efs!$E$74:$E$84,0,0)</f>
        <v>6166.3256453305303</v>
      </c>
      <c r="V14" s="18">
        <f>BAU_Fuel_cons!AE14*_xlfn.XLOOKUP($B14,efs!$A$74:$A$84,efs!$E$74:$E$84,0,0)</f>
        <v>6594.0399176642495</v>
      </c>
      <c r="W14" s="18">
        <f>BAU_Fuel_cons!AF14*_xlfn.XLOOKUP($B14,efs!$A$74:$A$84,efs!$E$74:$E$84,0,0)</f>
        <v>7031.2986654884535</v>
      </c>
      <c r="X14" s="18">
        <f>BAU_Fuel_cons!AG14*_xlfn.XLOOKUP($B14,efs!$A$74:$A$84,efs!$E$74:$E$84,0,0)</f>
        <v>7477.7646363352478</v>
      </c>
      <c r="Y14" s="18">
        <f>BAU_Fuel_cons!AH14*_xlfn.XLOOKUP($B14,efs!$A$74:$A$84,efs!$E$74:$E$84,0,0)</f>
        <v>7933.0689916079373</v>
      </c>
      <c r="Z14" s="18">
        <f>BAU_Fuel_cons!AI14*_xlfn.XLOOKUP($B14,efs!$A$74:$A$84,efs!$E$74:$E$84,0,0)</f>
        <v>8396.8253092334289</v>
      </c>
      <c r="AA14" s="18">
        <f>BAU_Fuel_cons!AJ14*_xlfn.XLOOKUP($B14,efs!$A$74:$A$84,efs!$E$74:$E$84,0,0)</f>
        <v>8868.6074743507525</v>
      </c>
      <c r="AB14" s="18">
        <f>BAU_Fuel_cons!AK14*_xlfn.XLOOKUP($B14,efs!$A$74:$A$84,efs!$E$74:$E$84,0,0)</f>
        <v>9347.9523855157895</v>
      </c>
      <c r="AC14" s="18">
        <f>BAU_Fuel_cons!AL14*_xlfn.XLOOKUP($B14,efs!$A$74:$A$84,efs!$E$74:$E$84,0,0)</f>
        <v>9834.3401699087626</v>
      </c>
      <c r="AD14" s="18">
        <f>BAU_Fuel_cons!AM14*_xlfn.XLOOKUP($B14,efs!$A$74:$A$84,efs!$E$74:$E$84,0,0)</f>
        <v>10327.202456633897</v>
      </c>
      <c r="AE14" s="18">
        <f>BAU_Fuel_cons!AN14*_xlfn.XLOOKUP($B14,efs!$A$74:$A$84,efs!$E$74:$E$84,0,0)</f>
        <v>10825.969390029202</v>
      </c>
      <c r="AF14" s="18">
        <f>BAU_Fuel_cons!AO14*_xlfn.XLOOKUP($B14,efs!$A$74:$A$84,efs!$E$74:$E$84,0,0)</f>
        <v>11330.05073848513</v>
      </c>
      <c r="AG14" s="18">
        <f>BAU_Fuel_cons!AP14*_xlfn.XLOOKUP($B14,efs!$A$74:$A$84,efs!$E$74:$E$84,0,0)</f>
        <v>11838.874695301407</v>
      </c>
      <c r="AH14" s="18">
        <f>BAU_Fuel_cons!AQ14*_xlfn.XLOOKUP($B14,efs!$A$74:$A$84,efs!$E$74:$E$84,0,0)</f>
        <v>12351.883904051532</v>
      </c>
      <c r="AI14" s="18">
        <f>BAU_Fuel_cons!AR14*_xlfn.XLOOKUP($B14,efs!$A$74:$A$84,efs!$E$74:$E$84,0,0)</f>
        <v>12868.529807924073</v>
      </c>
      <c r="AJ14" s="111">
        <f>BAU_Fuel_cons!AS14*_xlfn.XLOOKUP($B14,efs!$A$74:$A$84,efs!$E$74:$E$84,0,0)</f>
        <v>13388.2281043684</v>
      </c>
    </row>
    <row r="15" spans="1:53">
      <c r="A15" s="3" t="s">
        <v>18</v>
      </c>
      <c r="B15" t="s">
        <v>37</v>
      </c>
      <c r="C15" s="4" t="s">
        <v>53</v>
      </c>
      <c r="D15" s="42" t="s">
        <v>122</v>
      </c>
      <c r="E15" s="110">
        <f>BAU_Fuel_cons!N15*_xlfn.XLOOKUP($B15,efs!$A$74:$A$84,efs!$E$74:$E$84,0,0)</f>
        <v>0</v>
      </c>
      <c r="F15" s="18">
        <f>BAU_Fuel_cons!O15*_xlfn.XLOOKUP($B15,efs!$A$74:$A$84,efs!$E$74:$E$84,0,0)</f>
        <v>0</v>
      </c>
      <c r="G15" s="18">
        <f>BAU_Fuel_cons!P15*_xlfn.XLOOKUP($B15,efs!$A$74:$A$84,efs!$E$74:$E$84,0,0)</f>
        <v>0</v>
      </c>
      <c r="H15" s="18">
        <f>BAU_Fuel_cons!Q15*_xlfn.XLOOKUP($B15,efs!$A$74:$A$84,efs!$E$74:$E$84,0,0)</f>
        <v>0</v>
      </c>
      <c r="I15" s="18">
        <f>BAU_Fuel_cons!R15*_xlfn.XLOOKUP($B15,efs!$A$74:$A$84,efs!$E$74:$E$84,0,0)</f>
        <v>0</v>
      </c>
      <c r="J15" s="18">
        <f>BAU_Fuel_cons!S15*_xlfn.XLOOKUP($B15,efs!$A$74:$A$84,efs!$E$74:$E$84,0,0)</f>
        <v>0</v>
      </c>
      <c r="K15" s="18">
        <f>BAU_Fuel_cons!T15*_xlfn.XLOOKUP($B15,efs!$A$74:$A$84,efs!$E$74:$E$84,0,0)</f>
        <v>0</v>
      </c>
      <c r="L15" s="18">
        <f>BAU_Fuel_cons!U15*_xlfn.XLOOKUP($B15,efs!$A$74:$A$84,efs!$E$74:$E$84,0,0)</f>
        <v>0</v>
      </c>
      <c r="M15" s="18">
        <f>BAU_Fuel_cons!V15*_xlfn.XLOOKUP($B15,efs!$A$74:$A$84,efs!$E$74:$E$84,0,0)</f>
        <v>0</v>
      </c>
      <c r="N15" s="18">
        <f>BAU_Fuel_cons!W15*_xlfn.XLOOKUP($B15,efs!$A$74:$A$84,efs!$E$74:$E$84,0,0)</f>
        <v>0</v>
      </c>
      <c r="O15" s="18">
        <f>BAU_Fuel_cons!X15*_xlfn.XLOOKUP($B15,efs!$A$74:$A$84,efs!$E$74:$E$84,0,0)</f>
        <v>0</v>
      </c>
      <c r="P15" s="18">
        <f>BAU_Fuel_cons!Y15*_xlfn.XLOOKUP($B15,efs!$A$74:$A$84,efs!$E$74:$E$84,0,0)</f>
        <v>0</v>
      </c>
      <c r="Q15" s="18">
        <f>BAU_Fuel_cons!Z15*_xlfn.XLOOKUP($B15,efs!$A$74:$A$84,efs!$E$74:$E$84,0,0)</f>
        <v>0</v>
      </c>
      <c r="R15" s="18">
        <f>BAU_Fuel_cons!AA15*_xlfn.XLOOKUP($B15,efs!$A$74:$A$84,efs!$E$74:$E$84,0,0)</f>
        <v>0</v>
      </c>
      <c r="S15" s="18">
        <f>BAU_Fuel_cons!AB15*_xlfn.XLOOKUP($B15,efs!$A$74:$A$84,efs!$E$74:$E$84,0,0)</f>
        <v>0</v>
      </c>
      <c r="T15" s="18">
        <f>BAU_Fuel_cons!AC15*_xlfn.XLOOKUP($B15,efs!$A$74:$A$84,efs!$E$74:$E$84,0,0)</f>
        <v>0</v>
      </c>
      <c r="U15" s="18">
        <f>BAU_Fuel_cons!AD15*_xlfn.XLOOKUP($B15,efs!$A$74:$A$84,efs!$E$74:$E$84,0,0)</f>
        <v>0</v>
      </c>
      <c r="V15" s="18">
        <f>BAU_Fuel_cons!AE15*_xlfn.XLOOKUP($B15,efs!$A$74:$A$84,efs!$E$74:$E$84,0,0)</f>
        <v>0</v>
      </c>
      <c r="W15" s="18">
        <f>BAU_Fuel_cons!AF15*_xlfn.XLOOKUP($B15,efs!$A$74:$A$84,efs!$E$74:$E$84,0,0)</f>
        <v>0</v>
      </c>
      <c r="X15" s="18">
        <f>BAU_Fuel_cons!AG15*_xlfn.XLOOKUP($B15,efs!$A$74:$A$84,efs!$E$74:$E$84,0,0)</f>
        <v>0</v>
      </c>
      <c r="Y15" s="18">
        <f>BAU_Fuel_cons!AH15*_xlfn.XLOOKUP($B15,efs!$A$74:$A$84,efs!$E$74:$E$84,0,0)</f>
        <v>0</v>
      </c>
      <c r="Z15" s="18">
        <f>BAU_Fuel_cons!AI15*_xlfn.XLOOKUP($B15,efs!$A$74:$A$84,efs!$E$74:$E$84,0,0)</f>
        <v>0</v>
      </c>
      <c r="AA15" s="18">
        <f>BAU_Fuel_cons!AJ15*_xlfn.XLOOKUP($B15,efs!$A$74:$A$84,efs!$E$74:$E$84,0,0)</f>
        <v>0</v>
      </c>
      <c r="AB15" s="18">
        <f>BAU_Fuel_cons!AK15*_xlfn.XLOOKUP($B15,efs!$A$74:$A$84,efs!$E$74:$E$84,0,0)</f>
        <v>0</v>
      </c>
      <c r="AC15" s="18">
        <f>BAU_Fuel_cons!AL15*_xlfn.XLOOKUP($B15,efs!$A$74:$A$84,efs!$E$74:$E$84,0,0)</f>
        <v>0</v>
      </c>
      <c r="AD15" s="18">
        <f>BAU_Fuel_cons!AM15*_xlfn.XLOOKUP($B15,efs!$A$74:$A$84,efs!$E$74:$E$84,0,0)</f>
        <v>0</v>
      </c>
      <c r="AE15" s="18">
        <f>BAU_Fuel_cons!AN15*_xlfn.XLOOKUP($B15,efs!$A$74:$A$84,efs!$E$74:$E$84,0,0)</f>
        <v>0</v>
      </c>
      <c r="AF15" s="18">
        <f>BAU_Fuel_cons!AO15*_xlfn.XLOOKUP($B15,efs!$A$74:$A$84,efs!$E$74:$E$84,0,0)</f>
        <v>0</v>
      </c>
      <c r="AG15" s="18">
        <f>BAU_Fuel_cons!AP15*_xlfn.XLOOKUP($B15,efs!$A$74:$A$84,efs!$E$74:$E$84,0,0)</f>
        <v>0</v>
      </c>
      <c r="AH15" s="18">
        <f>BAU_Fuel_cons!AQ15*_xlfn.XLOOKUP($B15,efs!$A$74:$A$84,efs!$E$74:$E$84,0,0)</f>
        <v>0</v>
      </c>
      <c r="AI15" s="18">
        <f>BAU_Fuel_cons!AR15*_xlfn.XLOOKUP($B15,efs!$A$74:$A$84,efs!$E$74:$E$84,0,0)</f>
        <v>0</v>
      </c>
      <c r="AJ15" s="111">
        <f>BAU_Fuel_cons!AS15*_xlfn.XLOOKUP($B15,efs!$A$74:$A$84,efs!$E$74:$E$84,0,0)</f>
        <v>0</v>
      </c>
      <c r="AU15" s="21">
        <f>(AU13-AU12)/AU12</f>
        <v>0</v>
      </c>
      <c r="AV15" s="21">
        <f t="shared" ref="AV15:BA15" si="9">(AV13-AV12)/AV12</f>
        <v>0</v>
      </c>
      <c r="AW15" s="21">
        <f t="shared" si="9"/>
        <v>-0.23076129320602631</v>
      </c>
      <c r="AX15" s="21">
        <f t="shared" si="9"/>
        <v>-0.45435806014997138</v>
      </c>
      <c r="AY15" s="21">
        <f t="shared" si="9"/>
        <v>-0.67195258520730761</v>
      </c>
      <c r="AZ15" s="21">
        <f t="shared" si="9"/>
        <v>-0.68405886436406627</v>
      </c>
      <c r="BA15" s="21">
        <f t="shared" si="9"/>
        <v>-0.69549279885889737</v>
      </c>
    </row>
    <row r="16" spans="1:53">
      <c r="A16" s="3" t="s">
        <v>18</v>
      </c>
      <c r="B16" t="s">
        <v>10</v>
      </c>
      <c r="C16" s="4" t="s">
        <v>53</v>
      </c>
      <c r="D16" s="42" t="s">
        <v>122</v>
      </c>
      <c r="E16" s="110">
        <f>BAU_Fuel_cons!N16*_xlfn.XLOOKUP($B16,efs!$A$74:$A$84,efs!$E$74:$E$84,0,0)</f>
        <v>0</v>
      </c>
      <c r="F16" s="18">
        <f>BAU_Fuel_cons!O16*_xlfn.XLOOKUP($B16,efs!$A$74:$A$84,efs!$E$74:$E$84,0,0)</f>
        <v>0</v>
      </c>
      <c r="G16" s="18">
        <f>BAU_Fuel_cons!P16*_xlfn.XLOOKUP($B16,efs!$A$74:$A$84,efs!$E$74:$E$84,0,0)</f>
        <v>0</v>
      </c>
      <c r="H16" s="18">
        <f>BAU_Fuel_cons!Q16*_xlfn.XLOOKUP($B16,efs!$A$74:$A$84,efs!$E$74:$E$84,0,0)</f>
        <v>0</v>
      </c>
      <c r="I16" s="18">
        <f>BAU_Fuel_cons!R16*_xlfn.XLOOKUP($B16,efs!$A$74:$A$84,efs!$E$74:$E$84,0,0)</f>
        <v>0</v>
      </c>
      <c r="J16" s="18">
        <f>BAU_Fuel_cons!S16*_xlfn.XLOOKUP($B16,efs!$A$74:$A$84,efs!$E$74:$E$84,0,0)</f>
        <v>0</v>
      </c>
      <c r="K16" s="18">
        <f>BAU_Fuel_cons!T16*_xlfn.XLOOKUP($B16,efs!$A$74:$A$84,efs!$E$74:$E$84,0,0)</f>
        <v>0</v>
      </c>
      <c r="L16" s="18">
        <f>BAU_Fuel_cons!U16*_xlfn.XLOOKUP($B16,efs!$A$74:$A$84,efs!$E$74:$E$84,0,0)</f>
        <v>0</v>
      </c>
      <c r="M16" s="18">
        <f>BAU_Fuel_cons!V16*_xlfn.XLOOKUP($B16,efs!$A$74:$A$84,efs!$E$74:$E$84,0,0)</f>
        <v>0</v>
      </c>
      <c r="N16" s="18">
        <f>BAU_Fuel_cons!W16*_xlfn.XLOOKUP($B16,efs!$A$74:$A$84,efs!$E$74:$E$84,0,0)</f>
        <v>0</v>
      </c>
      <c r="O16" s="18">
        <f>BAU_Fuel_cons!X16*_xlfn.XLOOKUP($B16,efs!$A$74:$A$84,efs!$E$74:$E$84,0,0)</f>
        <v>0</v>
      </c>
      <c r="P16" s="18">
        <f>BAU_Fuel_cons!Y16*_xlfn.XLOOKUP($B16,efs!$A$74:$A$84,efs!$E$74:$E$84,0,0)</f>
        <v>0</v>
      </c>
      <c r="Q16" s="18">
        <f>BAU_Fuel_cons!Z16*_xlfn.XLOOKUP($B16,efs!$A$74:$A$84,efs!$E$74:$E$84,0,0)</f>
        <v>0</v>
      </c>
      <c r="R16" s="18">
        <f>BAU_Fuel_cons!AA16*_xlfn.XLOOKUP($B16,efs!$A$74:$A$84,efs!$E$74:$E$84,0,0)</f>
        <v>0</v>
      </c>
      <c r="S16" s="18">
        <f>BAU_Fuel_cons!AB16*_xlfn.XLOOKUP($B16,efs!$A$74:$A$84,efs!$E$74:$E$84,0,0)</f>
        <v>0</v>
      </c>
      <c r="T16" s="18">
        <f>BAU_Fuel_cons!AC16*_xlfn.XLOOKUP($B16,efs!$A$74:$A$84,efs!$E$74:$E$84,0,0)</f>
        <v>0</v>
      </c>
      <c r="U16" s="18">
        <f>BAU_Fuel_cons!AD16*_xlfn.XLOOKUP($B16,efs!$A$74:$A$84,efs!$E$74:$E$84,0,0)</f>
        <v>0</v>
      </c>
      <c r="V16" s="18">
        <f>BAU_Fuel_cons!AE16*_xlfn.XLOOKUP($B16,efs!$A$74:$A$84,efs!$E$74:$E$84,0,0)</f>
        <v>0</v>
      </c>
      <c r="W16" s="18">
        <f>BAU_Fuel_cons!AF16*_xlfn.XLOOKUP($B16,efs!$A$74:$A$84,efs!$E$74:$E$84,0,0)</f>
        <v>0</v>
      </c>
      <c r="X16" s="18">
        <f>BAU_Fuel_cons!AG16*_xlfn.XLOOKUP($B16,efs!$A$74:$A$84,efs!$E$74:$E$84,0,0)</f>
        <v>0</v>
      </c>
      <c r="Y16" s="18">
        <f>BAU_Fuel_cons!AH16*_xlfn.XLOOKUP($B16,efs!$A$74:$A$84,efs!$E$74:$E$84,0,0)</f>
        <v>0</v>
      </c>
      <c r="Z16" s="18">
        <f>BAU_Fuel_cons!AI16*_xlfn.XLOOKUP($B16,efs!$A$74:$A$84,efs!$E$74:$E$84,0,0)</f>
        <v>0</v>
      </c>
      <c r="AA16" s="18">
        <f>BAU_Fuel_cons!AJ16*_xlfn.XLOOKUP($B16,efs!$A$74:$A$84,efs!$E$74:$E$84,0,0)</f>
        <v>0</v>
      </c>
      <c r="AB16" s="18">
        <f>BAU_Fuel_cons!AK16*_xlfn.XLOOKUP($B16,efs!$A$74:$A$84,efs!$E$74:$E$84,0,0)</f>
        <v>0</v>
      </c>
      <c r="AC16" s="18">
        <f>BAU_Fuel_cons!AL16*_xlfn.XLOOKUP($B16,efs!$A$74:$A$84,efs!$E$74:$E$84,0,0)</f>
        <v>0</v>
      </c>
      <c r="AD16" s="18">
        <f>BAU_Fuel_cons!AM16*_xlfn.XLOOKUP($B16,efs!$A$74:$A$84,efs!$E$74:$E$84,0,0)</f>
        <v>0</v>
      </c>
      <c r="AE16" s="18">
        <f>BAU_Fuel_cons!AN16*_xlfn.XLOOKUP($B16,efs!$A$74:$A$84,efs!$E$74:$E$84,0,0)</f>
        <v>0</v>
      </c>
      <c r="AF16" s="18">
        <f>BAU_Fuel_cons!AO16*_xlfn.XLOOKUP($B16,efs!$A$74:$A$84,efs!$E$74:$E$84,0,0)</f>
        <v>0</v>
      </c>
      <c r="AG16" s="18">
        <f>BAU_Fuel_cons!AP16*_xlfn.XLOOKUP($B16,efs!$A$74:$A$84,efs!$E$74:$E$84,0,0)</f>
        <v>0</v>
      </c>
      <c r="AH16" s="18">
        <f>BAU_Fuel_cons!AQ16*_xlfn.XLOOKUP($B16,efs!$A$74:$A$84,efs!$E$74:$E$84,0,0)</f>
        <v>0</v>
      </c>
      <c r="AI16" s="18">
        <f>BAU_Fuel_cons!AR16*_xlfn.XLOOKUP($B16,efs!$A$74:$A$84,efs!$E$74:$E$84,0,0)</f>
        <v>0</v>
      </c>
      <c r="AJ16" s="111">
        <f>BAU_Fuel_cons!AS16*_xlfn.XLOOKUP($B16,efs!$A$74:$A$84,efs!$E$74:$E$84,0,0)</f>
        <v>0</v>
      </c>
    </row>
    <row r="17" spans="1:36">
      <c r="A17" s="3" t="s">
        <v>18</v>
      </c>
      <c r="B17" t="s">
        <v>11</v>
      </c>
      <c r="C17" s="4" t="s">
        <v>53</v>
      </c>
      <c r="D17" s="42" t="s">
        <v>122</v>
      </c>
      <c r="E17" s="110">
        <f>BAU_Fuel_cons!N17*_xlfn.XLOOKUP($B17,efs!$A$74:$A$84,efs!$E$74:$E$84,0,0)</f>
        <v>0.36098765805607491</v>
      </c>
      <c r="F17" s="18">
        <f>BAU_Fuel_cons!O17*_xlfn.XLOOKUP($B17,efs!$A$74:$A$84,efs!$E$74:$E$84,0,0)</f>
        <v>0.35681825283273932</v>
      </c>
      <c r="G17" s="18">
        <f>BAU_Fuel_cons!P17*_xlfn.XLOOKUP($B17,efs!$A$74:$A$84,efs!$E$74:$E$84,0,0)</f>
        <v>0.35203583265589455</v>
      </c>
      <c r="H17" s="18">
        <f>BAU_Fuel_cons!Q17*_xlfn.XLOOKUP($B17,efs!$A$74:$A$84,efs!$E$74:$E$84,0,0)</f>
        <v>0.34662909524694491</v>
      </c>
      <c r="I17" s="18">
        <f>BAU_Fuel_cons!R17*_xlfn.XLOOKUP($B17,efs!$A$74:$A$84,efs!$E$74:$E$84,0,0)</f>
        <v>0.34059502188118984</v>
      </c>
      <c r="J17" s="18">
        <f>BAU_Fuel_cons!S17*_xlfn.XLOOKUP($B17,efs!$A$74:$A$84,efs!$E$74:$E$84,0,0)</f>
        <v>0.33393431576613258</v>
      </c>
      <c r="K17" s="18">
        <f>BAU_Fuel_cons!T17*_xlfn.XLOOKUP($B17,efs!$A$74:$A$84,efs!$E$74:$E$84,0,0)</f>
        <v>0.32857117116165074</v>
      </c>
      <c r="L17" s="18">
        <f>BAU_Fuel_cons!U17*_xlfn.XLOOKUP($B17,efs!$A$74:$A$84,efs!$E$74:$E$84,0,0)</f>
        <v>0.32264907058102743</v>
      </c>
      <c r="M17" s="18">
        <f>BAU_Fuel_cons!V17*_xlfn.XLOOKUP($B17,efs!$A$74:$A$84,efs!$E$74:$E$84,0,0)</f>
        <v>0.31614598611676803</v>
      </c>
      <c r="N17" s="18">
        <f>BAU_Fuel_cons!W17*_xlfn.XLOOKUP($B17,efs!$A$74:$A$84,efs!$E$74:$E$84,0,0)</f>
        <v>0.30903642691022676</v>
      </c>
      <c r="O17" s="18">
        <f>BAU_Fuel_cons!X17*_xlfn.XLOOKUP($B17,efs!$A$74:$A$84,efs!$E$74:$E$84,0,0)</f>
        <v>0.30129490558521033</v>
      </c>
      <c r="P17" s="18">
        <f>BAU_Fuel_cons!Y17*_xlfn.XLOOKUP($B17,efs!$A$74:$A$84,efs!$E$74:$E$84,0,0)</f>
        <v>0.29290386082829795</v>
      </c>
      <c r="Q17" s="18">
        <f>BAU_Fuel_cons!Z17*_xlfn.XLOOKUP($B17,efs!$A$74:$A$84,efs!$E$74:$E$84,0,0)</f>
        <v>0.28385718302414376</v>
      </c>
      <c r="R17" s="18">
        <f>BAU_Fuel_cons!AA17*_xlfn.XLOOKUP($B17,efs!$A$74:$A$84,efs!$E$74:$E$84,0,0)</f>
        <v>0.27415628465563879</v>
      </c>
      <c r="S17" s="18">
        <f>BAU_Fuel_cons!AB17*_xlfn.XLOOKUP($B17,efs!$A$74:$A$84,efs!$E$74:$E$84,0,0)</f>
        <v>0.26380429853740078</v>
      </c>
      <c r="T17" s="18">
        <f>BAU_Fuel_cons!AC17*_xlfn.XLOOKUP($B17,efs!$A$74:$A$84,efs!$E$74:$E$84,0,0)</f>
        <v>0.25280958673530302</v>
      </c>
      <c r="U17" s="18">
        <f>BAU_Fuel_cons!AD17*_xlfn.XLOOKUP($B17,efs!$A$74:$A$84,efs!$E$74:$E$84,0,0)</f>
        <v>0.24120994361404316</v>
      </c>
      <c r="V17" s="18">
        <f>BAU_Fuel_cons!AE17*_xlfn.XLOOKUP($B17,efs!$A$74:$A$84,efs!$E$74:$E$84,0,0)</f>
        <v>0.22901143282058867</v>
      </c>
      <c r="W17" s="18">
        <f>BAU_Fuel_cons!AF17*_xlfn.XLOOKUP($B17,efs!$A$74:$A$84,efs!$E$74:$E$84,0,0)</f>
        <v>0.2162167692752108</v>
      </c>
      <c r="X17" s="18">
        <f>BAU_Fuel_cons!AG17*_xlfn.XLOOKUP($B17,efs!$A$74:$A$84,efs!$E$74:$E$84,0,0)</f>
        <v>0.20283150679377449</v>
      </c>
      <c r="Y17" s="18">
        <f>BAU_Fuel_cons!AH17*_xlfn.XLOOKUP($B17,efs!$A$74:$A$84,efs!$E$74:$E$84,0,0)</f>
        <v>0.18886242222959873</v>
      </c>
      <c r="Z17" s="18">
        <f>BAU_Fuel_cons!AI17*_xlfn.XLOOKUP($B17,efs!$A$74:$A$84,efs!$E$74:$E$84,0,0)</f>
        <v>0.1743178846134629</v>
      </c>
      <c r="AA17" s="18">
        <f>BAU_Fuel_cons!AJ17*_xlfn.XLOOKUP($B17,efs!$A$74:$A$84,efs!$E$74:$E$84,0,0)</f>
        <v>0.15920732164182386</v>
      </c>
      <c r="AB17" s="18">
        <f>BAU_Fuel_cons!AK17*_xlfn.XLOOKUP($B17,efs!$A$74:$A$84,efs!$E$74:$E$84,0,0)</f>
        <v>0.14354144255380136</v>
      </c>
      <c r="AC17" s="18">
        <f>BAU_Fuel_cons!AL17*_xlfn.XLOOKUP($B17,efs!$A$74:$A$84,efs!$E$74:$E$84,0,0)</f>
        <v>0.12733209117166569</v>
      </c>
      <c r="AD17" s="18">
        <f>BAU_Fuel_cons!AM17*_xlfn.XLOOKUP($B17,efs!$A$74:$A$84,efs!$E$74:$E$84,0,0)</f>
        <v>0.11059264220397659</v>
      </c>
      <c r="AE17" s="18">
        <f>BAU_Fuel_cons!AN17*_xlfn.XLOOKUP($B17,efs!$A$74:$A$84,efs!$E$74:$E$84,0,0)</f>
        <v>9.3338565402950907E-2</v>
      </c>
      <c r="AF17" s="18">
        <f>BAU_Fuel_cons!AO17*_xlfn.XLOOKUP($B17,efs!$A$74:$A$84,efs!$E$74:$E$84,0,0)</f>
        <v>7.5586968666643745E-2</v>
      </c>
      <c r="AG17" s="18">
        <f>BAU_Fuel_cons!AP17*_xlfn.XLOOKUP($B17,efs!$A$74:$A$84,efs!$E$74:$E$84,0,0)</f>
        <v>5.7356690672195322E-2</v>
      </c>
      <c r="AH17" s="18">
        <f>BAU_Fuel_cons!AQ17*_xlfn.XLOOKUP($B17,efs!$A$74:$A$84,efs!$E$74:$E$84,0,0)</f>
        <v>3.8667878106050345E-2</v>
      </c>
      <c r="AI17" s="18">
        <f>BAU_Fuel_cons!AR17*_xlfn.XLOOKUP($B17,efs!$A$74:$A$84,efs!$E$74:$E$84,0,0)</f>
        <v>1.9541672243198235E-2</v>
      </c>
      <c r="AJ17" s="111">
        <f>BAU_Fuel_cons!AS17*_xlfn.XLOOKUP($B17,efs!$A$74:$A$84,efs!$E$74:$E$84,0,0)</f>
        <v>0</v>
      </c>
    </row>
    <row r="18" spans="1:36">
      <c r="A18" s="3" t="s">
        <v>18</v>
      </c>
      <c r="B18" s="3" t="s">
        <v>12</v>
      </c>
      <c r="C18" s="4" t="s">
        <v>53</v>
      </c>
      <c r="D18" s="42" t="s">
        <v>122</v>
      </c>
      <c r="E18" s="110">
        <f>BAU_Fuel_cons!N18*_xlfn.XLOOKUP($B18,efs!$A$74:$A$84,efs!$E$74:$E$84,0,0)</f>
        <v>0</v>
      </c>
      <c r="F18" s="18">
        <f>BAU_Fuel_cons!O18*_xlfn.XLOOKUP($B18,efs!$A$74:$A$84,efs!$E$74:$E$84,0,0)</f>
        <v>0</v>
      </c>
      <c r="G18" s="18">
        <f>BAU_Fuel_cons!P18*_xlfn.XLOOKUP($B18,efs!$A$74:$A$84,efs!$E$74:$E$84,0,0)</f>
        <v>0</v>
      </c>
      <c r="H18" s="18">
        <f>BAU_Fuel_cons!Q18*_xlfn.XLOOKUP($B18,efs!$A$74:$A$84,efs!$E$74:$E$84,0,0)</f>
        <v>0</v>
      </c>
      <c r="I18" s="18">
        <f>BAU_Fuel_cons!R18*_xlfn.XLOOKUP($B18,efs!$A$74:$A$84,efs!$E$74:$E$84,0,0)</f>
        <v>0</v>
      </c>
      <c r="J18" s="18">
        <f>BAU_Fuel_cons!S18*_xlfn.XLOOKUP($B18,efs!$A$74:$A$84,efs!$E$74:$E$84,0,0)</f>
        <v>0</v>
      </c>
      <c r="K18" s="18">
        <f>BAU_Fuel_cons!T18*_xlfn.XLOOKUP($B18,efs!$A$74:$A$84,efs!$E$74:$E$84,0,0)</f>
        <v>0</v>
      </c>
      <c r="L18" s="18">
        <f>BAU_Fuel_cons!U18*_xlfn.XLOOKUP($B18,efs!$A$74:$A$84,efs!$E$74:$E$84,0,0)</f>
        <v>0</v>
      </c>
      <c r="M18" s="18">
        <f>BAU_Fuel_cons!V18*_xlfn.XLOOKUP($B18,efs!$A$74:$A$84,efs!$E$74:$E$84,0,0)</f>
        <v>0</v>
      </c>
      <c r="N18" s="18">
        <f>BAU_Fuel_cons!W18*_xlfn.XLOOKUP($B18,efs!$A$74:$A$84,efs!$E$74:$E$84,0,0)</f>
        <v>0</v>
      </c>
      <c r="O18" s="18">
        <f>BAU_Fuel_cons!X18*_xlfn.XLOOKUP($B18,efs!$A$74:$A$84,efs!$E$74:$E$84,0,0)</f>
        <v>0</v>
      </c>
      <c r="P18" s="18">
        <f>BAU_Fuel_cons!Y18*_xlfn.XLOOKUP($B18,efs!$A$74:$A$84,efs!$E$74:$E$84,0,0)</f>
        <v>0</v>
      </c>
      <c r="Q18" s="18">
        <f>BAU_Fuel_cons!Z18*_xlfn.XLOOKUP($B18,efs!$A$74:$A$84,efs!$E$74:$E$84,0,0)</f>
        <v>0</v>
      </c>
      <c r="R18" s="18">
        <f>BAU_Fuel_cons!AA18*_xlfn.XLOOKUP($B18,efs!$A$74:$A$84,efs!$E$74:$E$84,0,0)</f>
        <v>0</v>
      </c>
      <c r="S18" s="18">
        <f>BAU_Fuel_cons!AB18*_xlfn.XLOOKUP($B18,efs!$A$74:$A$84,efs!$E$74:$E$84,0,0)</f>
        <v>0</v>
      </c>
      <c r="T18" s="18">
        <f>BAU_Fuel_cons!AC18*_xlfn.XLOOKUP($B18,efs!$A$74:$A$84,efs!$E$74:$E$84,0,0)</f>
        <v>0</v>
      </c>
      <c r="U18" s="18">
        <f>BAU_Fuel_cons!AD18*_xlfn.XLOOKUP($B18,efs!$A$74:$A$84,efs!$E$74:$E$84,0,0)</f>
        <v>0</v>
      </c>
      <c r="V18" s="18">
        <f>BAU_Fuel_cons!AE18*_xlfn.XLOOKUP($B18,efs!$A$74:$A$84,efs!$E$74:$E$84,0,0)</f>
        <v>0</v>
      </c>
      <c r="W18" s="18">
        <f>BAU_Fuel_cons!AF18*_xlfn.XLOOKUP($B18,efs!$A$74:$A$84,efs!$E$74:$E$84,0,0)</f>
        <v>0</v>
      </c>
      <c r="X18" s="18">
        <f>BAU_Fuel_cons!AG18*_xlfn.XLOOKUP($B18,efs!$A$74:$A$84,efs!$E$74:$E$84,0,0)</f>
        <v>0</v>
      </c>
      <c r="Y18" s="18">
        <f>BAU_Fuel_cons!AH18*_xlfn.XLOOKUP($B18,efs!$A$74:$A$84,efs!$E$74:$E$84,0,0)</f>
        <v>0</v>
      </c>
      <c r="Z18" s="18">
        <f>BAU_Fuel_cons!AI18*_xlfn.XLOOKUP($B18,efs!$A$74:$A$84,efs!$E$74:$E$84,0,0)</f>
        <v>0</v>
      </c>
      <c r="AA18" s="18">
        <f>BAU_Fuel_cons!AJ18*_xlfn.XLOOKUP($B18,efs!$A$74:$A$84,efs!$E$74:$E$84,0,0)</f>
        <v>0</v>
      </c>
      <c r="AB18" s="18">
        <f>BAU_Fuel_cons!AK18*_xlfn.XLOOKUP($B18,efs!$A$74:$A$84,efs!$E$74:$E$84,0,0)</f>
        <v>0</v>
      </c>
      <c r="AC18" s="18">
        <f>BAU_Fuel_cons!AL18*_xlfn.XLOOKUP($B18,efs!$A$74:$A$84,efs!$E$74:$E$84,0,0)</f>
        <v>0</v>
      </c>
      <c r="AD18" s="18">
        <f>BAU_Fuel_cons!AM18*_xlfn.XLOOKUP($B18,efs!$A$74:$A$84,efs!$E$74:$E$84,0,0)</f>
        <v>0</v>
      </c>
      <c r="AE18" s="18">
        <f>BAU_Fuel_cons!AN18*_xlfn.XLOOKUP($B18,efs!$A$74:$A$84,efs!$E$74:$E$84,0,0)</f>
        <v>0</v>
      </c>
      <c r="AF18" s="18">
        <f>BAU_Fuel_cons!AO18*_xlfn.XLOOKUP($B18,efs!$A$74:$A$84,efs!$E$74:$E$84,0,0)</f>
        <v>0</v>
      </c>
      <c r="AG18" s="18">
        <f>BAU_Fuel_cons!AP18*_xlfn.XLOOKUP($B18,efs!$A$74:$A$84,efs!$E$74:$E$84,0,0)</f>
        <v>0</v>
      </c>
      <c r="AH18" s="18">
        <f>BAU_Fuel_cons!AQ18*_xlfn.XLOOKUP($B18,efs!$A$74:$A$84,efs!$E$74:$E$84,0,0)</f>
        <v>0</v>
      </c>
      <c r="AI18" s="18">
        <f>BAU_Fuel_cons!AR18*_xlfn.XLOOKUP($B18,efs!$A$74:$A$84,efs!$E$74:$E$84,0,0)</f>
        <v>0</v>
      </c>
      <c r="AJ18" s="111">
        <f>BAU_Fuel_cons!AS18*_xlfn.XLOOKUP($B18,efs!$A$74:$A$84,efs!$E$74:$E$84,0,0)</f>
        <v>0</v>
      </c>
    </row>
    <row r="19" spans="1:36">
      <c r="A19" s="3" t="s">
        <v>18</v>
      </c>
      <c r="B19" s="3" t="s">
        <v>13</v>
      </c>
      <c r="C19" s="4" t="s">
        <v>53</v>
      </c>
      <c r="D19" s="42" t="s">
        <v>122</v>
      </c>
      <c r="E19" s="110">
        <f>BAU_Fuel_cons!N19*_xlfn.XLOOKUP($B19,efs!$A$74:$A$84,efs!$E$74:$E$84,0,0)</f>
        <v>4.3530962428777578</v>
      </c>
      <c r="F19" s="18">
        <f>BAU_Fuel_cons!O19*_xlfn.XLOOKUP($B19,efs!$A$74:$A$84,efs!$E$74:$E$84,0,0)</f>
        <v>4.1204333057257978</v>
      </c>
      <c r="G19" s="18">
        <f>BAU_Fuel_cons!P19*_xlfn.XLOOKUP($B19,efs!$A$74:$A$84,efs!$E$74:$E$84,0,0)</f>
        <v>3.8712472560093047</v>
      </c>
      <c r="H19" s="18">
        <f>BAU_Fuel_cons!Q19*_xlfn.XLOOKUP($B19,efs!$A$74:$A$84,efs!$E$74:$E$84,0,0)</f>
        <v>3.6053263704806477</v>
      </c>
      <c r="I19" s="18">
        <f>BAU_Fuel_cons!R19*_xlfn.XLOOKUP($B19,efs!$A$74:$A$84,efs!$E$74:$E$84,0,0)</f>
        <v>3.3225530228794713</v>
      </c>
      <c r="J19" s="18">
        <f>BAU_Fuel_cons!S19*_xlfn.XLOOKUP($B19,efs!$A$74:$A$84,efs!$E$74:$E$84,0,0)</f>
        <v>3.0228362076738131</v>
      </c>
      <c r="K19" s="18">
        <f>BAU_Fuel_cons!T19*_xlfn.XLOOKUP($B19,efs!$A$74:$A$84,efs!$E$74:$E$84,0,0)</f>
        <v>2.974288014415436</v>
      </c>
      <c r="L19" s="18">
        <f>BAU_Fuel_cons!U19*_xlfn.XLOOKUP($B19,efs!$A$74:$A$84,efs!$E$74:$E$84,0,0)</f>
        <v>2.9206800465744447</v>
      </c>
      <c r="M19" s="18">
        <f>BAU_Fuel_cons!V19*_xlfn.XLOOKUP($B19,efs!$A$74:$A$84,efs!$E$74:$E$84,0,0)</f>
        <v>2.8618129033908395</v>
      </c>
      <c r="N19" s="18">
        <f>BAU_Fuel_cons!W19*_xlfn.XLOOKUP($B19,efs!$A$74:$A$84,efs!$E$74:$E$84,0,0)</f>
        <v>2.7974558368197449</v>
      </c>
      <c r="O19" s="18">
        <f>BAU_Fuel_cons!X19*_xlfn.XLOOKUP($B19,efs!$A$74:$A$84,efs!$E$74:$E$84,0,0)</f>
        <v>2.7273781303401048</v>
      </c>
      <c r="P19" s="18">
        <f>BAU_Fuel_cons!Y19*_xlfn.XLOOKUP($B19,efs!$A$74:$A$84,efs!$E$74:$E$84,0,0)</f>
        <v>2.6514208156412158</v>
      </c>
      <c r="Q19" s="18">
        <f>BAU_Fuel_cons!Z19*_xlfn.XLOOKUP($B19,efs!$A$74:$A$84,efs!$E$74:$E$84,0,0)</f>
        <v>2.5695285873363285</v>
      </c>
      <c r="R19" s="18">
        <f>BAU_Fuel_cons!AA19*_xlfn.XLOOKUP($B19,efs!$A$74:$A$84,efs!$E$74:$E$84,0,0)</f>
        <v>2.4817142314861274</v>
      </c>
      <c r="S19" s="18">
        <f>BAU_Fuel_cons!AB19*_xlfn.XLOOKUP($B19,efs!$A$74:$A$84,efs!$E$74:$E$84,0,0)</f>
        <v>2.3880061069175169</v>
      </c>
      <c r="T19" s="18">
        <f>BAU_Fuel_cons!AC19*_xlfn.XLOOKUP($B19,efs!$A$74:$A$84,efs!$E$74:$E$84,0,0)</f>
        <v>2.2884799086228926</v>
      </c>
      <c r="U19" s="18">
        <f>BAU_Fuel_cons!AD19*_xlfn.XLOOKUP($B19,efs!$A$74:$A$84,efs!$E$74:$E$84,0,0)</f>
        <v>2.1834777582970317</v>
      </c>
      <c r="V19" s="18">
        <f>BAU_Fuel_cons!AE19*_xlfn.XLOOKUP($B19,efs!$A$74:$A$84,efs!$E$74:$E$84,0,0)</f>
        <v>2.0730545452122815</v>
      </c>
      <c r="W19" s="18">
        <f>BAU_Fuel_cons!AF19*_xlfn.XLOOKUP($B19,efs!$A$74:$A$84,efs!$E$74:$E$84,0,0)</f>
        <v>1.9572348453373554</v>
      </c>
      <c r="X19" s="18">
        <f>BAU_Fuel_cons!AG19*_xlfn.XLOOKUP($B19,efs!$A$74:$A$84,efs!$E$74:$E$84,0,0)</f>
        <v>1.8360689328576076</v>
      </c>
      <c r="Y19" s="18">
        <f>BAU_Fuel_cons!AH19*_xlfn.XLOOKUP($B19,efs!$A$74:$A$84,efs!$E$74:$E$84,0,0)</f>
        <v>1.7096181531233665</v>
      </c>
      <c r="Z19" s="18">
        <f>BAU_Fuel_cons!AI19*_xlfn.XLOOKUP($B19,efs!$A$74:$A$84,efs!$E$74:$E$84,0,0)</f>
        <v>1.5779582641746661</v>
      </c>
      <c r="AA19" s="18">
        <f>BAU_Fuel_cons!AJ19*_xlfn.XLOOKUP($B19,efs!$A$74:$A$84,efs!$E$74:$E$84,0,0)</f>
        <v>1.44117460729229</v>
      </c>
      <c r="AB19" s="18">
        <f>BAU_Fuel_cons!AK19*_xlfn.XLOOKUP($B19,efs!$A$74:$A$84,efs!$E$74:$E$84,0,0)</f>
        <v>1.2993641245221419</v>
      </c>
      <c r="AC19" s="18">
        <f>BAU_Fuel_cons!AL19*_xlfn.XLOOKUP($B19,efs!$A$74:$A$84,efs!$E$74:$E$84,0,0)</f>
        <v>1.1526340283701109</v>
      </c>
      <c r="AD19" s="18">
        <f>BAU_Fuel_cons!AM19*_xlfn.XLOOKUP($B19,efs!$A$74:$A$84,efs!$E$74:$E$84,0,0)</f>
        <v>1.0011053892125938</v>
      </c>
      <c r="AE19" s="18">
        <f>BAU_Fuel_cons!AN19*_xlfn.XLOOKUP($B19,efs!$A$74:$A$84,efs!$E$74:$E$84,0,0)</f>
        <v>0.84491824215505029</v>
      </c>
      <c r="AF19" s="18">
        <f>BAU_Fuel_cons!AO19*_xlfn.XLOOKUP($B19,efs!$A$74:$A$84,efs!$E$74:$E$84,0,0)</f>
        <v>0.68422745110704697</v>
      </c>
      <c r="AG19" s="18">
        <f>BAU_Fuel_cons!AP19*_xlfn.XLOOKUP($B19,efs!$A$74:$A$84,efs!$E$74:$E$84,0,0)</f>
        <v>0.51920354731582485</v>
      </c>
      <c r="AH19" s="18">
        <f>BAU_Fuel_cons!AQ19*_xlfn.XLOOKUP($B19,efs!$A$74:$A$84,efs!$E$74:$E$84,0,0)</f>
        <v>0.35002890237476159</v>
      </c>
      <c r="AI19" s="18">
        <f>BAU_Fuel_cons!AR19*_xlfn.XLOOKUP($B19,efs!$A$74:$A$84,efs!$E$74:$E$84,0,0)</f>
        <v>0.17689489107972911</v>
      </c>
      <c r="AJ19" s="111">
        <f>BAU_Fuel_cons!AS19*_xlfn.XLOOKUP($B19,efs!$A$74:$A$84,efs!$E$74:$E$84,0,0)</f>
        <v>0</v>
      </c>
    </row>
    <row r="20" spans="1:36">
      <c r="A20" s="3" t="s">
        <v>18</v>
      </c>
      <c r="B20" t="s">
        <v>14</v>
      </c>
      <c r="C20" s="4" t="s">
        <v>53</v>
      </c>
      <c r="D20" s="42" t="s">
        <v>122</v>
      </c>
      <c r="E20" s="110">
        <f>BAU_Fuel_cons!N20*_xlfn.XLOOKUP($B20,efs!$A$74:$A$84,efs!$E$74:$E$84,0,0)</f>
        <v>0</v>
      </c>
      <c r="F20" s="18">
        <f>BAU_Fuel_cons!O20*_xlfn.XLOOKUP($B20,efs!$A$74:$A$84,efs!$E$74:$E$84,0,0)</f>
        <v>0</v>
      </c>
      <c r="G20" s="18">
        <f>BAU_Fuel_cons!P20*_xlfn.XLOOKUP($B20,efs!$A$74:$A$84,efs!$E$74:$E$84,0,0)</f>
        <v>0</v>
      </c>
      <c r="H20" s="18">
        <f>BAU_Fuel_cons!Q20*_xlfn.XLOOKUP($B20,efs!$A$74:$A$84,efs!$E$74:$E$84,0,0)</f>
        <v>0</v>
      </c>
      <c r="I20" s="18">
        <f>BAU_Fuel_cons!R20*_xlfn.XLOOKUP($B20,efs!$A$74:$A$84,efs!$E$74:$E$84,0,0)</f>
        <v>0</v>
      </c>
      <c r="J20" s="18">
        <f>BAU_Fuel_cons!S20*_xlfn.XLOOKUP($B20,efs!$A$74:$A$84,efs!$E$74:$E$84,0,0)</f>
        <v>0</v>
      </c>
      <c r="K20" s="18">
        <f>BAU_Fuel_cons!T20*_xlfn.XLOOKUP($B20,efs!$A$74:$A$84,efs!$E$74:$E$84,0,0)</f>
        <v>0</v>
      </c>
      <c r="L20" s="18">
        <f>BAU_Fuel_cons!U20*_xlfn.XLOOKUP($B20,efs!$A$74:$A$84,efs!$E$74:$E$84,0,0)</f>
        <v>0</v>
      </c>
      <c r="M20" s="18">
        <f>BAU_Fuel_cons!V20*_xlfn.XLOOKUP($B20,efs!$A$74:$A$84,efs!$E$74:$E$84,0,0)</f>
        <v>0</v>
      </c>
      <c r="N20" s="18">
        <f>BAU_Fuel_cons!W20*_xlfn.XLOOKUP($B20,efs!$A$74:$A$84,efs!$E$74:$E$84,0,0)</f>
        <v>0</v>
      </c>
      <c r="O20" s="18">
        <f>BAU_Fuel_cons!X20*_xlfn.XLOOKUP($B20,efs!$A$74:$A$84,efs!$E$74:$E$84,0,0)</f>
        <v>0</v>
      </c>
      <c r="P20" s="18">
        <f>BAU_Fuel_cons!Y20*_xlfn.XLOOKUP($B20,efs!$A$74:$A$84,efs!$E$74:$E$84,0,0)</f>
        <v>0</v>
      </c>
      <c r="Q20" s="18">
        <f>BAU_Fuel_cons!Z20*_xlfn.XLOOKUP($B20,efs!$A$74:$A$84,efs!$E$74:$E$84,0,0)</f>
        <v>0</v>
      </c>
      <c r="R20" s="18">
        <f>BAU_Fuel_cons!AA20*_xlfn.XLOOKUP($B20,efs!$A$74:$A$84,efs!$E$74:$E$84,0,0)</f>
        <v>0</v>
      </c>
      <c r="S20" s="18">
        <f>BAU_Fuel_cons!AB20*_xlfn.XLOOKUP($B20,efs!$A$74:$A$84,efs!$E$74:$E$84,0,0)</f>
        <v>0</v>
      </c>
      <c r="T20" s="18">
        <f>BAU_Fuel_cons!AC20*_xlfn.XLOOKUP($B20,efs!$A$74:$A$84,efs!$E$74:$E$84,0,0)</f>
        <v>0</v>
      </c>
      <c r="U20" s="18">
        <f>BAU_Fuel_cons!AD20*_xlfn.XLOOKUP($B20,efs!$A$74:$A$84,efs!$E$74:$E$84,0,0)</f>
        <v>0</v>
      </c>
      <c r="V20" s="18">
        <f>BAU_Fuel_cons!AE20*_xlfn.XLOOKUP($B20,efs!$A$74:$A$84,efs!$E$74:$E$84,0,0)</f>
        <v>0</v>
      </c>
      <c r="W20" s="18">
        <f>BAU_Fuel_cons!AF20*_xlfn.XLOOKUP($B20,efs!$A$74:$A$84,efs!$E$74:$E$84,0,0)</f>
        <v>0</v>
      </c>
      <c r="X20" s="18">
        <f>BAU_Fuel_cons!AG20*_xlfn.XLOOKUP($B20,efs!$A$74:$A$84,efs!$E$74:$E$84,0,0)</f>
        <v>0</v>
      </c>
      <c r="Y20" s="18">
        <f>BAU_Fuel_cons!AH20*_xlfn.XLOOKUP($B20,efs!$A$74:$A$84,efs!$E$74:$E$84,0,0)</f>
        <v>0</v>
      </c>
      <c r="Z20" s="18">
        <f>BAU_Fuel_cons!AI20*_xlfn.XLOOKUP($B20,efs!$A$74:$A$84,efs!$E$74:$E$84,0,0)</f>
        <v>0</v>
      </c>
      <c r="AA20" s="18">
        <f>BAU_Fuel_cons!AJ20*_xlfn.XLOOKUP($B20,efs!$A$74:$A$84,efs!$E$74:$E$84,0,0)</f>
        <v>0</v>
      </c>
      <c r="AB20" s="18">
        <f>BAU_Fuel_cons!AK20*_xlfn.XLOOKUP($B20,efs!$A$74:$A$84,efs!$E$74:$E$84,0,0)</f>
        <v>0</v>
      </c>
      <c r="AC20" s="18">
        <f>BAU_Fuel_cons!AL20*_xlfn.XLOOKUP($B20,efs!$A$74:$A$84,efs!$E$74:$E$84,0,0)</f>
        <v>0</v>
      </c>
      <c r="AD20" s="18">
        <f>BAU_Fuel_cons!AM20*_xlfn.XLOOKUP($B20,efs!$A$74:$A$84,efs!$E$74:$E$84,0,0)</f>
        <v>0</v>
      </c>
      <c r="AE20" s="18">
        <f>BAU_Fuel_cons!AN20*_xlfn.XLOOKUP($B20,efs!$A$74:$A$84,efs!$E$74:$E$84,0,0)</f>
        <v>0</v>
      </c>
      <c r="AF20" s="18">
        <f>BAU_Fuel_cons!AO20*_xlfn.XLOOKUP($B20,efs!$A$74:$A$84,efs!$E$74:$E$84,0,0)</f>
        <v>0</v>
      </c>
      <c r="AG20" s="18">
        <f>BAU_Fuel_cons!AP20*_xlfn.XLOOKUP($B20,efs!$A$74:$A$84,efs!$E$74:$E$84,0,0)</f>
        <v>0</v>
      </c>
      <c r="AH20" s="18">
        <f>BAU_Fuel_cons!AQ20*_xlfn.XLOOKUP($B20,efs!$A$74:$A$84,efs!$E$74:$E$84,0,0)</f>
        <v>0</v>
      </c>
      <c r="AI20" s="18">
        <f>BAU_Fuel_cons!AR20*_xlfn.XLOOKUP($B20,efs!$A$74:$A$84,efs!$E$74:$E$84,0,0)</f>
        <v>0</v>
      </c>
      <c r="AJ20" s="111">
        <f>BAU_Fuel_cons!AS20*_xlfn.XLOOKUP($B20,efs!$A$74:$A$84,efs!$E$74:$E$84,0,0)</f>
        <v>0</v>
      </c>
    </row>
    <row r="21" spans="1:36">
      <c r="A21" s="3" t="s">
        <v>18</v>
      </c>
      <c r="B21" t="s">
        <v>15</v>
      </c>
      <c r="C21" s="4" t="s">
        <v>53</v>
      </c>
      <c r="D21" s="42" t="s">
        <v>122</v>
      </c>
      <c r="E21" s="110">
        <f>BAU_Fuel_cons!N21*_xlfn.XLOOKUP($B21,efs!$A$74:$A$84,efs!$E$74:$E$84,0,0)</f>
        <v>0</v>
      </c>
      <c r="F21" s="18">
        <f>BAU_Fuel_cons!O21*_xlfn.XLOOKUP($B21,efs!$A$74:$A$84,efs!$E$74:$E$84,0,0)</f>
        <v>0</v>
      </c>
      <c r="G21" s="18">
        <f>BAU_Fuel_cons!P21*_xlfn.XLOOKUP($B21,efs!$A$74:$A$84,efs!$E$74:$E$84,0,0)</f>
        <v>0</v>
      </c>
      <c r="H21" s="18">
        <f>BAU_Fuel_cons!Q21*_xlfn.XLOOKUP($B21,efs!$A$74:$A$84,efs!$E$74:$E$84,0,0)</f>
        <v>0</v>
      </c>
      <c r="I21" s="18">
        <f>BAU_Fuel_cons!R21*_xlfn.XLOOKUP($B21,efs!$A$74:$A$84,efs!$E$74:$E$84,0,0)</f>
        <v>0</v>
      </c>
      <c r="J21" s="18">
        <f>BAU_Fuel_cons!S21*_xlfn.XLOOKUP($B21,efs!$A$74:$A$84,efs!$E$74:$E$84,0,0)</f>
        <v>0</v>
      </c>
      <c r="K21" s="18">
        <f>BAU_Fuel_cons!T21*_xlfn.XLOOKUP($B21,efs!$A$74:$A$84,efs!$E$74:$E$84,0,0)</f>
        <v>0</v>
      </c>
      <c r="L21" s="18">
        <f>BAU_Fuel_cons!U21*_xlfn.XLOOKUP($B21,efs!$A$74:$A$84,efs!$E$74:$E$84,0,0)</f>
        <v>0</v>
      </c>
      <c r="M21" s="18">
        <f>BAU_Fuel_cons!V21*_xlfn.XLOOKUP($B21,efs!$A$74:$A$84,efs!$E$74:$E$84,0,0)</f>
        <v>0</v>
      </c>
      <c r="N21" s="18">
        <f>BAU_Fuel_cons!W21*_xlfn.XLOOKUP($B21,efs!$A$74:$A$84,efs!$E$74:$E$84,0,0)</f>
        <v>0</v>
      </c>
      <c r="O21" s="18">
        <f>BAU_Fuel_cons!X21*_xlfn.XLOOKUP($B21,efs!$A$74:$A$84,efs!$E$74:$E$84,0,0)</f>
        <v>0</v>
      </c>
      <c r="P21" s="18">
        <f>BAU_Fuel_cons!Y21*_xlfn.XLOOKUP($B21,efs!$A$74:$A$84,efs!$E$74:$E$84,0,0)</f>
        <v>0</v>
      </c>
      <c r="Q21" s="18">
        <f>BAU_Fuel_cons!Z21*_xlfn.XLOOKUP($B21,efs!$A$74:$A$84,efs!$E$74:$E$84,0,0)</f>
        <v>0</v>
      </c>
      <c r="R21" s="18">
        <f>BAU_Fuel_cons!AA21*_xlfn.XLOOKUP($B21,efs!$A$74:$A$84,efs!$E$74:$E$84,0,0)</f>
        <v>0</v>
      </c>
      <c r="S21" s="18">
        <f>BAU_Fuel_cons!AB21*_xlfn.XLOOKUP($B21,efs!$A$74:$A$84,efs!$E$74:$E$84,0,0)</f>
        <v>0</v>
      </c>
      <c r="T21" s="18">
        <f>BAU_Fuel_cons!AC21*_xlfn.XLOOKUP($B21,efs!$A$74:$A$84,efs!$E$74:$E$84,0,0)</f>
        <v>0</v>
      </c>
      <c r="U21" s="18">
        <f>BAU_Fuel_cons!AD21*_xlfn.XLOOKUP($B21,efs!$A$74:$A$84,efs!$E$74:$E$84,0,0)</f>
        <v>0</v>
      </c>
      <c r="V21" s="18">
        <f>BAU_Fuel_cons!AE21*_xlfn.XLOOKUP($B21,efs!$A$74:$A$84,efs!$E$74:$E$84,0,0)</f>
        <v>0</v>
      </c>
      <c r="W21" s="18">
        <f>BAU_Fuel_cons!AF21*_xlfn.XLOOKUP($B21,efs!$A$74:$A$84,efs!$E$74:$E$84,0,0)</f>
        <v>0</v>
      </c>
      <c r="X21" s="18">
        <f>BAU_Fuel_cons!AG21*_xlfn.XLOOKUP($B21,efs!$A$74:$A$84,efs!$E$74:$E$84,0,0)</f>
        <v>0</v>
      </c>
      <c r="Y21" s="18">
        <f>BAU_Fuel_cons!AH21*_xlfn.XLOOKUP($B21,efs!$A$74:$A$84,efs!$E$74:$E$84,0,0)</f>
        <v>0</v>
      </c>
      <c r="Z21" s="18">
        <f>BAU_Fuel_cons!AI21*_xlfn.XLOOKUP($B21,efs!$A$74:$A$84,efs!$E$74:$E$84,0,0)</f>
        <v>0</v>
      </c>
      <c r="AA21" s="18">
        <f>BAU_Fuel_cons!AJ21*_xlfn.XLOOKUP($B21,efs!$A$74:$A$84,efs!$E$74:$E$84,0,0)</f>
        <v>0</v>
      </c>
      <c r="AB21" s="18">
        <f>BAU_Fuel_cons!AK21*_xlfn.XLOOKUP($B21,efs!$A$74:$A$84,efs!$E$74:$E$84,0,0)</f>
        <v>0</v>
      </c>
      <c r="AC21" s="18">
        <f>BAU_Fuel_cons!AL21*_xlfn.XLOOKUP($B21,efs!$A$74:$A$84,efs!$E$74:$E$84,0,0)</f>
        <v>0</v>
      </c>
      <c r="AD21" s="18">
        <f>BAU_Fuel_cons!AM21*_xlfn.XLOOKUP($B21,efs!$A$74:$A$84,efs!$E$74:$E$84,0,0)</f>
        <v>0</v>
      </c>
      <c r="AE21" s="18">
        <f>BAU_Fuel_cons!AN21*_xlfn.XLOOKUP($B21,efs!$A$74:$A$84,efs!$E$74:$E$84,0,0)</f>
        <v>0</v>
      </c>
      <c r="AF21" s="18">
        <f>BAU_Fuel_cons!AO21*_xlfn.XLOOKUP($B21,efs!$A$74:$A$84,efs!$E$74:$E$84,0,0)</f>
        <v>0</v>
      </c>
      <c r="AG21" s="18">
        <f>BAU_Fuel_cons!AP21*_xlfn.XLOOKUP($B21,efs!$A$74:$A$84,efs!$E$74:$E$84,0,0)</f>
        <v>0</v>
      </c>
      <c r="AH21" s="18">
        <f>BAU_Fuel_cons!AQ21*_xlfn.XLOOKUP($B21,efs!$A$74:$A$84,efs!$E$74:$E$84,0,0)</f>
        <v>0</v>
      </c>
      <c r="AI21" s="18">
        <f>BAU_Fuel_cons!AR21*_xlfn.XLOOKUP($B21,efs!$A$74:$A$84,efs!$E$74:$E$84,0,0)</f>
        <v>0</v>
      </c>
      <c r="AJ21" s="111">
        <f>BAU_Fuel_cons!AS21*_xlfn.XLOOKUP($B21,efs!$A$74:$A$84,efs!$E$74:$E$84,0,0)</f>
        <v>0</v>
      </c>
    </row>
    <row r="22" spans="1:36">
      <c r="A22" s="3" t="s">
        <v>18</v>
      </c>
      <c r="B22" t="s">
        <v>16</v>
      </c>
      <c r="C22" s="4" t="s">
        <v>53</v>
      </c>
      <c r="D22" s="42" t="s">
        <v>122</v>
      </c>
      <c r="E22" s="110">
        <f>BAU_Fuel_cons!N22*_xlfn.XLOOKUP($B22,efs!$A$74:$A$84,efs!$E$74:$E$84,0,0)</f>
        <v>0</v>
      </c>
      <c r="F22" s="18">
        <f>BAU_Fuel_cons!O22*_xlfn.XLOOKUP($B22,efs!$A$74:$A$84,efs!$E$74:$E$84,0,0)</f>
        <v>0</v>
      </c>
      <c r="G22" s="18">
        <f>BAU_Fuel_cons!P22*_xlfn.XLOOKUP($B22,efs!$A$74:$A$84,efs!$E$74:$E$84,0,0)</f>
        <v>0</v>
      </c>
      <c r="H22" s="18">
        <f>BAU_Fuel_cons!Q22*_xlfn.XLOOKUP($B22,efs!$A$74:$A$84,efs!$E$74:$E$84,0,0)</f>
        <v>0</v>
      </c>
      <c r="I22" s="18">
        <f>BAU_Fuel_cons!R22*_xlfn.XLOOKUP($B22,efs!$A$74:$A$84,efs!$E$74:$E$84,0,0)</f>
        <v>0</v>
      </c>
      <c r="J22" s="18">
        <f>BAU_Fuel_cons!S22*_xlfn.XLOOKUP($B22,efs!$A$74:$A$84,efs!$E$74:$E$84,0,0)</f>
        <v>0</v>
      </c>
      <c r="K22" s="18">
        <f>BAU_Fuel_cons!T22*_xlfn.XLOOKUP($B22,efs!$A$74:$A$84,efs!$E$74:$E$84,0,0)</f>
        <v>0</v>
      </c>
      <c r="L22" s="18">
        <f>BAU_Fuel_cons!U22*_xlfn.XLOOKUP($B22,efs!$A$74:$A$84,efs!$E$74:$E$84,0,0)</f>
        <v>0</v>
      </c>
      <c r="M22" s="18">
        <f>BAU_Fuel_cons!V22*_xlfn.XLOOKUP($B22,efs!$A$74:$A$84,efs!$E$74:$E$84,0,0)</f>
        <v>0</v>
      </c>
      <c r="N22" s="18">
        <f>BAU_Fuel_cons!W22*_xlfn.XLOOKUP($B22,efs!$A$74:$A$84,efs!$E$74:$E$84,0,0)</f>
        <v>0</v>
      </c>
      <c r="O22" s="18">
        <f>BAU_Fuel_cons!X22*_xlfn.XLOOKUP($B22,efs!$A$74:$A$84,efs!$E$74:$E$84,0,0)</f>
        <v>0</v>
      </c>
      <c r="P22" s="18">
        <f>BAU_Fuel_cons!Y22*_xlfn.XLOOKUP($B22,efs!$A$74:$A$84,efs!$E$74:$E$84,0,0)</f>
        <v>0</v>
      </c>
      <c r="Q22" s="18">
        <f>BAU_Fuel_cons!Z22*_xlfn.XLOOKUP($B22,efs!$A$74:$A$84,efs!$E$74:$E$84,0,0)</f>
        <v>0</v>
      </c>
      <c r="R22" s="18">
        <f>BAU_Fuel_cons!AA22*_xlfn.XLOOKUP($B22,efs!$A$74:$A$84,efs!$E$74:$E$84,0,0)</f>
        <v>0</v>
      </c>
      <c r="S22" s="18">
        <f>BAU_Fuel_cons!AB22*_xlfn.XLOOKUP($B22,efs!$A$74:$A$84,efs!$E$74:$E$84,0,0)</f>
        <v>0</v>
      </c>
      <c r="T22" s="18">
        <f>BAU_Fuel_cons!AC22*_xlfn.XLOOKUP($B22,efs!$A$74:$A$84,efs!$E$74:$E$84,0,0)</f>
        <v>0</v>
      </c>
      <c r="U22" s="18">
        <f>BAU_Fuel_cons!AD22*_xlfn.XLOOKUP($B22,efs!$A$74:$A$84,efs!$E$74:$E$84,0,0)</f>
        <v>0</v>
      </c>
      <c r="V22" s="18">
        <f>BAU_Fuel_cons!AE22*_xlfn.XLOOKUP($B22,efs!$A$74:$A$84,efs!$E$74:$E$84,0,0)</f>
        <v>0</v>
      </c>
      <c r="W22" s="18">
        <f>BAU_Fuel_cons!AF22*_xlfn.XLOOKUP($B22,efs!$A$74:$A$84,efs!$E$74:$E$84,0,0)</f>
        <v>0</v>
      </c>
      <c r="X22" s="18">
        <f>BAU_Fuel_cons!AG22*_xlfn.XLOOKUP($B22,efs!$A$74:$A$84,efs!$E$74:$E$84,0,0)</f>
        <v>0</v>
      </c>
      <c r="Y22" s="18">
        <f>BAU_Fuel_cons!AH22*_xlfn.XLOOKUP($B22,efs!$A$74:$A$84,efs!$E$74:$E$84,0,0)</f>
        <v>0</v>
      </c>
      <c r="Z22" s="18">
        <f>BAU_Fuel_cons!AI22*_xlfn.XLOOKUP($B22,efs!$A$74:$A$84,efs!$E$74:$E$84,0,0)</f>
        <v>0</v>
      </c>
      <c r="AA22" s="18">
        <f>BAU_Fuel_cons!AJ22*_xlfn.XLOOKUP($B22,efs!$A$74:$A$84,efs!$E$74:$E$84,0,0)</f>
        <v>0</v>
      </c>
      <c r="AB22" s="18">
        <f>BAU_Fuel_cons!AK22*_xlfn.XLOOKUP($B22,efs!$A$74:$A$84,efs!$E$74:$E$84,0,0)</f>
        <v>0</v>
      </c>
      <c r="AC22" s="18">
        <f>BAU_Fuel_cons!AL22*_xlfn.XLOOKUP($B22,efs!$A$74:$A$84,efs!$E$74:$E$84,0,0)</f>
        <v>0</v>
      </c>
      <c r="AD22" s="18">
        <f>BAU_Fuel_cons!AM22*_xlfn.XLOOKUP($B22,efs!$A$74:$A$84,efs!$E$74:$E$84,0,0)</f>
        <v>0</v>
      </c>
      <c r="AE22" s="18">
        <f>BAU_Fuel_cons!AN22*_xlfn.XLOOKUP($B22,efs!$A$74:$A$84,efs!$E$74:$E$84,0,0)</f>
        <v>0</v>
      </c>
      <c r="AF22" s="18">
        <f>BAU_Fuel_cons!AO22*_xlfn.XLOOKUP($B22,efs!$A$74:$A$84,efs!$E$74:$E$84,0,0)</f>
        <v>0</v>
      </c>
      <c r="AG22" s="18">
        <f>BAU_Fuel_cons!AP22*_xlfn.XLOOKUP($B22,efs!$A$74:$A$84,efs!$E$74:$E$84,0,0)</f>
        <v>0</v>
      </c>
      <c r="AH22" s="18">
        <f>BAU_Fuel_cons!AQ22*_xlfn.XLOOKUP($B22,efs!$A$74:$A$84,efs!$E$74:$E$84,0,0)</f>
        <v>0</v>
      </c>
      <c r="AI22" s="18">
        <f>BAU_Fuel_cons!AR22*_xlfn.XLOOKUP($B22,efs!$A$74:$A$84,efs!$E$74:$E$84,0,0)</f>
        <v>0</v>
      </c>
      <c r="AJ22" s="111">
        <f>BAU_Fuel_cons!AS22*_xlfn.XLOOKUP($B22,efs!$A$74:$A$84,efs!$E$74:$E$84,0,0)</f>
        <v>0</v>
      </c>
    </row>
    <row r="23" spans="1:36" ht="17" thickBot="1">
      <c r="A23" s="31" t="s">
        <v>18</v>
      </c>
      <c r="B23" s="31" t="s">
        <v>17</v>
      </c>
      <c r="C23" s="32" t="s">
        <v>53</v>
      </c>
      <c r="D23" s="43" t="s">
        <v>122</v>
      </c>
      <c r="E23" s="112">
        <f>BAU_Fuel_cons!N23*_xlfn.XLOOKUP($B23,efs!$A$74:$A$84,efs!$E$74:$E$84,0,0)</f>
        <v>0</v>
      </c>
      <c r="F23" s="113">
        <f>BAU_Fuel_cons!O23*_xlfn.XLOOKUP($B23,efs!$A$74:$A$84,efs!$E$74:$E$84,0,0)</f>
        <v>0</v>
      </c>
      <c r="G23" s="113">
        <f>BAU_Fuel_cons!P23*_xlfn.XLOOKUP($B23,efs!$A$74:$A$84,efs!$E$74:$E$84,0,0)</f>
        <v>0</v>
      </c>
      <c r="H23" s="113">
        <f>BAU_Fuel_cons!Q23*_xlfn.XLOOKUP($B23,efs!$A$74:$A$84,efs!$E$74:$E$84,0,0)</f>
        <v>0</v>
      </c>
      <c r="I23" s="113">
        <f>BAU_Fuel_cons!R23*_xlfn.XLOOKUP($B23,efs!$A$74:$A$84,efs!$E$74:$E$84,0,0)</f>
        <v>0</v>
      </c>
      <c r="J23" s="113">
        <f>BAU_Fuel_cons!S23*_xlfn.XLOOKUP($B23,efs!$A$74:$A$84,efs!$E$74:$E$84,0,0)</f>
        <v>0</v>
      </c>
      <c r="K23" s="113">
        <f>BAU_Fuel_cons!T23*_xlfn.XLOOKUP($B23,efs!$A$74:$A$84,efs!$E$74:$E$84,0,0)</f>
        <v>0</v>
      </c>
      <c r="L23" s="113">
        <f>BAU_Fuel_cons!U23*_xlfn.XLOOKUP($B23,efs!$A$74:$A$84,efs!$E$74:$E$84,0,0)</f>
        <v>0</v>
      </c>
      <c r="M23" s="113">
        <f>BAU_Fuel_cons!V23*_xlfn.XLOOKUP($B23,efs!$A$74:$A$84,efs!$E$74:$E$84,0,0)</f>
        <v>0</v>
      </c>
      <c r="N23" s="113">
        <f>BAU_Fuel_cons!W23*_xlfn.XLOOKUP($B23,efs!$A$74:$A$84,efs!$E$74:$E$84,0,0)</f>
        <v>0</v>
      </c>
      <c r="O23" s="113">
        <f>BAU_Fuel_cons!X23*_xlfn.XLOOKUP($B23,efs!$A$74:$A$84,efs!$E$74:$E$84,0,0)</f>
        <v>0</v>
      </c>
      <c r="P23" s="113">
        <f>BAU_Fuel_cons!Y23*_xlfn.XLOOKUP($B23,efs!$A$74:$A$84,efs!$E$74:$E$84,0,0)</f>
        <v>0</v>
      </c>
      <c r="Q23" s="113">
        <f>BAU_Fuel_cons!Z23*_xlfn.XLOOKUP($B23,efs!$A$74:$A$84,efs!$E$74:$E$84,0,0)</f>
        <v>0</v>
      </c>
      <c r="R23" s="113">
        <f>BAU_Fuel_cons!AA23*_xlfn.XLOOKUP($B23,efs!$A$74:$A$84,efs!$E$74:$E$84,0,0)</f>
        <v>0</v>
      </c>
      <c r="S23" s="113">
        <f>BAU_Fuel_cons!AB23*_xlfn.XLOOKUP($B23,efs!$A$74:$A$84,efs!$E$74:$E$84,0,0)</f>
        <v>0</v>
      </c>
      <c r="T23" s="113">
        <f>BAU_Fuel_cons!AC23*_xlfn.XLOOKUP($B23,efs!$A$74:$A$84,efs!$E$74:$E$84,0,0)</f>
        <v>0</v>
      </c>
      <c r="U23" s="113">
        <f>BAU_Fuel_cons!AD23*_xlfn.XLOOKUP($B23,efs!$A$74:$A$84,efs!$E$74:$E$84,0,0)</f>
        <v>0</v>
      </c>
      <c r="V23" s="113">
        <f>BAU_Fuel_cons!AE23*_xlfn.XLOOKUP($B23,efs!$A$74:$A$84,efs!$E$74:$E$84,0,0)</f>
        <v>0</v>
      </c>
      <c r="W23" s="113">
        <f>BAU_Fuel_cons!AF23*_xlfn.XLOOKUP($B23,efs!$A$74:$A$84,efs!$E$74:$E$84,0,0)</f>
        <v>0</v>
      </c>
      <c r="X23" s="113">
        <f>BAU_Fuel_cons!AG23*_xlfn.XLOOKUP($B23,efs!$A$74:$A$84,efs!$E$74:$E$84,0,0)</f>
        <v>0</v>
      </c>
      <c r="Y23" s="113">
        <f>BAU_Fuel_cons!AH23*_xlfn.XLOOKUP($B23,efs!$A$74:$A$84,efs!$E$74:$E$84,0,0)</f>
        <v>0</v>
      </c>
      <c r="Z23" s="113">
        <f>BAU_Fuel_cons!AI23*_xlfn.XLOOKUP($B23,efs!$A$74:$A$84,efs!$E$74:$E$84,0,0)</f>
        <v>0</v>
      </c>
      <c r="AA23" s="113">
        <f>BAU_Fuel_cons!AJ23*_xlfn.XLOOKUP($B23,efs!$A$74:$A$84,efs!$E$74:$E$84,0,0)</f>
        <v>0</v>
      </c>
      <c r="AB23" s="113">
        <f>BAU_Fuel_cons!AK23*_xlfn.XLOOKUP($B23,efs!$A$74:$A$84,efs!$E$74:$E$84,0,0)</f>
        <v>0</v>
      </c>
      <c r="AC23" s="113">
        <f>BAU_Fuel_cons!AL23*_xlfn.XLOOKUP($B23,efs!$A$74:$A$84,efs!$E$74:$E$84,0,0)</f>
        <v>0</v>
      </c>
      <c r="AD23" s="113">
        <f>BAU_Fuel_cons!AM23*_xlfn.XLOOKUP($B23,efs!$A$74:$A$84,efs!$E$74:$E$84,0,0)</f>
        <v>0</v>
      </c>
      <c r="AE23" s="113">
        <f>BAU_Fuel_cons!AN23*_xlfn.XLOOKUP($B23,efs!$A$74:$A$84,efs!$E$74:$E$84,0,0)</f>
        <v>0</v>
      </c>
      <c r="AF23" s="113">
        <f>BAU_Fuel_cons!AO23*_xlfn.XLOOKUP($B23,efs!$A$74:$A$84,efs!$E$74:$E$84,0,0)</f>
        <v>0</v>
      </c>
      <c r="AG23" s="113">
        <f>BAU_Fuel_cons!AP23*_xlfn.XLOOKUP($B23,efs!$A$74:$A$84,efs!$E$74:$E$84,0,0)</f>
        <v>0</v>
      </c>
      <c r="AH23" s="113">
        <f>BAU_Fuel_cons!AQ23*_xlfn.XLOOKUP($B23,efs!$A$74:$A$84,efs!$E$74:$E$84,0,0)</f>
        <v>0</v>
      </c>
      <c r="AI23" s="113">
        <f>BAU_Fuel_cons!AR23*_xlfn.XLOOKUP($B23,efs!$A$74:$A$84,efs!$E$74:$E$84,0,0)</f>
        <v>0</v>
      </c>
      <c r="AJ23" s="114">
        <f>BAU_Fuel_cons!AS23*_xlfn.XLOOKUP($B23,efs!$A$74:$A$84,efs!$E$74:$E$84,0,0)</f>
        <v>0</v>
      </c>
    </row>
    <row r="24" spans="1:36">
      <c r="A24" s="86" t="s">
        <v>19</v>
      </c>
      <c r="B24" s="87" t="s">
        <v>36</v>
      </c>
      <c r="C24" s="88" t="s">
        <v>53</v>
      </c>
      <c r="D24" s="89" t="s">
        <v>122</v>
      </c>
      <c r="E24" s="107">
        <f>BAU_Fuel_cons!N24*_xlfn.XLOOKUP($B24,efs!$A$74:$A$84,efs!$E$74:$E$84,0,0)</f>
        <v>1113.8153958966229</v>
      </c>
      <c r="F24" s="108">
        <f>BAU_Fuel_cons!O24*_xlfn.XLOOKUP($B24,efs!$A$74:$A$84,efs!$E$74:$E$84,0,0)</f>
        <v>1116.2052362150387</v>
      </c>
      <c r="G24" s="108">
        <f>BAU_Fuel_cons!P24*_xlfn.XLOOKUP($B24,efs!$A$74:$A$84,efs!$E$74:$E$84,0,0)</f>
        <v>1116.0518669257649</v>
      </c>
      <c r="H24" s="108">
        <f>BAU_Fuel_cons!Q24*_xlfn.XLOOKUP($B24,efs!$A$74:$A$84,efs!$E$74:$E$84,0,0)</f>
        <v>1113.1567956594656</v>
      </c>
      <c r="I24" s="108">
        <f>BAU_Fuel_cons!R24*_xlfn.XLOOKUP($B24,efs!$A$74:$A$84,efs!$E$74:$E$84,0,0)</f>
        <v>1107.2983515579624</v>
      </c>
      <c r="J24" s="108">
        <f>BAU_Fuel_cons!S24*_xlfn.XLOOKUP($B24,efs!$A$74:$A$84,efs!$E$74:$E$84,0,0)</f>
        <v>1098.247711981126</v>
      </c>
      <c r="K24" s="108">
        <f>BAU_Fuel_cons!T24*_xlfn.XLOOKUP($B24,efs!$A$74:$A$84,efs!$E$74:$E$84,0,0)</f>
        <v>1100.7592908024349</v>
      </c>
      <c r="L24" s="108">
        <f>BAU_Fuel_cons!U24*_xlfn.XLOOKUP($B24,efs!$A$74:$A$84,efs!$E$74:$E$84,0,0)</f>
        <v>1100.8913123790958</v>
      </c>
      <c r="M24" s="108">
        <f>BAU_Fuel_cons!V24*_xlfn.XLOOKUP($B24,efs!$A$74:$A$84,efs!$E$74:$E$84,0,0)</f>
        <v>1098.4779750362432</v>
      </c>
      <c r="N24" s="108">
        <f>BAU_Fuel_cons!W24*_xlfn.XLOOKUP($B24,efs!$A$74:$A$84,efs!$E$74:$E$84,0,0)</f>
        <v>1093.3419024035659</v>
      </c>
      <c r="O24" s="108">
        <f>BAU_Fuel_cons!X24*_xlfn.XLOOKUP($B24,efs!$A$74:$A$84,efs!$E$74:$E$84,0,0)</f>
        <v>1085.3031396555427</v>
      </c>
      <c r="P24" s="108">
        <f>BAU_Fuel_cons!Y24*_xlfn.XLOOKUP($B24,efs!$A$74:$A$84,efs!$E$74:$E$84,0,0)</f>
        <v>1074.1891104180434</v>
      </c>
      <c r="Q24" s="108">
        <f>BAU_Fuel_cons!Z24*_xlfn.XLOOKUP($B24,efs!$A$74:$A$84,efs!$E$74:$E$84,0,0)</f>
        <v>1059.8342932105584</v>
      </c>
      <c r="R24" s="108">
        <f>BAU_Fuel_cons!AA24*_xlfn.XLOOKUP($B24,efs!$A$74:$A$84,efs!$E$74:$E$84,0,0)</f>
        <v>1042.0800780133745</v>
      </c>
      <c r="S24" s="108">
        <f>BAU_Fuel_cons!AB24*_xlfn.XLOOKUP($B24,efs!$A$74:$A$84,efs!$E$74:$E$84,0,0)</f>
        <v>1020.7629614124793</v>
      </c>
      <c r="T24" s="108">
        <f>BAU_Fuel_cons!AC24*_xlfn.XLOOKUP($B24,efs!$A$74:$A$84,efs!$E$74:$E$84,0,0)</f>
        <v>995.70464306331382</v>
      </c>
      <c r="U24" s="108">
        <f>BAU_Fuel_cons!AD24*_xlfn.XLOOKUP($B24,efs!$A$74:$A$84,efs!$E$74:$E$84,0,0)</f>
        <v>967.0586994941151</v>
      </c>
      <c r="V24" s="108">
        <f>BAU_Fuel_cons!AE24*_xlfn.XLOOKUP($B24,efs!$A$74:$A$84,efs!$E$74:$E$84,0,0)</f>
        <v>934.62180633576293</v>
      </c>
      <c r="W24" s="108">
        <f>BAU_Fuel_cons!AF24*_xlfn.XLOOKUP($B24,efs!$A$74:$A$84,efs!$E$74:$E$84,0,0)</f>
        <v>898.24437982960319</v>
      </c>
      <c r="X24" s="108">
        <f>BAU_Fuel_cons!AG24*_xlfn.XLOOKUP($B24,efs!$A$74:$A$84,efs!$E$74:$E$84,0,0)</f>
        <v>857.78324065941729</v>
      </c>
      <c r="Y24" s="108">
        <f>BAU_Fuel_cons!AH24*_xlfn.XLOOKUP($B24,efs!$A$74:$A$84,efs!$E$74:$E$84,0,0)</f>
        <v>813.09568650652284</v>
      </c>
      <c r="Z24" s="108">
        <f>BAU_Fuel_cons!AI24*_xlfn.XLOOKUP($B24,efs!$A$74:$A$84,efs!$E$74:$E$84,0,0)</f>
        <v>764.03557266442738</v>
      </c>
      <c r="AA24" s="108">
        <f>BAU_Fuel_cons!AJ24*_xlfn.XLOOKUP($B24,efs!$A$74:$A$84,efs!$E$74:$E$84,0,0)</f>
        <v>710.45159418057165</v>
      </c>
      <c r="AB24" s="108">
        <f>BAU_Fuel_cons!AK24*_xlfn.XLOOKUP($B24,efs!$A$74:$A$84,efs!$E$74:$E$84,0,0)</f>
        <v>652.1915921767378</v>
      </c>
      <c r="AC24" s="108">
        <f>BAU_Fuel_cons!AL24*_xlfn.XLOOKUP($B24,efs!$A$74:$A$84,efs!$E$74:$E$84,0,0)</f>
        <v>589.10587948921136</v>
      </c>
      <c r="AD24" s="108">
        <f>BAU_Fuel_cons!AM24*_xlfn.XLOOKUP($B24,efs!$A$74:$A$84,efs!$E$74:$E$84,0,0)</f>
        <v>521.04540272722659</v>
      </c>
      <c r="AE24" s="108">
        <f>BAU_Fuel_cons!AN24*_xlfn.XLOOKUP($B24,efs!$A$74:$A$84,efs!$E$74:$E$84,0,0)</f>
        <v>447.86150877767062</v>
      </c>
      <c r="AF24" s="108">
        <f>BAU_Fuel_cons!AO24*_xlfn.XLOOKUP($B24,efs!$A$74:$A$84,efs!$E$74:$E$84,0,0)</f>
        <v>369.40651853638411</v>
      </c>
      <c r="AG24" s="108">
        <f>BAU_Fuel_cons!AP24*_xlfn.XLOOKUP($B24,efs!$A$74:$A$84,efs!$E$74:$E$84,0,0)</f>
        <v>285.53432065334579</v>
      </c>
      <c r="AH24" s="108">
        <f>BAU_Fuel_cons!AQ24*_xlfn.XLOOKUP($B24,efs!$A$74:$A$84,efs!$E$74:$E$84,0,0)</f>
        <v>196.1018125322208</v>
      </c>
      <c r="AI24" s="108">
        <f>BAU_Fuel_cons!AR24*_xlfn.XLOOKUP($B24,efs!$A$74:$A$84,efs!$E$74:$E$84,0,0)</f>
        <v>100.96898038589093</v>
      </c>
      <c r="AJ24" s="109">
        <f>BAU_Fuel_cons!AS24*_xlfn.XLOOKUP($B24,efs!$A$74:$A$84,efs!$E$74:$E$84,0,0)</f>
        <v>0</v>
      </c>
    </row>
    <row r="25" spans="1:36">
      <c r="A25" s="90" t="s">
        <v>19</v>
      </c>
      <c r="B25" s="3" t="s">
        <v>8</v>
      </c>
      <c r="C25" s="4" t="s">
        <v>53</v>
      </c>
      <c r="D25" s="91" t="s">
        <v>122</v>
      </c>
      <c r="E25" s="110">
        <f>BAU_Fuel_cons!N25*_xlfn.XLOOKUP($B25,efs!$A$74:$A$84,efs!$E$74:$E$84,0,0)</f>
        <v>4547.5057270006982</v>
      </c>
      <c r="F25" s="18">
        <f>BAU_Fuel_cons!O25*_xlfn.XLOOKUP($B25,efs!$A$74:$A$84,efs!$E$74:$E$84,0,0)</f>
        <v>4843.9431856761921</v>
      </c>
      <c r="G25" s="18">
        <f>BAU_Fuel_cons!P25*_xlfn.XLOOKUP($B25,efs!$A$74:$A$84,efs!$E$74:$E$84,0,0)</f>
        <v>5155.5118672755725</v>
      </c>
      <c r="H25" s="18">
        <f>BAU_Fuel_cons!Q25*_xlfn.XLOOKUP($B25,efs!$A$74:$A$84,efs!$E$74:$E$84,0,0)</f>
        <v>5482.6683417811928</v>
      </c>
      <c r="I25" s="18">
        <f>BAU_Fuel_cons!R25*_xlfn.XLOOKUP($B25,efs!$A$74:$A$84,efs!$E$74:$E$84,0,0)</f>
        <v>5825.7617568160922</v>
      </c>
      <c r="J25" s="18">
        <f>BAU_Fuel_cons!S25*_xlfn.XLOOKUP($B25,efs!$A$74:$A$84,efs!$E$74:$E$84,0,0)</f>
        <v>6185.0848978027325</v>
      </c>
      <c r="K25" s="18">
        <f>BAU_Fuel_cons!T25*_xlfn.XLOOKUP($B25,efs!$A$74:$A$84,efs!$E$74:$E$84,0,0)</f>
        <v>6502.4475784077085</v>
      </c>
      <c r="L25" s="18">
        <f>BAU_Fuel_cons!U25*_xlfn.XLOOKUP($B25,efs!$A$74:$A$84,efs!$E$74:$E$84,0,0)</f>
        <v>6831.7530599977335</v>
      </c>
      <c r="M25" s="18">
        <f>BAU_Fuel_cons!V25*_xlfn.XLOOKUP($B25,efs!$A$74:$A$84,efs!$E$74:$E$84,0,0)</f>
        <v>7173.0869525417029</v>
      </c>
      <c r="N25" s="18">
        <f>BAU_Fuel_cons!W25*_xlfn.XLOOKUP($B25,efs!$A$74:$A$84,efs!$E$74:$E$84,0,0)</f>
        <v>7526.4329260758714</v>
      </c>
      <c r="O25" s="18">
        <f>BAU_Fuel_cons!X25*_xlfn.XLOOKUP($B25,efs!$A$74:$A$84,efs!$E$74:$E$84,0,0)</f>
        <v>7891.7103968112433</v>
      </c>
      <c r="P25" s="18">
        <f>BAU_Fuel_cons!Y25*_xlfn.XLOOKUP($B25,efs!$A$74:$A$84,efs!$E$74:$E$84,0,0)</f>
        <v>8268.8343005547522</v>
      </c>
      <c r="Q25" s="18">
        <f>BAU_Fuel_cons!Z25*_xlfn.XLOOKUP($B25,efs!$A$74:$A$84,efs!$E$74:$E$84,0,0)</f>
        <v>8657.7137069563087</v>
      </c>
      <c r="R25" s="18">
        <f>BAU_Fuel_cons!AA25*_xlfn.XLOOKUP($B25,efs!$A$74:$A$84,efs!$E$74:$E$84,0,0)</f>
        <v>9058.2514022368832</v>
      </c>
      <c r="S25" s="18">
        <f>BAU_Fuel_cons!AB25*_xlfn.XLOOKUP($B25,efs!$A$74:$A$84,efs!$E$74:$E$84,0,0)</f>
        <v>9470.2350710584269</v>
      </c>
      <c r="T25" s="18">
        <f>BAU_Fuel_cons!AC25*_xlfn.XLOOKUP($B25,efs!$A$74:$A$84,efs!$E$74:$E$84,0,0)</f>
        <v>9893.2010081410754</v>
      </c>
      <c r="U25" s="18">
        <f>BAU_Fuel_cons!AD25*_xlfn.XLOOKUP($B25,efs!$A$74:$A$84,efs!$E$74:$E$84,0,0)</f>
        <v>10330.047275733014</v>
      </c>
      <c r="V25" s="18">
        <f>BAU_Fuel_cons!AE25*_xlfn.XLOOKUP($B25,efs!$A$74:$A$84,efs!$E$74:$E$84,0,0)</f>
        <v>10780.438322929944</v>
      </c>
      <c r="W25" s="18">
        <f>BAU_Fuel_cons!AF25*_xlfn.XLOOKUP($B25,efs!$A$74:$A$84,efs!$E$74:$E$84,0,0)</f>
        <v>11244.529594370915</v>
      </c>
      <c r="X25" s="18">
        <f>BAU_Fuel_cons!AG25*_xlfn.XLOOKUP($B25,efs!$A$74:$A$84,efs!$E$74:$E$84,0,0)</f>
        <v>11722.553307959895</v>
      </c>
      <c r="Y25" s="18">
        <f>BAU_Fuel_cons!AH25*_xlfn.XLOOKUP($B25,efs!$A$74:$A$84,efs!$E$74:$E$84,0,0)</f>
        <v>12214.767959316896</v>
      </c>
      <c r="Z25" s="18">
        <f>BAU_Fuel_cons!AI25*_xlfn.XLOOKUP($B25,efs!$A$74:$A$84,efs!$E$74:$E$84,0,0)</f>
        <v>12721.406501036859</v>
      </c>
      <c r="AA25" s="18">
        <f>BAU_Fuel_cons!AJ25*_xlfn.XLOOKUP($B25,efs!$A$74:$A$84,efs!$E$74:$E$84,0,0)</f>
        <v>13242.627731994839</v>
      </c>
      <c r="AB25" s="18">
        <f>BAU_Fuel_cons!AK25*_xlfn.XLOOKUP($B25,efs!$A$74:$A$84,efs!$E$74:$E$84,0,0)</f>
        <v>13778.556882066017</v>
      </c>
      <c r="AC25" s="18">
        <f>BAU_Fuel_cons!AL25*_xlfn.XLOOKUP($B25,efs!$A$74:$A$84,efs!$E$74:$E$84,0,0)</f>
        <v>14329.341761391735</v>
      </c>
      <c r="AD25" s="18">
        <f>BAU_Fuel_cons!AM25*_xlfn.XLOOKUP($B25,efs!$A$74:$A$84,efs!$E$74:$E$84,0,0)</f>
        <v>14895.121620612372</v>
      </c>
      <c r="AE25" s="18">
        <f>BAU_Fuel_cons!AN25*_xlfn.XLOOKUP($B25,efs!$A$74:$A$84,efs!$E$74:$E$84,0,0)</f>
        <v>15476.011318106257</v>
      </c>
      <c r="AF25" s="18">
        <f>BAU_Fuel_cons!AO25*_xlfn.XLOOKUP($B25,efs!$A$74:$A$84,efs!$E$74:$E$84,0,0)</f>
        <v>16072.096419328012</v>
      </c>
      <c r="AG25" s="18">
        <f>BAU_Fuel_cons!AP25*_xlfn.XLOOKUP($B25,efs!$A$74:$A$84,efs!$E$74:$E$84,0,0)</f>
        <v>16683.421104034343</v>
      </c>
      <c r="AH25" s="18">
        <f>BAU_Fuel_cons!AQ25*_xlfn.XLOOKUP($B25,efs!$A$74:$A$84,efs!$E$74:$E$84,0,0)</f>
        <v>17310.016817880092</v>
      </c>
      <c r="AI25" s="18">
        <f>BAU_Fuel_cons!AR25*_xlfn.XLOOKUP($B25,efs!$A$74:$A$84,efs!$E$74:$E$84,0,0)</f>
        <v>17951.871712218188</v>
      </c>
      <c r="AJ25" s="111">
        <f>BAU_Fuel_cons!AS25*_xlfn.XLOOKUP($B25,efs!$A$74:$A$84,efs!$E$74:$E$84,0,0)</f>
        <v>18608.959125370344</v>
      </c>
    </row>
    <row r="26" spans="1:36">
      <c r="A26" s="90" t="s">
        <v>19</v>
      </c>
      <c r="B26" t="s">
        <v>37</v>
      </c>
      <c r="C26" s="4" t="s">
        <v>53</v>
      </c>
      <c r="D26" s="91" t="s">
        <v>122</v>
      </c>
      <c r="E26" s="110">
        <f>BAU_Fuel_cons!N26*_xlfn.XLOOKUP($B26,efs!$A$74:$A$84,efs!$E$74:$E$84,0,0)</f>
        <v>27.367630683464512</v>
      </c>
      <c r="F26" s="18">
        <f>BAU_Fuel_cons!O26*_xlfn.XLOOKUP($B26,efs!$A$74:$A$84,efs!$E$74:$E$84,0,0)</f>
        <v>33.832143273149342</v>
      </c>
      <c r="G26" s="18">
        <f>BAU_Fuel_cons!P26*_xlfn.XLOOKUP($B26,efs!$A$74:$A$84,efs!$E$74:$E$84,0,0)</f>
        <v>40.804285297318835</v>
      </c>
      <c r="H26" s="18">
        <f>BAU_Fuel_cons!Q26*_xlfn.XLOOKUP($B26,efs!$A$74:$A$84,efs!$E$74:$E$84,0,0)</f>
        <v>48.307489876017407</v>
      </c>
      <c r="I26" s="18">
        <f>BAU_Fuel_cons!R26*_xlfn.XLOOKUP($B26,efs!$A$74:$A$84,efs!$E$74:$E$84,0,0)</f>
        <v>56.364334846724127</v>
      </c>
      <c r="J26" s="18">
        <f>BAU_Fuel_cons!S26*_xlfn.XLOOKUP($B26,efs!$A$74:$A$84,efs!$E$74:$E$84,0,0)</f>
        <v>64.996615375086918</v>
      </c>
      <c r="K26" s="18">
        <f>BAU_Fuel_cons!T26*_xlfn.XLOOKUP($B26,efs!$A$74:$A$84,efs!$E$74:$E$84,0,0)</f>
        <v>73.736425489966109</v>
      </c>
      <c r="L26" s="18">
        <f>BAU_Fuel_cons!U26*_xlfn.XLOOKUP($B26,efs!$A$74:$A$84,efs!$E$74:$E$84,0,0)</f>
        <v>83.053485849939875</v>
      </c>
      <c r="M26" s="18">
        <f>BAU_Fuel_cons!V26*_xlfn.XLOOKUP($B26,efs!$A$74:$A$84,efs!$E$74:$E$84,0,0)</f>
        <v>92.966866023979321</v>
      </c>
      <c r="N26" s="18">
        <f>BAU_Fuel_cons!W26*_xlfn.XLOOKUP($B26,efs!$A$74:$A$84,efs!$E$74:$E$84,0,0)</f>
        <v>103.49390920826012</v>
      </c>
      <c r="O26" s="18">
        <f>BAU_Fuel_cons!X26*_xlfn.XLOOKUP($B26,efs!$A$74:$A$84,efs!$E$74:$E$84,0,0)</f>
        <v>114.65039691311635</v>
      </c>
      <c r="P26" s="18">
        <f>BAU_Fuel_cons!Y26*_xlfn.XLOOKUP($B26,efs!$A$74:$A$84,efs!$E$74:$E$84,0,0)</f>
        <v>126.4512430204084</v>
      </c>
      <c r="Q26" s="18">
        <f>BAU_Fuel_cons!Z26*_xlfn.XLOOKUP($B26,efs!$A$74:$A$84,efs!$E$74:$E$84,0,0)</f>
        <v>138.91048700081706</v>
      </c>
      <c r="R26" s="18">
        <f>BAU_Fuel_cons!AA26*_xlfn.XLOOKUP($B26,efs!$A$74:$A$84,efs!$E$74:$E$84,0,0)</f>
        <v>152.04129648961435</v>
      </c>
      <c r="S26" s="18">
        <f>BAU_Fuel_cons!AB26*_xlfn.XLOOKUP($B26,efs!$A$74:$A$84,efs!$E$74:$E$84,0,0)</f>
        <v>165.85406913630169</v>
      </c>
      <c r="T26" s="18">
        <f>BAU_Fuel_cons!AC26*_xlfn.XLOOKUP($B26,efs!$A$74:$A$84,efs!$E$74:$E$84,0,0)</f>
        <v>180.35356526777525</v>
      </c>
      <c r="U26" s="18">
        <f>BAU_Fuel_cons!AD26*_xlfn.XLOOKUP($B26,efs!$A$74:$A$84,efs!$E$74:$E$84,0,0)</f>
        <v>195.60647983397934</v>
      </c>
      <c r="V26" s="18">
        <f>BAU_Fuel_cons!AE26*_xlfn.XLOOKUP($B26,efs!$A$74:$A$84,efs!$E$74:$E$84,0,0)</f>
        <v>211.62371622888676</v>
      </c>
      <c r="W26" s="18">
        <f>BAU_Fuel_cons!AF26*_xlfn.XLOOKUP($B26,efs!$A$74:$A$84,efs!$E$74:$E$84,0,0)</f>
        <v>228.42469463756876</v>
      </c>
      <c r="X26" s="18">
        <f>BAU_Fuel_cons!AG26*_xlfn.XLOOKUP($B26,efs!$A$74:$A$84,efs!$E$74:$E$84,0,0)</f>
        <v>246.03036757739207</v>
      </c>
      <c r="Y26" s="18">
        <f>BAU_Fuel_cons!AH26*_xlfn.XLOOKUP($B26,efs!$A$74:$A$84,efs!$E$74:$E$84,0,0)</f>
        <v>264.4623842170538</v>
      </c>
      <c r="Z26" s="18">
        <f>BAU_Fuel_cons!AI26*_xlfn.XLOOKUP($B26,efs!$A$74:$A$84,efs!$E$74:$E$84,0,0)</f>
        <v>283.74201557003101</v>
      </c>
      <c r="AA26" s="18">
        <f>BAU_Fuel_cons!AJ26*_xlfn.XLOOKUP($B26,efs!$A$74:$A$84,efs!$E$74:$E$84,0,0)</f>
        <v>303.88894963956943</v>
      </c>
      <c r="AB26" s="18">
        <f>BAU_Fuel_cons!AK26*_xlfn.XLOOKUP($B26,efs!$A$74:$A$84,efs!$E$74:$E$84,0,0)</f>
        <v>324.92200902922644</v>
      </c>
      <c r="AC26" s="18">
        <f>BAU_Fuel_cons!AL26*_xlfn.XLOOKUP($B26,efs!$A$74:$A$84,efs!$E$74:$E$84,0,0)</f>
        <v>346.86040799379435</v>
      </c>
      <c r="AD26" s="18">
        <f>BAU_Fuel_cons!AM26*_xlfn.XLOOKUP($B26,efs!$A$74:$A$84,efs!$E$74:$E$84,0,0)</f>
        <v>369.72305464797347</v>
      </c>
      <c r="AE26" s="18">
        <f>BAU_Fuel_cons!AN26*_xlfn.XLOOKUP($B26,efs!$A$74:$A$84,efs!$E$74:$E$84,0,0)</f>
        <v>393.52812581125346</v>
      </c>
      <c r="AF26" s="18">
        <f>BAU_Fuel_cons!AO26*_xlfn.XLOOKUP($B26,efs!$A$74:$A$84,efs!$E$74:$E$84,0,0)</f>
        <v>418.29287056210279</v>
      </c>
      <c r="AG26" s="18">
        <f>BAU_Fuel_cons!AP26*_xlfn.XLOOKUP($B26,efs!$A$74:$A$84,efs!$E$74:$E$84,0,0)</f>
        <v>444.03320800673771</v>
      </c>
      <c r="AH26" s="18">
        <f>BAU_Fuel_cons!AQ26*_xlfn.XLOOKUP($B26,efs!$A$74:$A$84,efs!$E$74:$E$84,0,0)</f>
        <v>470.76439441924776</v>
      </c>
      <c r="AI26" s="18">
        <f>BAU_Fuel_cons!AR26*_xlfn.XLOOKUP($B26,efs!$A$74:$A$84,efs!$E$74:$E$84,0,0)</f>
        <v>498.50014933371222</v>
      </c>
      <c r="AJ26" s="111">
        <f>BAU_Fuel_cons!AS26*_xlfn.XLOOKUP($B26,efs!$A$74:$A$84,efs!$E$74:$E$84,0,0)</f>
        <v>527.25335201294229</v>
      </c>
    </row>
    <row r="27" spans="1:36">
      <c r="A27" s="90" t="s">
        <v>19</v>
      </c>
      <c r="B27" t="s">
        <v>10</v>
      </c>
      <c r="C27" s="4" t="s">
        <v>53</v>
      </c>
      <c r="D27" s="91" t="s">
        <v>122</v>
      </c>
      <c r="E27" s="110">
        <f>BAU_Fuel_cons!N27*_xlfn.XLOOKUP($B27,efs!$A$74:$A$84,efs!$E$74:$E$84,0,0)</f>
        <v>14.029299556993344</v>
      </c>
      <c r="F27" s="18">
        <f>BAU_Fuel_cons!O27*_xlfn.XLOOKUP($B27,efs!$A$74:$A$84,efs!$E$74:$E$84,0,0)</f>
        <v>17.343162735709221</v>
      </c>
      <c r="G27" s="18">
        <f>BAU_Fuel_cons!P27*_xlfn.XLOOKUP($B27,efs!$A$74:$A$84,efs!$E$74:$E$84,0,0)</f>
        <v>20.917248857461342</v>
      </c>
      <c r="H27" s="18">
        <f>BAU_Fuel_cons!Q27*_xlfn.XLOOKUP($B27,efs!$A$74:$A$84,efs!$E$74:$E$84,0,0)</f>
        <v>24.763570297904892</v>
      </c>
      <c r="I27" s="18">
        <f>BAU_Fuel_cons!R27*_xlfn.XLOOKUP($B27,efs!$A$74:$A$84,efs!$E$74:$E$84,0,0)</f>
        <v>28.893700994480252</v>
      </c>
      <c r="J27" s="18">
        <f>BAU_Fuel_cons!S27*_xlfn.XLOOKUP($B27,efs!$A$74:$A$84,efs!$E$74:$E$84,0,0)</f>
        <v>33.318813668395045</v>
      </c>
      <c r="K27" s="18">
        <f>BAU_Fuel_cons!T27*_xlfn.XLOOKUP($B27,efs!$A$74:$A$84,efs!$E$74:$E$84,0,0)</f>
        <v>37.799048570387093</v>
      </c>
      <c r="L27" s="18">
        <f>BAU_Fuel_cons!U27*_xlfn.XLOOKUP($B27,efs!$A$74:$A$84,efs!$E$74:$E$84,0,0)</f>
        <v>42.575195701736767</v>
      </c>
      <c r="M27" s="18">
        <f>BAU_Fuel_cons!V27*_xlfn.XLOOKUP($B27,efs!$A$74:$A$84,efs!$E$74:$E$84,0,0)</f>
        <v>47.657030577855416</v>
      </c>
      <c r="N27" s="18">
        <f>BAU_Fuel_cons!W27*_xlfn.XLOOKUP($B27,efs!$A$74:$A$84,efs!$E$74:$E$84,0,0)</f>
        <v>53.053443734326407</v>
      </c>
      <c r="O27" s="18">
        <f>BAU_Fuel_cons!X27*_xlfn.XLOOKUP($B27,efs!$A$74:$A$84,efs!$E$74:$E$84,0,0)</f>
        <v>58.772525149361599</v>
      </c>
      <c r="P27" s="18">
        <f>BAU_Fuel_cons!Y27*_xlfn.XLOOKUP($B27,efs!$A$74:$A$84,efs!$E$74:$E$84,0,0)</f>
        <v>64.821920034144838</v>
      </c>
      <c r="Q27" s="18">
        <f>BAU_Fuel_cons!Z27*_xlfn.XLOOKUP($B27,efs!$A$74:$A$84,efs!$E$74:$E$84,0,0)</f>
        <v>71.208825355855339</v>
      </c>
      <c r="R27" s="18">
        <f>BAU_Fuel_cons!AA27*_xlfn.XLOOKUP($B27,efs!$A$74:$A$84,efs!$E$74:$E$84,0,0)</f>
        <v>77.939991158069276</v>
      </c>
      <c r="S27" s="18">
        <f>BAU_Fuel_cons!AB27*_xlfn.XLOOKUP($B27,efs!$A$74:$A$84,efs!$E$74:$E$84,0,0)</f>
        <v>85.020747523658287</v>
      </c>
      <c r="T27" s="18">
        <f>BAU_Fuel_cons!AC27*_xlfn.XLOOKUP($B27,efs!$A$74:$A$84,efs!$E$74:$E$84,0,0)</f>
        <v>92.453534709610167</v>
      </c>
      <c r="U27" s="18">
        <f>BAU_Fuel_cons!AD27*_xlfn.XLOOKUP($B27,efs!$A$74:$A$84,efs!$E$74:$E$84,0,0)</f>
        <v>100.2725421363585</v>
      </c>
      <c r="V27" s="18">
        <f>BAU_Fuel_cons!AE27*_xlfn.XLOOKUP($B27,efs!$A$74:$A$84,efs!$E$74:$E$84,0,0)</f>
        <v>108.48335914344104</v>
      </c>
      <c r="W27" s="18">
        <f>BAU_Fuel_cons!AF27*_xlfn.XLOOKUP($B27,efs!$A$74:$A$84,efs!$E$74:$E$84,0,0)</f>
        <v>117.09594098043584</v>
      </c>
      <c r="X27" s="18">
        <f>BAU_Fuel_cons!AG27*_xlfn.XLOOKUP($B27,efs!$A$74:$A$84,efs!$E$74:$E$84,0,0)</f>
        <v>126.12102840696559</v>
      </c>
      <c r="Y27" s="18">
        <f>BAU_Fuel_cons!AH27*_xlfn.XLOOKUP($B27,efs!$A$74:$A$84,efs!$E$74:$E$84,0,0)</f>
        <v>135.5697193027234</v>
      </c>
      <c r="Z27" s="18">
        <f>BAU_Fuel_cons!AI27*_xlfn.XLOOKUP($B27,efs!$A$74:$A$84,efs!$E$74:$E$84,0,0)</f>
        <v>145.45291769602667</v>
      </c>
      <c r="AA27" s="18">
        <f>BAU_Fuel_cons!AJ27*_xlfn.XLOOKUP($B27,efs!$A$74:$A$84,efs!$E$74:$E$84,0,0)</f>
        <v>155.78071612643069</v>
      </c>
      <c r="AB27" s="18">
        <f>BAU_Fuel_cons!AK27*_xlfn.XLOOKUP($B27,efs!$A$74:$A$84,efs!$E$74:$E$84,0,0)</f>
        <v>166.56276350899174</v>
      </c>
      <c r="AC27" s="18">
        <f>BAU_Fuel_cons!AL27*_xlfn.XLOOKUP($B27,efs!$A$74:$A$84,efs!$E$74:$E$84,0,0)</f>
        <v>177.80890952852025</v>
      </c>
      <c r="AD27" s="18">
        <f>BAU_Fuel_cons!AM27*_xlfn.XLOOKUP($B27,efs!$A$74:$A$84,efs!$E$74:$E$84,0,0)</f>
        <v>189.52884693512163</v>
      </c>
      <c r="AE27" s="18">
        <f>BAU_Fuel_cons!AN27*_xlfn.XLOOKUP($B27,efs!$A$74:$A$84,efs!$E$74:$E$84,0,0)</f>
        <v>201.73189359955208</v>
      </c>
      <c r="AF27" s="18">
        <f>BAU_Fuel_cons!AO27*_xlfn.XLOOKUP($B27,efs!$A$74:$A$84,efs!$E$74:$E$84,0,0)</f>
        <v>214.42689181041581</v>
      </c>
      <c r="AG27" s="18">
        <f>BAU_Fuel_cons!AP27*_xlfn.XLOOKUP($B27,efs!$A$74:$A$84,efs!$E$74:$E$84,0,0)</f>
        <v>227.62200208085227</v>
      </c>
      <c r="AH27" s="18">
        <f>BAU_Fuel_cons!AQ27*_xlfn.XLOOKUP($B27,efs!$A$74:$A$84,efs!$E$74:$E$84,0,0)</f>
        <v>241.32504514045991</v>
      </c>
      <c r="AI27" s="18">
        <f>BAU_Fuel_cons!AR27*_xlfn.XLOOKUP($B27,efs!$A$74:$A$84,efs!$E$74:$E$84,0,0)</f>
        <v>255.54305394929307</v>
      </c>
      <c r="AJ27" s="111">
        <f>BAU_Fuel_cons!AS27*_xlfn.XLOOKUP($B27,efs!$A$74:$A$84,efs!$E$74:$E$84,0,0)</f>
        <v>270.28263072433333</v>
      </c>
    </row>
    <row r="28" spans="1:36">
      <c r="A28" s="90" t="s">
        <v>19</v>
      </c>
      <c r="B28" t="s">
        <v>11</v>
      </c>
      <c r="C28" s="4" t="s">
        <v>53</v>
      </c>
      <c r="D28" s="91" t="s">
        <v>122</v>
      </c>
      <c r="E28" s="110">
        <f>BAU_Fuel_cons!N28*_xlfn.XLOOKUP($B28,efs!$A$74:$A$84,efs!$E$74:$E$84,0,0)</f>
        <v>5.5302720315854073</v>
      </c>
      <c r="F28" s="18">
        <f>BAU_Fuel_cons!O28*_xlfn.XLOOKUP($B28,efs!$A$74:$A$84,efs!$E$74:$E$84,0,0)</f>
        <v>6.5181831598727058</v>
      </c>
      <c r="G28" s="18">
        <f>BAU_Fuel_cons!P28*_xlfn.XLOOKUP($B28,efs!$A$74:$A$84,efs!$E$74:$E$84,0,0)</f>
        <v>7.5803353760900718</v>
      </c>
      <c r="H28" s="18">
        <f>BAU_Fuel_cons!Q28*_xlfn.XLOOKUP($B28,efs!$A$74:$A$84,efs!$E$74:$E$84,0,0)</f>
        <v>8.7200567491579264</v>
      </c>
      <c r="I28" s="18">
        <f>BAU_Fuel_cons!R28*_xlfn.XLOOKUP($B28,efs!$A$74:$A$84,efs!$E$74:$E$84,0,0)</f>
        <v>9.940516721701405</v>
      </c>
      <c r="J28" s="18">
        <f>BAU_Fuel_cons!S28*_xlfn.XLOOKUP($B28,efs!$A$74:$A$84,efs!$E$74:$E$84,0,0)</f>
        <v>11.244756746903281</v>
      </c>
      <c r="K28" s="18">
        <f>BAU_Fuel_cons!T28*_xlfn.XLOOKUP($B28,efs!$A$74:$A$84,efs!$E$74:$E$84,0,0)</f>
        <v>11.270472341471056</v>
      </c>
      <c r="L28" s="18">
        <f>BAU_Fuel_cons!U28*_xlfn.XLOOKUP($B28,efs!$A$74:$A$84,efs!$E$74:$E$84,0,0)</f>
        <v>11.271824086162807</v>
      </c>
      <c r="M28" s="18">
        <f>BAU_Fuel_cons!V28*_xlfn.XLOOKUP($B28,efs!$A$74:$A$84,efs!$E$74:$E$84,0,0)</f>
        <v>11.247114368061371</v>
      </c>
      <c r="N28" s="18">
        <f>BAU_Fuel_cons!W28*_xlfn.XLOOKUP($B28,efs!$A$74:$A$84,efs!$E$74:$E$84,0,0)</f>
        <v>11.194527063067399</v>
      </c>
      <c r="O28" s="18">
        <f>BAU_Fuel_cons!X28*_xlfn.XLOOKUP($B28,efs!$A$74:$A$84,efs!$E$74:$E$84,0,0)</f>
        <v>11.112219646751891</v>
      </c>
      <c r="P28" s="18">
        <f>BAU_Fuel_cons!Y28*_xlfn.XLOOKUP($B28,efs!$A$74:$A$84,efs!$E$74:$E$84,0,0)</f>
        <v>10.998425141295366</v>
      </c>
      <c r="Q28" s="18">
        <f>BAU_Fuel_cons!Z28*_xlfn.XLOOKUP($B28,efs!$A$74:$A$84,efs!$E$74:$E$84,0,0)</f>
        <v>10.851448802639258</v>
      </c>
      <c r="R28" s="18">
        <f>BAU_Fuel_cons!AA28*_xlfn.XLOOKUP($B28,efs!$A$74:$A$84,efs!$E$74:$E$84,0,0)</f>
        <v>10.669666651903547</v>
      </c>
      <c r="S28" s="18">
        <f>BAU_Fuel_cons!AB28*_xlfn.XLOOKUP($B28,efs!$A$74:$A$84,efs!$E$74:$E$84,0,0)</f>
        <v>10.451404607642111</v>
      </c>
      <c r="T28" s="18">
        <f>BAU_Fuel_cons!AC28*_xlfn.XLOOKUP($B28,efs!$A$74:$A$84,efs!$E$74:$E$84,0,0)</f>
        <v>10.194837085352871</v>
      </c>
      <c r="U28" s="18">
        <f>BAU_Fuel_cons!AD28*_xlfn.XLOOKUP($B28,efs!$A$74:$A$84,efs!$E$74:$E$84,0,0)</f>
        <v>9.9015365269204807</v>
      </c>
      <c r="V28" s="18">
        <f>BAU_Fuel_cons!AE28*_xlfn.XLOOKUP($B28,efs!$A$74:$A$84,efs!$E$74:$E$84,0,0)</f>
        <v>9.5694211314483635</v>
      </c>
      <c r="W28" s="18">
        <f>BAU_Fuel_cons!AF28*_xlfn.XLOOKUP($B28,efs!$A$74:$A$84,efs!$E$74:$E$84,0,0)</f>
        <v>9.1969593382867618</v>
      </c>
      <c r="X28" s="18">
        <f>BAU_Fuel_cons!AG28*_xlfn.XLOOKUP($B28,efs!$A$74:$A$84,efs!$E$74:$E$84,0,0)</f>
        <v>8.7826851606965253</v>
      </c>
      <c r="Y28" s="18">
        <f>BAU_Fuel_cons!AH28*_xlfn.XLOOKUP($B28,efs!$A$74:$A$84,efs!$E$74:$E$84,0,0)</f>
        <v>8.3251374958287272</v>
      </c>
      <c r="Z28" s="18">
        <f>BAU_Fuel_cons!AI28*_xlfn.XLOOKUP($B28,efs!$A$74:$A$84,efs!$E$74:$E$84,0,0)</f>
        <v>7.8228199948574861</v>
      </c>
      <c r="AA28" s="18">
        <f>BAU_Fuel_cons!AJ28*_xlfn.XLOOKUP($B28,efs!$A$74:$A$84,efs!$E$74:$E$84,0,0)</f>
        <v>7.2741834741445599</v>
      </c>
      <c r="AB28" s="18">
        <f>BAU_Fuel_cons!AK28*_xlfn.XLOOKUP($B28,efs!$A$74:$A$84,efs!$E$74:$E$84,0,0)</f>
        <v>6.6776700068636305</v>
      </c>
      <c r="AC28" s="18">
        <f>BAU_Fuel_cons!AL28*_xlfn.XLOOKUP($B28,efs!$A$74:$A$84,efs!$E$74:$E$84,0,0)</f>
        <v>6.0317469736195095</v>
      </c>
      <c r="AD28" s="18">
        <f>BAU_Fuel_cons!AM28*_xlfn.XLOOKUP($B28,efs!$A$74:$A$84,efs!$E$74:$E$84,0,0)</f>
        <v>5.3348882441019079</v>
      </c>
      <c r="AE28" s="18">
        <f>BAU_Fuel_cons!AN28*_xlfn.XLOOKUP($B28,efs!$A$74:$A$84,efs!$E$74:$E$84,0,0)</f>
        <v>4.5855717863699512</v>
      </c>
      <c r="AF28" s="18">
        <f>BAU_Fuel_cons!AO28*_xlfn.XLOOKUP($B28,efs!$A$74:$A$84,efs!$E$74:$E$84,0,0)</f>
        <v>3.7822855411816709</v>
      </c>
      <c r="AG28" s="18">
        <f>BAU_Fuel_cons!AP28*_xlfn.XLOOKUP($B28,efs!$A$74:$A$84,efs!$E$74:$E$84,0,0)</f>
        <v>2.9235335012419696</v>
      </c>
      <c r="AH28" s="18">
        <f>BAU_Fuel_cons!AQ28*_xlfn.XLOOKUP($B28,efs!$A$74:$A$84,efs!$E$74:$E$84,0,0)</f>
        <v>2.0078504653325031</v>
      </c>
      <c r="AI28" s="18">
        <f>BAU_Fuel_cons!AR28*_xlfn.XLOOKUP($B28,efs!$A$74:$A$84,efs!$E$74:$E$84,0,0)</f>
        <v>1.0338028579855691</v>
      </c>
      <c r="AJ28" s="111">
        <f>BAU_Fuel_cons!AS28*_xlfn.XLOOKUP($B28,efs!$A$74:$A$84,efs!$E$74:$E$84,0,0)</f>
        <v>0</v>
      </c>
    </row>
    <row r="29" spans="1:36">
      <c r="A29" s="90" t="s">
        <v>19</v>
      </c>
      <c r="B29" s="3" t="s">
        <v>12</v>
      </c>
      <c r="C29" s="4" t="s">
        <v>53</v>
      </c>
      <c r="D29" s="91" t="s">
        <v>122</v>
      </c>
      <c r="E29" s="110">
        <f>BAU_Fuel_cons!N29*_xlfn.XLOOKUP($B29,efs!$A$74:$A$84,efs!$E$74:$E$84,0,0)</f>
        <v>0.61231225619379859</v>
      </c>
      <c r="F29" s="18">
        <f>BAU_Fuel_cons!O29*_xlfn.XLOOKUP($B29,efs!$A$74:$A$84,efs!$E$74:$E$84,0,0)</f>
        <v>0.50273922189598064</v>
      </c>
      <c r="G29" s="18">
        <f>BAU_Fuel_cons!P29*_xlfn.XLOOKUP($B29,efs!$A$74:$A$84,efs!$E$74:$E$84,0,0)</f>
        <v>0.38189908984396626</v>
      </c>
      <c r="H29" s="18">
        <f>BAU_Fuel_cons!Q29*_xlfn.XLOOKUP($B29,efs!$A$74:$A$84,efs!$E$74:$E$84,0,0)</f>
        <v>0.24919267774178167</v>
      </c>
      <c r="I29" s="18">
        <f>BAU_Fuel_cons!R29*_xlfn.XLOOKUP($B29,efs!$A$74:$A$84,efs!$E$74:$E$84,0,0)</f>
        <v>0.1040130077428469</v>
      </c>
      <c r="J29" s="18">
        <f>BAU_Fuel_cons!S29*_xlfn.XLOOKUP($B29,efs!$A$74:$A$84,efs!$E$74:$E$84,0,0)</f>
        <v>0</v>
      </c>
      <c r="K29" s="18">
        <f>BAU_Fuel_cons!T29*_xlfn.XLOOKUP($B29,efs!$A$74:$A$84,efs!$E$74:$E$84,0,0)</f>
        <v>0</v>
      </c>
      <c r="L29" s="18">
        <f>BAU_Fuel_cons!U29*_xlfn.XLOOKUP($B29,efs!$A$74:$A$84,efs!$E$74:$E$84,0,0)</f>
        <v>0</v>
      </c>
      <c r="M29" s="18">
        <f>BAU_Fuel_cons!V29*_xlfn.XLOOKUP($B29,efs!$A$74:$A$84,efs!$E$74:$E$84,0,0)</f>
        <v>0</v>
      </c>
      <c r="N29" s="18">
        <f>BAU_Fuel_cons!W29*_xlfn.XLOOKUP($B29,efs!$A$74:$A$84,efs!$E$74:$E$84,0,0)</f>
        <v>0</v>
      </c>
      <c r="O29" s="18">
        <f>BAU_Fuel_cons!X29*_xlfn.XLOOKUP($B29,efs!$A$74:$A$84,efs!$E$74:$E$84,0,0)</f>
        <v>0</v>
      </c>
      <c r="P29" s="18">
        <f>BAU_Fuel_cons!Y29*_xlfn.XLOOKUP($B29,efs!$A$74:$A$84,efs!$E$74:$E$84,0,0)</f>
        <v>0</v>
      </c>
      <c r="Q29" s="18">
        <f>BAU_Fuel_cons!Z29*_xlfn.XLOOKUP($B29,efs!$A$74:$A$84,efs!$E$74:$E$84,0,0)</f>
        <v>0</v>
      </c>
      <c r="R29" s="18">
        <f>BAU_Fuel_cons!AA29*_xlfn.XLOOKUP($B29,efs!$A$74:$A$84,efs!$E$74:$E$84,0,0)</f>
        <v>0</v>
      </c>
      <c r="S29" s="18">
        <f>BAU_Fuel_cons!AB29*_xlfn.XLOOKUP($B29,efs!$A$74:$A$84,efs!$E$74:$E$84,0,0)</f>
        <v>0</v>
      </c>
      <c r="T29" s="18">
        <f>BAU_Fuel_cons!AC29*_xlfn.XLOOKUP($B29,efs!$A$74:$A$84,efs!$E$74:$E$84,0,0)</f>
        <v>0</v>
      </c>
      <c r="U29" s="18">
        <f>BAU_Fuel_cons!AD29*_xlfn.XLOOKUP($B29,efs!$A$74:$A$84,efs!$E$74:$E$84,0,0)</f>
        <v>0</v>
      </c>
      <c r="V29" s="18">
        <f>BAU_Fuel_cons!AE29*_xlfn.XLOOKUP($B29,efs!$A$74:$A$84,efs!$E$74:$E$84,0,0)</f>
        <v>0</v>
      </c>
      <c r="W29" s="18">
        <f>BAU_Fuel_cons!AF29*_xlfn.XLOOKUP($B29,efs!$A$74:$A$84,efs!$E$74:$E$84,0,0)</f>
        <v>0</v>
      </c>
      <c r="X29" s="18">
        <f>BAU_Fuel_cons!AG29*_xlfn.XLOOKUP($B29,efs!$A$74:$A$84,efs!$E$74:$E$84,0,0)</f>
        <v>0</v>
      </c>
      <c r="Y29" s="18">
        <f>BAU_Fuel_cons!AH29*_xlfn.XLOOKUP($B29,efs!$A$74:$A$84,efs!$E$74:$E$84,0,0)</f>
        <v>0</v>
      </c>
      <c r="Z29" s="18">
        <f>BAU_Fuel_cons!AI29*_xlfn.XLOOKUP($B29,efs!$A$74:$A$84,efs!$E$74:$E$84,0,0)</f>
        <v>0</v>
      </c>
      <c r="AA29" s="18">
        <f>BAU_Fuel_cons!AJ29*_xlfn.XLOOKUP($B29,efs!$A$74:$A$84,efs!$E$74:$E$84,0,0)</f>
        <v>0</v>
      </c>
      <c r="AB29" s="18">
        <f>BAU_Fuel_cons!AK29*_xlfn.XLOOKUP($B29,efs!$A$74:$A$84,efs!$E$74:$E$84,0,0)</f>
        <v>0</v>
      </c>
      <c r="AC29" s="18">
        <f>BAU_Fuel_cons!AL29*_xlfn.XLOOKUP($B29,efs!$A$74:$A$84,efs!$E$74:$E$84,0,0)</f>
        <v>0</v>
      </c>
      <c r="AD29" s="18">
        <f>BAU_Fuel_cons!AM29*_xlfn.XLOOKUP($B29,efs!$A$74:$A$84,efs!$E$74:$E$84,0,0)</f>
        <v>0</v>
      </c>
      <c r="AE29" s="18">
        <f>BAU_Fuel_cons!AN29*_xlfn.XLOOKUP($B29,efs!$A$74:$A$84,efs!$E$74:$E$84,0,0)</f>
        <v>0</v>
      </c>
      <c r="AF29" s="18">
        <f>BAU_Fuel_cons!AO29*_xlfn.XLOOKUP($B29,efs!$A$74:$A$84,efs!$E$74:$E$84,0,0)</f>
        <v>0</v>
      </c>
      <c r="AG29" s="18">
        <f>BAU_Fuel_cons!AP29*_xlfn.XLOOKUP($B29,efs!$A$74:$A$84,efs!$E$74:$E$84,0,0)</f>
        <v>0</v>
      </c>
      <c r="AH29" s="18">
        <f>BAU_Fuel_cons!AQ29*_xlfn.XLOOKUP($B29,efs!$A$74:$A$84,efs!$E$74:$E$84,0,0)</f>
        <v>0</v>
      </c>
      <c r="AI29" s="18">
        <f>BAU_Fuel_cons!AR29*_xlfn.XLOOKUP($B29,efs!$A$74:$A$84,efs!$E$74:$E$84,0,0)</f>
        <v>0</v>
      </c>
      <c r="AJ29" s="111">
        <f>BAU_Fuel_cons!AS29*_xlfn.XLOOKUP($B29,efs!$A$74:$A$84,efs!$E$74:$E$84,0,0)</f>
        <v>0</v>
      </c>
    </row>
    <row r="30" spans="1:36">
      <c r="A30" s="90" t="s">
        <v>19</v>
      </c>
      <c r="B30" s="3" t="s">
        <v>13</v>
      </c>
      <c r="C30" s="4" t="s">
        <v>53</v>
      </c>
      <c r="D30" s="91" t="s">
        <v>122</v>
      </c>
      <c r="E30" s="110">
        <f>BAU_Fuel_cons!N30*_xlfn.XLOOKUP($B30,efs!$A$74:$A$84,efs!$E$74:$E$84,0,0)</f>
        <v>71.997287421943611</v>
      </c>
      <c r="F30" s="18">
        <f>BAU_Fuel_cons!O30*_xlfn.XLOOKUP($B30,efs!$A$74:$A$84,efs!$E$74:$E$84,0,0)</f>
        <v>71.713303089902539</v>
      </c>
      <c r="G30" s="18">
        <f>BAU_Fuel_cons!P30*_xlfn.XLOOKUP($B30,efs!$A$74:$A$84,efs!$E$74:$E$84,0,0)</f>
        <v>71.225901554655721</v>
      </c>
      <c r="H30" s="18">
        <f>BAU_Fuel_cons!Q30*_xlfn.XLOOKUP($B30,efs!$A$74:$A$84,efs!$E$74:$E$84,0,0)</f>
        <v>70.520314438026077</v>
      </c>
      <c r="I30" s="18">
        <f>BAU_Fuel_cons!R30*_xlfn.XLOOKUP($B30,efs!$A$74:$A$84,efs!$E$74:$E$84,0,0)</f>
        <v>69.580294658787764</v>
      </c>
      <c r="J30" s="18">
        <f>BAU_Fuel_cons!S30*_xlfn.XLOOKUP($B30,efs!$A$74:$A$84,efs!$E$74:$E$84,0,0)</f>
        <v>68.389174387080217</v>
      </c>
      <c r="K30" s="18">
        <f>BAU_Fuel_cons!T30*_xlfn.XLOOKUP($B30,efs!$A$74:$A$84,efs!$E$74:$E$84,0,0)</f>
        <v>68.545573348920598</v>
      </c>
      <c r="L30" s="18">
        <f>BAU_Fuel_cons!U30*_xlfn.XLOOKUP($B30,efs!$A$74:$A$84,efs!$E$74:$E$84,0,0)</f>
        <v>68.553794487494926</v>
      </c>
      <c r="M30" s="18">
        <f>BAU_Fuel_cons!V30*_xlfn.XLOOKUP($B30,efs!$A$74:$A$84,efs!$E$74:$E$84,0,0)</f>
        <v>68.403513137855271</v>
      </c>
      <c r="N30" s="18">
        <f>BAU_Fuel_cons!W30*_xlfn.XLOOKUP($B30,efs!$A$74:$A$84,efs!$E$74:$E$84,0,0)</f>
        <v>68.083683865179367</v>
      </c>
      <c r="O30" s="18">
        <f>BAU_Fuel_cons!X30*_xlfn.XLOOKUP($B30,efs!$A$74:$A$84,efs!$E$74:$E$84,0,0)</f>
        <v>67.583100671211966</v>
      </c>
      <c r="P30" s="18">
        <f>BAU_Fuel_cons!Y30*_xlfn.XLOOKUP($B30,efs!$A$74:$A$84,efs!$E$74:$E$84,0,0)</f>
        <v>66.89101702252826</v>
      </c>
      <c r="Q30" s="18">
        <f>BAU_Fuel_cons!Z30*_xlfn.XLOOKUP($B30,efs!$A$74:$A$84,efs!$E$74:$E$84,0,0)</f>
        <v>65.997125702211804</v>
      </c>
      <c r="R30" s="18">
        <f>BAU_Fuel_cons!AA30*_xlfn.XLOOKUP($B30,efs!$A$74:$A$84,efs!$E$74:$E$84,0,0)</f>
        <v>64.891549878124124</v>
      </c>
      <c r="S30" s="18">
        <f>BAU_Fuel_cons!AB30*_xlfn.XLOOKUP($B30,efs!$A$74:$A$84,efs!$E$74:$E$84,0,0)</f>
        <v>63.564108000718775</v>
      </c>
      <c r="T30" s="18">
        <f>BAU_Fuel_cons!AC30*_xlfn.XLOOKUP($B30,efs!$A$74:$A$84,efs!$E$74:$E$84,0,0)</f>
        <v>62.003697098212399</v>
      </c>
      <c r="U30" s="18">
        <f>BAU_Fuel_cons!AD30*_xlfn.XLOOKUP($B30,efs!$A$74:$A$84,efs!$E$74:$E$84,0,0)</f>
        <v>60.219880561319819</v>
      </c>
      <c r="V30" s="18">
        <f>BAU_Fuel_cons!AE30*_xlfn.XLOOKUP($B30,efs!$A$74:$A$84,efs!$E$74:$E$84,0,0)</f>
        <v>58.199997142869549</v>
      </c>
      <c r="W30" s="18">
        <f>BAU_Fuel_cons!AF30*_xlfn.XLOOKUP($B30,efs!$A$74:$A$84,efs!$E$74:$E$84,0,0)</f>
        <v>55.934732086596256</v>
      </c>
      <c r="X30" s="18">
        <f>BAU_Fuel_cons!AG30*_xlfn.XLOOKUP($B30,efs!$A$74:$A$84,efs!$E$74:$E$84,0,0)</f>
        <v>53.415169448383978</v>
      </c>
      <c r="Y30" s="18">
        <f>BAU_Fuel_cons!AH30*_xlfn.XLOOKUP($B30,efs!$A$74:$A$84,efs!$E$74:$E$84,0,0)</f>
        <v>50.632422987313348</v>
      </c>
      <c r="Z30" s="18">
        <f>BAU_Fuel_cons!AI30*_xlfn.XLOOKUP($B30,efs!$A$74:$A$84,efs!$E$74:$E$84,0,0)</f>
        <v>47.577392100934667</v>
      </c>
      <c r="AA30" s="18">
        <f>BAU_Fuel_cons!AJ30*_xlfn.XLOOKUP($B30,efs!$A$74:$A$84,efs!$E$74:$E$84,0,0)</f>
        <v>44.240654852217382</v>
      </c>
      <c r="AB30" s="18">
        <f>BAU_Fuel_cons!AK30*_xlfn.XLOOKUP($B30,efs!$A$74:$A$84,efs!$E$74:$E$84,0,0)</f>
        <v>40.612736129177691</v>
      </c>
      <c r="AC30" s="18">
        <f>BAU_Fuel_cons!AL30*_xlfn.XLOOKUP($B30,efs!$A$74:$A$84,efs!$E$74:$E$84,0,0)</f>
        <v>36.684314736395741</v>
      </c>
      <c r="AD30" s="18">
        <f>BAU_Fuel_cons!AM30*_xlfn.XLOOKUP($B30,efs!$A$74:$A$84,efs!$E$74:$E$84,0,0)</f>
        <v>32.446108944237274</v>
      </c>
      <c r="AE30" s="18">
        <f>BAU_Fuel_cons!AN30*_xlfn.XLOOKUP($B30,efs!$A$74:$A$84,efs!$E$74:$E$84,0,0)</f>
        <v>27.88886194882739</v>
      </c>
      <c r="AF30" s="18">
        <f>BAU_Fuel_cons!AO30*_xlfn.XLOOKUP($B30,efs!$A$74:$A$84,efs!$E$74:$E$84,0,0)</f>
        <v>23.003377598972243</v>
      </c>
      <c r="AG30" s="18">
        <f>BAU_Fuel_cons!AP30*_xlfn.XLOOKUP($B30,efs!$A$74:$A$84,efs!$E$74:$E$84,0,0)</f>
        <v>17.780557369368719</v>
      </c>
      <c r="AH30" s="18">
        <f>BAU_Fuel_cons!AQ30*_xlfn.XLOOKUP($B30,efs!$A$74:$A$84,efs!$E$74:$E$84,0,0)</f>
        <v>12.211490093338108</v>
      </c>
      <c r="AI30" s="18">
        <f>BAU_Fuel_cons!AR30*_xlfn.XLOOKUP($B30,efs!$A$74:$A$84,efs!$E$74:$E$84,0,0)</f>
        <v>6.2874569479779217</v>
      </c>
      <c r="AJ30" s="111">
        <f>BAU_Fuel_cons!AS30*_xlfn.XLOOKUP($B30,efs!$A$74:$A$84,efs!$E$74:$E$84,0,0)</f>
        <v>0</v>
      </c>
    </row>
    <row r="31" spans="1:36">
      <c r="A31" s="90" t="s">
        <v>19</v>
      </c>
      <c r="B31" t="s">
        <v>14</v>
      </c>
      <c r="C31" s="4" t="s">
        <v>53</v>
      </c>
      <c r="D31" s="91" t="s">
        <v>122</v>
      </c>
      <c r="E31" s="110">
        <f>BAU_Fuel_cons!N31*_xlfn.XLOOKUP($B31,efs!$A$74:$A$84,efs!$E$74:$E$84,0,0)</f>
        <v>0</v>
      </c>
      <c r="F31" s="18">
        <f>BAU_Fuel_cons!O31*_xlfn.XLOOKUP($B31,efs!$A$74:$A$84,efs!$E$74:$E$84,0,0)</f>
        <v>0</v>
      </c>
      <c r="G31" s="18">
        <f>BAU_Fuel_cons!P31*_xlfn.XLOOKUP($B31,efs!$A$74:$A$84,efs!$E$74:$E$84,0,0)</f>
        <v>0</v>
      </c>
      <c r="H31" s="18">
        <f>BAU_Fuel_cons!Q31*_xlfn.XLOOKUP($B31,efs!$A$74:$A$84,efs!$E$74:$E$84,0,0)</f>
        <v>0</v>
      </c>
      <c r="I31" s="18">
        <f>BAU_Fuel_cons!R31*_xlfn.XLOOKUP($B31,efs!$A$74:$A$84,efs!$E$74:$E$84,0,0)</f>
        <v>0</v>
      </c>
      <c r="J31" s="18">
        <f>BAU_Fuel_cons!S31*_xlfn.XLOOKUP($B31,efs!$A$74:$A$84,efs!$E$74:$E$84,0,0)</f>
        <v>0</v>
      </c>
      <c r="K31" s="18">
        <f>BAU_Fuel_cons!T31*_xlfn.XLOOKUP($B31,efs!$A$74:$A$84,efs!$E$74:$E$84,0,0)</f>
        <v>0</v>
      </c>
      <c r="L31" s="18">
        <f>BAU_Fuel_cons!U31*_xlfn.XLOOKUP($B31,efs!$A$74:$A$84,efs!$E$74:$E$84,0,0)</f>
        <v>0</v>
      </c>
      <c r="M31" s="18">
        <f>BAU_Fuel_cons!V31*_xlfn.XLOOKUP($B31,efs!$A$74:$A$84,efs!$E$74:$E$84,0,0)</f>
        <v>0</v>
      </c>
      <c r="N31" s="18">
        <f>BAU_Fuel_cons!W31*_xlfn.XLOOKUP($B31,efs!$A$74:$A$84,efs!$E$74:$E$84,0,0)</f>
        <v>0</v>
      </c>
      <c r="O31" s="18">
        <f>BAU_Fuel_cons!X31*_xlfn.XLOOKUP($B31,efs!$A$74:$A$84,efs!$E$74:$E$84,0,0)</f>
        <v>0</v>
      </c>
      <c r="P31" s="18">
        <f>BAU_Fuel_cons!Y31*_xlfn.XLOOKUP($B31,efs!$A$74:$A$84,efs!$E$74:$E$84,0,0)</f>
        <v>0</v>
      </c>
      <c r="Q31" s="18">
        <f>BAU_Fuel_cons!Z31*_xlfn.XLOOKUP($B31,efs!$A$74:$A$84,efs!$E$74:$E$84,0,0)</f>
        <v>0</v>
      </c>
      <c r="R31" s="18">
        <f>BAU_Fuel_cons!AA31*_xlfn.XLOOKUP($B31,efs!$A$74:$A$84,efs!$E$74:$E$84,0,0)</f>
        <v>0</v>
      </c>
      <c r="S31" s="18">
        <f>BAU_Fuel_cons!AB31*_xlfn.XLOOKUP($B31,efs!$A$74:$A$84,efs!$E$74:$E$84,0,0)</f>
        <v>0</v>
      </c>
      <c r="T31" s="18">
        <f>BAU_Fuel_cons!AC31*_xlfn.XLOOKUP($B31,efs!$A$74:$A$84,efs!$E$74:$E$84,0,0)</f>
        <v>0</v>
      </c>
      <c r="U31" s="18">
        <f>BAU_Fuel_cons!AD31*_xlfn.XLOOKUP($B31,efs!$A$74:$A$84,efs!$E$74:$E$84,0,0)</f>
        <v>0</v>
      </c>
      <c r="V31" s="18">
        <f>BAU_Fuel_cons!AE31*_xlfn.XLOOKUP($B31,efs!$A$74:$A$84,efs!$E$74:$E$84,0,0)</f>
        <v>0</v>
      </c>
      <c r="W31" s="18">
        <f>BAU_Fuel_cons!AF31*_xlfn.XLOOKUP($B31,efs!$A$74:$A$84,efs!$E$74:$E$84,0,0)</f>
        <v>0</v>
      </c>
      <c r="X31" s="18">
        <f>BAU_Fuel_cons!AG31*_xlfn.XLOOKUP($B31,efs!$A$74:$A$84,efs!$E$74:$E$84,0,0)</f>
        <v>0</v>
      </c>
      <c r="Y31" s="18">
        <f>BAU_Fuel_cons!AH31*_xlfn.XLOOKUP($B31,efs!$A$74:$A$84,efs!$E$74:$E$84,0,0)</f>
        <v>0</v>
      </c>
      <c r="Z31" s="18">
        <f>BAU_Fuel_cons!AI31*_xlfn.XLOOKUP($B31,efs!$A$74:$A$84,efs!$E$74:$E$84,0,0)</f>
        <v>0</v>
      </c>
      <c r="AA31" s="18">
        <f>BAU_Fuel_cons!AJ31*_xlfn.XLOOKUP($B31,efs!$A$74:$A$84,efs!$E$74:$E$84,0,0)</f>
        <v>0</v>
      </c>
      <c r="AB31" s="18">
        <f>BAU_Fuel_cons!AK31*_xlfn.XLOOKUP($B31,efs!$A$74:$A$84,efs!$E$74:$E$84,0,0)</f>
        <v>0</v>
      </c>
      <c r="AC31" s="18">
        <f>BAU_Fuel_cons!AL31*_xlfn.XLOOKUP($B31,efs!$A$74:$A$84,efs!$E$74:$E$84,0,0)</f>
        <v>0</v>
      </c>
      <c r="AD31" s="18">
        <f>BAU_Fuel_cons!AM31*_xlfn.XLOOKUP($B31,efs!$A$74:$A$84,efs!$E$74:$E$84,0,0)</f>
        <v>0</v>
      </c>
      <c r="AE31" s="18">
        <f>BAU_Fuel_cons!AN31*_xlfn.XLOOKUP($B31,efs!$A$74:$A$84,efs!$E$74:$E$84,0,0)</f>
        <v>0</v>
      </c>
      <c r="AF31" s="18">
        <f>BAU_Fuel_cons!AO31*_xlfn.XLOOKUP($B31,efs!$A$74:$A$84,efs!$E$74:$E$84,0,0)</f>
        <v>0</v>
      </c>
      <c r="AG31" s="18">
        <f>BAU_Fuel_cons!AP31*_xlfn.XLOOKUP($B31,efs!$A$74:$A$84,efs!$E$74:$E$84,0,0)</f>
        <v>0</v>
      </c>
      <c r="AH31" s="18">
        <f>BAU_Fuel_cons!AQ31*_xlfn.XLOOKUP($B31,efs!$A$74:$A$84,efs!$E$74:$E$84,0,0)</f>
        <v>0</v>
      </c>
      <c r="AI31" s="18">
        <f>BAU_Fuel_cons!AR31*_xlfn.XLOOKUP($B31,efs!$A$74:$A$84,efs!$E$74:$E$84,0,0)</f>
        <v>0</v>
      </c>
      <c r="AJ31" s="111">
        <f>BAU_Fuel_cons!AS31*_xlfn.XLOOKUP($B31,efs!$A$74:$A$84,efs!$E$74:$E$84,0,0)</f>
        <v>0</v>
      </c>
    </row>
    <row r="32" spans="1:36">
      <c r="A32" s="90" t="s">
        <v>19</v>
      </c>
      <c r="B32" t="s">
        <v>15</v>
      </c>
      <c r="C32" s="4" t="s">
        <v>53</v>
      </c>
      <c r="D32" s="91" t="s">
        <v>122</v>
      </c>
      <c r="E32" s="110">
        <f>BAU_Fuel_cons!N32*_xlfn.XLOOKUP($B32,efs!$A$74:$A$84,efs!$E$74:$E$84,0,0)</f>
        <v>0</v>
      </c>
      <c r="F32" s="18">
        <f>BAU_Fuel_cons!O32*_xlfn.XLOOKUP($B32,efs!$A$74:$A$84,efs!$E$74:$E$84,0,0)</f>
        <v>0</v>
      </c>
      <c r="G32" s="18">
        <f>BAU_Fuel_cons!P32*_xlfn.XLOOKUP($B32,efs!$A$74:$A$84,efs!$E$74:$E$84,0,0)</f>
        <v>0</v>
      </c>
      <c r="H32" s="18">
        <f>BAU_Fuel_cons!Q32*_xlfn.XLOOKUP($B32,efs!$A$74:$A$84,efs!$E$74:$E$84,0,0)</f>
        <v>0</v>
      </c>
      <c r="I32" s="18">
        <f>BAU_Fuel_cons!R32*_xlfn.XLOOKUP($B32,efs!$A$74:$A$84,efs!$E$74:$E$84,0,0)</f>
        <v>0</v>
      </c>
      <c r="J32" s="18">
        <f>BAU_Fuel_cons!S32*_xlfn.XLOOKUP($B32,efs!$A$74:$A$84,efs!$E$74:$E$84,0,0)</f>
        <v>0</v>
      </c>
      <c r="K32" s="18">
        <f>BAU_Fuel_cons!T32*_xlfn.XLOOKUP($B32,efs!$A$74:$A$84,efs!$E$74:$E$84,0,0)</f>
        <v>0</v>
      </c>
      <c r="L32" s="18">
        <f>BAU_Fuel_cons!U32*_xlfn.XLOOKUP($B32,efs!$A$74:$A$84,efs!$E$74:$E$84,0,0)</f>
        <v>0</v>
      </c>
      <c r="M32" s="18">
        <f>BAU_Fuel_cons!V32*_xlfn.XLOOKUP($B32,efs!$A$74:$A$84,efs!$E$74:$E$84,0,0)</f>
        <v>0</v>
      </c>
      <c r="N32" s="18">
        <f>BAU_Fuel_cons!W32*_xlfn.XLOOKUP($B32,efs!$A$74:$A$84,efs!$E$74:$E$84,0,0)</f>
        <v>0</v>
      </c>
      <c r="O32" s="18">
        <f>BAU_Fuel_cons!X32*_xlfn.XLOOKUP($B32,efs!$A$74:$A$84,efs!$E$74:$E$84,0,0)</f>
        <v>0</v>
      </c>
      <c r="P32" s="18">
        <f>BAU_Fuel_cons!Y32*_xlfn.XLOOKUP($B32,efs!$A$74:$A$84,efs!$E$74:$E$84,0,0)</f>
        <v>0</v>
      </c>
      <c r="Q32" s="18">
        <f>BAU_Fuel_cons!Z32*_xlfn.XLOOKUP($B32,efs!$A$74:$A$84,efs!$E$74:$E$84,0,0)</f>
        <v>0</v>
      </c>
      <c r="R32" s="18">
        <f>BAU_Fuel_cons!AA32*_xlfn.XLOOKUP($B32,efs!$A$74:$A$84,efs!$E$74:$E$84,0,0)</f>
        <v>0</v>
      </c>
      <c r="S32" s="18">
        <f>BAU_Fuel_cons!AB32*_xlfn.XLOOKUP($B32,efs!$A$74:$A$84,efs!$E$74:$E$84,0,0)</f>
        <v>0</v>
      </c>
      <c r="T32" s="18">
        <f>BAU_Fuel_cons!AC32*_xlfn.XLOOKUP($B32,efs!$A$74:$A$84,efs!$E$74:$E$84,0,0)</f>
        <v>0</v>
      </c>
      <c r="U32" s="18">
        <f>BAU_Fuel_cons!AD32*_xlfn.XLOOKUP($B32,efs!$A$74:$A$84,efs!$E$74:$E$84,0,0)</f>
        <v>0</v>
      </c>
      <c r="V32" s="18">
        <f>BAU_Fuel_cons!AE32*_xlfn.XLOOKUP($B32,efs!$A$74:$A$84,efs!$E$74:$E$84,0,0)</f>
        <v>0</v>
      </c>
      <c r="W32" s="18">
        <f>BAU_Fuel_cons!AF32*_xlfn.XLOOKUP($B32,efs!$A$74:$A$84,efs!$E$74:$E$84,0,0)</f>
        <v>0</v>
      </c>
      <c r="X32" s="18">
        <f>BAU_Fuel_cons!AG32*_xlfn.XLOOKUP($B32,efs!$A$74:$A$84,efs!$E$74:$E$84,0,0)</f>
        <v>0</v>
      </c>
      <c r="Y32" s="18">
        <f>BAU_Fuel_cons!AH32*_xlfn.XLOOKUP($B32,efs!$A$74:$A$84,efs!$E$74:$E$84,0,0)</f>
        <v>0</v>
      </c>
      <c r="Z32" s="18">
        <f>BAU_Fuel_cons!AI32*_xlfn.XLOOKUP($B32,efs!$A$74:$A$84,efs!$E$74:$E$84,0,0)</f>
        <v>0</v>
      </c>
      <c r="AA32" s="18">
        <f>BAU_Fuel_cons!AJ32*_xlfn.XLOOKUP($B32,efs!$A$74:$A$84,efs!$E$74:$E$84,0,0)</f>
        <v>0</v>
      </c>
      <c r="AB32" s="18">
        <f>BAU_Fuel_cons!AK32*_xlfn.XLOOKUP($B32,efs!$A$74:$A$84,efs!$E$74:$E$84,0,0)</f>
        <v>0</v>
      </c>
      <c r="AC32" s="18">
        <f>BAU_Fuel_cons!AL32*_xlfn.XLOOKUP($B32,efs!$A$74:$A$84,efs!$E$74:$E$84,0,0)</f>
        <v>0</v>
      </c>
      <c r="AD32" s="18">
        <f>BAU_Fuel_cons!AM32*_xlfn.XLOOKUP($B32,efs!$A$74:$A$84,efs!$E$74:$E$84,0,0)</f>
        <v>0</v>
      </c>
      <c r="AE32" s="18">
        <f>BAU_Fuel_cons!AN32*_xlfn.XLOOKUP($B32,efs!$A$74:$A$84,efs!$E$74:$E$84,0,0)</f>
        <v>0</v>
      </c>
      <c r="AF32" s="18">
        <f>BAU_Fuel_cons!AO32*_xlfn.XLOOKUP($B32,efs!$A$74:$A$84,efs!$E$74:$E$84,0,0)</f>
        <v>0</v>
      </c>
      <c r="AG32" s="18">
        <f>BAU_Fuel_cons!AP32*_xlfn.XLOOKUP($B32,efs!$A$74:$A$84,efs!$E$74:$E$84,0,0)</f>
        <v>0</v>
      </c>
      <c r="AH32" s="18">
        <f>BAU_Fuel_cons!AQ32*_xlfn.XLOOKUP($B32,efs!$A$74:$A$84,efs!$E$74:$E$84,0,0)</f>
        <v>0</v>
      </c>
      <c r="AI32" s="18">
        <f>BAU_Fuel_cons!AR32*_xlfn.XLOOKUP($B32,efs!$A$74:$A$84,efs!$E$74:$E$84,0,0)</f>
        <v>0</v>
      </c>
      <c r="AJ32" s="111">
        <f>BAU_Fuel_cons!AS32*_xlfn.XLOOKUP($B32,efs!$A$74:$A$84,efs!$E$74:$E$84,0,0)</f>
        <v>0</v>
      </c>
    </row>
    <row r="33" spans="1:53">
      <c r="A33" s="90" t="s">
        <v>19</v>
      </c>
      <c r="B33" t="s">
        <v>16</v>
      </c>
      <c r="C33" s="4" t="s">
        <v>53</v>
      </c>
      <c r="D33" s="91" t="s">
        <v>122</v>
      </c>
      <c r="E33" s="110">
        <f>BAU_Fuel_cons!N33*_xlfn.XLOOKUP($B33,efs!$A$74:$A$84,efs!$E$74:$E$84,0,0)</f>
        <v>0</v>
      </c>
      <c r="F33" s="18">
        <f>BAU_Fuel_cons!O33*_xlfn.XLOOKUP($B33,efs!$A$74:$A$84,efs!$E$74:$E$84,0,0)</f>
        <v>0</v>
      </c>
      <c r="G33" s="18">
        <f>BAU_Fuel_cons!P33*_xlfn.XLOOKUP($B33,efs!$A$74:$A$84,efs!$E$74:$E$84,0,0)</f>
        <v>0</v>
      </c>
      <c r="H33" s="18">
        <f>BAU_Fuel_cons!Q33*_xlfn.XLOOKUP($B33,efs!$A$74:$A$84,efs!$E$74:$E$84,0,0)</f>
        <v>0</v>
      </c>
      <c r="I33" s="18">
        <f>BAU_Fuel_cons!R33*_xlfn.XLOOKUP($B33,efs!$A$74:$A$84,efs!$E$74:$E$84,0,0)</f>
        <v>0</v>
      </c>
      <c r="J33" s="18">
        <f>BAU_Fuel_cons!S33*_xlfn.XLOOKUP($B33,efs!$A$74:$A$84,efs!$E$74:$E$84,0,0)</f>
        <v>0</v>
      </c>
      <c r="K33" s="18">
        <f>BAU_Fuel_cons!T33*_xlfn.XLOOKUP($B33,efs!$A$74:$A$84,efs!$E$74:$E$84,0,0)</f>
        <v>0</v>
      </c>
      <c r="L33" s="18">
        <f>BAU_Fuel_cons!U33*_xlfn.XLOOKUP($B33,efs!$A$74:$A$84,efs!$E$74:$E$84,0,0)</f>
        <v>0</v>
      </c>
      <c r="M33" s="18">
        <f>BAU_Fuel_cons!V33*_xlfn.XLOOKUP($B33,efs!$A$74:$A$84,efs!$E$74:$E$84,0,0)</f>
        <v>0</v>
      </c>
      <c r="N33" s="18">
        <f>BAU_Fuel_cons!W33*_xlfn.XLOOKUP($B33,efs!$A$74:$A$84,efs!$E$74:$E$84,0,0)</f>
        <v>0</v>
      </c>
      <c r="O33" s="18">
        <f>BAU_Fuel_cons!X33*_xlfn.XLOOKUP($B33,efs!$A$74:$A$84,efs!$E$74:$E$84,0,0)</f>
        <v>0</v>
      </c>
      <c r="P33" s="18">
        <f>BAU_Fuel_cons!Y33*_xlfn.XLOOKUP($B33,efs!$A$74:$A$84,efs!$E$74:$E$84,0,0)</f>
        <v>0</v>
      </c>
      <c r="Q33" s="18">
        <f>BAU_Fuel_cons!Z33*_xlfn.XLOOKUP($B33,efs!$A$74:$A$84,efs!$E$74:$E$84,0,0)</f>
        <v>0</v>
      </c>
      <c r="R33" s="18">
        <f>BAU_Fuel_cons!AA33*_xlfn.XLOOKUP($B33,efs!$A$74:$A$84,efs!$E$74:$E$84,0,0)</f>
        <v>0</v>
      </c>
      <c r="S33" s="18">
        <f>BAU_Fuel_cons!AB33*_xlfn.XLOOKUP($B33,efs!$A$74:$A$84,efs!$E$74:$E$84,0,0)</f>
        <v>0</v>
      </c>
      <c r="T33" s="18">
        <f>BAU_Fuel_cons!AC33*_xlfn.XLOOKUP($B33,efs!$A$74:$A$84,efs!$E$74:$E$84,0,0)</f>
        <v>0</v>
      </c>
      <c r="U33" s="18">
        <f>BAU_Fuel_cons!AD33*_xlfn.XLOOKUP($B33,efs!$A$74:$A$84,efs!$E$74:$E$84,0,0)</f>
        <v>0</v>
      </c>
      <c r="V33" s="18">
        <f>BAU_Fuel_cons!AE33*_xlfn.XLOOKUP($B33,efs!$A$74:$A$84,efs!$E$74:$E$84,0,0)</f>
        <v>0</v>
      </c>
      <c r="W33" s="18">
        <f>BAU_Fuel_cons!AF33*_xlfn.XLOOKUP($B33,efs!$A$74:$A$84,efs!$E$74:$E$84,0,0)</f>
        <v>0</v>
      </c>
      <c r="X33" s="18">
        <f>BAU_Fuel_cons!AG33*_xlfn.XLOOKUP($B33,efs!$A$74:$A$84,efs!$E$74:$E$84,0,0)</f>
        <v>0</v>
      </c>
      <c r="Y33" s="18">
        <f>BAU_Fuel_cons!AH33*_xlfn.XLOOKUP($B33,efs!$A$74:$A$84,efs!$E$74:$E$84,0,0)</f>
        <v>0</v>
      </c>
      <c r="Z33" s="18">
        <f>BAU_Fuel_cons!AI33*_xlfn.XLOOKUP($B33,efs!$A$74:$A$84,efs!$E$74:$E$84,0,0)</f>
        <v>0</v>
      </c>
      <c r="AA33" s="18">
        <f>BAU_Fuel_cons!AJ33*_xlfn.XLOOKUP($B33,efs!$A$74:$A$84,efs!$E$74:$E$84,0,0)</f>
        <v>0</v>
      </c>
      <c r="AB33" s="18">
        <f>BAU_Fuel_cons!AK33*_xlfn.XLOOKUP($B33,efs!$A$74:$A$84,efs!$E$74:$E$84,0,0)</f>
        <v>0</v>
      </c>
      <c r="AC33" s="18">
        <f>BAU_Fuel_cons!AL33*_xlfn.XLOOKUP($B33,efs!$A$74:$A$84,efs!$E$74:$E$84,0,0)</f>
        <v>0</v>
      </c>
      <c r="AD33" s="18">
        <f>BAU_Fuel_cons!AM33*_xlfn.XLOOKUP($B33,efs!$A$74:$A$84,efs!$E$74:$E$84,0,0)</f>
        <v>0</v>
      </c>
      <c r="AE33" s="18">
        <f>BAU_Fuel_cons!AN33*_xlfn.XLOOKUP($B33,efs!$A$74:$A$84,efs!$E$74:$E$84,0,0)</f>
        <v>0</v>
      </c>
      <c r="AF33" s="18">
        <f>BAU_Fuel_cons!AO33*_xlfn.XLOOKUP($B33,efs!$A$74:$A$84,efs!$E$74:$E$84,0,0)</f>
        <v>0</v>
      </c>
      <c r="AG33" s="18">
        <f>BAU_Fuel_cons!AP33*_xlfn.XLOOKUP($B33,efs!$A$74:$A$84,efs!$E$74:$E$84,0,0)</f>
        <v>0</v>
      </c>
      <c r="AH33" s="18">
        <f>BAU_Fuel_cons!AQ33*_xlfn.XLOOKUP($B33,efs!$A$74:$A$84,efs!$E$74:$E$84,0,0)</f>
        <v>0</v>
      </c>
      <c r="AI33" s="18">
        <f>BAU_Fuel_cons!AR33*_xlfn.XLOOKUP($B33,efs!$A$74:$A$84,efs!$E$74:$E$84,0,0)</f>
        <v>0</v>
      </c>
      <c r="AJ33" s="111">
        <f>BAU_Fuel_cons!AS33*_xlfn.XLOOKUP($B33,efs!$A$74:$A$84,efs!$E$74:$E$84,0,0)</f>
        <v>0</v>
      </c>
    </row>
    <row r="34" spans="1:53" ht="17" thickBot="1">
      <c r="A34" s="92" t="s">
        <v>19</v>
      </c>
      <c r="B34" s="31" t="s">
        <v>17</v>
      </c>
      <c r="C34" s="32" t="s">
        <v>53</v>
      </c>
      <c r="D34" s="93" t="s">
        <v>122</v>
      </c>
      <c r="E34" s="112">
        <f>BAU_Fuel_cons!N34*_xlfn.XLOOKUP($B34,efs!$A$74:$A$84,efs!$E$74:$E$84,0,0)</f>
        <v>0</v>
      </c>
      <c r="F34" s="113">
        <f>BAU_Fuel_cons!O34*_xlfn.XLOOKUP($B34,efs!$A$74:$A$84,efs!$E$74:$E$84,0,0)</f>
        <v>0</v>
      </c>
      <c r="G34" s="113">
        <f>BAU_Fuel_cons!P34*_xlfn.XLOOKUP($B34,efs!$A$74:$A$84,efs!$E$74:$E$84,0,0)</f>
        <v>0</v>
      </c>
      <c r="H34" s="113">
        <f>BAU_Fuel_cons!Q34*_xlfn.XLOOKUP($B34,efs!$A$74:$A$84,efs!$E$74:$E$84,0,0)</f>
        <v>0</v>
      </c>
      <c r="I34" s="113">
        <f>BAU_Fuel_cons!R34*_xlfn.XLOOKUP($B34,efs!$A$74:$A$84,efs!$E$74:$E$84,0,0)</f>
        <v>0</v>
      </c>
      <c r="J34" s="113">
        <f>BAU_Fuel_cons!S34*_xlfn.XLOOKUP($B34,efs!$A$74:$A$84,efs!$E$74:$E$84,0,0)</f>
        <v>0</v>
      </c>
      <c r="K34" s="113">
        <f>BAU_Fuel_cons!T34*_xlfn.XLOOKUP($B34,efs!$A$74:$A$84,efs!$E$74:$E$84,0,0)</f>
        <v>0</v>
      </c>
      <c r="L34" s="113">
        <f>BAU_Fuel_cons!U34*_xlfn.XLOOKUP($B34,efs!$A$74:$A$84,efs!$E$74:$E$84,0,0)</f>
        <v>0</v>
      </c>
      <c r="M34" s="113">
        <f>BAU_Fuel_cons!V34*_xlfn.XLOOKUP($B34,efs!$A$74:$A$84,efs!$E$74:$E$84,0,0)</f>
        <v>0</v>
      </c>
      <c r="N34" s="113">
        <f>BAU_Fuel_cons!W34*_xlfn.XLOOKUP($B34,efs!$A$74:$A$84,efs!$E$74:$E$84,0,0)</f>
        <v>0</v>
      </c>
      <c r="O34" s="113">
        <f>BAU_Fuel_cons!X34*_xlfn.XLOOKUP($B34,efs!$A$74:$A$84,efs!$E$74:$E$84,0,0)</f>
        <v>0</v>
      </c>
      <c r="P34" s="113">
        <f>BAU_Fuel_cons!Y34*_xlfn.XLOOKUP($B34,efs!$A$74:$A$84,efs!$E$74:$E$84,0,0)</f>
        <v>0</v>
      </c>
      <c r="Q34" s="113">
        <f>BAU_Fuel_cons!Z34*_xlfn.XLOOKUP($B34,efs!$A$74:$A$84,efs!$E$74:$E$84,0,0)</f>
        <v>0</v>
      </c>
      <c r="R34" s="113">
        <f>BAU_Fuel_cons!AA34*_xlfn.XLOOKUP($B34,efs!$A$74:$A$84,efs!$E$74:$E$84,0,0)</f>
        <v>0</v>
      </c>
      <c r="S34" s="113">
        <f>BAU_Fuel_cons!AB34*_xlfn.XLOOKUP($B34,efs!$A$74:$A$84,efs!$E$74:$E$84,0,0)</f>
        <v>0</v>
      </c>
      <c r="T34" s="113">
        <f>BAU_Fuel_cons!AC34*_xlfn.XLOOKUP($B34,efs!$A$74:$A$84,efs!$E$74:$E$84,0,0)</f>
        <v>0</v>
      </c>
      <c r="U34" s="113">
        <f>BAU_Fuel_cons!AD34*_xlfn.XLOOKUP($B34,efs!$A$74:$A$84,efs!$E$74:$E$84,0,0)</f>
        <v>0</v>
      </c>
      <c r="V34" s="113">
        <f>BAU_Fuel_cons!AE34*_xlfn.XLOOKUP($B34,efs!$A$74:$A$84,efs!$E$74:$E$84,0,0)</f>
        <v>0</v>
      </c>
      <c r="W34" s="113">
        <f>BAU_Fuel_cons!AF34*_xlfn.XLOOKUP($B34,efs!$A$74:$A$84,efs!$E$74:$E$84,0,0)</f>
        <v>0</v>
      </c>
      <c r="X34" s="113">
        <f>BAU_Fuel_cons!AG34*_xlfn.XLOOKUP($B34,efs!$A$74:$A$84,efs!$E$74:$E$84,0,0)</f>
        <v>0</v>
      </c>
      <c r="Y34" s="113">
        <f>BAU_Fuel_cons!AH34*_xlfn.XLOOKUP($B34,efs!$A$74:$A$84,efs!$E$74:$E$84,0,0)</f>
        <v>0</v>
      </c>
      <c r="Z34" s="113">
        <f>BAU_Fuel_cons!AI34*_xlfn.XLOOKUP($B34,efs!$A$74:$A$84,efs!$E$74:$E$84,0,0)</f>
        <v>0</v>
      </c>
      <c r="AA34" s="113">
        <f>BAU_Fuel_cons!AJ34*_xlfn.XLOOKUP($B34,efs!$A$74:$A$84,efs!$E$74:$E$84,0,0)</f>
        <v>0</v>
      </c>
      <c r="AB34" s="113">
        <f>BAU_Fuel_cons!AK34*_xlfn.XLOOKUP($B34,efs!$A$74:$A$84,efs!$E$74:$E$84,0,0)</f>
        <v>0</v>
      </c>
      <c r="AC34" s="113">
        <f>BAU_Fuel_cons!AL34*_xlfn.XLOOKUP($B34,efs!$A$74:$A$84,efs!$E$74:$E$84,0,0)</f>
        <v>0</v>
      </c>
      <c r="AD34" s="113">
        <f>BAU_Fuel_cons!AM34*_xlfn.XLOOKUP($B34,efs!$A$74:$A$84,efs!$E$74:$E$84,0,0)</f>
        <v>0</v>
      </c>
      <c r="AE34" s="113">
        <f>BAU_Fuel_cons!AN34*_xlfn.XLOOKUP($B34,efs!$A$74:$A$84,efs!$E$74:$E$84,0,0)</f>
        <v>0</v>
      </c>
      <c r="AF34" s="113">
        <f>BAU_Fuel_cons!AO34*_xlfn.XLOOKUP($B34,efs!$A$74:$A$84,efs!$E$74:$E$84,0,0)</f>
        <v>0</v>
      </c>
      <c r="AG34" s="113">
        <f>BAU_Fuel_cons!AP34*_xlfn.XLOOKUP($B34,efs!$A$74:$A$84,efs!$E$74:$E$84,0,0)</f>
        <v>0</v>
      </c>
      <c r="AH34" s="113">
        <f>BAU_Fuel_cons!AQ34*_xlfn.XLOOKUP($B34,efs!$A$74:$A$84,efs!$E$74:$E$84,0,0)</f>
        <v>0</v>
      </c>
      <c r="AI34" s="113">
        <f>BAU_Fuel_cons!AR34*_xlfn.XLOOKUP($B34,efs!$A$74:$A$84,efs!$E$74:$E$84,0,0)</f>
        <v>0</v>
      </c>
      <c r="AJ34" s="114">
        <f>BAU_Fuel_cons!AS34*_xlfn.XLOOKUP($B34,efs!$A$74:$A$84,efs!$E$74:$E$84,0,0)</f>
        <v>0</v>
      </c>
    </row>
    <row r="35" spans="1:53">
      <c r="D35" t="s">
        <v>4</v>
      </c>
      <c r="E35" s="54">
        <f>SUM(E2:E12)</f>
        <v>13815.529840135076</v>
      </c>
      <c r="F35" s="54">
        <f t="shared" ref="F35:AJ35" si="10">SUM(F2:F12)</f>
        <v>14369.780260404465</v>
      </c>
      <c r="G35" s="54">
        <f t="shared" si="10"/>
        <v>14940.516009563769</v>
      </c>
      <c r="H35" s="54">
        <f t="shared" si="10"/>
        <v>15527.906739612463</v>
      </c>
      <c r="I35" s="54">
        <f t="shared" si="10"/>
        <v>16132.183665085893</v>
      </c>
      <c r="J35" s="54">
        <f t="shared" si="10"/>
        <v>16753.68366933538</v>
      </c>
      <c r="K35" s="54">
        <f t="shared" si="10"/>
        <v>17371.934022967085</v>
      </c>
      <c r="L35" s="54">
        <f t="shared" si="10"/>
        <v>18004.774116291705</v>
      </c>
      <c r="M35" s="54">
        <f t="shared" si="10"/>
        <v>18651.617005666787</v>
      </c>
      <c r="N35" s="54">
        <f t="shared" si="10"/>
        <v>19311.525550841401</v>
      </c>
      <c r="O35" s="54">
        <f t="shared" si="10"/>
        <v>19983.323899147057</v>
      </c>
      <c r="P35" s="54">
        <f t="shared" si="10"/>
        <v>20665.925645406005</v>
      </c>
      <c r="Q35" s="54">
        <f t="shared" si="10"/>
        <v>21358.506960593433</v>
      </c>
      <c r="R35" s="54">
        <f t="shared" si="10"/>
        <v>22060.428384273077</v>
      </c>
      <c r="S35" s="54">
        <f t="shared" si="10"/>
        <v>22770.913361902189</v>
      </c>
      <c r="T35" s="54">
        <f t="shared" si="10"/>
        <v>23489.065973621757</v>
      </c>
      <c r="U35" s="54">
        <f t="shared" si="10"/>
        <v>24219.27922615741</v>
      </c>
      <c r="V35" s="54">
        <f t="shared" si="10"/>
        <v>24960.87132140329</v>
      </c>
      <c r="W35" s="54">
        <f t="shared" si="10"/>
        <v>25713.483364037686</v>
      </c>
      <c r="X35" s="54">
        <f t="shared" si="10"/>
        <v>26476.907794381426</v>
      </c>
      <c r="Y35" s="54">
        <f t="shared" si="10"/>
        <v>27250.94895007693</v>
      </c>
      <c r="Z35" s="54">
        <f t="shared" si="10"/>
        <v>28035.39041491333</v>
      </c>
      <c r="AA35" s="54">
        <f t="shared" si="10"/>
        <v>28829.904242161479</v>
      </c>
      <c r="AB35" s="54">
        <f t="shared" si="10"/>
        <v>29634.105056095472</v>
      </c>
      <c r="AC35" s="54">
        <f t="shared" si="10"/>
        <v>30447.583717935468</v>
      </c>
      <c r="AD35" s="54">
        <f t="shared" si="10"/>
        <v>31269.891435687947</v>
      </c>
      <c r="AE35" s="54">
        <f t="shared" si="10"/>
        <v>32100.593686253873</v>
      </c>
      <c r="AF35" s="54">
        <f t="shared" si="10"/>
        <v>32939.232715438768</v>
      </c>
      <c r="AG35" s="54">
        <f t="shared" si="10"/>
        <v>33785.366442777246</v>
      </c>
      <c r="AH35" s="54">
        <f t="shared" si="10"/>
        <v>34638.586315579472</v>
      </c>
      <c r="AI35" s="54">
        <f t="shared" si="10"/>
        <v>35498.472188985899</v>
      </c>
      <c r="AJ35" s="54">
        <f t="shared" si="10"/>
        <v>36364.562507471383</v>
      </c>
    </row>
    <row r="36" spans="1:53">
      <c r="D36" t="s">
        <v>18</v>
      </c>
      <c r="E36" s="54">
        <f>SUM(E13:E23)</f>
        <v>8034.6719152875758</v>
      </c>
      <c r="F36" s="54">
        <f t="shared" ref="F36:AJ36" si="11">SUM(F13:F23)</f>
        <v>8279.7223070327036</v>
      </c>
      <c r="G36" s="54">
        <f t="shared" si="11"/>
        <v>8528.0426051870618</v>
      </c>
      <c r="H36" s="54">
        <f t="shared" si="11"/>
        <v>8779.5209781329559</v>
      </c>
      <c r="I36" s="54">
        <f t="shared" si="11"/>
        <v>9034.2406964823986</v>
      </c>
      <c r="J36" s="54">
        <f t="shared" si="11"/>
        <v>9292.4016993740552</v>
      </c>
      <c r="K36" s="54">
        <f t="shared" si="11"/>
        <v>9577.3756340061936</v>
      </c>
      <c r="L36" s="54">
        <f t="shared" si="11"/>
        <v>9866.6754437895361</v>
      </c>
      <c r="M36" s="54">
        <f t="shared" si="11"/>
        <v>10159.777553981092</v>
      </c>
      <c r="N36" s="54">
        <f t="shared" si="11"/>
        <v>10455.925158491129</v>
      </c>
      <c r="O36" s="54">
        <f t="shared" si="11"/>
        <v>10754.192120299829</v>
      </c>
      <c r="P36" s="54">
        <f t="shared" si="11"/>
        <v>11053.739629214831</v>
      </c>
      <c r="Q36" s="54">
        <f t="shared" si="11"/>
        <v>11353.991073565046</v>
      </c>
      <c r="R36" s="54">
        <f t="shared" si="11"/>
        <v>11654.554399845108</v>
      </c>
      <c r="S36" s="54">
        <f t="shared" si="11"/>
        <v>11955.025000162965</v>
      </c>
      <c r="T36" s="54">
        <f t="shared" si="11"/>
        <v>12255.154688256416</v>
      </c>
      <c r="U36" s="54">
        <f t="shared" si="11"/>
        <v>12556.172811871706</v>
      </c>
      <c r="V36" s="54">
        <f t="shared" si="11"/>
        <v>12857.934698490941</v>
      </c>
      <c r="W36" s="54">
        <f t="shared" si="11"/>
        <v>13160.05706279428</v>
      </c>
      <c r="X36" s="54">
        <f t="shared" si="11"/>
        <v>13462.221995168678</v>
      </c>
      <c r="Y36" s="54">
        <f t="shared" si="11"/>
        <v>13764.095640250593</v>
      </c>
      <c r="Z36" s="54">
        <f t="shared" si="11"/>
        <v>14065.353195850192</v>
      </c>
      <c r="AA36" s="54">
        <f t="shared" si="11"/>
        <v>14365.640411893704</v>
      </c>
      <c r="AB36" s="54">
        <f t="shared" si="11"/>
        <v>14664.581403178458</v>
      </c>
      <c r="AC36" s="54">
        <f t="shared" si="11"/>
        <v>14961.750697822197</v>
      </c>
      <c r="AD36" s="54">
        <f t="shared" si="11"/>
        <v>15256.69151357692</v>
      </c>
      <c r="AE36" s="54">
        <f t="shared" si="11"/>
        <v>15548.986406223941</v>
      </c>
      <c r="AF36" s="54">
        <f t="shared" si="11"/>
        <v>15838.224352061698</v>
      </c>
      <c r="AG36" s="54">
        <f t="shared" si="11"/>
        <v>16124.051717131355</v>
      </c>
      <c r="AH36" s="54">
        <f t="shared" si="11"/>
        <v>16406.158905048786</v>
      </c>
      <c r="AI36" s="54">
        <f t="shared" si="11"/>
        <v>16684.26703329285</v>
      </c>
      <c r="AJ36" s="54">
        <f t="shared" si="11"/>
        <v>16958.067399363761</v>
      </c>
    </row>
    <row r="37" spans="1:53">
      <c r="D37" t="s">
        <v>19</v>
      </c>
      <c r="E37" s="54">
        <f>SUM(E24:E34)</f>
        <v>5780.8579248475025</v>
      </c>
      <c r="F37" s="54">
        <f t="shared" ref="F37:AJ37" si="12">SUM(F24:F34)</f>
        <v>6090.057953371761</v>
      </c>
      <c r="G37" s="54">
        <f t="shared" si="12"/>
        <v>6412.4734043767085</v>
      </c>
      <c r="H37" s="54">
        <f t="shared" si="12"/>
        <v>6748.385761479507</v>
      </c>
      <c r="I37" s="54">
        <f t="shared" si="12"/>
        <v>7097.94296860349</v>
      </c>
      <c r="J37" s="54">
        <f t="shared" si="12"/>
        <v>7461.2819699613228</v>
      </c>
      <c r="K37" s="54">
        <f t="shared" si="12"/>
        <v>7794.5583889608879</v>
      </c>
      <c r="L37" s="54">
        <f t="shared" si="12"/>
        <v>8138.0986725021639</v>
      </c>
      <c r="M37" s="54">
        <f t="shared" si="12"/>
        <v>8491.839451685697</v>
      </c>
      <c r="N37" s="54">
        <f t="shared" si="12"/>
        <v>8855.6003923502722</v>
      </c>
      <c r="O37" s="54">
        <f t="shared" si="12"/>
        <v>9229.1317788472279</v>
      </c>
      <c r="P37" s="54">
        <f t="shared" si="12"/>
        <v>9612.1860161911718</v>
      </c>
      <c r="Q37" s="54">
        <f t="shared" si="12"/>
        <v>10004.515887028392</v>
      </c>
      <c r="R37" s="54">
        <f t="shared" si="12"/>
        <v>10405.87398442797</v>
      </c>
      <c r="S37" s="54">
        <f t="shared" si="12"/>
        <v>10815.888361739228</v>
      </c>
      <c r="T37" s="54">
        <f t="shared" si="12"/>
        <v>11233.911285365341</v>
      </c>
      <c r="U37" s="54">
        <f t="shared" si="12"/>
        <v>11663.106414285709</v>
      </c>
      <c r="V37" s="54">
        <f t="shared" si="12"/>
        <v>12102.936622912353</v>
      </c>
      <c r="W37" s="54">
        <f t="shared" si="12"/>
        <v>12553.426301243406</v>
      </c>
      <c r="X37" s="54">
        <f t="shared" si="12"/>
        <v>13014.685799212752</v>
      </c>
      <c r="Y37" s="54">
        <f t="shared" si="12"/>
        <v>13486.853309826338</v>
      </c>
      <c r="Z37" s="54">
        <f t="shared" si="12"/>
        <v>13970.037219063135</v>
      </c>
      <c r="AA37" s="54">
        <f t="shared" si="12"/>
        <v>14464.263830267771</v>
      </c>
      <c r="AB37" s="54">
        <f t="shared" si="12"/>
        <v>14969.523652917014</v>
      </c>
      <c r="AC37" s="54">
        <f t="shared" si="12"/>
        <v>15485.833020113276</v>
      </c>
      <c r="AD37" s="54">
        <f t="shared" si="12"/>
        <v>16013.199922111033</v>
      </c>
      <c r="AE37" s="54">
        <f t="shared" si="12"/>
        <v>16551.607280029933</v>
      </c>
      <c r="AF37" s="54">
        <f t="shared" si="12"/>
        <v>17101.00836337707</v>
      </c>
      <c r="AG37" s="54">
        <f t="shared" si="12"/>
        <v>17661.314725645891</v>
      </c>
      <c r="AH37" s="54">
        <f t="shared" si="12"/>
        <v>18232.427410530694</v>
      </c>
      <c r="AI37" s="54">
        <f t="shared" si="12"/>
        <v>18814.205155693046</v>
      </c>
      <c r="AJ37" s="54">
        <f t="shared" si="12"/>
        <v>19406.495108107621</v>
      </c>
    </row>
    <row r="38" spans="1:53" ht="17" thickBot="1">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row>
    <row r="39" spans="1:53" ht="17" thickBot="1">
      <c r="A39" s="1" t="s">
        <v>90</v>
      </c>
      <c r="B39" s="2" t="s">
        <v>1</v>
      </c>
      <c r="C39" s="2" t="s">
        <v>2</v>
      </c>
      <c r="D39" s="7" t="s">
        <v>3</v>
      </c>
      <c r="E39" s="8">
        <v>2019</v>
      </c>
      <c r="F39" s="9">
        <v>2020</v>
      </c>
      <c r="G39" s="2">
        <v>2021</v>
      </c>
      <c r="H39" s="2">
        <v>2022</v>
      </c>
      <c r="I39" s="7">
        <v>2023</v>
      </c>
      <c r="J39" s="8">
        <v>2024</v>
      </c>
      <c r="K39" s="9">
        <v>2025</v>
      </c>
      <c r="L39" s="2">
        <v>2026</v>
      </c>
      <c r="M39" s="2">
        <v>2027</v>
      </c>
      <c r="N39" s="2">
        <v>2028</v>
      </c>
      <c r="O39" s="7">
        <v>2029</v>
      </c>
      <c r="P39" s="8">
        <v>2030</v>
      </c>
      <c r="Q39" s="9">
        <v>2031</v>
      </c>
      <c r="R39" s="2">
        <v>2032</v>
      </c>
      <c r="S39" s="2">
        <v>2033</v>
      </c>
      <c r="T39" s="2">
        <v>2034</v>
      </c>
      <c r="U39" s="2">
        <v>2035</v>
      </c>
      <c r="V39" s="2">
        <v>2036</v>
      </c>
      <c r="W39" s="2">
        <v>2037</v>
      </c>
      <c r="X39" s="2">
        <v>2038</v>
      </c>
      <c r="Y39" s="2">
        <v>2039</v>
      </c>
      <c r="Z39" s="2">
        <v>2040</v>
      </c>
      <c r="AA39" s="2">
        <v>2041</v>
      </c>
      <c r="AB39" s="2">
        <v>2042</v>
      </c>
      <c r="AC39" s="2">
        <v>2043</v>
      </c>
      <c r="AD39" s="2">
        <v>2044</v>
      </c>
      <c r="AE39" s="2">
        <v>2045</v>
      </c>
      <c r="AF39" s="2">
        <v>2046</v>
      </c>
      <c r="AG39" s="2">
        <v>2047</v>
      </c>
      <c r="AH39" s="2">
        <v>2048</v>
      </c>
      <c r="AI39" s="7">
        <v>2049</v>
      </c>
      <c r="AJ39" s="8">
        <v>2050</v>
      </c>
      <c r="AU39">
        <v>2020</v>
      </c>
      <c r="AV39">
        <v>2025</v>
      </c>
      <c r="AW39">
        <v>2030</v>
      </c>
      <c r="AX39">
        <v>2035</v>
      </c>
      <c r="AY39">
        <v>2040</v>
      </c>
      <c r="AZ39">
        <v>2045</v>
      </c>
      <c r="BA39">
        <v>2050</v>
      </c>
    </row>
    <row r="40" spans="1:53">
      <c r="A40" s="94" t="s">
        <v>4</v>
      </c>
      <c r="B40" s="88" t="s">
        <v>36</v>
      </c>
      <c r="C40" s="88" t="s">
        <v>53</v>
      </c>
      <c r="D40" s="44" t="s">
        <v>122</v>
      </c>
      <c r="E40" s="107">
        <f>SUM(E51,E62)</f>
        <v>14.856139946124269</v>
      </c>
      <c r="F40" s="108">
        <f t="shared" ref="F40:AJ40" si="13">SUM(F51,F62)</f>
        <v>15.011186614695003</v>
      </c>
      <c r="G40" s="108">
        <f t="shared" si="13"/>
        <v>15.154692658711149</v>
      </c>
      <c r="H40" s="108">
        <f t="shared" si="13"/>
        <v>15.28600808594695</v>
      </c>
      <c r="I40" s="108">
        <f t="shared" si="13"/>
        <v>15.404741505824772</v>
      </c>
      <c r="J40" s="108">
        <f t="shared" si="13"/>
        <v>15.51064944187109</v>
      </c>
      <c r="K40" s="108">
        <f t="shared" si="13"/>
        <v>15.471582601729489</v>
      </c>
      <c r="L40" s="108">
        <f t="shared" si="13"/>
        <v>15.413413673651771</v>
      </c>
      <c r="M40" s="108">
        <f t="shared" si="13"/>
        <v>15.334979160139779</v>
      </c>
      <c r="N40" s="108">
        <f t="shared" si="13"/>
        <v>15.234900118127566</v>
      </c>
      <c r="O40" s="108">
        <f t="shared" si="13"/>
        <v>15.111725736523393</v>
      </c>
      <c r="P40" s="108">
        <f t="shared" si="13"/>
        <v>14.964285360567175</v>
      </c>
      <c r="Q40" s="108">
        <f t="shared" si="13"/>
        <v>14.791860235964919</v>
      </c>
      <c r="R40" s="108">
        <f t="shared" si="13"/>
        <v>14.59403761703587</v>
      </c>
      <c r="S40" s="108">
        <f t="shared" si="13"/>
        <v>14.37044084807987</v>
      </c>
      <c r="T40" s="108">
        <f t="shared" si="13"/>
        <v>14.120880244721503</v>
      </c>
      <c r="U40" s="108">
        <f t="shared" si="13"/>
        <v>13.847236822069165</v>
      </c>
      <c r="V40" s="108">
        <f t="shared" si="13"/>
        <v>13.549247632969701</v>
      </c>
      <c r="W40" s="108">
        <f t="shared" si="13"/>
        <v>13.226558467737734</v>
      </c>
      <c r="X40" s="108">
        <f t="shared" si="13"/>
        <v>12.878936058270495</v>
      </c>
      <c r="Y40" s="108">
        <f t="shared" si="13"/>
        <v>12.506177459593946</v>
      </c>
      <c r="Z40" s="108">
        <f t="shared" si="13"/>
        <v>12.108123367449394</v>
      </c>
      <c r="AA40" s="108">
        <f t="shared" si="13"/>
        <v>11.684624031086971</v>
      </c>
      <c r="AB40" s="108">
        <f t="shared" si="13"/>
        <v>11.235556971881428</v>
      </c>
      <c r="AC40" s="108">
        <f t="shared" si="13"/>
        <v>10.760817871112032</v>
      </c>
      <c r="AD40" s="108">
        <f t="shared" si="13"/>
        <v>10.260335935904475</v>
      </c>
      <c r="AE40" s="108">
        <f t="shared" si="13"/>
        <v>9.7341179497659063</v>
      </c>
      <c r="AF40" s="108">
        <f t="shared" si="13"/>
        <v>9.1822229522761916</v>
      </c>
      <c r="AG40" s="108">
        <f t="shared" si="13"/>
        <v>8.6047862662240373</v>
      </c>
      <c r="AH40" s="108">
        <f t="shared" si="13"/>
        <v>8.0020045624672225</v>
      </c>
      <c r="AI40" s="108">
        <f t="shared" si="13"/>
        <v>7.3741215695421616</v>
      </c>
      <c r="AJ40" s="109">
        <f t="shared" si="13"/>
        <v>6.7214000465674228</v>
      </c>
      <c r="AT40" s="87" t="s">
        <v>36</v>
      </c>
      <c r="AU40" s="54">
        <f>_xlfn.XLOOKUP(AU$1,$E$1:$AJ$1,$E42:$AJ42)+_xlfn.XLOOKUP(AU$1,$E$1:$AJ$1,$E40:$AJ40)</f>
        <v>15.074886784529095</v>
      </c>
      <c r="AV40" s="54">
        <f t="shared" ref="AV40:BA40" si="14">_xlfn.XLOOKUP(AV$1,$E$1:$AJ$1,$E42:$AJ42)+_xlfn.XLOOKUP(AV$1,$E$1:$AJ$1,$E40:$AJ40)</f>
        <v>15.610415745960038</v>
      </c>
      <c r="AW40" s="54">
        <f t="shared" si="14"/>
        <v>15.202371537700531</v>
      </c>
      <c r="AX40" s="54">
        <f t="shared" si="14"/>
        <v>14.215530544564789</v>
      </c>
      <c r="AY40" s="54">
        <f t="shared" si="14"/>
        <v>12.642361309011417</v>
      </c>
      <c r="AZ40" s="54">
        <f t="shared" si="14"/>
        <v>10.47506445871983</v>
      </c>
      <c r="BA40" s="54">
        <f t="shared" si="14"/>
        <v>7.7141284054436516</v>
      </c>
    </row>
    <row r="41" spans="1:53">
      <c r="A41" s="95" t="s">
        <v>4</v>
      </c>
      <c r="B41" s="4" t="s">
        <v>8</v>
      </c>
      <c r="C41" s="4" t="s">
        <v>53</v>
      </c>
      <c r="D41" s="42" t="s">
        <v>122</v>
      </c>
      <c r="E41" s="110">
        <f t="shared" ref="E41:AJ48" si="15">SUM(E52,E63)</f>
        <v>6.0620113953286268</v>
      </c>
      <c r="F41" s="18">
        <f t="shared" si="15"/>
        <v>6.5445589196493756</v>
      </c>
      <c r="G41" s="18">
        <f t="shared" si="15"/>
        <v>7.0501011601489036</v>
      </c>
      <c r="H41" s="18">
        <f t="shared" si="15"/>
        <v>7.5791519340445657</v>
      </c>
      <c r="I41" s="18">
        <f t="shared" si="15"/>
        <v>8.1321488273687308</v>
      </c>
      <c r="J41" s="18">
        <f t="shared" si="15"/>
        <v>8.7095028462404507</v>
      </c>
      <c r="K41" s="18">
        <f t="shared" si="15"/>
        <v>9.363309840739916</v>
      </c>
      <c r="L41" s="18">
        <f t="shared" si="15"/>
        <v>10.042238854374606</v>
      </c>
      <c r="M41" s="18">
        <f t="shared" si="15"/>
        <v>10.746304941928686</v>
      </c>
      <c r="N41" s="18">
        <f t="shared" si="15"/>
        <v>11.475280420086873</v>
      </c>
      <c r="O41" s="18">
        <f t="shared" si="15"/>
        <v>12.228730702317293</v>
      </c>
      <c r="P41" s="18">
        <f t="shared" si="15"/>
        <v>13.006159912531608</v>
      </c>
      <c r="Q41" s="18">
        <f t="shared" si="15"/>
        <v>13.807096482269539</v>
      </c>
      <c r="R41" s="18">
        <f t="shared" si="15"/>
        <v>14.631092444125992</v>
      </c>
      <c r="S41" s="18">
        <f t="shared" si="15"/>
        <v>15.477541267676024</v>
      </c>
      <c r="T41" s="18">
        <f t="shared" si="15"/>
        <v>16.3456178903477</v>
      </c>
      <c r="U41" s="18">
        <f t="shared" si="15"/>
        <v>17.238751561591425</v>
      </c>
      <c r="V41" s="18">
        <f t="shared" si="15"/>
        <v>18.15637384866838</v>
      </c>
      <c r="W41" s="18">
        <f t="shared" si="15"/>
        <v>19.098286905950687</v>
      </c>
      <c r="X41" s="18">
        <f t="shared" si="15"/>
        <v>20.064380972052515</v>
      </c>
      <c r="Y41" s="18">
        <f t="shared" si="15"/>
        <v>21.05454073828324</v>
      </c>
      <c r="Z41" s="18">
        <f t="shared" si="15"/>
        <v>22.068605828648771</v>
      </c>
      <c r="AA41" s="18">
        <f t="shared" si="15"/>
        <v>23.106296897265509</v>
      </c>
      <c r="AB41" s="18">
        <f t="shared" si="15"/>
        <v>24.16726086748659</v>
      </c>
      <c r="AC41" s="18">
        <f t="shared" si="15"/>
        <v>25.251108932868942</v>
      </c>
      <c r="AD41" s="18">
        <f t="shared" si="15"/>
        <v>26.357392661656796</v>
      </c>
      <c r="AE41" s="18">
        <f t="shared" si="15"/>
        <v>27.485636580534184</v>
      </c>
      <c r="AF41" s="18">
        <f t="shared" si="15"/>
        <v>28.635313312088631</v>
      </c>
      <c r="AG41" s="18">
        <f t="shared" si="15"/>
        <v>29.805871484825275</v>
      </c>
      <c r="AH41" s="18">
        <f t="shared" si="15"/>
        <v>30.996761520653244</v>
      </c>
      <c r="AI41" s="18">
        <f t="shared" si="15"/>
        <v>32.207397794446393</v>
      </c>
      <c r="AJ41" s="111">
        <f t="shared" si="15"/>
        <v>33.437141847035193</v>
      </c>
      <c r="AT41" s="3" t="s">
        <v>8</v>
      </c>
      <c r="AU41" s="54">
        <f>(_xlfn.XLOOKUP(AU$1,$E$1:$AJ$1,$E43:$AJ43)+_xlfn.XLOOKUP(AU$1,$E$1:$AJ$1,$E41:$AJ41))</f>
        <v>6.5626825687159771</v>
      </c>
      <c r="AV41" s="54">
        <f t="shared" ref="AV41:BA41" si="16">(_xlfn.XLOOKUP(AV$1,$E$1:$AJ$1,$E43:$AJ43)+_xlfn.XLOOKUP(AV$1,$E$1:$AJ$1,$E41:$AJ41))</f>
        <v>9.4028099424099878</v>
      </c>
      <c r="AW41" s="54">
        <f t="shared" si="16"/>
        <v>13.073898983451079</v>
      </c>
      <c r="AX41" s="54">
        <f t="shared" si="16"/>
        <v>17.343536622562659</v>
      </c>
      <c r="AY41" s="54">
        <f t="shared" si="16"/>
        <v>22.220604496723787</v>
      </c>
      <c r="AZ41" s="54">
        <f t="shared" si="16"/>
        <v>27.696446921234696</v>
      </c>
      <c r="BA41" s="54">
        <f t="shared" si="16"/>
        <v>33.719587881976658</v>
      </c>
    </row>
    <row r="42" spans="1:53">
      <c r="A42" s="95" t="s">
        <v>4</v>
      </c>
      <c r="B42" s="4" t="s">
        <v>37</v>
      </c>
      <c r="C42" s="4" t="s">
        <v>53</v>
      </c>
      <c r="D42" s="42" t="s">
        <v>122</v>
      </c>
      <c r="E42" s="110">
        <f t="shared" si="15"/>
        <v>5.1528592451811565E-2</v>
      </c>
      <c r="F42" s="18">
        <f t="shared" si="15"/>
        <v>6.3700169834092504E-2</v>
      </c>
      <c r="G42" s="18">
        <f t="shared" si="15"/>
        <v>7.6827527077211313E-2</v>
      </c>
      <c r="H42" s="18">
        <f t="shared" si="15"/>
        <v>9.0954784759474855E-2</v>
      </c>
      <c r="I42" s="18">
        <f t="shared" si="15"/>
        <v>0.10612445310763086</v>
      </c>
      <c r="J42" s="18">
        <f t="shared" si="15"/>
        <v>0.12237756871052695</v>
      </c>
      <c r="K42" s="18">
        <f t="shared" si="15"/>
        <v>0.13883314423054924</v>
      </c>
      <c r="L42" s="18">
        <f t="shared" si="15"/>
        <v>0.15637558375302096</v>
      </c>
      <c r="M42" s="18">
        <f t="shared" si="15"/>
        <v>0.17504079203195999</v>
      </c>
      <c r="N42" s="18">
        <f t="shared" si="15"/>
        <v>0.19486142335512271</v>
      </c>
      <c r="O42" s="18">
        <f t="shared" si="15"/>
        <v>0.21586719162151941</v>
      </c>
      <c r="P42" s="18">
        <f t="shared" si="15"/>
        <v>0.23808617713335622</v>
      </c>
      <c r="Q42" s="18">
        <f t="shared" si="15"/>
        <v>0.26154481382535394</v>
      </c>
      <c r="R42" s="18">
        <f t="shared" si="15"/>
        <v>0.28626789411448639</v>
      </c>
      <c r="S42" s="18">
        <f t="shared" si="15"/>
        <v>0.31227499500578576</v>
      </c>
      <c r="T42" s="18">
        <f t="shared" si="15"/>
        <v>0.33957507938491105</v>
      </c>
      <c r="U42" s="18">
        <f t="shared" si="15"/>
        <v>0.36829372249562459</v>
      </c>
      <c r="V42" s="18">
        <f t="shared" si="15"/>
        <v>0.39845145357375483</v>
      </c>
      <c r="W42" s="18">
        <f t="shared" si="15"/>
        <v>0.43008483752378501</v>
      </c>
      <c r="X42" s="18">
        <f t="shared" si="15"/>
        <v>0.46323332437121129</v>
      </c>
      <c r="Y42" s="18">
        <f t="shared" si="15"/>
        <v>0.49793767581746168</v>
      </c>
      <c r="Z42" s="18">
        <f t="shared" si="15"/>
        <v>0.53423794156202153</v>
      </c>
      <c r="AA42" s="18">
        <f t="shared" si="15"/>
        <v>0.57217119076543199</v>
      </c>
      <c r="AB42" s="18">
        <f t="shared" si="15"/>
        <v>0.61177286318785395</v>
      </c>
      <c r="AC42" s="18">
        <f t="shared" si="15"/>
        <v>0.65307913600209078</v>
      </c>
      <c r="AD42" s="18">
        <f t="shared" si="15"/>
        <v>0.69612560997123729</v>
      </c>
      <c r="AE42" s="18">
        <f t="shared" si="15"/>
        <v>0.74094650895392355</v>
      </c>
      <c r="AF42" s="18">
        <f t="shared" si="15"/>
        <v>0.78757431003027567</v>
      </c>
      <c r="AG42" s="18">
        <f t="shared" si="15"/>
        <v>0.83603898616894068</v>
      </c>
      <c r="AH42" s="18">
        <f t="shared" si="15"/>
        <v>0.88636926233843993</v>
      </c>
      <c r="AI42" s="18">
        <f t="shared" si="15"/>
        <v>0.93859097008730552</v>
      </c>
      <c r="AJ42" s="111">
        <f t="shared" si="15"/>
        <v>0.99272835887622868</v>
      </c>
      <c r="AT42" s="34" t="s">
        <v>11</v>
      </c>
      <c r="AU42" s="54">
        <f>_xlfn.XLOOKUP(AU$1,$E$1:$AJ$1,$E44:$AJ44)</f>
        <v>5.7900878395472981E-5</v>
      </c>
      <c r="AV42" s="54">
        <f t="shared" ref="AV42:BA42" si="17">_xlfn.XLOOKUP(AV$1,$E$1:$AJ$1,$E44:$AJ44)</f>
        <v>9.7686497443854459E-5</v>
      </c>
      <c r="AW42" s="54">
        <f t="shared" si="17"/>
        <v>9.5094943001323019E-5</v>
      </c>
      <c r="AX42" s="54">
        <f t="shared" si="17"/>
        <v>8.542164499067771E-5</v>
      </c>
      <c r="AY42" s="54">
        <f t="shared" si="17"/>
        <v>6.7351449123391892E-5</v>
      </c>
      <c r="AZ42" s="54">
        <f t="shared" si="17"/>
        <v>3.940552198297121E-5</v>
      </c>
      <c r="BA42" s="54">
        <f t="shared" si="17"/>
        <v>0</v>
      </c>
    </row>
    <row r="43" spans="1:53">
      <c r="A43" s="95" t="s">
        <v>4</v>
      </c>
      <c r="B43" s="4" t="s">
        <v>10</v>
      </c>
      <c r="C43" s="4" t="s">
        <v>53</v>
      </c>
      <c r="D43" s="42" t="s">
        <v>122</v>
      </c>
      <c r="E43" s="110">
        <f t="shared" si="15"/>
        <v>1.4660653636009135E-2</v>
      </c>
      <c r="F43" s="18">
        <f t="shared" si="15"/>
        <v>1.8123649066601376E-2</v>
      </c>
      <c r="G43" s="18">
        <f t="shared" si="15"/>
        <v>2.1858578132974857E-2</v>
      </c>
      <c r="H43" s="18">
        <f t="shared" si="15"/>
        <v>2.5877993798170306E-2</v>
      </c>
      <c r="I43" s="18">
        <f t="shared" si="15"/>
        <v>3.0193990856181463E-2</v>
      </c>
      <c r="J43" s="18">
        <f t="shared" si="15"/>
        <v>3.481824482902076E-2</v>
      </c>
      <c r="K43" s="18">
        <f t="shared" si="15"/>
        <v>3.9500101670071876E-2</v>
      </c>
      <c r="L43" s="18">
        <f t="shared" si="15"/>
        <v>4.4491187541670633E-2</v>
      </c>
      <c r="M43" s="18">
        <f t="shared" si="15"/>
        <v>4.9801717882226981E-2</v>
      </c>
      <c r="N43" s="18">
        <f t="shared" si="15"/>
        <v>5.5440983323985032E-2</v>
      </c>
      <c r="O43" s="18">
        <f t="shared" si="15"/>
        <v>6.1417437914704241E-2</v>
      </c>
      <c r="P43" s="18">
        <f t="shared" si="15"/>
        <v>6.7739070919471275E-2</v>
      </c>
      <c r="Q43" s="18">
        <f t="shared" si="15"/>
        <v>7.4413403187250468E-2</v>
      </c>
      <c r="R43" s="18">
        <f t="shared" si="15"/>
        <v>8.1447488530707005E-2</v>
      </c>
      <c r="S43" s="18">
        <f t="shared" si="15"/>
        <v>8.8846896899966665E-2</v>
      </c>
      <c r="T43" s="18">
        <f t="shared" si="15"/>
        <v>9.6614178369773776E-2</v>
      </c>
      <c r="U43" s="18">
        <f t="shared" si="15"/>
        <v>0.10478506097123612</v>
      </c>
      <c r="V43" s="18">
        <f t="shared" si="15"/>
        <v>0.11336538557835345</v>
      </c>
      <c r="W43" s="18">
        <f t="shared" si="15"/>
        <v>0.122365555452196</v>
      </c>
      <c r="X43" s="18">
        <f t="shared" si="15"/>
        <v>0.13179679471382386</v>
      </c>
      <c r="Y43" s="18">
        <f t="shared" si="15"/>
        <v>0.14167070067567686</v>
      </c>
      <c r="Z43" s="18">
        <f t="shared" si="15"/>
        <v>0.15199866807501533</v>
      </c>
      <c r="AA43" s="18">
        <f t="shared" si="15"/>
        <v>0.16279124364128414</v>
      </c>
      <c r="AB43" s="18">
        <f t="shared" si="15"/>
        <v>0.17405851051520091</v>
      </c>
      <c r="AC43" s="18">
        <f t="shared" si="15"/>
        <v>0.18581076164238586</v>
      </c>
      <c r="AD43" s="18">
        <f t="shared" si="15"/>
        <v>0.19805812597129421</v>
      </c>
      <c r="AE43" s="18">
        <f t="shared" si="15"/>
        <v>0.21081034070051002</v>
      </c>
      <c r="AF43" s="18">
        <f t="shared" si="15"/>
        <v>0.22407664604406174</v>
      </c>
      <c r="AG43" s="18">
        <f t="shared" si="15"/>
        <v>0.2378655697588872</v>
      </c>
      <c r="AH43" s="18">
        <f t="shared" si="15"/>
        <v>0.25218528452726163</v>
      </c>
      <c r="AI43" s="18">
        <f t="shared" si="15"/>
        <v>0.26704313981028782</v>
      </c>
      <c r="AJ43" s="111">
        <f t="shared" si="15"/>
        <v>0.28244603494146431</v>
      </c>
      <c r="AT43" s="3" t="s">
        <v>12</v>
      </c>
      <c r="AU43" s="54">
        <f t="shared" ref="AU43:BA43" si="18">_xlfn.XLOOKUP(AU$1,$E$1:$AJ$1,$E45:$AJ45)</f>
        <v>2.281166797686934E-6</v>
      </c>
      <c r="AV43" s="54">
        <f t="shared" si="18"/>
        <v>0</v>
      </c>
      <c r="AW43" s="54">
        <f t="shared" si="18"/>
        <v>0</v>
      </c>
      <c r="AX43" s="54">
        <f t="shared" si="18"/>
        <v>0</v>
      </c>
      <c r="AY43" s="54">
        <f t="shared" si="18"/>
        <v>0</v>
      </c>
      <c r="AZ43" s="54">
        <f t="shared" si="18"/>
        <v>0</v>
      </c>
      <c r="BA43" s="54">
        <f t="shared" si="18"/>
        <v>0</v>
      </c>
    </row>
    <row r="44" spans="1:53">
      <c r="A44" s="95" t="s">
        <v>4</v>
      </c>
      <c r="B44" s="4" t="s">
        <v>11</v>
      </c>
      <c r="C44" s="4" t="s">
        <v>53</v>
      </c>
      <c r="D44" s="42" t="s">
        <v>122</v>
      </c>
      <c r="E44" s="110">
        <f t="shared" si="15"/>
        <v>4.9615860479052674E-5</v>
      </c>
      <c r="F44" s="18">
        <f t="shared" si="15"/>
        <v>5.7900878395472981E-5</v>
      </c>
      <c r="G44" s="18">
        <f t="shared" si="15"/>
        <v>6.6805987835369962E-5</v>
      </c>
      <c r="H44" s="18">
        <f t="shared" si="15"/>
        <v>7.6359122422384681E-5</v>
      </c>
      <c r="I44" s="18">
        <f t="shared" si="15"/>
        <v>8.6586949601976724E-5</v>
      </c>
      <c r="J44" s="18">
        <f t="shared" si="15"/>
        <v>9.7515090245566937E-5</v>
      </c>
      <c r="K44" s="18">
        <f t="shared" si="15"/>
        <v>9.7686497443854459E-5</v>
      </c>
      <c r="L44" s="18">
        <f t="shared" si="15"/>
        <v>9.7648006161502621E-5</v>
      </c>
      <c r="M44" s="18">
        <f t="shared" si="15"/>
        <v>9.7385133679411457E-5</v>
      </c>
      <c r="N44" s="18">
        <f t="shared" si="15"/>
        <v>9.6882370019133929E-5</v>
      </c>
      <c r="O44" s="18">
        <f t="shared" si="15"/>
        <v>9.6123982889448394E-5</v>
      </c>
      <c r="P44" s="18">
        <f t="shared" si="15"/>
        <v>9.5094943001323019E-5</v>
      </c>
      <c r="Q44" s="18">
        <f t="shared" si="15"/>
        <v>9.3780925859993382E-5</v>
      </c>
      <c r="R44" s="18">
        <f t="shared" si="15"/>
        <v>9.2168266301773075E-5</v>
      </c>
      <c r="S44" s="18">
        <f t="shared" si="15"/>
        <v>9.0242891690496663E-5</v>
      </c>
      <c r="T44" s="18">
        <f t="shared" si="15"/>
        <v>8.7989497480175016E-5</v>
      </c>
      <c r="U44" s="18">
        <f t="shared" si="15"/>
        <v>8.542164499067771E-5</v>
      </c>
      <c r="V44" s="18">
        <f t="shared" si="15"/>
        <v>8.2521852478677647E-5</v>
      </c>
      <c r="W44" s="18">
        <f t="shared" si="15"/>
        <v>7.9277244090723362E-5</v>
      </c>
      <c r="X44" s="18">
        <f t="shared" si="15"/>
        <v>7.5675520142201035E-5</v>
      </c>
      <c r="Y44" s="18">
        <f t="shared" si="15"/>
        <v>7.1704432380701098E-5</v>
      </c>
      <c r="Z44" s="18">
        <f t="shared" si="15"/>
        <v>6.7351449123391892E-5</v>
      </c>
      <c r="AA44" s="18">
        <f t="shared" si="15"/>
        <v>6.2603602631622579E-5</v>
      </c>
      <c r="AB44" s="18">
        <f t="shared" si="15"/>
        <v>5.7447862325180921E-5</v>
      </c>
      <c r="AC44" s="18">
        <f t="shared" si="15"/>
        <v>5.1871420317023914E-5</v>
      </c>
      <c r="AD44" s="18">
        <f t="shared" si="15"/>
        <v>4.5861536263858542E-5</v>
      </c>
      <c r="AE44" s="18">
        <f t="shared" si="15"/>
        <v>3.940552198297121E-5</v>
      </c>
      <c r="AF44" s="18">
        <f t="shared" si="15"/>
        <v>3.2490787077535074E-5</v>
      </c>
      <c r="AG44" s="18">
        <f t="shared" si="15"/>
        <v>2.5104890915849323E-5</v>
      </c>
      <c r="AH44" s="18">
        <f t="shared" si="15"/>
        <v>1.7235663329254555E-5</v>
      </c>
      <c r="AI44" s="18">
        <f t="shared" si="15"/>
        <v>8.8712088757683495E-6</v>
      </c>
      <c r="AJ44" s="111">
        <f t="shared" si="15"/>
        <v>0</v>
      </c>
      <c r="AT44" s="3" t="s">
        <v>13</v>
      </c>
      <c r="AU44" s="54">
        <f t="shared" ref="AU44:BA44" si="19">_xlfn.XLOOKUP(AU$1,$E$1:$AJ$1,$E46:$AJ46)</f>
        <v>0</v>
      </c>
      <c r="AV44" s="54">
        <f t="shared" si="19"/>
        <v>0</v>
      </c>
      <c r="AW44" s="54">
        <f t="shared" si="19"/>
        <v>0</v>
      </c>
      <c r="AX44" s="54">
        <f t="shared" si="19"/>
        <v>0</v>
      </c>
      <c r="AY44" s="54">
        <f t="shared" si="19"/>
        <v>0</v>
      </c>
      <c r="AZ44" s="54">
        <f t="shared" si="19"/>
        <v>0</v>
      </c>
      <c r="BA44" s="54">
        <f t="shared" si="19"/>
        <v>0</v>
      </c>
    </row>
    <row r="45" spans="1:53">
      <c r="A45" s="95" t="s">
        <v>4</v>
      </c>
      <c r="B45" s="4" t="s">
        <v>12</v>
      </c>
      <c r="C45" s="4" t="s">
        <v>53</v>
      </c>
      <c r="D45" s="42" t="s">
        <v>122</v>
      </c>
      <c r="E45" s="110">
        <f t="shared" si="15"/>
        <v>2.7783517334859374E-6</v>
      </c>
      <c r="F45" s="18">
        <f t="shared" si="15"/>
        <v>2.281166797686934E-6</v>
      </c>
      <c r="G45" s="18">
        <f t="shared" si="15"/>
        <v>1.7328576842153882E-6</v>
      </c>
      <c r="H45" s="18">
        <f t="shared" si="15"/>
        <v>1.1307056182078978E-6</v>
      </c>
      <c r="I45" s="18">
        <f t="shared" si="15"/>
        <v>4.7195645268279653E-7</v>
      </c>
      <c r="J45" s="18">
        <f t="shared" si="15"/>
        <v>0</v>
      </c>
      <c r="K45" s="18">
        <f t="shared" si="15"/>
        <v>0</v>
      </c>
      <c r="L45" s="18">
        <f t="shared" si="15"/>
        <v>0</v>
      </c>
      <c r="M45" s="18">
        <f t="shared" si="15"/>
        <v>0</v>
      </c>
      <c r="N45" s="18">
        <f t="shared" si="15"/>
        <v>0</v>
      </c>
      <c r="O45" s="18">
        <f t="shared" si="15"/>
        <v>0</v>
      </c>
      <c r="P45" s="18">
        <f t="shared" si="15"/>
        <v>0</v>
      </c>
      <c r="Q45" s="18">
        <f t="shared" si="15"/>
        <v>0</v>
      </c>
      <c r="R45" s="18">
        <f t="shared" si="15"/>
        <v>0</v>
      </c>
      <c r="S45" s="18">
        <f t="shared" si="15"/>
        <v>0</v>
      </c>
      <c r="T45" s="18">
        <f t="shared" si="15"/>
        <v>0</v>
      </c>
      <c r="U45" s="18">
        <f t="shared" si="15"/>
        <v>0</v>
      </c>
      <c r="V45" s="18">
        <f t="shared" si="15"/>
        <v>0</v>
      </c>
      <c r="W45" s="18">
        <f t="shared" si="15"/>
        <v>0</v>
      </c>
      <c r="X45" s="18">
        <f t="shared" si="15"/>
        <v>0</v>
      </c>
      <c r="Y45" s="18">
        <f t="shared" si="15"/>
        <v>0</v>
      </c>
      <c r="Z45" s="18">
        <f t="shared" si="15"/>
        <v>0</v>
      </c>
      <c r="AA45" s="18">
        <f t="shared" si="15"/>
        <v>0</v>
      </c>
      <c r="AB45" s="18">
        <f t="shared" si="15"/>
        <v>0</v>
      </c>
      <c r="AC45" s="18">
        <f t="shared" si="15"/>
        <v>0</v>
      </c>
      <c r="AD45" s="18">
        <f t="shared" si="15"/>
        <v>0</v>
      </c>
      <c r="AE45" s="18">
        <f t="shared" si="15"/>
        <v>0</v>
      </c>
      <c r="AF45" s="18">
        <f t="shared" si="15"/>
        <v>0</v>
      </c>
      <c r="AG45" s="18">
        <f t="shared" si="15"/>
        <v>0</v>
      </c>
      <c r="AH45" s="18">
        <f t="shared" si="15"/>
        <v>0</v>
      </c>
      <c r="AI45" s="18">
        <f t="shared" si="15"/>
        <v>0</v>
      </c>
      <c r="AJ45" s="111">
        <f t="shared" si="15"/>
        <v>0</v>
      </c>
      <c r="AT45" t="s">
        <v>14</v>
      </c>
      <c r="AU45" s="54">
        <f t="shared" ref="AU45:BA45" si="20">_xlfn.XLOOKUP(AU$1,$E$1:$AJ$1,$E47:$AJ47)</f>
        <v>0</v>
      </c>
      <c r="AV45" s="54">
        <f t="shared" si="20"/>
        <v>0</v>
      </c>
      <c r="AW45" s="54">
        <f t="shared" si="20"/>
        <v>0</v>
      </c>
      <c r="AX45" s="54">
        <f t="shared" si="20"/>
        <v>0</v>
      </c>
      <c r="AY45" s="54">
        <f t="shared" si="20"/>
        <v>0</v>
      </c>
      <c r="AZ45" s="54">
        <f t="shared" si="20"/>
        <v>0</v>
      </c>
      <c r="BA45" s="54">
        <f t="shared" si="20"/>
        <v>0</v>
      </c>
    </row>
    <row r="46" spans="1:53">
      <c r="A46" s="95" t="s">
        <v>4</v>
      </c>
      <c r="B46" s="4" t="s">
        <v>13</v>
      </c>
      <c r="C46" s="4" t="s">
        <v>53</v>
      </c>
      <c r="D46" s="42" t="s">
        <v>122</v>
      </c>
      <c r="E46" s="110">
        <f t="shared" si="15"/>
        <v>0</v>
      </c>
      <c r="F46" s="18">
        <f t="shared" si="15"/>
        <v>0</v>
      </c>
      <c r="G46" s="18">
        <f t="shared" si="15"/>
        <v>0</v>
      </c>
      <c r="H46" s="18">
        <f t="shared" si="15"/>
        <v>0</v>
      </c>
      <c r="I46" s="18">
        <f t="shared" si="15"/>
        <v>0</v>
      </c>
      <c r="J46" s="18">
        <f t="shared" si="15"/>
        <v>0</v>
      </c>
      <c r="K46" s="18">
        <f t="shared" si="15"/>
        <v>0</v>
      </c>
      <c r="L46" s="18">
        <f t="shared" si="15"/>
        <v>0</v>
      </c>
      <c r="M46" s="18">
        <f t="shared" si="15"/>
        <v>0</v>
      </c>
      <c r="N46" s="18">
        <f t="shared" si="15"/>
        <v>0</v>
      </c>
      <c r="O46" s="18">
        <f t="shared" si="15"/>
        <v>0</v>
      </c>
      <c r="P46" s="18">
        <f t="shared" si="15"/>
        <v>0</v>
      </c>
      <c r="Q46" s="18">
        <f t="shared" si="15"/>
        <v>0</v>
      </c>
      <c r="R46" s="18">
        <f t="shared" si="15"/>
        <v>0</v>
      </c>
      <c r="S46" s="18">
        <f t="shared" si="15"/>
        <v>0</v>
      </c>
      <c r="T46" s="18">
        <f t="shared" si="15"/>
        <v>0</v>
      </c>
      <c r="U46" s="18">
        <f t="shared" si="15"/>
        <v>0</v>
      </c>
      <c r="V46" s="18">
        <f t="shared" si="15"/>
        <v>0</v>
      </c>
      <c r="W46" s="18">
        <f t="shared" si="15"/>
        <v>0</v>
      </c>
      <c r="X46" s="18">
        <f t="shared" si="15"/>
        <v>0</v>
      </c>
      <c r="Y46" s="18">
        <f t="shared" si="15"/>
        <v>0</v>
      </c>
      <c r="Z46" s="18">
        <f t="shared" si="15"/>
        <v>0</v>
      </c>
      <c r="AA46" s="18">
        <f t="shared" si="15"/>
        <v>0</v>
      </c>
      <c r="AB46" s="18">
        <f t="shared" si="15"/>
        <v>0</v>
      </c>
      <c r="AC46" s="18">
        <f t="shared" si="15"/>
        <v>0</v>
      </c>
      <c r="AD46" s="18">
        <f t="shared" si="15"/>
        <v>0</v>
      </c>
      <c r="AE46" s="18">
        <f t="shared" si="15"/>
        <v>0</v>
      </c>
      <c r="AF46" s="18">
        <f t="shared" si="15"/>
        <v>0</v>
      </c>
      <c r="AG46" s="18">
        <f t="shared" si="15"/>
        <v>0</v>
      </c>
      <c r="AH46" s="18">
        <f t="shared" si="15"/>
        <v>0</v>
      </c>
      <c r="AI46" s="18">
        <f t="shared" si="15"/>
        <v>0</v>
      </c>
      <c r="AJ46" s="111">
        <f t="shared" si="15"/>
        <v>0</v>
      </c>
      <c r="AT46" t="s">
        <v>15</v>
      </c>
      <c r="AU46" s="54">
        <f t="shared" ref="AU46:BA46" si="21">_xlfn.XLOOKUP(AU$1,$E$1:$AJ$1,$E48:$AJ48)</f>
        <v>0</v>
      </c>
      <c r="AV46" s="54">
        <f t="shared" si="21"/>
        <v>0</v>
      </c>
      <c r="AW46" s="54">
        <f t="shared" si="21"/>
        <v>0</v>
      </c>
      <c r="AX46" s="54">
        <f t="shared" si="21"/>
        <v>0</v>
      </c>
      <c r="AY46" s="54">
        <f t="shared" si="21"/>
        <v>0</v>
      </c>
      <c r="AZ46" s="54">
        <f t="shared" si="21"/>
        <v>0</v>
      </c>
      <c r="BA46" s="54">
        <f t="shared" si="21"/>
        <v>0</v>
      </c>
    </row>
    <row r="47" spans="1:53">
      <c r="A47" s="95" t="s">
        <v>4</v>
      </c>
      <c r="B47" s="4" t="s">
        <v>14</v>
      </c>
      <c r="C47" s="4" t="s">
        <v>53</v>
      </c>
      <c r="D47" s="42" t="s">
        <v>122</v>
      </c>
      <c r="E47" s="110">
        <f t="shared" si="15"/>
        <v>0</v>
      </c>
      <c r="F47" s="18">
        <f t="shared" si="15"/>
        <v>0</v>
      </c>
      <c r="G47" s="18">
        <f t="shared" si="15"/>
        <v>0</v>
      </c>
      <c r="H47" s="18">
        <f t="shared" si="15"/>
        <v>0</v>
      </c>
      <c r="I47" s="18">
        <f t="shared" si="15"/>
        <v>0</v>
      </c>
      <c r="J47" s="18">
        <f t="shared" si="15"/>
        <v>0</v>
      </c>
      <c r="K47" s="18">
        <f t="shared" si="15"/>
        <v>0</v>
      </c>
      <c r="L47" s="18">
        <f t="shared" si="15"/>
        <v>0</v>
      </c>
      <c r="M47" s="18">
        <f t="shared" si="15"/>
        <v>0</v>
      </c>
      <c r="N47" s="18">
        <f t="shared" si="15"/>
        <v>0</v>
      </c>
      <c r="O47" s="18">
        <f t="shared" si="15"/>
        <v>0</v>
      </c>
      <c r="P47" s="18">
        <f t="shared" si="15"/>
        <v>0</v>
      </c>
      <c r="Q47" s="18">
        <f t="shared" si="15"/>
        <v>0</v>
      </c>
      <c r="R47" s="18">
        <f t="shared" si="15"/>
        <v>0</v>
      </c>
      <c r="S47" s="18">
        <f t="shared" si="15"/>
        <v>0</v>
      </c>
      <c r="T47" s="18">
        <f t="shared" si="15"/>
        <v>0</v>
      </c>
      <c r="U47" s="18">
        <f t="shared" si="15"/>
        <v>0</v>
      </c>
      <c r="V47" s="18">
        <f t="shared" si="15"/>
        <v>0</v>
      </c>
      <c r="W47" s="18">
        <f t="shared" si="15"/>
        <v>0</v>
      </c>
      <c r="X47" s="18">
        <f t="shared" si="15"/>
        <v>0</v>
      </c>
      <c r="Y47" s="18">
        <f t="shared" si="15"/>
        <v>0</v>
      </c>
      <c r="Z47" s="18">
        <f t="shared" si="15"/>
        <v>0</v>
      </c>
      <c r="AA47" s="18">
        <f t="shared" si="15"/>
        <v>0</v>
      </c>
      <c r="AB47" s="18">
        <f t="shared" si="15"/>
        <v>0</v>
      </c>
      <c r="AC47" s="18">
        <f t="shared" si="15"/>
        <v>0</v>
      </c>
      <c r="AD47" s="18">
        <f t="shared" si="15"/>
        <v>0</v>
      </c>
      <c r="AE47" s="18">
        <f t="shared" si="15"/>
        <v>0</v>
      </c>
      <c r="AF47" s="18">
        <f t="shared" si="15"/>
        <v>0</v>
      </c>
      <c r="AG47" s="18">
        <f t="shared" si="15"/>
        <v>0</v>
      </c>
      <c r="AH47" s="18">
        <f t="shared" si="15"/>
        <v>0</v>
      </c>
      <c r="AI47" s="18">
        <f t="shared" si="15"/>
        <v>0</v>
      </c>
      <c r="AJ47" s="111">
        <f t="shared" si="15"/>
        <v>0</v>
      </c>
      <c r="AT47" t="s">
        <v>16</v>
      </c>
      <c r="AU47" s="54">
        <f t="shared" ref="AU47:BA47" si="22">_xlfn.XLOOKUP(AU$1,$E$1:$AJ$1,$E49:$AJ49)</f>
        <v>0</v>
      </c>
      <c r="AV47" s="54">
        <f t="shared" si="22"/>
        <v>0</v>
      </c>
      <c r="AW47" s="54">
        <f t="shared" si="22"/>
        <v>0</v>
      </c>
      <c r="AX47" s="54">
        <f t="shared" si="22"/>
        <v>0</v>
      </c>
      <c r="AY47" s="54">
        <f t="shared" si="22"/>
        <v>0</v>
      </c>
      <c r="AZ47" s="54">
        <f t="shared" si="22"/>
        <v>0</v>
      </c>
      <c r="BA47" s="54">
        <f t="shared" si="22"/>
        <v>0</v>
      </c>
    </row>
    <row r="48" spans="1:53">
      <c r="A48" s="95" t="s">
        <v>4</v>
      </c>
      <c r="B48" s="4" t="s">
        <v>15</v>
      </c>
      <c r="C48" s="4" t="s">
        <v>53</v>
      </c>
      <c r="D48" s="42" t="s">
        <v>122</v>
      </c>
      <c r="E48" s="110">
        <f t="shared" si="15"/>
        <v>0</v>
      </c>
      <c r="F48" s="18">
        <f t="shared" si="15"/>
        <v>0</v>
      </c>
      <c r="G48" s="18">
        <f t="shared" si="15"/>
        <v>0</v>
      </c>
      <c r="H48" s="18">
        <f t="shared" si="15"/>
        <v>0</v>
      </c>
      <c r="I48" s="18">
        <f t="shared" si="15"/>
        <v>0</v>
      </c>
      <c r="J48" s="18">
        <f t="shared" si="15"/>
        <v>0</v>
      </c>
      <c r="K48" s="18">
        <f t="shared" si="15"/>
        <v>0</v>
      </c>
      <c r="L48" s="18">
        <f t="shared" si="15"/>
        <v>0</v>
      </c>
      <c r="M48" s="18">
        <f t="shared" si="15"/>
        <v>0</v>
      </c>
      <c r="N48" s="18">
        <f t="shared" si="15"/>
        <v>0</v>
      </c>
      <c r="O48" s="18">
        <f t="shared" si="15"/>
        <v>0</v>
      </c>
      <c r="P48" s="18">
        <f t="shared" si="15"/>
        <v>0</v>
      </c>
      <c r="Q48" s="18">
        <f t="shared" si="15"/>
        <v>0</v>
      </c>
      <c r="R48" s="18">
        <f t="shared" si="15"/>
        <v>0</v>
      </c>
      <c r="S48" s="18">
        <f t="shared" si="15"/>
        <v>0</v>
      </c>
      <c r="T48" s="18">
        <f t="shared" si="15"/>
        <v>0</v>
      </c>
      <c r="U48" s="18">
        <f t="shared" si="15"/>
        <v>0</v>
      </c>
      <c r="V48" s="18">
        <f t="shared" si="15"/>
        <v>0</v>
      </c>
      <c r="W48" s="18">
        <f t="shared" si="15"/>
        <v>0</v>
      </c>
      <c r="X48" s="18">
        <f t="shared" si="15"/>
        <v>0</v>
      </c>
      <c r="Y48" s="18">
        <f t="shared" si="15"/>
        <v>0</v>
      </c>
      <c r="Z48" s="18">
        <f t="shared" si="15"/>
        <v>0</v>
      </c>
      <c r="AA48" s="18">
        <f t="shared" si="15"/>
        <v>0</v>
      </c>
      <c r="AB48" s="18">
        <f t="shared" si="15"/>
        <v>0</v>
      </c>
      <c r="AC48" s="18">
        <f t="shared" si="15"/>
        <v>0</v>
      </c>
      <c r="AD48" s="18">
        <f t="shared" si="15"/>
        <v>0</v>
      </c>
      <c r="AE48" s="18">
        <f t="shared" si="15"/>
        <v>0</v>
      </c>
      <c r="AF48" s="18">
        <f t="shared" si="15"/>
        <v>0</v>
      </c>
      <c r="AG48" s="18">
        <f t="shared" si="15"/>
        <v>0</v>
      </c>
      <c r="AH48" s="18">
        <f t="shared" si="15"/>
        <v>0</v>
      </c>
      <c r="AI48" s="18">
        <f t="shared" si="15"/>
        <v>0</v>
      </c>
      <c r="AJ48" s="111">
        <f t="shared" ref="AJ48" si="23">SUM(AJ59,AJ70)</f>
        <v>0</v>
      </c>
    </row>
    <row r="49" spans="1:53">
      <c r="A49" s="95" t="s">
        <v>4</v>
      </c>
      <c r="B49" s="4" t="s">
        <v>16</v>
      </c>
      <c r="C49" s="4" t="s">
        <v>53</v>
      </c>
      <c r="D49" s="42" t="s">
        <v>122</v>
      </c>
      <c r="E49" s="110">
        <f t="shared" ref="E49:AJ50" si="24">SUM(E60,E71)</f>
        <v>0</v>
      </c>
      <c r="F49" s="18">
        <f t="shared" si="24"/>
        <v>0</v>
      </c>
      <c r="G49" s="18">
        <f t="shared" si="24"/>
        <v>0</v>
      </c>
      <c r="H49" s="18">
        <f t="shared" si="24"/>
        <v>0</v>
      </c>
      <c r="I49" s="18">
        <f t="shared" si="24"/>
        <v>0</v>
      </c>
      <c r="J49" s="18">
        <f t="shared" si="24"/>
        <v>0</v>
      </c>
      <c r="K49" s="18">
        <f t="shared" si="24"/>
        <v>0</v>
      </c>
      <c r="L49" s="18">
        <f t="shared" si="24"/>
        <v>0</v>
      </c>
      <c r="M49" s="18">
        <f t="shared" si="24"/>
        <v>0</v>
      </c>
      <c r="N49" s="18">
        <f t="shared" si="24"/>
        <v>0</v>
      </c>
      <c r="O49" s="18">
        <f t="shared" si="24"/>
        <v>0</v>
      </c>
      <c r="P49" s="18">
        <f t="shared" si="24"/>
        <v>0</v>
      </c>
      <c r="Q49" s="18">
        <f t="shared" si="24"/>
        <v>0</v>
      </c>
      <c r="R49" s="18">
        <f t="shared" si="24"/>
        <v>0</v>
      </c>
      <c r="S49" s="18">
        <f t="shared" si="24"/>
        <v>0</v>
      </c>
      <c r="T49" s="18">
        <f t="shared" si="24"/>
        <v>0</v>
      </c>
      <c r="U49" s="18">
        <f t="shared" si="24"/>
        <v>0</v>
      </c>
      <c r="V49" s="18">
        <f t="shared" si="24"/>
        <v>0</v>
      </c>
      <c r="W49" s="18">
        <f t="shared" si="24"/>
        <v>0</v>
      </c>
      <c r="X49" s="18">
        <f t="shared" si="24"/>
        <v>0</v>
      </c>
      <c r="Y49" s="18">
        <f t="shared" si="24"/>
        <v>0</v>
      </c>
      <c r="Z49" s="18">
        <f t="shared" si="24"/>
        <v>0</v>
      </c>
      <c r="AA49" s="18">
        <f t="shared" si="24"/>
        <v>0</v>
      </c>
      <c r="AB49" s="18">
        <f t="shared" si="24"/>
        <v>0</v>
      </c>
      <c r="AC49" s="18">
        <f t="shared" si="24"/>
        <v>0</v>
      </c>
      <c r="AD49" s="18">
        <f t="shared" si="24"/>
        <v>0</v>
      </c>
      <c r="AE49" s="18">
        <f t="shared" si="24"/>
        <v>0</v>
      </c>
      <c r="AF49" s="18">
        <f t="shared" si="24"/>
        <v>0</v>
      </c>
      <c r="AG49" s="18">
        <f t="shared" si="24"/>
        <v>0</v>
      </c>
      <c r="AH49" s="18">
        <f t="shared" si="24"/>
        <v>0</v>
      </c>
      <c r="AI49" s="18">
        <f t="shared" si="24"/>
        <v>0</v>
      </c>
      <c r="AJ49" s="111">
        <f t="shared" si="24"/>
        <v>0</v>
      </c>
    </row>
    <row r="50" spans="1:53" ht="17" thickBot="1">
      <c r="A50" s="96" t="s">
        <v>4</v>
      </c>
      <c r="B50" s="32" t="s">
        <v>17</v>
      </c>
      <c r="C50" s="32" t="s">
        <v>53</v>
      </c>
      <c r="D50" s="43" t="s">
        <v>122</v>
      </c>
      <c r="E50" s="112">
        <f t="shared" si="24"/>
        <v>0</v>
      </c>
      <c r="F50" s="113">
        <f t="shared" si="24"/>
        <v>0</v>
      </c>
      <c r="G50" s="113">
        <f t="shared" si="24"/>
        <v>0</v>
      </c>
      <c r="H50" s="113">
        <f t="shared" si="24"/>
        <v>0</v>
      </c>
      <c r="I50" s="113">
        <f t="shared" si="24"/>
        <v>0</v>
      </c>
      <c r="J50" s="113">
        <f t="shared" si="24"/>
        <v>0</v>
      </c>
      <c r="K50" s="113">
        <f t="shared" si="24"/>
        <v>0</v>
      </c>
      <c r="L50" s="113">
        <f t="shared" si="24"/>
        <v>0</v>
      </c>
      <c r="M50" s="113">
        <f t="shared" si="24"/>
        <v>0</v>
      </c>
      <c r="N50" s="113">
        <f t="shared" si="24"/>
        <v>0</v>
      </c>
      <c r="O50" s="113">
        <f t="shared" si="24"/>
        <v>0</v>
      </c>
      <c r="P50" s="113">
        <f t="shared" si="24"/>
        <v>0</v>
      </c>
      <c r="Q50" s="113">
        <f t="shared" si="24"/>
        <v>0</v>
      </c>
      <c r="R50" s="113">
        <f t="shared" si="24"/>
        <v>0</v>
      </c>
      <c r="S50" s="113">
        <f t="shared" si="24"/>
        <v>0</v>
      </c>
      <c r="T50" s="113">
        <f t="shared" si="24"/>
        <v>0</v>
      </c>
      <c r="U50" s="113">
        <f t="shared" si="24"/>
        <v>0</v>
      </c>
      <c r="V50" s="113">
        <f t="shared" si="24"/>
        <v>0</v>
      </c>
      <c r="W50" s="113">
        <f t="shared" si="24"/>
        <v>0</v>
      </c>
      <c r="X50" s="113">
        <f t="shared" si="24"/>
        <v>0</v>
      </c>
      <c r="Y50" s="113">
        <f t="shared" si="24"/>
        <v>0</v>
      </c>
      <c r="Z50" s="113">
        <f t="shared" si="24"/>
        <v>0</v>
      </c>
      <c r="AA50" s="113">
        <f t="shared" si="24"/>
        <v>0</v>
      </c>
      <c r="AB50" s="113">
        <f t="shared" si="24"/>
        <v>0</v>
      </c>
      <c r="AC50" s="113">
        <f t="shared" si="24"/>
        <v>0</v>
      </c>
      <c r="AD50" s="113">
        <f t="shared" si="24"/>
        <v>0</v>
      </c>
      <c r="AE50" s="113">
        <f t="shared" si="24"/>
        <v>0</v>
      </c>
      <c r="AF50" s="113">
        <f t="shared" si="24"/>
        <v>0</v>
      </c>
      <c r="AG50" s="113">
        <f t="shared" si="24"/>
        <v>0</v>
      </c>
      <c r="AH50" s="113">
        <f t="shared" si="24"/>
        <v>0</v>
      </c>
      <c r="AI50" s="113">
        <f t="shared" si="24"/>
        <v>0</v>
      </c>
      <c r="AJ50" s="114">
        <f t="shared" si="24"/>
        <v>0</v>
      </c>
      <c r="AS50" t="s">
        <v>133</v>
      </c>
      <c r="AT50" t="s">
        <v>53</v>
      </c>
      <c r="AU50" s="55">
        <f>SUM(AU40:AU47)</f>
        <v>21.637629535290266</v>
      </c>
      <c r="AV50" s="55">
        <f t="shared" ref="AV50:BA50" si="25">SUM(AV40:AV47)</f>
        <v>25.013323374867472</v>
      </c>
      <c r="AW50" s="55">
        <f t="shared" si="25"/>
        <v>28.276365616094612</v>
      </c>
      <c r="AX50" s="55">
        <f t="shared" si="25"/>
        <v>31.559152588772438</v>
      </c>
      <c r="AY50" s="55">
        <f t="shared" si="25"/>
        <v>34.863033157184326</v>
      </c>
      <c r="AZ50" s="55">
        <f t="shared" si="25"/>
        <v>38.171550785476505</v>
      </c>
      <c r="BA50" s="55">
        <f t="shared" si="25"/>
        <v>41.43371628742031</v>
      </c>
    </row>
    <row r="51" spans="1:53">
      <c r="A51" s="94" t="s">
        <v>18</v>
      </c>
      <c r="B51" s="88" t="s">
        <v>36</v>
      </c>
      <c r="C51" s="88" t="s">
        <v>53</v>
      </c>
      <c r="D51" s="44" t="s">
        <v>122</v>
      </c>
      <c r="E51" s="142">
        <f>BAU_Fuel_cons!N13*_xlfn.XLOOKUP($B51,efs!$A$74:$A$84,efs!$F$74:$F$84,0,0)</f>
        <v>12.75901505191897</v>
      </c>
      <c r="F51" s="108">
        <f>BAU_Fuel_cons!O13*_xlfn.XLOOKUP($B51,efs!$A$74:$A$84,efs!$F$74:$F$84,0,0)</f>
        <v>12.909562057759784</v>
      </c>
      <c r="G51" s="108">
        <f>BAU_Fuel_cons!P13*_xlfn.XLOOKUP($B51,efs!$A$74:$A$84,efs!$F$74:$F$84,0,0)</f>
        <v>13.053356870054522</v>
      </c>
      <c r="H51" s="108">
        <f>BAU_Fuel_cons!Q13*_xlfn.XLOOKUP($B51,efs!$A$74:$A$84,efs!$F$74:$F$84,0,0)</f>
        <v>13.190123223938871</v>
      </c>
      <c r="I51" s="108">
        <f>BAU_Fuel_cons!R13*_xlfn.XLOOKUP($B51,efs!$A$74:$A$84,efs!$F$74:$F$84,0,0)</f>
        <v>13.319887097347713</v>
      </c>
      <c r="J51" s="108">
        <f>BAU_Fuel_cons!S13*_xlfn.XLOOKUP($B51,efs!$A$74:$A$84,efs!$F$74:$F$84,0,0)</f>
        <v>13.442835847908706</v>
      </c>
      <c r="K51" s="108">
        <f>BAU_Fuel_cons!T13*_xlfn.XLOOKUP($B51,efs!$A$74:$A$84,efs!$F$74:$F$84,0,0)</f>
        <v>13.399040132147922</v>
      </c>
      <c r="L51" s="108">
        <f>BAU_Fuel_cons!U13*_xlfn.XLOOKUP($B51,efs!$A$74:$A$84,efs!$F$74:$F$84,0,0)</f>
        <v>13.340622629902521</v>
      </c>
      <c r="M51" s="108">
        <f>BAU_Fuel_cons!V13*_xlfn.XLOOKUP($B51,efs!$A$74:$A$84,efs!$F$74:$F$84,0,0)</f>
        <v>13.266732020019854</v>
      </c>
      <c r="N51" s="108">
        <f>BAU_Fuel_cons!W13*_xlfn.XLOOKUP($B51,efs!$A$74:$A$84,efs!$F$74:$F$84,0,0)</f>
        <v>13.17632332896177</v>
      </c>
      <c r="O51" s="108">
        <f>BAU_Fuel_cons!X13*_xlfn.XLOOKUP($B51,efs!$A$74:$A$84,efs!$F$74:$F$84,0,0)</f>
        <v>13.068284569956816</v>
      </c>
      <c r="P51" s="108">
        <f>BAU_Fuel_cons!Y13*_xlfn.XLOOKUP($B51,efs!$A$74:$A$84,efs!$F$74:$F$84,0,0)</f>
        <v>12.941770020196527</v>
      </c>
      <c r="Q51" s="108">
        <f>BAU_Fuel_cons!Z13*_xlfn.XLOOKUP($B51,efs!$A$74:$A$84,efs!$F$74:$F$84,0,0)</f>
        <v>12.796372574174123</v>
      </c>
      <c r="R51" s="108">
        <f>BAU_Fuel_cons!AA13*_xlfn.XLOOKUP($B51,efs!$A$74:$A$84,efs!$F$74:$F$84,0,0)</f>
        <v>12.631978121891235</v>
      </c>
      <c r="S51" s="108">
        <f>BAU_Fuel_cons!AB13*_xlfn.XLOOKUP($B51,efs!$A$74:$A$84,efs!$F$74:$F$84,0,0)</f>
        <v>12.448517856759038</v>
      </c>
      <c r="T51" s="108">
        <f>BAU_Fuel_cons!AC13*_xlfn.XLOOKUP($B51,efs!$A$74:$A$84,efs!$F$74:$F$84,0,0)</f>
        <v>12.246137803616223</v>
      </c>
      <c r="U51" s="108">
        <f>BAU_Fuel_cons!AD13*_xlfn.XLOOKUP($B51,efs!$A$74:$A$84,efs!$F$74:$F$84,0,0)</f>
        <v>12.026429819096887</v>
      </c>
      <c r="V51" s="108">
        <f>BAU_Fuel_cons!AE13*_xlfn.XLOOKUP($B51,efs!$A$74:$A$84,efs!$F$74:$F$84,0,0)</f>
        <v>11.78951378124283</v>
      </c>
      <c r="W51" s="108">
        <f>BAU_Fuel_cons!AF13*_xlfn.XLOOKUP($B51,efs!$A$74:$A$84,efs!$F$74:$F$84,0,0)</f>
        <v>11.535317121137155</v>
      </c>
      <c r="X51" s="108">
        <f>BAU_Fuel_cons!AG13*_xlfn.XLOOKUP($B51,efs!$A$74:$A$84,efs!$F$74:$F$84,0,0)</f>
        <v>11.263876152970067</v>
      </c>
      <c r="Y51" s="108">
        <f>BAU_Fuel_cons!AH13*_xlfn.XLOOKUP($B51,efs!$A$74:$A$84,efs!$F$74:$F$84,0,0)</f>
        <v>10.975256615955294</v>
      </c>
      <c r="Z51" s="108">
        <f>BAU_Fuel_cons!AI13*_xlfn.XLOOKUP($B51,efs!$A$74:$A$84,efs!$F$74:$F$84,0,0)</f>
        <v>10.669574371452498</v>
      </c>
      <c r="AA51" s="108">
        <f>BAU_Fuel_cons!AJ13*_xlfn.XLOOKUP($B51,efs!$A$74:$A$84,efs!$F$74:$F$84,0,0)</f>
        <v>10.346964550195578</v>
      </c>
      <c r="AB51" s="108">
        <f>BAU_Fuel_cons!AK13*_xlfn.XLOOKUP($B51,efs!$A$74:$A$84,efs!$F$74:$F$84,0,0)</f>
        <v>10.007591162839791</v>
      </c>
      <c r="AC51" s="108">
        <f>BAU_Fuel_cons!AL13*_xlfn.XLOOKUP($B51,efs!$A$74:$A$84,efs!$F$74:$F$84,0,0)</f>
        <v>9.6516317261270181</v>
      </c>
      <c r="AD51" s="108">
        <f>BAU_Fuel_cons!AM13*_xlfn.XLOOKUP($B51,efs!$A$74:$A$84,efs!$F$74:$F$84,0,0)</f>
        <v>9.279296089358926</v>
      </c>
      <c r="AE51" s="108">
        <f>BAU_Fuel_cons!AN13*_xlfn.XLOOKUP($B51,efs!$A$74:$A$84,efs!$F$74:$F$84,0,0)</f>
        <v>8.8908709245639219</v>
      </c>
      <c r="AF51" s="108">
        <f>BAU_Fuel_cons!AO13*_xlfn.XLOOKUP($B51,efs!$A$74:$A$84,efs!$F$74:$F$84,0,0)</f>
        <v>8.4866933259499771</v>
      </c>
      <c r="AG51" s="108">
        <f>BAU_Fuel_cons!AP13*_xlfn.XLOOKUP($B51,efs!$A$74:$A$84,efs!$F$74:$F$84,0,0)</f>
        <v>8.0671737191195909</v>
      </c>
      <c r="AH51" s="108">
        <f>BAU_Fuel_cons!AQ13*_xlfn.XLOOKUP($B51,efs!$A$74:$A$84,efs!$F$74:$F$84,0,0)</f>
        <v>7.6327782127730313</v>
      </c>
      <c r="AI51" s="108">
        <f>BAU_Fuel_cons!AR13*_xlfn.XLOOKUP($B51,efs!$A$74:$A$84,efs!$F$74:$F$84,0,0)</f>
        <v>7.1840141575869483</v>
      </c>
      <c r="AJ51" s="109">
        <f>BAU_Fuel_cons!AS13*_xlfn.XLOOKUP($B51,efs!$A$74:$A$84,efs!$F$74:$F$84,0,0)</f>
        <v>6.7214000465674228</v>
      </c>
      <c r="AT51" t="s">
        <v>68</v>
      </c>
      <c r="AU51" s="55">
        <f>SUM(NICCS_emissions!AU40:AU47)</f>
        <v>21.637629535290266</v>
      </c>
      <c r="AV51" s="55">
        <f>SUM(NICCS_emissions!AV40:AV47)</f>
        <v>25.013323374867472</v>
      </c>
      <c r="AW51" s="55">
        <f>SUM(NICCS_emissions!AW40:AW47)</f>
        <v>21.245228989898596</v>
      </c>
      <c r="AX51" s="55">
        <f>SUM(NICCS_emissions!AX40:AX47)</f>
        <v>15.447140856920131</v>
      </c>
      <c r="AY51" s="55">
        <f>SUM(NICCS_emissions!AY40:AY47)</f>
        <v>7.4705080492599665</v>
      </c>
      <c r="AZ51" s="55">
        <f>SUM(NICCS_emissions!AZ40:AZ47)</f>
        <v>8.1442523821205555</v>
      </c>
      <c r="BA51" s="55">
        <f>SUM(NICCS_emissions!BA40:BA47)</f>
        <v>8.7839707836303056</v>
      </c>
    </row>
    <row r="52" spans="1:53">
      <c r="A52" s="95" t="s">
        <v>18</v>
      </c>
      <c r="B52" s="4" t="s">
        <v>8</v>
      </c>
      <c r="C52" s="4" t="s">
        <v>53</v>
      </c>
      <c r="D52" s="42" t="s">
        <v>122</v>
      </c>
      <c r="E52" s="110">
        <f>BAU_Fuel_cons!N14*_xlfn.XLOOKUP($B52,efs!$A$74:$A$84,efs!$F$74:$F$84,0,0)</f>
        <v>1.3098563714456497</v>
      </c>
      <c r="F52" s="18">
        <f>BAU_Fuel_cons!O14*_xlfn.XLOOKUP($B52,efs!$A$74:$A$84,efs!$F$74:$F$84,0,0)</f>
        <v>1.4826259992488344</v>
      </c>
      <c r="G52" s="18">
        <f>BAU_Fuel_cons!P14*_xlfn.XLOOKUP($B52,efs!$A$74:$A$84,efs!$F$74:$F$84,0,0)</f>
        <v>1.6625781768802859</v>
      </c>
      <c r="H52" s="18">
        <f>BAU_Fuel_cons!Q14*_xlfn.XLOOKUP($B52,efs!$A$74:$A$84,efs!$F$74:$F$84,0,0)</f>
        <v>1.8497496047672686</v>
      </c>
      <c r="I52" s="18">
        <f>BAU_Fuel_cons!R14*_xlfn.XLOOKUP($B52,efs!$A$74:$A$84,efs!$F$74:$F$84,0,0)</f>
        <v>2.0442130087901189</v>
      </c>
      <c r="J52" s="18">
        <f>BAU_Fuel_cons!S14*_xlfn.XLOOKUP($B52,efs!$A$74:$A$84,efs!$F$74:$F$84,0,0)</f>
        <v>2.2460734335584869</v>
      </c>
      <c r="K52" s="18">
        <f>BAU_Fuel_cons!T14*_xlfn.XLOOKUP($B52,efs!$A$74:$A$84,efs!$F$74:$F$84,0,0)</f>
        <v>2.5682356215269211</v>
      </c>
      <c r="L52" s="18">
        <f>BAU_Fuel_cons!U14*_xlfn.XLOOKUP($B52,efs!$A$74:$A$84,efs!$F$74:$F$84,0,0)</f>
        <v>2.903039571296683</v>
      </c>
      <c r="M52" s="18">
        <f>BAU_Fuel_cons!V14*_xlfn.XLOOKUP($B52,efs!$A$74:$A$84,efs!$F$74:$F$84,0,0)</f>
        <v>3.2504108750172103</v>
      </c>
      <c r="N52" s="18">
        <f>BAU_Fuel_cons!W14*_xlfn.XLOOKUP($B52,efs!$A$74:$A$84,efs!$F$74:$F$84,0,0)</f>
        <v>3.6101389142267712</v>
      </c>
      <c r="O52" s="18">
        <f>BAU_Fuel_cons!X14*_xlfn.XLOOKUP($B52,efs!$A$74:$A$84,efs!$F$74:$F$84,0,0)</f>
        <v>3.9818733126574672</v>
      </c>
      <c r="P52" s="18">
        <f>BAU_Fuel_cons!Y14*_xlfn.XLOOKUP($B52,efs!$A$74:$A$84,efs!$F$74:$F$84,0,0)</f>
        <v>4.3652070865185708</v>
      </c>
      <c r="Q52" s="18">
        <f>BAU_Fuel_cons!Z14*_xlfn.XLOOKUP($B52,efs!$A$74:$A$84,efs!$F$74:$F$84,0,0)</f>
        <v>4.7597636897963751</v>
      </c>
      <c r="R52" s="18">
        <f>BAU_Fuel_cons!AA14*_xlfn.XLOOKUP($B52,efs!$A$74:$A$84,efs!$F$74:$F$84,0,0)</f>
        <v>5.1651967437315456</v>
      </c>
      <c r="S52" s="18">
        <f>BAU_Fuel_cons!AB14*_xlfn.XLOOKUP($B52,efs!$A$74:$A$84,efs!$F$74:$F$84,0,0)</f>
        <v>5.5811215879661509</v>
      </c>
      <c r="T52" s="18">
        <f>BAU_Fuel_cons!AC14*_xlfn.XLOOKUP($B52,efs!$A$74:$A$84,efs!$F$74:$F$84,0,0)</f>
        <v>6.0071977331223456</v>
      </c>
      <c r="U52" s="18">
        <f>BAU_Fuel_cons!AD14*_xlfn.XLOOKUP($B52,efs!$A$74:$A$84,efs!$F$74:$F$84,0,0)</f>
        <v>6.4438259462474399</v>
      </c>
      <c r="V52" s="18">
        <f>BAU_Fuel_cons!AE14*_xlfn.XLOOKUP($B52,efs!$A$74:$A$84,efs!$F$74:$F$84,0,0)</f>
        <v>6.8907884461490525</v>
      </c>
      <c r="W52" s="18">
        <f>BAU_Fuel_cons!AF14*_xlfn.XLOOKUP($B52,efs!$A$74:$A$84,efs!$F$74:$F$84,0,0)</f>
        <v>7.3477249471570598</v>
      </c>
      <c r="X52" s="18">
        <f>BAU_Fuel_cons!AG14*_xlfn.XLOOKUP($B52,efs!$A$74:$A$84,efs!$F$74:$F$84,0,0)</f>
        <v>7.8142830195867408</v>
      </c>
      <c r="Y52" s="18">
        <f>BAU_Fuel_cons!AH14*_xlfn.XLOOKUP($B52,efs!$A$74:$A$84,efs!$F$74:$F$84,0,0)</f>
        <v>8.2900772261686342</v>
      </c>
      <c r="Z52" s="18">
        <f>BAU_Fuel_cons!AI14*_xlfn.XLOOKUP($B52,efs!$A$74:$A$84,efs!$F$74:$F$84,0,0)</f>
        <v>8.7747037548558229</v>
      </c>
      <c r="AA52" s="18">
        <f>BAU_Fuel_cons!AJ14*_xlfn.XLOOKUP($B52,efs!$A$74:$A$84,efs!$F$74:$F$84,0,0)</f>
        <v>9.2677173145373342</v>
      </c>
      <c r="AB52" s="18">
        <f>BAU_Fuel_cons!AK14*_xlfn.XLOOKUP($B52,efs!$A$74:$A$84,efs!$F$74:$F$84,0,0)</f>
        <v>9.7686339630289609</v>
      </c>
      <c r="AC52" s="18">
        <f>BAU_Fuel_cons!AL14*_xlfn.XLOOKUP($B52,efs!$A$74:$A$84,efs!$F$74:$F$84,0,0)</f>
        <v>10.276910431914873</v>
      </c>
      <c r="AD52" s="18">
        <f>BAU_Fuel_cons!AM14*_xlfn.XLOOKUP($B52,efs!$A$74:$A$84,efs!$F$74:$F$84,0,0)</f>
        <v>10.791952772166761</v>
      </c>
      <c r="AE52" s="18">
        <f>BAU_Fuel_cons!AN14*_xlfn.XLOOKUP($B52,efs!$A$74:$A$84,efs!$F$74:$F$84,0,0)</f>
        <v>11.313165483171851</v>
      </c>
      <c r="AF52" s="18">
        <f>BAU_Fuel_cons!AO14*_xlfn.XLOOKUP($B52,efs!$A$74:$A$84,efs!$F$74:$F$84,0,0)</f>
        <v>11.839931771400469</v>
      </c>
      <c r="AG52" s="18">
        <f>BAU_Fuel_cons!AP14*_xlfn.XLOOKUP($B52,efs!$A$74:$A$84,efs!$F$74:$F$84,0,0)</f>
        <v>12.371654097399887</v>
      </c>
      <c r="AH52" s="18">
        <f>BAU_Fuel_cons!AQ14*_xlfn.XLOOKUP($B52,efs!$A$74:$A$84,efs!$F$74:$F$84,0,0)</f>
        <v>12.907750022290134</v>
      </c>
      <c r="AI52" s="18">
        <f>BAU_Fuel_cons!AR14*_xlfn.XLOOKUP($B52,efs!$A$74:$A$84,efs!$F$74:$F$84,0,0)</f>
        <v>13.447646302811318</v>
      </c>
      <c r="AJ52" s="111">
        <f>BAU_Fuel_cons!AS14*_xlfn.XLOOKUP($B52,efs!$A$74:$A$84,efs!$F$74:$F$84,0,0)</f>
        <v>13.990732341315377</v>
      </c>
    </row>
    <row r="53" spans="1:53">
      <c r="A53" s="95" t="s">
        <v>18</v>
      </c>
      <c r="B53" s="4" t="s">
        <v>37</v>
      </c>
      <c r="C53" s="4" t="s">
        <v>53</v>
      </c>
      <c r="D53" s="42" t="s">
        <v>122</v>
      </c>
      <c r="E53" s="110">
        <f>BAU_Fuel_cons!N15*_xlfn.XLOOKUP($B53,efs!$A$74:$A$84,efs!$F$74:$F$84,0,0)</f>
        <v>0</v>
      </c>
      <c r="F53" s="18">
        <f>BAU_Fuel_cons!O15*_xlfn.XLOOKUP($B53,efs!$A$74:$A$84,efs!$F$74:$F$84,0,0)</f>
        <v>0</v>
      </c>
      <c r="G53" s="18">
        <f>BAU_Fuel_cons!P15*_xlfn.XLOOKUP($B53,efs!$A$74:$A$84,efs!$F$74:$F$84,0,0)</f>
        <v>0</v>
      </c>
      <c r="H53" s="18">
        <f>BAU_Fuel_cons!Q15*_xlfn.XLOOKUP($B53,efs!$A$74:$A$84,efs!$F$74:$F$84,0,0)</f>
        <v>0</v>
      </c>
      <c r="I53" s="18">
        <f>BAU_Fuel_cons!R15*_xlfn.XLOOKUP($B53,efs!$A$74:$A$84,efs!$F$74:$F$84,0,0)</f>
        <v>0</v>
      </c>
      <c r="J53" s="18">
        <f>BAU_Fuel_cons!S15*_xlfn.XLOOKUP($B53,efs!$A$74:$A$84,efs!$F$74:$F$84,0,0)</f>
        <v>0</v>
      </c>
      <c r="K53" s="18">
        <f>BAU_Fuel_cons!T15*_xlfn.XLOOKUP($B53,efs!$A$74:$A$84,efs!$F$74:$F$84,0,0)</f>
        <v>0</v>
      </c>
      <c r="L53" s="18">
        <f>BAU_Fuel_cons!U15*_xlfn.XLOOKUP($B53,efs!$A$74:$A$84,efs!$F$74:$F$84,0,0)</f>
        <v>0</v>
      </c>
      <c r="M53" s="18">
        <f>BAU_Fuel_cons!V15*_xlfn.XLOOKUP($B53,efs!$A$74:$A$84,efs!$F$74:$F$84,0,0)</f>
        <v>0</v>
      </c>
      <c r="N53" s="18">
        <f>BAU_Fuel_cons!W15*_xlfn.XLOOKUP($B53,efs!$A$74:$A$84,efs!$F$74:$F$84,0,0)</f>
        <v>0</v>
      </c>
      <c r="O53" s="18">
        <f>BAU_Fuel_cons!X15*_xlfn.XLOOKUP($B53,efs!$A$74:$A$84,efs!$F$74:$F$84,0,0)</f>
        <v>0</v>
      </c>
      <c r="P53" s="18">
        <f>BAU_Fuel_cons!Y15*_xlfn.XLOOKUP($B53,efs!$A$74:$A$84,efs!$F$74:$F$84,0,0)</f>
        <v>0</v>
      </c>
      <c r="Q53" s="18">
        <f>BAU_Fuel_cons!Z15*_xlfn.XLOOKUP($B53,efs!$A$74:$A$84,efs!$F$74:$F$84,0,0)</f>
        <v>0</v>
      </c>
      <c r="R53" s="18">
        <f>BAU_Fuel_cons!AA15*_xlfn.XLOOKUP($B53,efs!$A$74:$A$84,efs!$F$74:$F$84,0,0)</f>
        <v>0</v>
      </c>
      <c r="S53" s="18">
        <f>BAU_Fuel_cons!AB15*_xlfn.XLOOKUP($B53,efs!$A$74:$A$84,efs!$F$74:$F$84,0,0)</f>
        <v>0</v>
      </c>
      <c r="T53" s="18">
        <f>BAU_Fuel_cons!AC15*_xlfn.XLOOKUP($B53,efs!$A$74:$A$84,efs!$F$74:$F$84,0,0)</f>
        <v>0</v>
      </c>
      <c r="U53" s="18">
        <f>BAU_Fuel_cons!AD15*_xlfn.XLOOKUP($B53,efs!$A$74:$A$84,efs!$F$74:$F$84,0,0)</f>
        <v>0</v>
      </c>
      <c r="V53" s="18">
        <f>BAU_Fuel_cons!AE15*_xlfn.XLOOKUP($B53,efs!$A$74:$A$84,efs!$F$74:$F$84,0,0)</f>
        <v>0</v>
      </c>
      <c r="W53" s="18">
        <f>BAU_Fuel_cons!AF15*_xlfn.XLOOKUP($B53,efs!$A$74:$A$84,efs!$F$74:$F$84,0,0)</f>
        <v>0</v>
      </c>
      <c r="X53" s="18">
        <f>BAU_Fuel_cons!AG15*_xlfn.XLOOKUP($B53,efs!$A$74:$A$84,efs!$F$74:$F$84,0,0)</f>
        <v>0</v>
      </c>
      <c r="Y53" s="18">
        <f>BAU_Fuel_cons!AH15*_xlfn.XLOOKUP($B53,efs!$A$74:$A$84,efs!$F$74:$F$84,0,0)</f>
        <v>0</v>
      </c>
      <c r="Z53" s="18">
        <f>BAU_Fuel_cons!AI15*_xlfn.XLOOKUP($B53,efs!$A$74:$A$84,efs!$F$74:$F$84,0,0)</f>
        <v>0</v>
      </c>
      <c r="AA53" s="18">
        <f>BAU_Fuel_cons!AJ15*_xlfn.XLOOKUP($B53,efs!$A$74:$A$84,efs!$F$74:$F$84,0,0)</f>
        <v>0</v>
      </c>
      <c r="AB53" s="18">
        <f>BAU_Fuel_cons!AK15*_xlfn.XLOOKUP($B53,efs!$A$74:$A$84,efs!$F$74:$F$84,0,0)</f>
        <v>0</v>
      </c>
      <c r="AC53" s="18">
        <f>BAU_Fuel_cons!AL15*_xlfn.XLOOKUP($B53,efs!$A$74:$A$84,efs!$F$74:$F$84,0,0)</f>
        <v>0</v>
      </c>
      <c r="AD53" s="18">
        <f>BAU_Fuel_cons!AM15*_xlfn.XLOOKUP($B53,efs!$A$74:$A$84,efs!$F$74:$F$84,0,0)</f>
        <v>0</v>
      </c>
      <c r="AE53" s="18">
        <f>BAU_Fuel_cons!AN15*_xlfn.XLOOKUP($B53,efs!$A$74:$A$84,efs!$F$74:$F$84,0,0)</f>
        <v>0</v>
      </c>
      <c r="AF53" s="18">
        <f>BAU_Fuel_cons!AO15*_xlfn.XLOOKUP($B53,efs!$A$74:$A$84,efs!$F$74:$F$84,0,0)</f>
        <v>0</v>
      </c>
      <c r="AG53" s="18">
        <f>BAU_Fuel_cons!AP15*_xlfn.XLOOKUP($B53,efs!$A$74:$A$84,efs!$F$74:$F$84,0,0)</f>
        <v>0</v>
      </c>
      <c r="AH53" s="18">
        <f>BAU_Fuel_cons!AQ15*_xlfn.XLOOKUP($B53,efs!$A$74:$A$84,efs!$F$74:$F$84,0,0)</f>
        <v>0</v>
      </c>
      <c r="AI53" s="18">
        <f>BAU_Fuel_cons!AR15*_xlfn.XLOOKUP($B53,efs!$A$74:$A$84,efs!$F$74:$F$84,0,0)</f>
        <v>0</v>
      </c>
      <c r="AJ53" s="111">
        <f>BAU_Fuel_cons!AS15*_xlfn.XLOOKUP($B53,efs!$A$74:$A$84,efs!$F$74:$F$84,0,0)</f>
        <v>0</v>
      </c>
      <c r="AU53" s="21">
        <f>(AU51-AU50)/AU50</f>
        <v>0</v>
      </c>
      <c r="AV53" s="21">
        <f t="shared" ref="AV53:BA53" si="26">(AV51-AV50)/AV50</f>
        <v>0</v>
      </c>
      <c r="AW53" s="21">
        <f t="shared" si="26"/>
        <v>-0.2486577207855159</v>
      </c>
      <c r="AX53" s="21">
        <f t="shared" si="26"/>
        <v>-0.51053372509071604</v>
      </c>
      <c r="AY53" s="21">
        <f t="shared" si="26"/>
        <v>-0.78571835630083442</v>
      </c>
      <c r="AZ53" s="21">
        <f t="shared" si="26"/>
        <v>-0.78664077789526754</v>
      </c>
      <c r="BA53" s="21">
        <f t="shared" si="26"/>
        <v>-0.78799944656914078</v>
      </c>
    </row>
    <row r="54" spans="1:53">
      <c r="A54" s="95" t="s">
        <v>18</v>
      </c>
      <c r="B54" s="4" t="s">
        <v>10</v>
      </c>
      <c r="C54" s="4" t="s">
        <v>53</v>
      </c>
      <c r="D54" s="42" t="s">
        <v>122</v>
      </c>
      <c r="E54" s="110">
        <f>BAU_Fuel_cons!N16*_xlfn.XLOOKUP($B54,efs!$A$74:$A$84,efs!$F$74:$F$84,0,0)</f>
        <v>0</v>
      </c>
      <c r="F54" s="18">
        <f>BAU_Fuel_cons!O16*_xlfn.XLOOKUP($B54,efs!$A$74:$A$84,efs!$F$74:$F$84,0,0)</f>
        <v>0</v>
      </c>
      <c r="G54" s="18">
        <f>BAU_Fuel_cons!P16*_xlfn.XLOOKUP($B54,efs!$A$74:$A$84,efs!$F$74:$F$84,0,0)</f>
        <v>0</v>
      </c>
      <c r="H54" s="18">
        <f>BAU_Fuel_cons!Q16*_xlfn.XLOOKUP($B54,efs!$A$74:$A$84,efs!$F$74:$F$84,0,0)</f>
        <v>0</v>
      </c>
      <c r="I54" s="18">
        <f>BAU_Fuel_cons!R16*_xlfn.XLOOKUP($B54,efs!$A$74:$A$84,efs!$F$74:$F$84,0,0)</f>
        <v>0</v>
      </c>
      <c r="J54" s="18">
        <f>BAU_Fuel_cons!S16*_xlfn.XLOOKUP($B54,efs!$A$74:$A$84,efs!$F$74:$F$84,0,0)</f>
        <v>0</v>
      </c>
      <c r="K54" s="18">
        <f>BAU_Fuel_cons!T16*_xlfn.XLOOKUP($B54,efs!$A$74:$A$84,efs!$F$74:$F$84,0,0)</f>
        <v>0</v>
      </c>
      <c r="L54" s="18">
        <f>BAU_Fuel_cons!U16*_xlfn.XLOOKUP($B54,efs!$A$74:$A$84,efs!$F$74:$F$84,0,0)</f>
        <v>0</v>
      </c>
      <c r="M54" s="18">
        <f>BAU_Fuel_cons!V16*_xlfn.XLOOKUP($B54,efs!$A$74:$A$84,efs!$F$74:$F$84,0,0)</f>
        <v>0</v>
      </c>
      <c r="N54" s="18">
        <f>BAU_Fuel_cons!W16*_xlfn.XLOOKUP($B54,efs!$A$74:$A$84,efs!$F$74:$F$84,0,0)</f>
        <v>0</v>
      </c>
      <c r="O54" s="18">
        <f>BAU_Fuel_cons!X16*_xlfn.XLOOKUP($B54,efs!$A$74:$A$84,efs!$F$74:$F$84,0,0)</f>
        <v>0</v>
      </c>
      <c r="P54" s="18">
        <f>BAU_Fuel_cons!Y16*_xlfn.XLOOKUP($B54,efs!$A$74:$A$84,efs!$F$74:$F$84,0,0)</f>
        <v>0</v>
      </c>
      <c r="Q54" s="18">
        <f>BAU_Fuel_cons!Z16*_xlfn.XLOOKUP($B54,efs!$A$74:$A$84,efs!$F$74:$F$84,0,0)</f>
        <v>0</v>
      </c>
      <c r="R54" s="18">
        <f>BAU_Fuel_cons!AA16*_xlfn.XLOOKUP($B54,efs!$A$74:$A$84,efs!$F$74:$F$84,0,0)</f>
        <v>0</v>
      </c>
      <c r="S54" s="18">
        <f>BAU_Fuel_cons!AB16*_xlfn.XLOOKUP($B54,efs!$A$74:$A$84,efs!$F$74:$F$84,0,0)</f>
        <v>0</v>
      </c>
      <c r="T54" s="18">
        <f>BAU_Fuel_cons!AC16*_xlfn.XLOOKUP($B54,efs!$A$74:$A$84,efs!$F$74:$F$84,0,0)</f>
        <v>0</v>
      </c>
      <c r="U54" s="18">
        <f>BAU_Fuel_cons!AD16*_xlfn.XLOOKUP($B54,efs!$A$74:$A$84,efs!$F$74:$F$84,0,0)</f>
        <v>0</v>
      </c>
      <c r="V54" s="18">
        <f>BAU_Fuel_cons!AE16*_xlfn.XLOOKUP($B54,efs!$A$74:$A$84,efs!$F$74:$F$84,0,0)</f>
        <v>0</v>
      </c>
      <c r="W54" s="18">
        <f>BAU_Fuel_cons!AF16*_xlfn.XLOOKUP($B54,efs!$A$74:$A$84,efs!$F$74:$F$84,0,0)</f>
        <v>0</v>
      </c>
      <c r="X54" s="18">
        <f>BAU_Fuel_cons!AG16*_xlfn.XLOOKUP($B54,efs!$A$74:$A$84,efs!$F$74:$F$84,0,0)</f>
        <v>0</v>
      </c>
      <c r="Y54" s="18">
        <f>BAU_Fuel_cons!AH16*_xlfn.XLOOKUP($B54,efs!$A$74:$A$84,efs!$F$74:$F$84,0,0)</f>
        <v>0</v>
      </c>
      <c r="Z54" s="18">
        <f>BAU_Fuel_cons!AI16*_xlfn.XLOOKUP($B54,efs!$A$74:$A$84,efs!$F$74:$F$84,0,0)</f>
        <v>0</v>
      </c>
      <c r="AA54" s="18">
        <f>BAU_Fuel_cons!AJ16*_xlfn.XLOOKUP($B54,efs!$A$74:$A$84,efs!$F$74:$F$84,0,0)</f>
        <v>0</v>
      </c>
      <c r="AB54" s="18">
        <f>BAU_Fuel_cons!AK16*_xlfn.XLOOKUP($B54,efs!$A$74:$A$84,efs!$F$74:$F$84,0,0)</f>
        <v>0</v>
      </c>
      <c r="AC54" s="18">
        <f>BAU_Fuel_cons!AL16*_xlfn.XLOOKUP($B54,efs!$A$74:$A$84,efs!$F$74:$F$84,0,0)</f>
        <v>0</v>
      </c>
      <c r="AD54" s="18">
        <f>BAU_Fuel_cons!AM16*_xlfn.XLOOKUP($B54,efs!$A$74:$A$84,efs!$F$74:$F$84,0,0)</f>
        <v>0</v>
      </c>
      <c r="AE54" s="18">
        <f>BAU_Fuel_cons!AN16*_xlfn.XLOOKUP($B54,efs!$A$74:$A$84,efs!$F$74:$F$84,0,0)</f>
        <v>0</v>
      </c>
      <c r="AF54" s="18">
        <f>BAU_Fuel_cons!AO16*_xlfn.XLOOKUP($B54,efs!$A$74:$A$84,efs!$F$74:$F$84,0,0)</f>
        <v>0</v>
      </c>
      <c r="AG54" s="18">
        <f>BAU_Fuel_cons!AP16*_xlfn.XLOOKUP($B54,efs!$A$74:$A$84,efs!$F$74:$F$84,0,0)</f>
        <v>0</v>
      </c>
      <c r="AH54" s="18">
        <f>BAU_Fuel_cons!AQ16*_xlfn.XLOOKUP($B54,efs!$A$74:$A$84,efs!$F$74:$F$84,0,0)</f>
        <v>0</v>
      </c>
      <c r="AI54" s="18">
        <f>BAU_Fuel_cons!AR16*_xlfn.XLOOKUP($B54,efs!$A$74:$A$84,efs!$F$74:$F$84,0,0)</f>
        <v>0</v>
      </c>
      <c r="AJ54" s="111">
        <f>BAU_Fuel_cons!AS16*_xlfn.XLOOKUP($B54,efs!$A$74:$A$84,efs!$F$74:$F$84,0,0)</f>
        <v>0</v>
      </c>
    </row>
    <row r="55" spans="1:53">
      <c r="A55" s="95" t="s">
        <v>18</v>
      </c>
      <c r="B55" s="4" t="s">
        <v>11</v>
      </c>
      <c r="C55" s="4" t="s">
        <v>53</v>
      </c>
      <c r="D55" s="42" t="s">
        <v>122</v>
      </c>
      <c r="E55" s="110">
        <f>BAU_Fuel_cons!N17*_xlfn.XLOOKUP($B55,efs!$A$74:$A$84,efs!$F$74:$F$84,0,0)</f>
        <v>3.0402179194820316E-6</v>
      </c>
      <c r="F55" s="18">
        <f>BAU_Fuel_cons!O17*_xlfn.XLOOKUP($B55,efs!$A$74:$A$84,efs!$F$74:$F$84,0,0)</f>
        <v>3.0051034212694702E-6</v>
      </c>
      <c r="G55" s="18">
        <f>BAU_Fuel_cons!P17*_xlfn.XLOOKUP($B55,efs!$A$74:$A$84,efs!$F$74:$F$84,0,0)</f>
        <v>2.9648261453137438E-6</v>
      </c>
      <c r="H55" s="18">
        <f>BAU_Fuel_cons!Q17*_xlfn.XLOOKUP($B55,efs!$A$74:$A$84,efs!$F$74:$F$84,0,0)</f>
        <v>2.9192909044549852E-6</v>
      </c>
      <c r="I55" s="18">
        <f>BAU_Fuel_cons!R17*_xlfn.XLOOKUP($B55,efs!$A$74:$A$84,efs!$F$74:$F$84,0,0)</f>
        <v>2.8684722751621573E-6</v>
      </c>
      <c r="J55" s="18">
        <f>BAU_Fuel_cons!S17*_xlfn.XLOOKUP($B55,efs!$A$74:$A$84,efs!$F$74:$F$84,0,0)</f>
        <v>2.8123761798096259E-6</v>
      </c>
      <c r="K55" s="18">
        <f>BAU_Fuel_cons!T17*_xlfn.XLOOKUP($B55,efs!$A$74:$A$84,efs!$F$74:$F$84,0,0)</f>
        <v>2.7672080751183946E-6</v>
      </c>
      <c r="L55" s="18">
        <f>BAU_Fuel_cons!U17*_xlfn.XLOOKUP($B55,efs!$A$74:$A$84,efs!$F$74:$F$84,0,0)</f>
        <v>2.7173324743758642E-6</v>
      </c>
      <c r="M55" s="18">
        <f>BAU_Fuel_cons!V17*_xlfn.XLOOKUP($B55,efs!$A$74:$A$84,efs!$F$74:$F$84,0,0)</f>
        <v>2.6625638597738785E-6</v>
      </c>
      <c r="N55" s="18">
        <f>BAU_Fuel_cons!W17*_xlfn.XLOOKUP($B55,efs!$A$74:$A$84,efs!$F$74:$F$84,0,0)</f>
        <v>2.6026875487228569E-6</v>
      </c>
      <c r="O55" s="18">
        <f>BAU_Fuel_cons!X17*_xlfn.XLOOKUP($B55,efs!$A$74:$A$84,efs!$F$74:$F$84,0,0)</f>
        <v>2.5374888879622412E-6</v>
      </c>
      <c r="P55" s="18">
        <f>BAU_Fuel_cons!Y17*_xlfn.XLOOKUP($B55,efs!$A$74:$A$84,efs!$F$74:$F$84,0,0)</f>
        <v>2.4668199770900089E-6</v>
      </c>
      <c r="Q55" s="18">
        <f>BAU_Fuel_cons!Z17*_xlfn.XLOOKUP($B55,efs!$A$74:$A$84,efs!$F$74:$F$84,0,0)</f>
        <v>2.3906293612665237E-6</v>
      </c>
      <c r="R55" s="18">
        <f>BAU_Fuel_cons!AA17*_xlfn.XLOOKUP($B55,efs!$A$74:$A$84,efs!$F$74:$F$84,0,0)</f>
        <v>2.3089289363439034E-6</v>
      </c>
      <c r="S55" s="18">
        <f>BAU_Fuel_cons!AB17*_xlfn.XLOOKUP($B55,efs!$A$74:$A$84,efs!$F$74:$F$84,0,0)</f>
        <v>2.2217450867121037E-6</v>
      </c>
      <c r="T55" s="18">
        <f>BAU_Fuel_cons!AC17*_xlfn.XLOOKUP($B55,efs!$A$74:$A$84,efs!$F$74:$F$84,0,0)</f>
        <v>2.129148237223455E-6</v>
      </c>
      <c r="U55" s="18">
        <f>BAU_Fuel_cons!AD17*_xlfn.XLOOKUP($B55,efs!$A$74:$A$84,efs!$F$74:$F$84,0,0)</f>
        <v>2.0314566899091902E-6</v>
      </c>
      <c r="V55" s="18">
        <f>BAU_Fuel_cons!AE17*_xlfn.XLOOKUP($B55,efs!$A$74:$A$84,efs!$F$74:$F$84,0,0)</f>
        <v>1.9287215124658257E-6</v>
      </c>
      <c r="W55" s="18">
        <f>BAU_Fuel_cons!AF17*_xlfn.XLOOKUP($B55,efs!$A$74:$A$84,efs!$F$74:$F$84,0,0)</f>
        <v>1.8209655698004429E-6</v>
      </c>
      <c r="X55" s="18">
        <f>BAU_Fuel_cons!AG17*_xlfn.XLOOKUP($B55,efs!$A$74:$A$84,efs!$F$74:$F$84,0,0)</f>
        <v>1.7082356358404517E-6</v>
      </c>
      <c r="Y55" s="18">
        <f>BAU_Fuel_cons!AH17*_xlfn.XLOOKUP($B55,efs!$A$74:$A$84,efs!$F$74:$F$84,0,0)</f>
        <v>1.5905887848664775E-6</v>
      </c>
      <c r="Z55" s="18">
        <f>BAU_Fuel_cons!AI17*_xlfn.XLOOKUP($B55,efs!$A$74:$A$84,efs!$F$74:$F$84,0,0)</f>
        <v>1.4680955003889016E-6</v>
      </c>
      <c r="AA55" s="18">
        <f>BAU_Fuel_cons!AJ17*_xlfn.XLOOKUP($B55,efs!$A$74:$A$84,efs!$F$74:$F$84,0,0)</f>
        <v>1.3408351819413869E-6</v>
      </c>
      <c r="AB55" s="18">
        <f>BAU_Fuel_cons!AK17*_xlfn.XLOOKUP($B55,efs!$A$74:$A$84,efs!$F$74:$F$84,0,0)</f>
        <v>1.2088980221384154E-6</v>
      </c>
      <c r="AC55" s="18">
        <f>BAU_Fuel_cons!AL17*_xlfn.XLOOKUP($B55,efs!$A$74:$A$84,efs!$F$74:$F$84,0,0)</f>
        <v>1.0723837689904736E-6</v>
      </c>
      <c r="AD55" s="18">
        <f>BAU_Fuel_cons!AM17*_xlfn.XLOOKUP($B55,efs!$A$74:$A$84,efs!$F$74:$F$84,0,0)</f>
        <v>9.3140506354698141E-7</v>
      </c>
      <c r="AE55" s="18">
        <f>BAU_Fuel_cons!AN17*_xlfn.XLOOKUP($B55,efs!$A$74:$A$84,efs!$F$74:$F$84,0,0)</f>
        <v>7.8609219119817366E-7</v>
      </c>
      <c r="AF55" s="18">
        <f>BAU_Fuel_cons!AO17*_xlfn.XLOOKUP($B55,efs!$A$74:$A$84,efs!$F$74:$F$84,0,0)</f>
        <v>6.3658923370715486E-7</v>
      </c>
      <c r="AG55" s="18">
        <f>BAU_Fuel_cons!AP17*_xlfn.XLOOKUP($B55,efs!$A$74:$A$84,efs!$F$74:$F$84,0,0)</f>
        <v>4.8305484936193823E-7</v>
      </c>
      <c r="AH55" s="18">
        <f>BAU_Fuel_cons!AQ17*_xlfn.XLOOKUP($B55,efs!$A$74:$A$84,efs!$F$74:$F$84,0,0)</f>
        <v>3.2565871243193556E-7</v>
      </c>
      <c r="AI55" s="18">
        <f>BAU_Fuel_cons!AR17*_xlfn.XLOOKUP($B55,efs!$A$74:$A$84,efs!$F$74:$F$84,0,0)</f>
        <v>1.6457887355580219E-7</v>
      </c>
      <c r="AJ55" s="111">
        <f>BAU_Fuel_cons!AS17*_xlfn.XLOOKUP($B55,efs!$A$74:$A$84,efs!$F$74:$F$84,0,0)</f>
        <v>0</v>
      </c>
    </row>
    <row r="56" spans="1:53">
      <c r="A56" s="95" t="s">
        <v>18</v>
      </c>
      <c r="B56" s="4" t="s">
        <v>12</v>
      </c>
      <c r="C56" s="4" t="s">
        <v>53</v>
      </c>
      <c r="D56" s="42" t="s">
        <v>122</v>
      </c>
      <c r="E56" s="110">
        <f>BAU_Fuel_cons!N18*_xlfn.XLOOKUP($B56,efs!$A$74:$A$84,efs!$F$74:$F$84,0,0)</f>
        <v>0</v>
      </c>
      <c r="F56" s="18">
        <f>BAU_Fuel_cons!O18*_xlfn.XLOOKUP($B56,efs!$A$74:$A$84,efs!$F$74:$F$84,0,0)</f>
        <v>0</v>
      </c>
      <c r="G56" s="18">
        <f>BAU_Fuel_cons!P18*_xlfn.XLOOKUP($B56,efs!$A$74:$A$84,efs!$F$74:$F$84,0,0)</f>
        <v>0</v>
      </c>
      <c r="H56" s="18">
        <f>BAU_Fuel_cons!Q18*_xlfn.XLOOKUP($B56,efs!$A$74:$A$84,efs!$F$74:$F$84,0,0)</f>
        <v>0</v>
      </c>
      <c r="I56" s="18">
        <f>BAU_Fuel_cons!R18*_xlfn.XLOOKUP($B56,efs!$A$74:$A$84,efs!$F$74:$F$84,0,0)</f>
        <v>0</v>
      </c>
      <c r="J56" s="18">
        <f>BAU_Fuel_cons!S18*_xlfn.XLOOKUP($B56,efs!$A$74:$A$84,efs!$F$74:$F$84,0,0)</f>
        <v>0</v>
      </c>
      <c r="K56" s="18">
        <f>BAU_Fuel_cons!T18*_xlfn.XLOOKUP($B56,efs!$A$74:$A$84,efs!$F$74:$F$84,0,0)</f>
        <v>0</v>
      </c>
      <c r="L56" s="18">
        <f>BAU_Fuel_cons!U18*_xlfn.XLOOKUP($B56,efs!$A$74:$A$84,efs!$F$74:$F$84,0,0)</f>
        <v>0</v>
      </c>
      <c r="M56" s="18">
        <f>BAU_Fuel_cons!V18*_xlfn.XLOOKUP($B56,efs!$A$74:$A$84,efs!$F$74:$F$84,0,0)</f>
        <v>0</v>
      </c>
      <c r="N56" s="18">
        <f>BAU_Fuel_cons!W18*_xlfn.XLOOKUP($B56,efs!$A$74:$A$84,efs!$F$74:$F$84,0,0)</f>
        <v>0</v>
      </c>
      <c r="O56" s="18">
        <f>BAU_Fuel_cons!X18*_xlfn.XLOOKUP($B56,efs!$A$74:$A$84,efs!$F$74:$F$84,0,0)</f>
        <v>0</v>
      </c>
      <c r="P56" s="18">
        <f>BAU_Fuel_cons!Y18*_xlfn.XLOOKUP($B56,efs!$A$74:$A$84,efs!$F$74:$F$84,0,0)</f>
        <v>0</v>
      </c>
      <c r="Q56" s="18">
        <f>BAU_Fuel_cons!Z18*_xlfn.XLOOKUP($B56,efs!$A$74:$A$84,efs!$F$74:$F$84,0,0)</f>
        <v>0</v>
      </c>
      <c r="R56" s="18">
        <f>BAU_Fuel_cons!AA18*_xlfn.XLOOKUP($B56,efs!$A$74:$A$84,efs!$F$74:$F$84,0,0)</f>
        <v>0</v>
      </c>
      <c r="S56" s="18">
        <f>BAU_Fuel_cons!AB18*_xlfn.XLOOKUP($B56,efs!$A$74:$A$84,efs!$F$74:$F$84,0,0)</f>
        <v>0</v>
      </c>
      <c r="T56" s="18">
        <f>BAU_Fuel_cons!AC18*_xlfn.XLOOKUP($B56,efs!$A$74:$A$84,efs!$F$74:$F$84,0,0)</f>
        <v>0</v>
      </c>
      <c r="U56" s="18">
        <f>BAU_Fuel_cons!AD18*_xlfn.XLOOKUP($B56,efs!$A$74:$A$84,efs!$F$74:$F$84,0,0)</f>
        <v>0</v>
      </c>
      <c r="V56" s="18">
        <f>BAU_Fuel_cons!AE18*_xlfn.XLOOKUP($B56,efs!$A$74:$A$84,efs!$F$74:$F$84,0,0)</f>
        <v>0</v>
      </c>
      <c r="W56" s="18">
        <f>BAU_Fuel_cons!AF18*_xlfn.XLOOKUP($B56,efs!$A$74:$A$84,efs!$F$74:$F$84,0,0)</f>
        <v>0</v>
      </c>
      <c r="X56" s="18">
        <f>BAU_Fuel_cons!AG18*_xlfn.XLOOKUP($B56,efs!$A$74:$A$84,efs!$F$74:$F$84,0,0)</f>
        <v>0</v>
      </c>
      <c r="Y56" s="18">
        <f>BAU_Fuel_cons!AH18*_xlfn.XLOOKUP($B56,efs!$A$74:$A$84,efs!$F$74:$F$84,0,0)</f>
        <v>0</v>
      </c>
      <c r="Z56" s="18">
        <f>BAU_Fuel_cons!AI18*_xlfn.XLOOKUP($B56,efs!$A$74:$A$84,efs!$F$74:$F$84,0,0)</f>
        <v>0</v>
      </c>
      <c r="AA56" s="18">
        <f>BAU_Fuel_cons!AJ18*_xlfn.XLOOKUP($B56,efs!$A$74:$A$84,efs!$F$74:$F$84,0,0)</f>
        <v>0</v>
      </c>
      <c r="AB56" s="18">
        <f>BAU_Fuel_cons!AK18*_xlfn.XLOOKUP($B56,efs!$A$74:$A$84,efs!$F$74:$F$84,0,0)</f>
        <v>0</v>
      </c>
      <c r="AC56" s="18">
        <f>BAU_Fuel_cons!AL18*_xlfn.XLOOKUP($B56,efs!$A$74:$A$84,efs!$F$74:$F$84,0,0)</f>
        <v>0</v>
      </c>
      <c r="AD56" s="18">
        <f>BAU_Fuel_cons!AM18*_xlfn.XLOOKUP($B56,efs!$A$74:$A$84,efs!$F$74:$F$84,0,0)</f>
        <v>0</v>
      </c>
      <c r="AE56" s="18">
        <f>BAU_Fuel_cons!AN18*_xlfn.XLOOKUP($B56,efs!$A$74:$A$84,efs!$F$74:$F$84,0,0)</f>
        <v>0</v>
      </c>
      <c r="AF56" s="18">
        <f>BAU_Fuel_cons!AO18*_xlfn.XLOOKUP($B56,efs!$A$74:$A$84,efs!$F$74:$F$84,0,0)</f>
        <v>0</v>
      </c>
      <c r="AG56" s="18">
        <f>BAU_Fuel_cons!AP18*_xlfn.XLOOKUP($B56,efs!$A$74:$A$84,efs!$F$74:$F$84,0,0)</f>
        <v>0</v>
      </c>
      <c r="AH56" s="18">
        <f>BAU_Fuel_cons!AQ18*_xlfn.XLOOKUP($B56,efs!$A$74:$A$84,efs!$F$74:$F$84,0,0)</f>
        <v>0</v>
      </c>
      <c r="AI56" s="18">
        <f>BAU_Fuel_cons!AR18*_xlfn.XLOOKUP($B56,efs!$A$74:$A$84,efs!$F$74:$F$84,0,0)</f>
        <v>0</v>
      </c>
      <c r="AJ56" s="111">
        <f>BAU_Fuel_cons!AS18*_xlfn.XLOOKUP($B56,efs!$A$74:$A$84,efs!$F$74:$F$84,0,0)</f>
        <v>0</v>
      </c>
    </row>
    <row r="57" spans="1:53">
      <c r="A57" s="95" t="s">
        <v>18</v>
      </c>
      <c r="B57" s="4" t="s">
        <v>13</v>
      </c>
      <c r="C57" s="4" t="s">
        <v>53</v>
      </c>
      <c r="D57" s="42" t="s">
        <v>122</v>
      </c>
      <c r="E57" s="110">
        <f>BAU_Fuel_cons!N19*_xlfn.XLOOKUP($B57,efs!$A$74:$A$84,efs!$F$74:$F$84,0,0)</f>
        <v>0</v>
      </c>
      <c r="F57" s="18">
        <f>BAU_Fuel_cons!O19*_xlfn.XLOOKUP($B57,efs!$A$74:$A$84,efs!$F$74:$F$84,0,0)</f>
        <v>0</v>
      </c>
      <c r="G57" s="18">
        <f>BAU_Fuel_cons!P19*_xlfn.XLOOKUP($B57,efs!$A$74:$A$84,efs!$F$74:$F$84,0,0)</f>
        <v>0</v>
      </c>
      <c r="H57" s="18">
        <f>BAU_Fuel_cons!Q19*_xlfn.XLOOKUP($B57,efs!$A$74:$A$84,efs!$F$74:$F$84,0,0)</f>
        <v>0</v>
      </c>
      <c r="I57" s="18">
        <f>BAU_Fuel_cons!R19*_xlfn.XLOOKUP($B57,efs!$A$74:$A$84,efs!$F$74:$F$84,0,0)</f>
        <v>0</v>
      </c>
      <c r="J57" s="18">
        <f>BAU_Fuel_cons!S19*_xlfn.XLOOKUP($B57,efs!$A$74:$A$84,efs!$F$74:$F$84,0,0)</f>
        <v>0</v>
      </c>
      <c r="K57" s="18">
        <f>BAU_Fuel_cons!T19*_xlfn.XLOOKUP($B57,efs!$A$74:$A$84,efs!$F$74:$F$84,0,0)</f>
        <v>0</v>
      </c>
      <c r="L57" s="18">
        <f>BAU_Fuel_cons!U19*_xlfn.XLOOKUP($B57,efs!$A$74:$A$84,efs!$F$74:$F$84,0,0)</f>
        <v>0</v>
      </c>
      <c r="M57" s="18">
        <f>BAU_Fuel_cons!V19*_xlfn.XLOOKUP($B57,efs!$A$74:$A$84,efs!$F$74:$F$84,0,0)</f>
        <v>0</v>
      </c>
      <c r="N57" s="18">
        <f>BAU_Fuel_cons!W19*_xlfn.XLOOKUP($B57,efs!$A$74:$A$84,efs!$F$74:$F$84,0,0)</f>
        <v>0</v>
      </c>
      <c r="O57" s="18">
        <f>BAU_Fuel_cons!X19*_xlfn.XLOOKUP($B57,efs!$A$74:$A$84,efs!$F$74:$F$84,0,0)</f>
        <v>0</v>
      </c>
      <c r="P57" s="18">
        <f>BAU_Fuel_cons!Y19*_xlfn.XLOOKUP($B57,efs!$A$74:$A$84,efs!$F$74:$F$84,0,0)</f>
        <v>0</v>
      </c>
      <c r="Q57" s="18">
        <f>BAU_Fuel_cons!Z19*_xlfn.XLOOKUP($B57,efs!$A$74:$A$84,efs!$F$74:$F$84,0,0)</f>
        <v>0</v>
      </c>
      <c r="R57" s="18">
        <f>BAU_Fuel_cons!AA19*_xlfn.XLOOKUP($B57,efs!$A$74:$A$84,efs!$F$74:$F$84,0,0)</f>
        <v>0</v>
      </c>
      <c r="S57" s="18">
        <f>BAU_Fuel_cons!AB19*_xlfn.XLOOKUP($B57,efs!$A$74:$A$84,efs!$F$74:$F$84,0,0)</f>
        <v>0</v>
      </c>
      <c r="T57" s="18">
        <f>BAU_Fuel_cons!AC19*_xlfn.XLOOKUP($B57,efs!$A$74:$A$84,efs!$F$74:$F$84,0,0)</f>
        <v>0</v>
      </c>
      <c r="U57" s="18">
        <f>BAU_Fuel_cons!AD19*_xlfn.XLOOKUP($B57,efs!$A$74:$A$84,efs!$F$74:$F$84,0,0)</f>
        <v>0</v>
      </c>
      <c r="V57" s="18">
        <f>BAU_Fuel_cons!AE19*_xlfn.XLOOKUP($B57,efs!$A$74:$A$84,efs!$F$74:$F$84,0,0)</f>
        <v>0</v>
      </c>
      <c r="W57" s="18">
        <f>BAU_Fuel_cons!AF19*_xlfn.XLOOKUP($B57,efs!$A$74:$A$84,efs!$F$74:$F$84,0,0)</f>
        <v>0</v>
      </c>
      <c r="X57" s="18">
        <f>BAU_Fuel_cons!AG19*_xlfn.XLOOKUP($B57,efs!$A$74:$A$84,efs!$F$74:$F$84,0,0)</f>
        <v>0</v>
      </c>
      <c r="Y57" s="18">
        <f>BAU_Fuel_cons!AH19*_xlfn.XLOOKUP($B57,efs!$A$74:$A$84,efs!$F$74:$F$84,0,0)</f>
        <v>0</v>
      </c>
      <c r="Z57" s="18">
        <f>BAU_Fuel_cons!AI19*_xlfn.XLOOKUP($B57,efs!$A$74:$A$84,efs!$F$74:$F$84,0,0)</f>
        <v>0</v>
      </c>
      <c r="AA57" s="18">
        <f>BAU_Fuel_cons!AJ19*_xlfn.XLOOKUP($B57,efs!$A$74:$A$84,efs!$F$74:$F$84,0,0)</f>
        <v>0</v>
      </c>
      <c r="AB57" s="18">
        <f>BAU_Fuel_cons!AK19*_xlfn.XLOOKUP($B57,efs!$A$74:$A$84,efs!$F$74:$F$84,0,0)</f>
        <v>0</v>
      </c>
      <c r="AC57" s="18">
        <f>BAU_Fuel_cons!AL19*_xlfn.XLOOKUP($B57,efs!$A$74:$A$84,efs!$F$74:$F$84,0,0)</f>
        <v>0</v>
      </c>
      <c r="AD57" s="18">
        <f>BAU_Fuel_cons!AM19*_xlfn.XLOOKUP($B57,efs!$A$74:$A$84,efs!$F$74:$F$84,0,0)</f>
        <v>0</v>
      </c>
      <c r="AE57" s="18">
        <f>BAU_Fuel_cons!AN19*_xlfn.XLOOKUP($B57,efs!$A$74:$A$84,efs!$F$74:$F$84,0,0)</f>
        <v>0</v>
      </c>
      <c r="AF57" s="18">
        <f>BAU_Fuel_cons!AO19*_xlfn.XLOOKUP($B57,efs!$A$74:$A$84,efs!$F$74:$F$84,0,0)</f>
        <v>0</v>
      </c>
      <c r="AG57" s="18">
        <f>BAU_Fuel_cons!AP19*_xlfn.XLOOKUP($B57,efs!$A$74:$A$84,efs!$F$74:$F$84,0,0)</f>
        <v>0</v>
      </c>
      <c r="AH57" s="18">
        <f>BAU_Fuel_cons!AQ19*_xlfn.XLOOKUP($B57,efs!$A$74:$A$84,efs!$F$74:$F$84,0,0)</f>
        <v>0</v>
      </c>
      <c r="AI57" s="18">
        <f>BAU_Fuel_cons!AR19*_xlfn.XLOOKUP($B57,efs!$A$74:$A$84,efs!$F$74:$F$84,0,0)</f>
        <v>0</v>
      </c>
      <c r="AJ57" s="111">
        <f>BAU_Fuel_cons!AS19*_xlfn.XLOOKUP($B57,efs!$A$74:$A$84,efs!$F$74:$F$84,0,0)</f>
        <v>0</v>
      </c>
    </row>
    <row r="58" spans="1:53">
      <c r="A58" s="95" t="s">
        <v>18</v>
      </c>
      <c r="B58" s="4" t="s">
        <v>14</v>
      </c>
      <c r="C58" s="4" t="s">
        <v>53</v>
      </c>
      <c r="D58" s="42" t="s">
        <v>122</v>
      </c>
      <c r="E58" s="110">
        <f>BAU_Fuel_cons!N20*_xlfn.XLOOKUP($B58,efs!$A$74:$A$84,efs!$F$74:$F$84,0,0)</f>
        <v>0</v>
      </c>
      <c r="F58" s="18">
        <f>BAU_Fuel_cons!O20*_xlfn.XLOOKUP($B58,efs!$A$74:$A$84,efs!$F$74:$F$84,0,0)</f>
        <v>0</v>
      </c>
      <c r="G58" s="18">
        <f>BAU_Fuel_cons!P20*_xlfn.XLOOKUP($B58,efs!$A$74:$A$84,efs!$F$74:$F$84,0,0)</f>
        <v>0</v>
      </c>
      <c r="H58" s="18">
        <f>BAU_Fuel_cons!Q20*_xlfn.XLOOKUP($B58,efs!$A$74:$A$84,efs!$F$74:$F$84,0,0)</f>
        <v>0</v>
      </c>
      <c r="I58" s="18">
        <f>BAU_Fuel_cons!R20*_xlfn.XLOOKUP($B58,efs!$A$74:$A$84,efs!$F$74:$F$84,0,0)</f>
        <v>0</v>
      </c>
      <c r="J58" s="18">
        <f>BAU_Fuel_cons!S20*_xlfn.XLOOKUP($B58,efs!$A$74:$A$84,efs!$F$74:$F$84,0,0)</f>
        <v>0</v>
      </c>
      <c r="K58" s="18">
        <f>BAU_Fuel_cons!T20*_xlfn.XLOOKUP($B58,efs!$A$74:$A$84,efs!$F$74:$F$84,0,0)</f>
        <v>0</v>
      </c>
      <c r="L58" s="18">
        <f>BAU_Fuel_cons!U20*_xlfn.XLOOKUP($B58,efs!$A$74:$A$84,efs!$F$74:$F$84,0,0)</f>
        <v>0</v>
      </c>
      <c r="M58" s="18">
        <f>BAU_Fuel_cons!V20*_xlfn.XLOOKUP($B58,efs!$A$74:$A$84,efs!$F$74:$F$84,0,0)</f>
        <v>0</v>
      </c>
      <c r="N58" s="18">
        <f>BAU_Fuel_cons!W20*_xlfn.XLOOKUP($B58,efs!$A$74:$A$84,efs!$F$74:$F$84,0,0)</f>
        <v>0</v>
      </c>
      <c r="O58" s="18">
        <f>BAU_Fuel_cons!X20*_xlfn.XLOOKUP($B58,efs!$A$74:$A$84,efs!$F$74:$F$84,0,0)</f>
        <v>0</v>
      </c>
      <c r="P58" s="18">
        <f>BAU_Fuel_cons!Y20*_xlfn.XLOOKUP($B58,efs!$A$74:$A$84,efs!$F$74:$F$84,0,0)</f>
        <v>0</v>
      </c>
      <c r="Q58" s="18">
        <f>BAU_Fuel_cons!Z20*_xlfn.XLOOKUP($B58,efs!$A$74:$A$84,efs!$F$74:$F$84,0,0)</f>
        <v>0</v>
      </c>
      <c r="R58" s="18">
        <f>BAU_Fuel_cons!AA20*_xlfn.XLOOKUP($B58,efs!$A$74:$A$84,efs!$F$74:$F$84,0,0)</f>
        <v>0</v>
      </c>
      <c r="S58" s="18">
        <f>BAU_Fuel_cons!AB20*_xlfn.XLOOKUP($B58,efs!$A$74:$A$84,efs!$F$74:$F$84,0,0)</f>
        <v>0</v>
      </c>
      <c r="T58" s="18">
        <f>BAU_Fuel_cons!AC20*_xlfn.XLOOKUP($B58,efs!$A$74:$A$84,efs!$F$74:$F$84,0,0)</f>
        <v>0</v>
      </c>
      <c r="U58" s="18">
        <f>BAU_Fuel_cons!AD20*_xlfn.XLOOKUP($B58,efs!$A$74:$A$84,efs!$F$74:$F$84,0,0)</f>
        <v>0</v>
      </c>
      <c r="V58" s="18">
        <f>BAU_Fuel_cons!AE20*_xlfn.XLOOKUP($B58,efs!$A$74:$A$84,efs!$F$74:$F$84,0,0)</f>
        <v>0</v>
      </c>
      <c r="W58" s="18">
        <f>BAU_Fuel_cons!AF20*_xlfn.XLOOKUP($B58,efs!$A$74:$A$84,efs!$F$74:$F$84,0,0)</f>
        <v>0</v>
      </c>
      <c r="X58" s="18">
        <f>BAU_Fuel_cons!AG20*_xlfn.XLOOKUP($B58,efs!$A$74:$A$84,efs!$F$74:$F$84,0,0)</f>
        <v>0</v>
      </c>
      <c r="Y58" s="18">
        <f>BAU_Fuel_cons!AH20*_xlfn.XLOOKUP($B58,efs!$A$74:$A$84,efs!$F$74:$F$84,0,0)</f>
        <v>0</v>
      </c>
      <c r="Z58" s="18">
        <f>BAU_Fuel_cons!AI20*_xlfn.XLOOKUP($B58,efs!$A$74:$A$84,efs!$F$74:$F$84,0,0)</f>
        <v>0</v>
      </c>
      <c r="AA58" s="18">
        <f>BAU_Fuel_cons!AJ20*_xlfn.XLOOKUP($B58,efs!$A$74:$A$84,efs!$F$74:$F$84,0,0)</f>
        <v>0</v>
      </c>
      <c r="AB58" s="18">
        <f>BAU_Fuel_cons!AK20*_xlfn.XLOOKUP($B58,efs!$A$74:$A$84,efs!$F$74:$F$84,0,0)</f>
        <v>0</v>
      </c>
      <c r="AC58" s="18">
        <f>BAU_Fuel_cons!AL20*_xlfn.XLOOKUP($B58,efs!$A$74:$A$84,efs!$F$74:$F$84,0,0)</f>
        <v>0</v>
      </c>
      <c r="AD58" s="18">
        <f>BAU_Fuel_cons!AM20*_xlfn.XLOOKUP($B58,efs!$A$74:$A$84,efs!$F$74:$F$84,0,0)</f>
        <v>0</v>
      </c>
      <c r="AE58" s="18">
        <f>BAU_Fuel_cons!AN20*_xlfn.XLOOKUP($B58,efs!$A$74:$A$84,efs!$F$74:$F$84,0,0)</f>
        <v>0</v>
      </c>
      <c r="AF58" s="18">
        <f>BAU_Fuel_cons!AO20*_xlfn.XLOOKUP($B58,efs!$A$74:$A$84,efs!$F$74:$F$84,0,0)</f>
        <v>0</v>
      </c>
      <c r="AG58" s="18">
        <f>BAU_Fuel_cons!AP20*_xlfn.XLOOKUP($B58,efs!$A$74:$A$84,efs!$F$74:$F$84,0,0)</f>
        <v>0</v>
      </c>
      <c r="AH58" s="18">
        <f>BAU_Fuel_cons!AQ20*_xlfn.XLOOKUP($B58,efs!$A$74:$A$84,efs!$F$74:$F$84,0,0)</f>
        <v>0</v>
      </c>
      <c r="AI58" s="18">
        <f>BAU_Fuel_cons!AR20*_xlfn.XLOOKUP($B58,efs!$A$74:$A$84,efs!$F$74:$F$84,0,0)</f>
        <v>0</v>
      </c>
      <c r="AJ58" s="111">
        <f>BAU_Fuel_cons!AS20*_xlfn.XLOOKUP($B58,efs!$A$74:$A$84,efs!$F$74:$F$84,0,0)</f>
        <v>0</v>
      </c>
    </row>
    <row r="59" spans="1:53">
      <c r="A59" s="95" t="s">
        <v>18</v>
      </c>
      <c r="B59" s="4" t="s">
        <v>15</v>
      </c>
      <c r="C59" s="4" t="s">
        <v>53</v>
      </c>
      <c r="D59" s="42" t="s">
        <v>122</v>
      </c>
      <c r="E59" s="110">
        <f>BAU_Fuel_cons!N21*_xlfn.XLOOKUP($B59,efs!$A$74:$A$84,efs!$F$74:$F$84,0,0)</f>
        <v>0</v>
      </c>
      <c r="F59" s="18">
        <f>BAU_Fuel_cons!O21*_xlfn.XLOOKUP($B59,efs!$A$74:$A$84,efs!$F$74:$F$84,0,0)</f>
        <v>0</v>
      </c>
      <c r="G59" s="18">
        <f>BAU_Fuel_cons!P21*_xlfn.XLOOKUP($B59,efs!$A$74:$A$84,efs!$F$74:$F$84,0,0)</f>
        <v>0</v>
      </c>
      <c r="H59" s="18">
        <f>BAU_Fuel_cons!Q21*_xlfn.XLOOKUP($B59,efs!$A$74:$A$84,efs!$F$74:$F$84,0,0)</f>
        <v>0</v>
      </c>
      <c r="I59" s="18">
        <f>BAU_Fuel_cons!R21*_xlfn.XLOOKUP($B59,efs!$A$74:$A$84,efs!$F$74:$F$84,0,0)</f>
        <v>0</v>
      </c>
      <c r="J59" s="18">
        <f>BAU_Fuel_cons!S21*_xlfn.XLOOKUP($B59,efs!$A$74:$A$84,efs!$F$74:$F$84,0,0)</f>
        <v>0</v>
      </c>
      <c r="K59" s="18">
        <f>BAU_Fuel_cons!T21*_xlfn.XLOOKUP($B59,efs!$A$74:$A$84,efs!$F$74:$F$84,0,0)</f>
        <v>0</v>
      </c>
      <c r="L59" s="18">
        <f>BAU_Fuel_cons!U21*_xlfn.XLOOKUP($B59,efs!$A$74:$A$84,efs!$F$74:$F$84,0,0)</f>
        <v>0</v>
      </c>
      <c r="M59" s="18">
        <f>BAU_Fuel_cons!V21*_xlfn.XLOOKUP($B59,efs!$A$74:$A$84,efs!$F$74:$F$84,0,0)</f>
        <v>0</v>
      </c>
      <c r="N59" s="18">
        <f>BAU_Fuel_cons!W21*_xlfn.XLOOKUP($B59,efs!$A$74:$A$84,efs!$F$74:$F$84,0,0)</f>
        <v>0</v>
      </c>
      <c r="O59" s="18">
        <f>BAU_Fuel_cons!X21*_xlfn.XLOOKUP($B59,efs!$A$74:$A$84,efs!$F$74:$F$84,0,0)</f>
        <v>0</v>
      </c>
      <c r="P59" s="18">
        <f>BAU_Fuel_cons!Y21*_xlfn.XLOOKUP($B59,efs!$A$74:$A$84,efs!$F$74:$F$84,0,0)</f>
        <v>0</v>
      </c>
      <c r="Q59" s="18">
        <f>BAU_Fuel_cons!Z21*_xlfn.XLOOKUP($B59,efs!$A$74:$A$84,efs!$F$74:$F$84,0,0)</f>
        <v>0</v>
      </c>
      <c r="R59" s="18">
        <f>BAU_Fuel_cons!AA21*_xlfn.XLOOKUP($B59,efs!$A$74:$A$84,efs!$F$74:$F$84,0,0)</f>
        <v>0</v>
      </c>
      <c r="S59" s="18">
        <f>BAU_Fuel_cons!AB21*_xlfn.XLOOKUP($B59,efs!$A$74:$A$84,efs!$F$74:$F$84,0,0)</f>
        <v>0</v>
      </c>
      <c r="T59" s="18">
        <f>BAU_Fuel_cons!AC21*_xlfn.XLOOKUP($B59,efs!$A$74:$A$84,efs!$F$74:$F$84,0,0)</f>
        <v>0</v>
      </c>
      <c r="U59" s="18">
        <f>BAU_Fuel_cons!AD21*_xlfn.XLOOKUP($B59,efs!$A$74:$A$84,efs!$F$74:$F$84,0,0)</f>
        <v>0</v>
      </c>
      <c r="V59" s="18">
        <f>BAU_Fuel_cons!AE21*_xlfn.XLOOKUP($B59,efs!$A$74:$A$84,efs!$F$74:$F$84,0,0)</f>
        <v>0</v>
      </c>
      <c r="W59" s="18">
        <f>BAU_Fuel_cons!AF21*_xlfn.XLOOKUP($B59,efs!$A$74:$A$84,efs!$F$74:$F$84,0,0)</f>
        <v>0</v>
      </c>
      <c r="X59" s="18">
        <f>BAU_Fuel_cons!AG21*_xlfn.XLOOKUP($B59,efs!$A$74:$A$84,efs!$F$74:$F$84,0,0)</f>
        <v>0</v>
      </c>
      <c r="Y59" s="18">
        <f>BAU_Fuel_cons!AH21*_xlfn.XLOOKUP($B59,efs!$A$74:$A$84,efs!$F$74:$F$84,0,0)</f>
        <v>0</v>
      </c>
      <c r="Z59" s="18">
        <f>BAU_Fuel_cons!AI21*_xlfn.XLOOKUP($B59,efs!$A$74:$A$84,efs!$F$74:$F$84,0,0)</f>
        <v>0</v>
      </c>
      <c r="AA59" s="18">
        <f>BAU_Fuel_cons!AJ21*_xlfn.XLOOKUP($B59,efs!$A$74:$A$84,efs!$F$74:$F$84,0,0)</f>
        <v>0</v>
      </c>
      <c r="AB59" s="18">
        <f>BAU_Fuel_cons!AK21*_xlfn.XLOOKUP($B59,efs!$A$74:$A$84,efs!$F$74:$F$84,0,0)</f>
        <v>0</v>
      </c>
      <c r="AC59" s="18">
        <f>BAU_Fuel_cons!AL21*_xlfn.XLOOKUP($B59,efs!$A$74:$A$84,efs!$F$74:$F$84,0,0)</f>
        <v>0</v>
      </c>
      <c r="AD59" s="18">
        <f>BAU_Fuel_cons!AM21*_xlfn.XLOOKUP($B59,efs!$A$74:$A$84,efs!$F$74:$F$84,0,0)</f>
        <v>0</v>
      </c>
      <c r="AE59" s="18">
        <f>BAU_Fuel_cons!AN21*_xlfn.XLOOKUP($B59,efs!$A$74:$A$84,efs!$F$74:$F$84,0,0)</f>
        <v>0</v>
      </c>
      <c r="AF59" s="18">
        <f>BAU_Fuel_cons!AO21*_xlfn.XLOOKUP($B59,efs!$A$74:$A$84,efs!$F$74:$F$84,0,0)</f>
        <v>0</v>
      </c>
      <c r="AG59" s="18">
        <f>BAU_Fuel_cons!AP21*_xlfn.XLOOKUP($B59,efs!$A$74:$A$84,efs!$F$74:$F$84,0,0)</f>
        <v>0</v>
      </c>
      <c r="AH59" s="18">
        <f>BAU_Fuel_cons!AQ21*_xlfn.XLOOKUP($B59,efs!$A$74:$A$84,efs!$F$74:$F$84,0,0)</f>
        <v>0</v>
      </c>
      <c r="AI59" s="18">
        <f>BAU_Fuel_cons!AR21*_xlfn.XLOOKUP($B59,efs!$A$74:$A$84,efs!$F$74:$F$84,0,0)</f>
        <v>0</v>
      </c>
      <c r="AJ59" s="111">
        <f>BAU_Fuel_cons!AS21*_xlfn.XLOOKUP($B59,efs!$A$74:$A$84,efs!$F$74:$F$84,0,0)</f>
        <v>0</v>
      </c>
    </row>
    <row r="60" spans="1:53">
      <c r="A60" s="97" t="s">
        <v>18</v>
      </c>
      <c r="B60" s="40" t="s">
        <v>16</v>
      </c>
      <c r="C60" s="4" t="s">
        <v>53</v>
      </c>
      <c r="D60" s="42" t="s">
        <v>122</v>
      </c>
      <c r="E60" s="110">
        <f>BAU_Fuel_cons!N22*_xlfn.XLOOKUP($B60,efs!$A$74:$A$84,efs!$F$74:$F$84,0,0)</f>
        <v>0</v>
      </c>
      <c r="F60" s="18">
        <f>BAU_Fuel_cons!O22*_xlfn.XLOOKUP($B60,efs!$A$74:$A$84,efs!$F$74:$F$84,0,0)</f>
        <v>0</v>
      </c>
      <c r="G60" s="18">
        <f>BAU_Fuel_cons!P22*_xlfn.XLOOKUP($B60,efs!$A$74:$A$84,efs!$F$74:$F$84,0,0)</f>
        <v>0</v>
      </c>
      <c r="H60" s="18">
        <f>BAU_Fuel_cons!Q22*_xlfn.XLOOKUP($B60,efs!$A$74:$A$84,efs!$F$74:$F$84,0,0)</f>
        <v>0</v>
      </c>
      <c r="I60" s="18">
        <f>BAU_Fuel_cons!R22*_xlfn.XLOOKUP($B60,efs!$A$74:$A$84,efs!$F$74:$F$84,0,0)</f>
        <v>0</v>
      </c>
      <c r="J60" s="18">
        <f>BAU_Fuel_cons!S22*_xlfn.XLOOKUP($B60,efs!$A$74:$A$84,efs!$F$74:$F$84,0,0)</f>
        <v>0</v>
      </c>
      <c r="K60" s="18">
        <f>BAU_Fuel_cons!T22*_xlfn.XLOOKUP($B60,efs!$A$74:$A$84,efs!$F$74:$F$84,0,0)</f>
        <v>0</v>
      </c>
      <c r="L60" s="18">
        <f>BAU_Fuel_cons!U22*_xlfn.XLOOKUP($B60,efs!$A$74:$A$84,efs!$F$74:$F$84,0,0)</f>
        <v>0</v>
      </c>
      <c r="M60" s="18">
        <f>BAU_Fuel_cons!V22*_xlfn.XLOOKUP($B60,efs!$A$74:$A$84,efs!$F$74:$F$84,0,0)</f>
        <v>0</v>
      </c>
      <c r="N60" s="18">
        <f>BAU_Fuel_cons!W22*_xlfn.XLOOKUP($B60,efs!$A$74:$A$84,efs!$F$74:$F$84,0,0)</f>
        <v>0</v>
      </c>
      <c r="O60" s="18">
        <f>BAU_Fuel_cons!X22*_xlfn.XLOOKUP($B60,efs!$A$74:$A$84,efs!$F$74:$F$84,0,0)</f>
        <v>0</v>
      </c>
      <c r="P60" s="18">
        <f>BAU_Fuel_cons!Y22*_xlfn.XLOOKUP($B60,efs!$A$74:$A$84,efs!$F$74:$F$84,0,0)</f>
        <v>0</v>
      </c>
      <c r="Q60" s="18">
        <f>BAU_Fuel_cons!Z22*_xlfn.XLOOKUP($B60,efs!$A$74:$A$84,efs!$F$74:$F$84,0,0)</f>
        <v>0</v>
      </c>
      <c r="R60" s="18">
        <f>BAU_Fuel_cons!AA22*_xlfn.XLOOKUP($B60,efs!$A$74:$A$84,efs!$F$74:$F$84,0,0)</f>
        <v>0</v>
      </c>
      <c r="S60" s="18">
        <f>BAU_Fuel_cons!AB22*_xlfn.XLOOKUP($B60,efs!$A$74:$A$84,efs!$F$74:$F$84,0,0)</f>
        <v>0</v>
      </c>
      <c r="T60" s="18">
        <f>BAU_Fuel_cons!AC22*_xlfn.XLOOKUP($B60,efs!$A$74:$A$84,efs!$F$74:$F$84,0,0)</f>
        <v>0</v>
      </c>
      <c r="U60" s="18">
        <f>BAU_Fuel_cons!AD22*_xlfn.XLOOKUP($B60,efs!$A$74:$A$84,efs!$F$74:$F$84,0,0)</f>
        <v>0</v>
      </c>
      <c r="V60" s="18">
        <f>BAU_Fuel_cons!AE22*_xlfn.XLOOKUP($B60,efs!$A$74:$A$84,efs!$F$74:$F$84,0,0)</f>
        <v>0</v>
      </c>
      <c r="W60" s="18">
        <f>BAU_Fuel_cons!AF22*_xlfn.XLOOKUP($B60,efs!$A$74:$A$84,efs!$F$74:$F$84,0,0)</f>
        <v>0</v>
      </c>
      <c r="X60" s="18">
        <f>BAU_Fuel_cons!AG22*_xlfn.XLOOKUP($B60,efs!$A$74:$A$84,efs!$F$74:$F$84,0,0)</f>
        <v>0</v>
      </c>
      <c r="Y60" s="18">
        <f>BAU_Fuel_cons!AH22*_xlfn.XLOOKUP($B60,efs!$A$74:$A$84,efs!$F$74:$F$84,0,0)</f>
        <v>0</v>
      </c>
      <c r="Z60" s="18">
        <f>BAU_Fuel_cons!AI22*_xlfn.XLOOKUP($B60,efs!$A$74:$A$84,efs!$F$74:$F$84,0,0)</f>
        <v>0</v>
      </c>
      <c r="AA60" s="18">
        <f>BAU_Fuel_cons!AJ22*_xlfn.XLOOKUP($B60,efs!$A$74:$A$84,efs!$F$74:$F$84,0,0)</f>
        <v>0</v>
      </c>
      <c r="AB60" s="18">
        <f>BAU_Fuel_cons!AK22*_xlfn.XLOOKUP($B60,efs!$A$74:$A$84,efs!$F$74:$F$84,0,0)</f>
        <v>0</v>
      </c>
      <c r="AC60" s="18">
        <f>BAU_Fuel_cons!AL22*_xlfn.XLOOKUP($B60,efs!$A$74:$A$84,efs!$F$74:$F$84,0,0)</f>
        <v>0</v>
      </c>
      <c r="AD60" s="18">
        <f>BAU_Fuel_cons!AM22*_xlfn.XLOOKUP($B60,efs!$A$74:$A$84,efs!$F$74:$F$84,0,0)</f>
        <v>0</v>
      </c>
      <c r="AE60" s="18">
        <f>BAU_Fuel_cons!AN22*_xlfn.XLOOKUP($B60,efs!$A$74:$A$84,efs!$F$74:$F$84,0,0)</f>
        <v>0</v>
      </c>
      <c r="AF60" s="18">
        <f>BAU_Fuel_cons!AO22*_xlfn.XLOOKUP($B60,efs!$A$74:$A$84,efs!$F$74:$F$84,0,0)</f>
        <v>0</v>
      </c>
      <c r="AG60" s="18">
        <f>BAU_Fuel_cons!AP22*_xlfn.XLOOKUP($B60,efs!$A$74:$A$84,efs!$F$74:$F$84,0,0)</f>
        <v>0</v>
      </c>
      <c r="AH60" s="18">
        <f>BAU_Fuel_cons!AQ22*_xlfn.XLOOKUP($B60,efs!$A$74:$A$84,efs!$F$74:$F$84,0,0)</f>
        <v>0</v>
      </c>
      <c r="AI60" s="18">
        <f>BAU_Fuel_cons!AR22*_xlfn.XLOOKUP($B60,efs!$A$74:$A$84,efs!$F$74:$F$84,0,0)</f>
        <v>0</v>
      </c>
      <c r="AJ60" s="111">
        <f>BAU_Fuel_cons!AS22*_xlfn.XLOOKUP($B60,efs!$A$74:$A$84,efs!$F$74:$F$84,0,0)</f>
        <v>0</v>
      </c>
    </row>
    <row r="61" spans="1:53" ht="17" thickBot="1">
      <c r="A61" s="96" t="s">
        <v>18</v>
      </c>
      <c r="B61" s="32" t="s">
        <v>17</v>
      </c>
      <c r="C61" s="32" t="s">
        <v>53</v>
      </c>
      <c r="D61" s="43" t="s">
        <v>122</v>
      </c>
      <c r="E61" s="112">
        <f>BAU_Fuel_cons!N23*_xlfn.XLOOKUP($B61,efs!$A$74:$A$84,efs!$F$74:$F$84,0,0)</f>
        <v>0</v>
      </c>
      <c r="F61" s="113">
        <f>BAU_Fuel_cons!O23*_xlfn.XLOOKUP($B61,efs!$A$74:$A$84,efs!$F$74:$F$84,0,0)</f>
        <v>0</v>
      </c>
      <c r="G61" s="113">
        <f>BAU_Fuel_cons!P23*_xlfn.XLOOKUP($B61,efs!$A$74:$A$84,efs!$F$74:$F$84,0,0)</f>
        <v>0</v>
      </c>
      <c r="H61" s="113">
        <f>BAU_Fuel_cons!Q23*_xlfn.XLOOKUP($B61,efs!$A$74:$A$84,efs!$F$74:$F$84,0,0)</f>
        <v>0</v>
      </c>
      <c r="I61" s="113">
        <f>BAU_Fuel_cons!R23*_xlfn.XLOOKUP($B61,efs!$A$74:$A$84,efs!$F$74:$F$84,0,0)</f>
        <v>0</v>
      </c>
      <c r="J61" s="113">
        <f>BAU_Fuel_cons!S23*_xlfn.XLOOKUP($B61,efs!$A$74:$A$84,efs!$F$74:$F$84,0,0)</f>
        <v>0</v>
      </c>
      <c r="K61" s="113">
        <f>BAU_Fuel_cons!T23*_xlfn.XLOOKUP($B61,efs!$A$74:$A$84,efs!$F$74:$F$84,0,0)</f>
        <v>0</v>
      </c>
      <c r="L61" s="113">
        <f>BAU_Fuel_cons!U23*_xlfn.XLOOKUP($B61,efs!$A$74:$A$84,efs!$F$74:$F$84,0,0)</f>
        <v>0</v>
      </c>
      <c r="M61" s="113">
        <f>BAU_Fuel_cons!V23*_xlfn.XLOOKUP($B61,efs!$A$74:$A$84,efs!$F$74:$F$84,0,0)</f>
        <v>0</v>
      </c>
      <c r="N61" s="113">
        <f>BAU_Fuel_cons!W23*_xlfn.XLOOKUP($B61,efs!$A$74:$A$84,efs!$F$74:$F$84,0,0)</f>
        <v>0</v>
      </c>
      <c r="O61" s="113">
        <f>BAU_Fuel_cons!X23*_xlfn.XLOOKUP($B61,efs!$A$74:$A$84,efs!$F$74:$F$84,0,0)</f>
        <v>0</v>
      </c>
      <c r="P61" s="113">
        <f>BAU_Fuel_cons!Y23*_xlfn.XLOOKUP($B61,efs!$A$74:$A$84,efs!$F$74:$F$84,0,0)</f>
        <v>0</v>
      </c>
      <c r="Q61" s="113">
        <f>BAU_Fuel_cons!Z23*_xlfn.XLOOKUP($B61,efs!$A$74:$A$84,efs!$F$74:$F$84,0,0)</f>
        <v>0</v>
      </c>
      <c r="R61" s="113">
        <f>BAU_Fuel_cons!AA23*_xlfn.XLOOKUP($B61,efs!$A$74:$A$84,efs!$F$74:$F$84,0,0)</f>
        <v>0</v>
      </c>
      <c r="S61" s="113">
        <f>BAU_Fuel_cons!AB23*_xlfn.XLOOKUP($B61,efs!$A$74:$A$84,efs!$F$74:$F$84,0,0)</f>
        <v>0</v>
      </c>
      <c r="T61" s="113">
        <f>BAU_Fuel_cons!AC23*_xlfn.XLOOKUP($B61,efs!$A$74:$A$84,efs!$F$74:$F$84,0,0)</f>
        <v>0</v>
      </c>
      <c r="U61" s="113">
        <f>BAU_Fuel_cons!AD23*_xlfn.XLOOKUP($B61,efs!$A$74:$A$84,efs!$F$74:$F$84,0,0)</f>
        <v>0</v>
      </c>
      <c r="V61" s="113">
        <f>BAU_Fuel_cons!AE23*_xlfn.XLOOKUP($B61,efs!$A$74:$A$84,efs!$F$74:$F$84,0,0)</f>
        <v>0</v>
      </c>
      <c r="W61" s="113">
        <f>BAU_Fuel_cons!AF23*_xlfn.XLOOKUP($B61,efs!$A$74:$A$84,efs!$F$74:$F$84,0,0)</f>
        <v>0</v>
      </c>
      <c r="X61" s="113">
        <f>BAU_Fuel_cons!AG23*_xlfn.XLOOKUP($B61,efs!$A$74:$A$84,efs!$F$74:$F$84,0,0)</f>
        <v>0</v>
      </c>
      <c r="Y61" s="113">
        <f>BAU_Fuel_cons!AH23*_xlfn.XLOOKUP($B61,efs!$A$74:$A$84,efs!$F$74:$F$84,0,0)</f>
        <v>0</v>
      </c>
      <c r="Z61" s="113">
        <f>BAU_Fuel_cons!AI23*_xlfn.XLOOKUP($B61,efs!$A$74:$A$84,efs!$F$74:$F$84,0,0)</f>
        <v>0</v>
      </c>
      <c r="AA61" s="113">
        <f>BAU_Fuel_cons!AJ23*_xlfn.XLOOKUP($B61,efs!$A$74:$A$84,efs!$F$74:$F$84,0,0)</f>
        <v>0</v>
      </c>
      <c r="AB61" s="113">
        <f>BAU_Fuel_cons!AK23*_xlfn.XLOOKUP($B61,efs!$A$74:$A$84,efs!$F$74:$F$84,0,0)</f>
        <v>0</v>
      </c>
      <c r="AC61" s="113">
        <f>BAU_Fuel_cons!AL23*_xlfn.XLOOKUP($B61,efs!$A$74:$A$84,efs!$F$74:$F$84,0,0)</f>
        <v>0</v>
      </c>
      <c r="AD61" s="113">
        <f>BAU_Fuel_cons!AM23*_xlfn.XLOOKUP($B61,efs!$A$74:$A$84,efs!$F$74:$F$84,0,0)</f>
        <v>0</v>
      </c>
      <c r="AE61" s="113">
        <f>BAU_Fuel_cons!AN23*_xlfn.XLOOKUP($B61,efs!$A$74:$A$84,efs!$F$74:$F$84,0,0)</f>
        <v>0</v>
      </c>
      <c r="AF61" s="113">
        <f>BAU_Fuel_cons!AO23*_xlfn.XLOOKUP($B61,efs!$A$74:$A$84,efs!$F$74:$F$84,0,0)</f>
        <v>0</v>
      </c>
      <c r="AG61" s="113">
        <f>BAU_Fuel_cons!AP23*_xlfn.XLOOKUP($B61,efs!$A$74:$A$84,efs!$F$74:$F$84,0,0)</f>
        <v>0</v>
      </c>
      <c r="AH61" s="113">
        <f>BAU_Fuel_cons!AQ23*_xlfn.XLOOKUP($B61,efs!$A$74:$A$84,efs!$F$74:$F$84,0,0)</f>
        <v>0</v>
      </c>
      <c r="AI61" s="113">
        <f>BAU_Fuel_cons!AR23*_xlfn.XLOOKUP($B61,efs!$A$74:$A$84,efs!$F$74:$F$84,0,0)</f>
        <v>0</v>
      </c>
      <c r="AJ61" s="114">
        <f>BAU_Fuel_cons!AS23*_xlfn.XLOOKUP($B61,efs!$A$74:$A$84,efs!$F$74:$F$84,0,0)</f>
        <v>0</v>
      </c>
    </row>
    <row r="62" spans="1:53">
      <c r="A62" s="29" t="s">
        <v>19</v>
      </c>
      <c r="B62" s="29" t="s">
        <v>36</v>
      </c>
      <c r="C62" s="88" t="s">
        <v>53</v>
      </c>
      <c r="D62" s="89" t="s">
        <v>122</v>
      </c>
      <c r="E62" s="107">
        <f>BAU_Fuel_cons!N24*_xlfn.XLOOKUP($B62,efs!$A$74:$A$84,efs!$F$74:$F$84,0,0)</f>
        <v>2.0971248942053</v>
      </c>
      <c r="F62" s="108">
        <f>BAU_Fuel_cons!O24*_xlfn.XLOOKUP($B62,efs!$A$74:$A$84,efs!$F$74:$F$84,0,0)</f>
        <v>2.1016245569352185</v>
      </c>
      <c r="G62" s="108">
        <f>BAU_Fuel_cons!P24*_xlfn.XLOOKUP($B62,efs!$A$74:$A$84,efs!$F$74:$F$84,0,0)</f>
        <v>2.101335788656626</v>
      </c>
      <c r="H62" s="108">
        <f>BAU_Fuel_cons!Q24*_xlfn.XLOOKUP($B62,efs!$A$74:$A$84,efs!$F$74:$F$84,0,0)</f>
        <v>2.095884862008079</v>
      </c>
      <c r="I62" s="108">
        <f>BAU_Fuel_cons!R24*_xlfn.XLOOKUP($B62,efs!$A$74:$A$84,efs!$F$74:$F$84,0,0)</f>
        <v>2.0848544084770588</v>
      </c>
      <c r="J62" s="108">
        <f>BAU_Fuel_cons!S24*_xlfn.XLOOKUP($B62,efs!$A$74:$A$84,efs!$F$74:$F$84,0,0)</f>
        <v>2.0678135939623843</v>
      </c>
      <c r="K62" s="108">
        <f>BAU_Fuel_cons!T24*_xlfn.XLOOKUP($B62,efs!$A$74:$A$84,efs!$F$74:$F$84,0,0)</f>
        <v>2.0725424695815664</v>
      </c>
      <c r="L62" s="108">
        <f>BAU_Fuel_cons!U24*_xlfn.XLOOKUP($B62,efs!$A$74:$A$84,efs!$F$74:$F$84,0,0)</f>
        <v>2.0727910437492501</v>
      </c>
      <c r="M62" s="108">
        <f>BAU_Fuel_cons!V24*_xlfn.XLOOKUP($B62,efs!$A$74:$A$84,efs!$F$74:$F$84,0,0)</f>
        <v>2.0682471401199258</v>
      </c>
      <c r="N62" s="108">
        <f>BAU_Fuel_cons!W24*_xlfn.XLOOKUP($B62,efs!$A$74:$A$84,efs!$F$74:$F$84,0,0)</f>
        <v>2.0585767891657958</v>
      </c>
      <c r="O62" s="108">
        <f>BAU_Fuel_cons!X24*_xlfn.XLOOKUP($B62,efs!$A$74:$A$84,efs!$F$74:$F$84,0,0)</f>
        <v>2.0434411665665779</v>
      </c>
      <c r="P62" s="108">
        <f>BAU_Fuel_cons!Y24*_xlfn.XLOOKUP($B62,efs!$A$74:$A$84,efs!$F$74:$F$84,0,0)</f>
        <v>2.0225153403706466</v>
      </c>
      <c r="Q62" s="108">
        <f>BAU_Fuel_cons!Z24*_xlfn.XLOOKUP($B62,efs!$A$74:$A$84,efs!$F$74:$F$84,0,0)</f>
        <v>1.9954876617907955</v>
      </c>
      <c r="R62" s="108">
        <f>BAU_Fuel_cons!AA24*_xlfn.XLOOKUP($B62,efs!$A$74:$A$84,efs!$F$74:$F$84,0,0)</f>
        <v>1.9620594951446344</v>
      </c>
      <c r="S62" s="108">
        <f>BAU_Fuel_cons!AB24*_xlfn.XLOOKUP($B62,efs!$A$74:$A$84,efs!$F$74:$F$84,0,0)</f>
        <v>1.9219229913208322</v>
      </c>
      <c r="T62" s="108">
        <f>BAU_Fuel_cons!AC24*_xlfn.XLOOKUP($B62,efs!$A$74:$A$84,efs!$F$74:$F$84,0,0)</f>
        <v>1.8747424411052795</v>
      </c>
      <c r="U62" s="108">
        <f>BAU_Fuel_cons!AD24*_xlfn.XLOOKUP($B62,efs!$A$74:$A$84,efs!$F$74:$F$84,0,0)</f>
        <v>1.820807002972278</v>
      </c>
      <c r="V62" s="108">
        <f>BAU_Fuel_cons!AE24*_xlfn.XLOOKUP($B62,efs!$A$74:$A$84,efs!$F$74:$F$84,0,0)</f>
        <v>1.7597338517268706</v>
      </c>
      <c r="W62" s="108">
        <f>BAU_Fuel_cons!AF24*_xlfn.XLOOKUP($B62,efs!$A$74:$A$84,efs!$F$74:$F$84,0,0)</f>
        <v>1.6912413466005793</v>
      </c>
      <c r="X62" s="108">
        <f>BAU_Fuel_cons!AG24*_xlfn.XLOOKUP($B62,efs!$A$74:$A$84,efs!$F$74:$F$84,0,0)</f>
        <v>1.6150599053004291</v>
      </c>
      <c r="Y62" s="108">
        <f>BAU_Fuel_cons!AH24*_xlfn.XLOOKUP($B62,efs!$A$74:$A$84,efs!$F$74:$F$84,0,0)</f>
        <v>1.5309208436386523</v>
      </c>
      <c r="Z62" s="108">
        <f>BAU_Fuel_cons!AI24*_xlfn.XLOOKUP($B62,efs!$A$74:$A$84,efs!$F$74:$F$84,0,0)</f>
        <v>1.4385489959968969</v>
      </c>
      <c r="AA62" s="108">
        <f>BAU_Fuel_cons!AJ24*_xlfn.XLOOKUP($B62,efs!$A$74:$A$84,efs!$F$74:$F$84,0,0)</f>
        <v>1.3376594808913931</v>
      </c>
      <c r="AB62" s="108">
        <f>BAU_Fuel_cons!AK24*_xlfn.XLOOKUP($B62,efs!$A$74:$A$84,efs!$F$74:$F$84,0,0)</f>
        <v>1.2279658090416368</v>
      </c>
      <c r="AC62" s="108">
        <f>BAU_Fuel_cons!AL24*_xlfn.XLOOKUP($B62,efs!$A$74:$A$84,efs!$F$74:$F$84,0,0)</f>
        <v>1.1091861449850144</v>
      </c>
      <c r="AD62" s="108">
        <f>BAU_Fuel_cons!AM24*_xlfn.XLOOKUP($B62,efs!$A$74:$A$84,efs!$F$74:$F$84,0,0)</f>
        <v>0.98103984654554921</v>
      </c>
      <c r="AE62" s="108">
        <f>BAU_Fuel_cons!AN24*_xlfn.XLOOKUP($B62,efs!$A$74:$A$84,efs!$F$74:$F$84,0,0)</f>
        <v>0.84324702520198513</v>
      </c>
      <c r="AF62" s="108">
        <f>BAU_Fuel_cons!AO24*_xlfn.XLOOKUP($B62,efs!$A$74:$A$84,efs!$F$74:$F$84,0,0)</f>
        <v>0.69552962632621451</v>
      </c>
      <c r="AG62" s="108">
        <f>BAU_Fuel_cons!AP24*_xlfn.XLOOKUP($B62,efs!$A$74:$A$84,efs!$F$74:$F$84,0,0)</f>
        <v>0.53761254710444573</v>
      </c>
      <c r="AH62" s="108">
        <f>BAU_Fuel_cons!AQ24*_xlfn.XLOOKUP($B62,efs!$A$74:$A$84,efs!$F$74:$F$84,0,0)</f>
        <v>0.36922634969419177</v>
      </c>
      <c r="AI62" s="108">
        <f>BAU_Fuel_cons!AR24*_xlfn.XLOOKUP($B62,efs!$A$74:$A$84,efs!$F$74:$F$84,0,0)</f>
        <v>0.19010741195521352</v>
      </c>
      <c r="AJ62" s="109">
        <f>BAU_Fuel_cons!AS24*_xlfn.XLOOKUP($B62,efs!$A$74:$A$84,efs!$F$74:$F$84,0,0)</f>
        <v>0</v>
      </c>
    </row>
    <row r="63" spans="1:53">
      <c r="A63" s="4" t="s">
        <v>19</v>
      </c>
      <c r="B63" s="4" t="s">
        <v>8</v>
      </c>
      <c r="C63" s="4" t="s">
        <v>53</v>
      </c>
      <c r="D63" s="91" t="s">
        <v>122</v>
      </c>
      <c r="E63" s="110">
        <f>BAU_Fuel_cons!N25*_xlfn.XLOOKUP($B63,efs!$A$74:$A$84,efs!$F$74:$F$84,0,0)</f>
        <v>4.7521550238829775</v>
      </c>
      <c r="F63" s="18">
        <f>BAU_Fuel_cons!O25*_xlfn.XLOOKUP($B63,efs!$A$74:$A$84,efs!$F$74:$F$84,0,0)</f>
        <v>5.0619329204005412</v>
      </c>
      <c r="G63" s="18">
        <f>BAU_Fuel_cons!P25*_xlfn.XLOOKUP($B63,efs!$A$74:$A$84,efs!$F$74:$F$84,0,0)</f>
        <v>5.3875229832686173</v>
      </c>
      <c r="H63" s="18">
        <f>BAU_Fuel_cons!Q25*_xlfn.XLOOKUP($B63,efs!$A$74:$A$84,efs!$F$74:$F$84,0,0)</f>
        <v>5.7294023292772973</v>
      </c>
      <c r="I63" s="18">
        <f>BAU_Fuel_cons!R25*_xlfn.XLOOKUP($B63,efs!$A$74:$A$84,efs!$F$74:$F$84,0,0)</f>
        <v>6.087935818578611</v>
      </c>
      <c r="J63" s="18">
        <f>BAU_Fuel_cons!S25*_xlfn.XLOOKUP($B63,efs!$A$74:$A$84,efs!$F$74:$F$84,0,0)</f>
        <v>6.4634294126819638</v>
      </c>
      <c r="K63" s="18">
        <f>BAU_Fuel_cons!T25*_xlfn.XLOOKUP($B63,efs!$A$74:$A$84,efs!$F$74:$F$84,0,0)</f>
        <v>6.7950742192129958</v>
      </c>
      <c r="L63" s="18">
        <f>BAU_Fuel_cons!U25*_xlfn.XLOOKUP($B63,efs!$A$74:$A$84,efs!$F$74:$F$84,0,0)</f>
        <v>7.1391992830779234</v>
      </c>
      <c r="M63" s="18">
        <f>BAU_Fuel_cons!V25*_xlfn.XLOOKUP($B63,efs!$A$74:$A$84,efs!$F$74:$F$84,0,0)</f>
        <v>7.4958940669114762</v>
      </c>
      <c r="N63" s="18">
        <f>BAU_Fuel_cons!W25*_xlfn.XLOOKUP($B63,efs!$A$74:$A$84,efs!$F$74:$F$84,0,0)</f>
        <v>7.8651415058601026</v>
      </c>
      <c r="O63" s="18">
        <f>BAU_Fuel_cons!X25*_xlfn.XLOOKUP($B63,efs!$A$74:$A$84,efs!$F$74:$F$84,0,0)</f>
        <v>8.2468573896598247</v>
      </c>
      <c r="P63" s="18">
        <f>BAU_Fuel_cons!Y25*_xlfn.XLOOKUP($B63,efs!$A$74:$A$84,efs!$F$74:$F$84,0,0)</f>
        <v>8.6409528260130362</v>
      </c>
      <c r="Q63" s="18">
        <f>BAU_Fuel_cons!Z25*_xlfn.XLOOKUP($B63,efs!$A$74:$A$84,efs!$F$74:$F$84,0,0)</f>
        <v>9.0473327924731652</v>
      </c>
      <c r="R63" s="18">
        <f>BAU_Fuel_cons!AA25*_xlfn.XLOOKUP($B63,efs!$A$74:$A$84,efs!$F$74:$F$84,0,0)</f>
        <v>9.4658957003944462</v>
      </c>
      <c r="S63" s="18">
        <f>BAU_Fuel_cons!AB25*_xlfn.XLOOKUP($B63,efs!$A$74:$A$84,efs!$F$74:$F$84,0,0)</f>
        <v>9.896419679709874</v>
      </c>
      <c r="T63" s="18">
        <f>BAU_Fuel_cons!AC25*_xlfn.XLOOKUP($B63,efs!$A$74:$A$84,efs!$F$74:$F$84,0,0)</f>
        <v>10.338420157225354</v>
      </c>
      <c r="U63" s="18">
        <f>BAU_Fuel_cons!AD25*_xlfn.XLOOKUP($B63,efs!$A$74:$A$84,efs!$F$74:$F$84,0,0)</f>
        <v>10.794925615343985</v>
      </c>
      <c r="V63" s="18">
        <f>BAU_Fuel_cons!AE25*_xlfn.XLOOKUP($B63,efs!$A$74:$A$84,efs!$F$74:$F$84,0,0)</f>
        <v>11.265585402519328</v>
      </c>
      <c r="W63" s="18">
        <f>BAU_Fuel_cons!AF25*_xlfn.XLOOKUP($B63,efs!$A$74:$A$84,efs!$F$74:$F$84,0,0)</f>
        <v>11.750561958793629</v>
      </c>
      <c r="X63" s="18">
        <f>BAU_Fuel_cons!AG25*_xlfn.XLOOKUP($B63,efs!$A$74:$A$84,efs!$F$74:$F$84,0,0)</f>
        <v>12.250097952465774</v>
      </c>
      <c r="Y63" s="18">
        <f>BAU_Fuel_cons!AH25*_xlfn.XLOOKUP($B63,efs!$A$74:$A$84,efs!$F$74:$F$84,0,0)</f>
        <v>12.764463512114606</v>
      </c>
      <c r="Z63" s="18">
        <f>BAU_Fuel_cons!AI25*_xlfn.XLOOKUP($B63,efs!$A$74:$A$84,efs!$F$74:$F$84,0,0)</f>
        <v>13.293902073792946</v>
      </c>
      <c r="AA63" s="18">
        <f>BAU_Fuel_cons!AJ25*_xlfn.XLOOKUP($B63,efs!$A$74:$A$84,efs!$F$74:$F$84,0,0)</f>
        <v>13.838579582728176</v>
      </c>
      <c r="AB63" s="18">
        <f>BAU_Fuel_cons!AK25*_xlfn.XLOOKUP($B63,efs!$A$74:$A$84,efs!$F$74:$F$84,0,0)</f>
        <v>14.398626904457627</v>
      </c>
      <c r="AC63" s="18">
        <f>BAU_Fuel_cons!AL25*_xlfn.XLOOKUP($B63,efs!$A$74:$A$84,efs!$F$74:$F$84,0,0)</f>
        <v>14.974198500954069</v>
      </c>
      <c r="AD63" s="18">
        <f>BAU_Fuel_cons!AM25*_xlfn.XLOOKUP($B63,efs!$A$74:$A$84,efs!$F$74:$F$84,0,0)</f>
        <v>15.565439889490033</v>
      </c>
      <c r="AE63" s="18">
        <f>BAU_Fuel_cons!AN25*_xlfn.XLOOKUP($B63,efs!$A$74:$A$84,efs!$F$74:$F$84,0,0)</f>
        <v>16.172471097362333</v>
      </c>
      <c r="AF63" s="18">
        <f>BAU_Fuel_cons!AO25*_xlfn.XLOOKUP($B63,efs!$A$74:$A$84,efs!$F$74:$F$84,0,0)</f>
        <v>16.795381540688162</v>
      </c>
      <c r="AG63" s="18">
        <f>BAU_Fuel_cons!AP25*_xlfn.XLOOKUP($B63,efs!$A$74:$A$84,efs!$F$74:$F$84,0,0)</f>
        <v>17.434217387425388</v>
      </c>
      <c r="AH63" s="18">
        <f>BAU_Fuel_cons!AQ25*_xlfn.XLOOKUP($B63,efs!$A$74:$A$84,efs!$F$74:$F$84,0,0)</f>
        <v>18.08901149836311</v>
      </c>
      <c r="AI63" s="18">
        <f>BAU_Fuel_cons!AR25*_xlfn.XLOOKUP($B63,efs!$A$74:$A$84,efs!$F$74:$F$84,0,0)</f>
        <v>18.759751491635072</v>
      </c>
      <c r="AJ63" s="111">
        <f>BAU_Fuel_cons!AS25*_xlfn.XLOOKUP($B63,efs!$A$74:$A$84,efs!$F$74:$F$84,0,0)</f>
        <v>19.446409505719814</v>
      </c>
    </row>
    <row r="64" spans="1:53">
      <c r="A64" s="4" t="s">
        <v>19</v>
      </c>
      <c r="B64" s="4" t="s">
        <v>37</v>
      </c>
      <c r="C64" s="4" t="s">
        <v>53</v>
      </c>
      <c r="D64" s="91" t="s">
        <v>122</v>
      </c>
      <c r="E64" s="110">
        <f>BAU_Fuel_cons!N26*_xlfn.XLOOKUP($B64,efs!$A$74:$A$84,efs!$F$74:$F$84,0,0)</f>
        <v>5.1528592451811565E-2</v>
      </c>
      <c r="F64" s="18">
        <f>BAU_Fuel_cons!O26*_xlfn.XLOOKUP($B64,efs!$A$74:$A$84,efs!$F$74:$F$84,0,0)</f>
        <v>6.3700169834092504E-2</v>
      </c>
      <c r="G64" s="18">
        <f>BAU_Fuel_cons!P26*_xlfn.XLOOKUP($B64,efs!$A$74:$A$84,efs!$F$74:$F$84,0,0)</f>
        <v>7.6827527077211313E-2</v>
      </c>
      <c r="H64" s="18">
        <f>BAU_Fuel_cons!Q26*_xlfn.XLOOKUP($B64,efs!$A$74:$A$84,efs!$F$74:$F$84,0,0)</f>
        <v>9.0954784759474855E-2</v>
      </c>
      <c r="I64" s="18">
        <f>BAU_Fuel_cons!R26*_xlfn.XLOOKUP($B64,efs!$A$74:$A$84,efs!$F$74:$F$84,0,0)</f>
        <v>0.10612445310763086</v>
      </c>
      <c r="J64" s="18">
        <f>BAU_Fuel_cons!S26*_xlfn.XLOOKUP($B64,efs!$A$74:$A$84,efs!$F$74:$F$84,0,0)</f>
        <v>0.12237756871052695</v>
      </c>
      <c r="K64" s="18">
        <f>BAU_Fuel_cons!T26*_xlfn.XLOOKUP($B64,efs!$A$74:$A$84,efs!$F$74:$F$84,0,0)</f>
        <v>0.13883314423054924</v>
      </c>
      <c r="L64" s="18">
        <f>BAU_Fuel_cons!U26*_xlfn.XLOOKUP($B64,efs!$A$74:$A$84,efs!$F$74:$F$84,0,0)</f>
        <v>0.15637558375302096</v>
      </c>
      <c r="M64" s="18">
        <f>BAU_Fuel_cons!V26*_xlfn.XLOOKUP($B64,efs!$A$74:$A$84,efs!$F$74:$F$84,0,0)</f>
        <v>0.17504079203195999</v>
      </c>
      <c r="N64" s="18">
        <f>BAU_Fuel_cons!W26*_xlfn.XLOOKUP($B64,efs!$A$74:$A$84,efs!$F$74:$F$84,0,0)</f>
        <v>0.19486142335512271</v>
      </c>
      <c r="O64" s="18">
        <f>BAU_Fuel_cons!X26*_xlfn.XLOOKUP($B64,efs!$A$74:$A$84,efs!$F$74:$F$84,0,0)</f>
        <v>0.21586719162151941</v>
      </c>
      <c r="P64" s="18">
        <f>BAU_Fuel_cons!Y26*_xlfn.XLOOKUP($B64,efs!$A$74:$A$84,efs!$F$74:$F$84,0,0)</f>
        <v>0.23808617713335622</v>
      </c>
      <c r="Q64" s="18">
        <f>BAU_Fuel_cons!Z26*_xlfn.XLOOKUP($B64,efs!$A$74:$A$84,efs!$F$74:$F$84,0,0)</f>
        <v>0.26154481382535394</v>
      </c>
      <c r="R64" s="18">
        <f>BAU_Fuel_cons!AA26*_xlfn.XLOOKUP($B64,efs!$A$74:$A$84,efs!$F$74:$F$84,0,0)</f>
        <v>0.28626789411448639</v>
      </c>
      <c r="S64" s="18">
        <f>BAU_Fuel_cons!AB26*_xlfn.XLOOKUP($B64,efs!$A$74:$A$84,efs!$F$74:$F$84,0,0)</f>
        <v>0.31227499500578576</v>
      </c>
      <c r="T64" s="18">
        <f>BAU_Fuel_cons!AC26*_xlfn.XLOOKUP($B64,efs!$A$74:$A$84,efs!$F$74:$F$84,0,0)</f>
        <v>0.33957507938491105</v>
      </c>
      <c r="U64" s="18">
        <f>BAU_Fuel_cons!AD26*_xlfn.XLOOKUP($B64,efs!$A$74:$A$84,efs!$F$74:$F$84,0,0)</f>
        <v>0.36829372249562459</v>
      </c>
      <c r="V64" s="18">
        <f>BAU_Fuel_cons!AE26*_xlfn.XLOOKUP($B64,efs!$A$74:$A$84,efs!$F$74:$F$84,0,0)</f>
        <v>0.39845145357375483</v>
      </c>
      <c r="W64" s="18">
        <f>BAU_Fuel_cons!AF26*_xlfn.XLOOKUP($B64,efs!$A$74:$A$84,efs!$F$74:$F$84,0,0)</f>
        <v>0.43008483752378501</v>
      </c>
      <c r="X64" s="18">
        <f>BAU_Fuel_cons!AG26*_xlfn.XLOOKUP($B64,efs!$A$74:$A$84,efs!$F$74:$F$84,0,0)</f>
        <v>0.46323332437121129</v>
      </c>
      <c r="Y64" s="18">
        <f>BAU_Fuel_cons!AH26*_xlfn.XLOOKUP($B64,efs!$A$74:$A$84,efs!$F$74:$F$84,0,0)</f>
        <v>0.49793767581746168</v>
      </c>
      <c r="Z64" s="18">
        <f>BAU_Fuel_cons!AI26*_xlfn.XLOOKUP($B64,efs!$A$74:$A$84,efs!$F$74:$F$84,0,0)</f>
        <v>0.53423794156202153</v>
      </c>
      <c r="AA64" s="18">
        <f>BAU_Fuel_cons!AJ26*_xlfn.XLOOKUP($B64,efs!$A$74:$A$84,efs!$F$74:$F$84,0,0)</f>
        <v>0.57217119076543199</v>
      </c>
      <c r="AB64" s="18">
        <f>BAU_Fuel_cons!AK26*_xlfn.XLOOKUP($B64,efs!$A$74:$A$84,efs!$F$74:$F$84,0,0)</f>
        <v>0.61177286318785395</v>
      </c>
      <c r="AC64" s="18">
        <f>BAU_Fuel_cons!AL26*_xlfn.XLOOKUP($B64,efs!$A$74:$A$84,efs!$F$74:$F$84,0,0)</f>
        <v>0.65307913600209078</v>
      </c>
      <c r="AD64" s="18">
        <f>BAU_Fuel_cons!AM26*_xlfn.XLOOKUP($B64,efs!$A$74:$A$84,efs!$F$74:$F$84,0,0)</f>
        <v>0.69612560997123729</v>
      </c>
      <c r="AE64" s="18">
        <f>BAU_Fuel_cons!AN26*_xlfn.XLOOKUP($B64,efs!$A$74:$A$84,efs!$F$74:$F$84,0,0)</f>
        <v>0.74094650895392355</v>
      </c>
      <c r="AF64" s="18">
        <f>BAU_Fuel_cons!AO26*_xlfn.XLOOKUP($B64,efs!$A$74:$A$84,efs!$F$74:$F$84,0,0)</f>
        <v>0.78757431003027567</v>
      </c>
      <c r="AG64" s="18">
        <f>BAU_Fuel_cons!AP26*_xlfn.XLOOKUP($B64,efs!$A$74:$A$84,efs!$F$74:$F$84,0,0)</f>
        <v>0.83603898616894068</v>
      </c>
      <c r="AH64" s="18">
        <f>BAU_Fuel_cons!AQ26*_xlfn.XLOOKUP($B64,efs!$A$74:$A$84,efs!$F$74:$F$84,0,0)</f>
        <v>0.88636926233843993</v>
      </c>
      <c r="AI64" s="18">
        <f>BAU_Fuel_cons!AR26*_xlfn.XLOOKUP($B64,efs!$A$74:$A$84,efs!$F$74:$F$84,0,0)</f>
        <v>0.93859097008730552</v>
      </c>
      <c r="AJ64" s="111">
        <f>BAU_Fuel_cons!AS26*_xlfn.XLOOKUP($B64,efs!$A$74:$A$84,efs!$F$74:$F$84,0,0)</f>
        <v>0.99272835887622868</v>
      </c>
    </row>
    <row r="65" spans="1:53">
      <c r="A65" s="4" t="s">
        <v>19</v>
      </c>
      <c r="B65" s="4" t="s">
        <v>10</v>
      </c>
      <c r="C65" s="4" t="s">
        <v>53</v>
      </c>
      <c r="D65" s="91" t="s">
        <v>122</v>
      </c>
      <c r="E65" s="110">
        <f>BAU_Fuel_cons!N27*_xlfn.XLOOKUP($B65,efs!$A$74:$A$84,efs!$F$74:$F$84,0,0)</f>
        <v>1.4660653636009135E-2</v>
      </c>
      <c r="F65" s="18">
        <f>BAU_Fuel_cons!O27*_xlfn.XLOOKUP($B65,efs!$A$74:$A$84,efs!$F$74:$F$84,0,0)</f>
        <v>1.8123649066601376E-2</v>
      </c>
      <c r="G65" s="18">
        <f>BAU_Fuel_cons!P27*_xlfn.XLOOKUP($B65,efs!$A$74:$A$84,efs!$F$74:$F$84,0,0)</f>
        <v>2.1858578132974857E-2</v>
      </c>
      <c r="H65" s="18">
        <f>BAU_Fuel_cons!Q27*_xlfn.XLOOKUP($B65,efs!$A$74:$A$84,efs!$F$74:$F$84,0,0)</f>
        <v>2.5877993798170306E-2</v>
      </c>
      <c r="I65" s="18">
        <f>BAU_Fuel_cons!R27*_xlfn.XLOOKUP($B65,efs!$A$74:$A$84,efs!$F$74:$F$84,0,0)</f>
        <v>3.0193990856181463E-2</v>
      </c>
      <c r="J65" s="18">
        <f>BAU_Fuel_cons!S27*_xlfn.XLOOKUP($B65,efs!$A$74:$A$84,efs!$F$74:$F$84,0,0)</f>
        <v>3.481824482902076E-2</v>
      </c>
      <c r="K65" s="18">
        <f>BAU_Fuel_cons!T27*_xlfn.XLOOKUP($B65,efs!$A$74:$A$84,efs!$F$74:$F$84,0,0)</f>
        <v>3.9500101670071876E-2</v>
      </c>
      <c r="L65" s="18">
        <f>BAU_Fuel_cons!U27*_xlfn.XLOOKUP($B65,efs!$A$74:$A$84,efs!$F$74:$F$84,0,0)</f>
        <v>4.4491187541670633E-2</v>
      </c>
      <c r="M65" s="18">
        <f>BAU_Fuel_cons!V27*_xlfn.XLOOKUP($B65,efs!$A$74:$A$84,efs!$F$74:$F$84,0,0)</f>
        <v>4.9801717882226981E-2</v>
      </c>
      <c r="N65" s="18">
        <f>BAU_Fuel_cons!W27*_xlfn.XLOOKUP($B65,efs!$A$74:$A$84,efs!$F$74:$F$84,0,0)</f>
        <v>5.5440983323985032E-2</v>
      </c>
      <c r="O65" s="18">
        <f>BAU_Fuel_cons!X27*_xlfn.XLOOKUP($B65,efs!$A$74:$A$84,efs!$F$74:$F$84,0,0)</f>
        <v>6.1417437914704241E-2</v>
      </c>
      <c r="P65" s="18">
        <f>BAU_Fuel_cons!Y27*_xlfn.XLOOKUP($B65,efs!$A$74:$A$84,efs!$F$74:$F$84,0,0)</f>
        <v>6.7739070919471275E-2</v>
      </c>
      <c r="Q65" s="18">
        <f>BAU_Fuel_cons!Z27*_xlfn.XLOOKUP($B65,efs!$A$74:$A$84,efs!$F$74:$F$84,0,0)</f>
        <v>7.4413403187250468E-2</v>
      </c>
      <c r="R65" s="18">
        <f>BAU_Fuel_cons!AA27*_xlfn.XLOOKUP($B65,efs!$A$74:$A$84,efs!$F$74:$F$84,0,0)</f>
        <v>8.1447488530707005E-2</v>
      </c>
      <c r="S65" s="18">
        <f>BAU_Fuel_cons!AB27*_xlfn.XLOOKUP($B65,efs!$A$74:$A$84,efs!$F$74:$F$84,0,0)</f>
        <v>8.8846896899966665E-2</v>
      </c>
      <c r="T65" s="18">
        <f>BAU_Fuel_cons!AC27*_xlfn.XLOOKUP($B65,efs!$A$74:$A$84,efs!$F$74:$F$84,0,0)</f>
        <v>9.6614178369773776E-2</v>
      </c>
      <c r="U65" s="18">
        <f>BAU_Fuel_cons!AD27*_xlfn.XLOOKUP($B65,efs!$A$74:$A$84,efs!$F$74:$F$84,0,0)</f>
        <v>0.10478506097123612</v>
      </c>
      <c r="V65" s="18">
        <f>BAU_Fuel_cons!AE27*_xlfn.XLOOKUP($B65,efs!$A$74:$A$84,efs!$F$74:$F$84,0,0)</f>
        <v>0.11336538557835345</v>
      </c>
      <c r="W65" s="18">
        <f>BAU_Fuel_cons!AF27*_xlfn.XLOOKUP($B65,efs!$A$74:$A$84,efs!$F$74:$F$84,0,0)</f>
        <v>0.122365555452196</v>
      </c>
      <c r="X65" s="18">
        <f>BAU_Fuel_cons!AG27*_xlfn.XLOOKUP($B65,efs!$A$74:$A$84,efs!$F$74:$F$84,0,0)</f>
        <v>0.13179679471382386</v>
      </c>
      <c r="Y65" s="18">
        <f>BAU_Fuel_cons!AH27*_xlfn.XLOOKUP($B65,efs!$A$74:$A$84,efs!$F$74:$F$84,0,0)</f>
        <v>0.14167070067567686</v>
      </c>
      <c r="Z65" s="18">
        <f>BAU_Fuel_cons!AI27*_xlfn.XLOOKUP($B65,efs!$A$74:$A$84,efs!$F$74:$F$84,0,0)</f>
        <v>0.15199866807501533</v>
      </c>
      <c r="AA65" s="18">
        <f>BAU_Fuel_cons!AJ27*_xlfn.XLOOKUP($B65,efs!$A$74:$A$84,efs!$F$74:$F$84,0,0)</f>
        <v>0.16279124364128414</v>
      </c>
      <c r="AB65" s="18">
        <f>BAU_Fuel_cons!AK27*_xlfn.XLOOKUP($B65,efs!$A$74:$A$84,efs!$F$74:$F$84,0,0)</f>
        <v>0.17405851051520091</v>
      </c>
      <c r="AC65" s="18">
        <f>BAU_Fuel_cons!AL27*_xlfn.XLOOKUP($B65,efs!$A$74:$A$84,efs!$F$74:$F$84,0,0)</f>
        <v>0.18581076164238586</v>
      </c>
      <c r="AD65" s="18">
        <f>BAU_Fuel_cons!AM27*_xlfn.XLOOKUP($B65,efs!$A$74:$A$84,efs!$F$74:$F$84,0,0)</f>
        <v>0.19805812597129421</v>
      </c>
      <c r="AE65" s="18">
        <f>BAU_Fuel_cons!AN27*_xlfn.XLOOKUP($B65,efs!$A$74:$A$84,efs!$F$74:$F$84,0,0)</f>
        <v>0.21081034070051002</v>
      </c>
      <c r="AF65" s="18">
        <f>BAU_Fuel_cons!AO27*_xlfn.XLOOKUP($B65,efs!$A$74:$A$84,efs!$F$74:$F$84,0,0)</f>
        <v>0.22407664604406174</v>
      </c>
      <c r="AG65" s="18">
        <f>BAU_Fuel_cons!AP27*_xlfn.XLOOKUP($B65,efs!$A$74:$A$84,efs!$F$74:$F$84,0,0)</f>
        <v>0.2378655697588872</v>
      </c>
      <c r="AH65" s="18">
        <f>BAU_Fuel_cons!AQ27*_xlfn.XLOOKUP($B65,efs!$A$74:$A$84,efs!$F$74:$F$84,0,0)</f>
        <v>0.25218528452726163</v>
      </c>
      <c r="AI65" s="18">
        <f>BAU_Fuel_cons!AR27*_xlfn.XLOOKUP($B65,efs!$A$74:$A$84,efs!$F$74:$F$84,0,0)</f>
        <v>0.26704313981028782</v>
      </c>
      <c r="AJ65" s="111">
        <f>BAU_Fuel_cons!AS27*_xlfn.XLOOKUP($B65,efs!$A$74:$A$84,efs!$F$74:$F$84,0,0)</f>
        <v>0.28244603494146431</v>
      </c>
    </row>
    <row r="66" spans="1:53">
      <c r="A66" s="4" t="s">
        <v>19</v>
      </c>
      <c r="B66" s="4" t="s">
        <v>11</v>
      </c>
      <c r="C66" s="4" t="s">
        <v>53</v>
      </c>
      <c r="D66" s="91" t="s">
        <v>122</v>
      </c>
      <c r="E66" s="110">
        <f>BAU_Fuel_cons!N28*_xlfn.XLOOKUP($B66,efs!$A$74:$A$84,efs!$F$74:$F$84,0,0)</f>
        <v>4.6575642559570643E-5</v>
      </c>
      <c r="F66" s="18">
        <f>BAU_Fuel_cons!O28*_xlfn.XLOOKUP($B66,efs!$A$74:$A$84,efs!$F$74:$F$84,0,0)</f>
        <v>5.4895774974203512E-5</v>
      </c>
      <c r="G66" s="18">
        <f>BAU_Fuel_cons!P28*_xlfn.XLOOKUP($B66,efs!$A$74:$A$84,efs!$F$74:$F$84,0,0)</f>
        <v>6.3841161690056215E-5</v>
      </c>
      <c r="H66" s="18">
        <f>BAU_Fuel_cons!Q28*_xlfn.XLOOKUP($B66,efs!$A$74:$A$84,efs!$F$74:$F$84,0,0)</f>
        <v>7.3439831517929693E-5</v>
      </c>
      <c r="I66" s="18">
        <f>BAU_Fuel_cons!R28*_xlfn.XLOOKUP($B66,efs!$A$74:$A$84,efs!$F$74:$F$84,0,0)</f>
        <v>8.3718477326814563E-5</v>
      </c>
      <c r="J66" s="18">
        <f>BAU_Fuel_cons!S28*_xlfn.XLOOKUP($B66,efs!$A$74:$A$84,efs!$F$74:$F$84,0,0)</f>
        <v>9.4702714065757304E-5</v>
      </c>
      <c r="K66" s="18">
        <f>BAU_Fuel_cons!T28*_xlfn.XLOOKUP($B66,efs!$A$74:$A$84,efs!$F$74:$F$84,0,0)</f>
        <v>9.4919289368736062E-5</v>
      </c>
      <c r="L66" s="18">
        <f>BAU_Fuel_cons!U28*_xlfn.XLOOKUP($B66,efs!$A$74:$A$84,efs!$F$74:$F$84,0,0)</f>
        <v>9.4930673687126756E-5</v>
      </c>
      <c r="M66" s="18">
        <f>BAU_Fuel_cons!V28*_xlfn.XLOOKUP($B66,efs!$A$74:$A$84,efs!$F$74:$F$84,0,0)</f>
        <v>9.4722569819637579E-5</v>
      </c>
      <c r="N66" s="18">
        <f>BAU_Fuel_cons!W28*_xlfn.XLOOKUP($B66,efs!$A$74:$A$84,efs!$F$74:$F$84,0,0)</f>
        <v>9.4279682470411072E-5</v>
      </c>
      <c r="O66" s="18">
        <f>BAU_Fuel_cons!X28*_xlfn.XLOOKUP($B66,efs!$A$74:$A$84,efs!$F$74:$F$84,0,0)</f>
        <v>9.3586494001486156E-5</v>
      </c>
      <c r="P66" s="18">
        <f>BAU_Fuel_cons!Y28*_xlfn.XLOOKUP($B66,efs!$A$74:$A$84,efs!$F$74:$F$84,0,0)</f>
        <v>9.2628123024233007E-5</v>
      </c>
      <c r="Q66" s="18">
        <f>BAU_Fuel_cons!Z28*_xlfn.XLOOKUP($B66,efs!$A$74:$A$84,efs!$F$74:$F$84,0,0)</f>
        <v>9.1390296498726861E-5</v>
      </c>
      <c r="R66" s="18">
        <f>BAU_Fuel_cons!AA28*_xlfn.XLOOKUP($B66,efs!$A$74:$A$84,efs!$F$74:$F$84,0,0)</f>
        <v>8.9859337365429166E-5</v>
      </c>
      <c r="S66" s="18">
        <f>BAU_Fuel_cons!AB28*_xlfn.XLOOKUP($B66,efs!$A$74:$A$84,efs!$F$74:$F$84,0,0)</f>
        <v>8.8021146603784562E-5</v>
      </c>
      <c r="T66" s="18">
        <f>BAU_Fuel_cons!AC28*_xlfn.XLOOKUP($B66,efs!$A$74:$A$84,efs!$F$74:$F$84,0,0)</f>
        <v>8.5860349242951556E-5</v>
      </c>
      <c r="U66" s="18">
        <f>BAU_Fuel_cons!AD28*_xlfn.XLOOKUP($B66,efs!$A$74:$A$84,efs!$F$74:$F$84,0,0)</f>
        <v>8.3390188300768518E-5</v>
      </c>
      <c r="V66" s="18">
        <f>BAU_Fuel_cons!AE28*_xlfn.XLOOKUP($B66,efs!$A$74:$A$84,efs!$F$74:$F$84,0,0)</f>
        <v>8.0593130966211826E-5</v>
      </c>
      <c r="W66" s="18">
        <f>BAU_Fuel_cons!AF28*_xlfn.XLOOKUP($B66,efs!$A$74:$A$84,efs!$F$74:$F$84,0,0)</f>
        <v>7.7456278520922917E-5</v>
      </c>
      <c r="X66" s="18">
        <f>BAU_Fuel_cons!AG28*_xlfn.XLOOKUP($B66,efs!$A$74:$A$84,efs!$F$74:$F$84,0,0)</f>
        <v>7.3967284506360587E-5</v>
      </c>
      <c r="Y66" s="18">
        <f>BAU_Fuel_cons!AH28*_xlfn.XLOOKUP($B66,efs!$A$74:$A$84,efs!$F$74:$F$84,0,0)</f>
        <v>7.0113843595834624E-5</v>
      </c>
      <c r="Z66" s="18">
        <f>BAU_Fuel_cons!AI28*_xlfn.XLOOKUP($B66,efs!$A$74:$A$84,efs!$F$74:$F$84,0,0)</f>
        <v>6.5883353623002983E-5</v>
      </c>
      <c r="AA66" s="18">
        <f>BAU_Fuel_cons!AJ28*_xlfn.XLOOKUP($B66,efs!$A$74:$A$84,efs!$F$74:$F$84,0,0)</f>
        <v>6.1262767449681195E-5</v>
      </c>
      <c r="AB66" s="18">
        <f>BAU_Fuel_cons!AK28*_xlfn.XLOOKUP($B66,efs!$A$74:$A$84,efs!$F$74:$F$84,0,0)</f>
        <v>5.6238964303042506E-5</v>
      </c>
      <c r="AC66" s="18">
        <f>BAU_Fuel_cons!AL28*_xlfn.XLOOKUP($B66,efs!$A$74:$A$84,efs!$F$74:$F$84,0,0)</f>
        <v>5.0799036548033439E-5</v>
      </c>
      <c r="AD66" s="18">
        <f>BAU_Fuel_cons!AM28*_xlfn.XLOOKUP($B66,efs!$A$74:$A$84,efs!$F$74:$F$84,0,0)</f>
        <v>4.4930131200311559E-5</v>
      </c>
      <c r="AE66" s="18">
        <f>BAU_Fuel_cons!AN28*_xlfn.XLOOKUP($B66,efs!$A$74:$A$84,efs!$F$74:$F$84,0,0)</f>
        <v>3.8619429791773037E-5</v>
      </c>
      <c r="AF66" s="18">
        <f>BAU_Fuel_cons!AO28*_xlfn.XLOOKUP($B66,efs!$A$74:$A$84,efs!$F$74:$F$84,0,0)</f>
        <v>3.1854197843827919E-5</v>
      </c>
      <c r="AG66" s="18">
        <f>BAU_Fuel_cons!AP28*_xlfn.XLOOKUP($B66,efs!$A$74:$A$84,efs!$F$74:$F$84,0,0)</f>
        <v>2.4621836066487384E-5</v>
      </c>
      <c r="AH66" s="18">
        <f>BAU_Fuel_cons!AQ28*_xlfn.XLOOKUP($B66,efs!$A$74:$A$84,efs!$F$74:$F$84,0,0)</f>
        <v>1.6910004616822619E-5</v>
      </c>
      <c r="AI66" s="18">
        <f>BAU_Fuel_cons!AR28*_xlfn.XLOOKUP($B66,efs!$A$74:$A$84,efs!$F$74:$F$84,0,0)</f>
        <v>8.7066300022125477E-6</v>
      </c>
      <c r="AJ66" s="111">
        <f>BAU_Fuel_cons!AS28*_xlfn.XLOOKUP($B66,efs!$A$74:$A$84,efs!$F$74:$F$84,0,0)</f>
        <v>0</v>
      </c>
    </row>
    <row r="67" spans="1:53">
      <c r="A67" s="4" t="s">
        <v>19</v>
      </c>
      <c r="B67" s="4" t="s">
        <v>12</v>
      </c>
      <c r="C67" s="4" t="s">
        <v>53</v>
      </c>
      <c r="D67" s="91" t="s">
        <v>122</v>
      </c>
      <c r="E67" s="110">
        <f>BAU_Fuel_cons!N29*_xlfn.XLOOKUP($B67,efs!$A$74:$A$84,efs!$F$74:$F$84,0,0)</f>
        <v>2.7783517334859374E-6</v>
      </c>
      <c r="F67" s="18">
        <f>BAU_Fuel_cons!O29*_xlfn.XLOOKUP($B67,efs!$A$74:$A$84,efs!$F$74:$F$84,0,0)</f>
        <v>2.281166797686934E-6</v>
      </c>
      <c r="G67" s="18">
        <f>BAU_Fuel_cons!P29*_xlfn.XLOOKUP($B67,efs!$A$74:$A$84,efs!$F$74:$F$84,0,0)</f>
        <v>1.7328576842153882E-6</v>
      </c>
      <c r="H67" s="18">
        <f>BAU_Fuel_cons!Q29*_xlfn.XLOOKUP($B67,efs!$A$74:$A$84,efs!$F$74:$F$84,0,0)</f>
        <v>1.1307056182078978E-6</v>
      </c>
      <c r="I67" s="18">
        <f>BAU_Fuel_cons!R29*_xlfn.XLOOKUP($B67,efs!$A$74:$A$84,efs!$F$74:$F$84,0,0)</f>
        <v>4.7195645268279653E-7</v>
      </c>
      <c r="J67" s="18">
        <f>BAU_Fuel_cons!S29*_xlfn.XLOOKUP($B67,efs!$A$74:$A$84,efs!$F$74:$F$84,0,0)</f>
        <v>0</v>
      </c>
      <c r="K67" s="18">
        <f>BAU_Fuel_cons!T29*_xlfn.XLOOKUP($B67,efs!$A$74:$A$84,efs!$F$74:$F$84,0,0)</f>
        <v>0</v>
      </c>
      <c r="L67" s="18">
        <f>BAU_Fuel_cons!U29*_xlfn.XLOOKUP($B67,efs!$A$74:$A$84,efs!$F$74:$F$84,0,0)</f>
        <v>0</v>
      </c>
      <c r="M67" s="18">
        <f>BAU_Fuel_cons!V29*_xlfn.XLOOKUP($B67,efs!$A$74:$A$84,efs!$F$74:$F$84,0,0)</f>
        <v>0</v>
      </c>
      <c r="N67" s="18">
        <f>BAU_Fuel_cons!W29*_xlfn.XLOOKUP($B67,efs!$A$74:$A$84,efs!$F$74:$F$84,0,0)</f>
        <v>0</v>
      </c>
      <c r="O67" s="18">
        <f>BAU_Fuel_cons!X29*_xlfn.XLOOKUP($B67,efs!$A$74:$A$84,efs!$F$74:$F$84,0,0)</f>
        <v>0</v>
      </c>
      <c r="P67" s="18">
        <f>BAU_Fuel_cons!Y29*_xlfn.XLOOKUP($B67,efs!$A$74:$A$84,efs!$F$74:$F$84,0,0)</f>
        <v>0</v>
      </c>
      <c r="Q67" s="18">
        <f>BAU_Fuel_cons!Z29*_xlfn.XLOOKUP($B67,efs!$A$74:$A$84,efs!$F$74:$F$84,0,0)</f>
        <v>0</v>
      </c>
      <c r="R67" s="18">
        <f>BAU_Fuel_cons!AA29*_xlfn.XLOOKUP($B67,efs!$A$74:$A$84,efs!$F$74:$F$84,0,0)</f>
        <v>0</v>
      </c>
      <c r="S67" s="18">
        <f>BAU_Fuel_cons!AB29*_xlfn.XLOOKUP($B67,efs!$A$74:$A$84,efs!$F$74:$F$84,0,0)</f>
        <v>0</v>
      </c>
      <c r="T67" s="18">
        <f>BAU_Fuel_cons!AC29*_xlfn.XLOOKUP($B67,efs!$A$74:$A$84,efs!$F$74:$F$84,0,0)</f>
        <v>0</v>
      </c>
      <c r="U67" s="18">
        <f>BAU_Fuel_cons!AD29*_xlfn.XLOOKUP($B67,efs!$A$74:$A$84,efs!$F$74:$F$84,0,0)</f>
        <v>0</v>
      </c>
      <c r="V67" s="18">
        <f>BAU_Fuel_cons!AE29*_xlfn.XLOOKUP($B67,efs!$A$74:$A$84,efs!$F$74:$F$84,0,0)</f>
        <v>0</v>
      </c>
      <c r="W67" s="18">
        <f>BAU_Fuel_cons!AF29*_xlfn.XLOOKUP($B67,efs!$A$74:$A$84,efs!$F$74:$F$84,0,0)</f>
        <v>0</v>
      </c>
      <c r="X67" s="18">
        <f>BAU_Fuel_cons!AG29*_xlfn.XLOOKUP($B67,efs!$A$74:$A$84,efs!$F$74:$F$84,0,0)</f>
        <v>0</v>
      </c>
      <c r="Y67" s="18">
        <f>BAU_Fuel_cons!AH29*_xlfn.XLOOKUP($B67,efs!$A$74:$A$84,efs!$F$74:$F$84,0,0)</f>
        <v>0</v>
      </c>
      <c r="Z67" s="18">
        <f>BAU_Fuel_cons!AI29*_xlfn.XLOOKUP($B67,efs!$A$74:$A$84,efs!$F$74:$F$84,0,0)</f>
        <v>0</v>
      </c>
      <c r="AA67" s="18">
        <f>BAU_Fuel_cons!AJ29*_xlfn.XLOOKUP($B67,efs!$A$74:$A$84,efs!$F$74:$F$84,0,0)</f>
        <v>0</v>
      </c>
      <c r="AB67" s="18">
        <f>BAU_Fuel_cons!AK29*_xlfn.XLOOKUP($B67,efs!$A$74:$A$84,efs!$F$74:$F$84,0,0)</f>
        <v>0</v>
      </c>
      <c r="AC67" s="18">
        <f>BAU_Fuel_cons!AL29*_xlfn.XLOOKUP($B67,efs!$A$74:$A$84,efs!$F$74:$F$84,0,0)</f>
        <v>0</v>
      </c>
      <c r="AD67" s="18">
        <f>BAU_Fuel_cons!AM29*_xlfn.XLOOKUP($B67,efs!$A$74:$A$84,efs!$F$74:$F$84,0,0)</f>
        <v>0</v>
      </c>
      <c r="AE67" s="18">
        <f>BAU_Fuel_cons!AN29*_xlfn.XLOOKUP($B67,efs!$A$74:$A$84,efs!$F$74:$F$84,0,0)</f>
        <v>0</v>
      </c>
      <c r="AF67" s="18">
        <f>BAU_Fuel_cons!AO29*_xlfn.XLOOKUP($B67,efs!$A$74:$A$84,efs!$F$74:$F$84,0,0)</f>
        <v>0</v>
      </c>
      <c r="AG67" s="18">
        <f>BAU_Fuel_cons!AP29*_xlfn.XLOOKUP($B67,efs!$A$74:$A$84,efs!$F$74:$F$84,0,0)</f>
        <v>0</v>
      </c>
      <c r="AH67" s="18">
        <f>BAU_Fuel_cons!AQ29*_xlfn.XLOOKUP($B67,efs!$A$74:$A$84,efs!$F$74:$F$84,0,0)</f>
        <v>0</v>
      </c>
      <c r="AI67" s="18">
        <f>BAU_Fuel_cons!AR29*_xlfn.XLOOKUP($B67,efs!$A$74:$A$84,efs!$F$74:$F$84,0,0)</f>
        <v>0</v>
      </c>
      <c r="AJ67" s="111">
        <f>BAU_Fuel_cons!AS29*_xlfn.XLOOKUP($B67,efs!$A$74:$A$84,efs!$F$74:$F$84,0,0)</f>
        <v>0</v>
      </c>
    </row>
    <row r="68" spans="1:53">
      <c r="A68" s="4" t="s">
        <v>19</v>
      </c>
      <c r="B68" s="4" t="s">
        <v>13</v>
      </c>
      <c r="C68" s="4" t="s">
        <v>53</v>
      </c>
      <c r="D68" s="91" t="s">
        <v>122</v>
      </c>
      <c r="E68" s="110">
        <f>BAU_Fuel_cons!N30*_xlfn.XLOOKUP($B68,efs!$A$74:$A$84,efs!$F$74:$F$84,0,0)</f>
        <v>0</v>
      </c>
      <c r="F68" s="18">
        <f>BAU_Fuel_cons!O30*_xlfn.XLOOKUP($B68,efs!$A$74:$A$84,efs!$F$74:$F$84,0,0)</f>
        <v>0</v>
      </c>
      <c r="G68" s="18">
        <f>BAU_Fuel_cons!P30*_xlfn.XLOOKUP($B68,efs!$A$74:$A$84,efs!$F$74:$F$84,0,0)</f>
        <v>0</v>
      </c>
      <c r="H68" s="18">
        <f>BAU_Fuel_cons!Q30*_xlfn.XLOOKUP($B68,efs!$A$74:$A$84,efs!$F$74:$F$84,0,0)</f>
        <v>0</v>
      </c>
      <c r="I68" s="18">
        <f>BAU_Fuel_cons!R30*_xlfn.XLOOKUP($B68,efs!$A$74:$A$84,efs!$F$74:$F$84,0,0)</f>
        <v>0</v>
      </c>
      <c r="J68" s="18">
        <f>BAU_Fuel_cons!S30*_xlfn.XLOOKUP($B68,efs!$A$74:$A$84,efs!$F$74:$F$84,0,0)</f>
        <v>0</v>
      </c>
      <c r="K68" s="18">
        <f>BAU_Fuel_cons!T30*_xlfn.XLOOKUP($B68,efs!$A$74:$A$84,efs!$F$74:$F$84,0,0)</f>
        <v>0</v>
      </c>
      <c r="L68" s="18">
        <f>BAU_Fuel_cons!U30*_xlfn.XLOOKUP($B68,efs!$A$74:$A$84,efs!$F$74:$F$84,0,0)</f>
        <v>0</v>
      </c>
      <c r="M68" s="18">
        <f>BAU_Fuel_cons!V30*_xlfn.XLOOKUP($B68,efs!$A$74:$A$84,efs!$F$74:$F$84,0,0)</f>
        <v>0</v>
      </c>
      <c r="N68" s="18">
        <f>BAU_Fuel_cons!W30*_xlfn.XLOOKUP($B68,efs!$A$74:$A$84,efs!$F$74:$F$84,0,0)</f>
        <v>0</v>
      </c>
      <c r="O68" s="18">
        <f>BAU_Fuel_cons!X30*_xlfn.XLOOKUP($B68,efs!$A$74:$A$84,efs!$F$74:$F$84,0,0)</f>
        <v>0</v>
      </c>
      <c r="P68" s="18">
        <f>BAU_Fuel_cons!Y30*_xlfn.XLOOKUP($B68,efs!$A$74:$A$84,efs!$F$74:$F$84,0,0)</f>
        <v>0</v>
      </c>
      <c r="Q68" s="18">
        <f>BAU_Fuel_cons!Z30*_xlfn.XLOOKUP($B68,efs!$A$74:$A$84,efs!$F$74:$F$84,0,0)</f>
        <v>0</v>
      </c>
      <c r="R68" s="18">
        <f>BAU_Fuel_cons!AA30*_xlfn.XLOOKUP($B68,efs!$A$74:$A$84,efs!$F$74:$F$84,0,0)</f>
        <v>0</v>
      </c>
      <c r="S68" s="18">
        <f>BAU_Fuel_cons!AB30*_xlfn.XLOOKUP($B68,efs!$A$74:$A$84,efs!$F$74:$F$84,0,0)</f>
        <v>0</v>
      </c>
      <c r="T68" s="18">
        <f>BAU_Fuel_cons!AC30*_xlfn.XLOOKUP($B68,efs!$A$74:$A$84,efs!$F$74:$F$84,0,0)</f>
        <v>0</v>
      </c>
      <c r="U68" s="18">
        <f>BAU_Fuel_cons!AD30*_xlfn.XLOOKUP($B68,efs!$A$74:$A$84,efs!$F$74:$F$84,0,0)</f>
        <v>0</v>
      </c>
      <c r="V68" s="18">
        <f>BAU_Fuel_cons!AE30*_xlfn.XLOOKUP($B68,efs!$A$74:$A$84,efs!$F$74:$F$84,0,0)</f>
        <v>0</v>
      </c>
      <c r="W68" s="18">
        <f>BAU_Fuel_cons!AF30*_xlfn.XLOOKUP($B68,efs!$A$74:$A$84,efs!$F$74:$F$84,0,0)</f>
        <v>0</v>
      </c>
      <c r="X68" s="18">
        <f>BAU_Fuel_cons!AG30*_xlfn.XLOOKUP($B68,efs!$A$74:$A$84,efs!$F$74:$F$84,0,0)</f>
        <v>0</v>
      </c>
      <c r="Y68" s="18">
        <f>BAU_Fuel_cons!AH30*_xlfn.XLOOKUP($B68,efs!$A$74:$A$84,efs!$F$74:$F$84,0,0)</f>
        <v>0</v>
      </c>
      <c r="Z68" s="18">
        <f>BAU_Fuel_cons!AI30*_xlfn.XLOOKUP($B68,efs!$A$74:$A$84,efs!$F$74:$F$84,0,0)</f>
        <v>0</v>
      </c>
      <c r="AA68" s="18">
        <f>BAU_Fuel_cons!AJ30*_xlfn.XLOOKUP($B68,efs!$A$74:$A$84,efs!$F$74:$F$84,0,0)</f>
        <v>0</v>
      </c>
      <c r="AB68" s="18">
        <f>BAU_Fuel_cons!AK30*_xlfn.XLOOKUP($B68,efs!$A$74:$A$84,efs!$F$74:$F$84,0,0)</f>
        <v>0</v>
      </c>
      <c r="AC68" s="18">
        <f>BAU_Fuel_cons!AL30*_xlfn.XLOOKUP($B68,efs!$A$74:$A$84,efs!$F$74:$F$84,0,0)</f>
        <v>0</v>
      </c>
      <c r="AD68" s="18">
        <f>BAU_Fuel_cons!AM30*_xlfn.XLOOKUP($B68,efs!$A$74:$A$84,efs!$F$74:$F$84,0,0)</f>
        <v>0</v>
      </c>
      <c r="AE68" s="18">
        <f>BAU_Fuel_cons!AN30*_xlfn.XLOOKUP($B68,efs!$A$74:$A$84,efs!$F$74:$F$84,0,0)</f>
        <v>0</v>
      </c>
      <c r="AF68" s="18">
        <f>BAU_Fuel_cons!AO30*_xlfn.XLOOKUP($B68,efs!$A$74:$A$84,efs!$F$74:$F$84,0,0)</f>
        <v>0</v>
      </c>
      <c r="AG68" s="18">
        <f>BAU_Fuel_cons!AP30*_xlfn.XLOOKUP($B68,efs!$A$74:$A$84,efs!$F$74:$F$84,0,0)</f>
        <v>0</v>
      </c>
      <c r="AH68" s="18">
        <f>BAU_Fuel_cons!AQ30*_xlfn.XLOOKUP($B68,efs!$A$74:$A$84,efs!$F$74:$F$84,0,0)</f>
        <v>0</v>
      </c>
      <c r="AI68" s="18">
        <f>BAU_Fuel_cons!AR30*_xlfn.XLOOKUP($B68,efs!$A$74:$A$84,efs!$F$74:$F$84,0,0)</f>
        <v>0</v>
      </c>
      <c r="AJ68" s="111">
        <f>BAU_Fuel_cons!AS30*_xlfn.XLOOKUP($B68,efs!$A$74:$A$84,efs!$F$74:$F$84,0,0)</f>
        <v>0</v>
      </c>
    </row>
    <row r="69" spans="1:53">
      <c r="A69" s="4" t="s">
        <v>19</v>
      </c>
      <c r="B69" s="4" t="s">
        <v>14</v>
      </c>
      <c r="C69" s="4" t="s">
        <v>53</v>
      </c>
      <c r="D69" s="91" t="s">
        <v>122</v>
      </c>
      <c r="E69" s="110">
        <f>BAU_Fuel_cons!N31*_xlfn.XLOOKUP($B69,efs!$A$74:$A$84,efs!$F$74:$F$84,0,0)</f>
        <v>0</v>
      </c>
      <c r="F69" s="18">
        <f>BAU_Fuel_cons!O31*_xlfn.XLOOKUP($B69,efs!$A$74:$A$84,efs!$F$74:$F$84,0,0)</f>
        <v>0</v>
      </c>
      <c r="G69" s="18">
        <f>BAU_Fuel_cons!P31*_xlfn.XLOOKUP($B69,efs!$A$74:$A$84,efs!$F$74:$F$84,0,0)</f>
        <v>0</v>
      </c>
      <c r="H69" s="18">
        <f>BAU_Fuel_cons!Q31*_xlfn.XLOOKUP($B69,efs!$A$74:$A$84,efs!$F$74:$F$84,0,0)</f>
        <v>0</v>
      </c>
      <c r="I69" s="18">
        <f>BAU_Fuel_cons!R31*_xlfn.XLOOKUP($B69,efs!$A$74:$A$84,efs!$F$74:$F$84,0,0)</f>
        <v>0</v>
      </c>
      <c r="J69" s="18">
        <f>BAU_Fuel_cons!S31*_xlfn.XLOOKUP($B69,efs!$A$74:$A$84,efs!$F$74:$F$84,0,0)</f>
        <v>0</v>
      </c>
      <c r="K69" s="18">
        <f>BAU_Fuel_cons!T31*_xlfn.XLOOKUP($B69,efs!$A$74:$A$84,efs!$F$74:$F$84,0,0)</f>
        <v>0</v>
      </c>
      <c r="L69" s="18">
        <f>BAU_Fuel_cons!U31*_xlfn.XLOOKUP($B69,efs!$A$74:$A$84,efs!$F$74:$F$84,0,0)</f>
        <v>0</v>
      </c>
      <c r="M69" s="18">
        <f>BAU_Fuel_cons!V31*_xlfn.XLOOKUP($B69,efs!$A$74:$A$84,efs!$F$74:$F$84,0,0)</f>
        <v>0</v>
      </c>
      <c r="N69" s="18">
        <f>BAU_Fuel_cons!W31*_xlfn.XLOOKUP($B69,efs!$A$74:$A$84,efs!$F$74:$F$84,0,0)</f>
        <v>0</v>
      </c>
      <c r="O69" s="18">
        <f>BAU_Fuel_cons!X31*_xlfn.XLOOKUP($B69,efs!$A$74:$A$84,efs!$F$74:$F$84,0,0)</f>
        <v>0</v>
      </c>
      <c r="P69" s="18">
        <f>BAU_Fuel_cons!Y31*_xlfn.XLOOKUP($B69,efs!$A$74:$A$84,efs!$F$74:$F$84,0,0)</f>
        <v>0</v>
      </c>
      <c r="Q69" s="18">
        <f>BAU_Fuel_cons!Z31*_xlfn.XLOOKUP($B69,efs!$A$74:$A$84,efs!$F$74:$F$84,0,0)</f>
        <v>0</v>
      </c>
      <c r="R69" s="18">
        <f>BAU_Fuel_cons!AA31*_xlfn.XLOOKUP($B69,efs!$A$74:$A$84,efs!$F$74:$F$84,0,0)</f>
        <v>0</v>
      </c>
      <c r="S69" s="18">
        <f>BAU_Fuel_cons!AB31*_xlfn.XLOOKUP($B69,efs!$A$74:$A$84,efs!$F$74:$F$84,0,0)</f>
        <v>0</v>
      </c>
      <c r="T69" s="18">
        <f>BAU_Fuel_cons!AC31*_xlfn.XLOOKUP($B69,efs!$A$74:$A$84,efs!$F$74:$F$84,0,0)</f>
        <v>0</v>
      </c>
      <c r="U69" s="18">
        <f>BAU_Fuel_cons!AD31*_xlfn.XLOOKUP($B69,efs!$A$74:$A$84,efs!$F$74:$F$84,0,0)</f>
        <v>0</v>
      </c>
      <c r="V69" s="18">
        <f>BAU_Fuel_cons!AE31*_xlfn.XLOOKUP($B69,efs!$A$74:$A$84,efs!$F$74:$F$84,0,0)</f>
        <v>0</v>
      </c>
      <c r="W69" s="18">
        <f>BAU_Fuel_cons!AF31*_xlfn.XLOOKUP($B69,efs!$A$74:$A$84,efs!$F$74:$F$84,0,0)</f>
        <v>0</v>
      </c>
      <c r="X69" s="18">
        <f>BAU_Fuel_cons!AG31*_xlfn.XLOOKUP($B69,efs!$A$74:$A$84,efs!$F$74:$F$84,0,0)</f>
        <v>0</v>
      </c>
      <c r="Y69" s="18">
        <f>BAU_Fuel_cons!AH31*_xlfn.XLOOKUP($B69,efs!$A$74:$A$84,efs!$F$74:$F$84,0,0)</f>
        <v>0</v>
      </c>
      <c r="Z69" s="18">
        <f>BAU_Fuel_cons!AI31*_xlfn.XLOOKUP($B69,efs!$A$74:$A$84,efs!$F$74:$F$84,0,0)</f>
        <v>0</v>
      </c>
      <c r="AA69" s="18">
        <f>BAU_Fuel_cons!AJ31*_xlfn.XLOOKUP($B69,efs!$A$74:$A$84,efs!$F$74:$F$84,0,0)</f>
        <v>0</v>
      </c>
      <c r="AB69" s="18">
        <f>BAU_Fuel_cons!AK31*_xlfn.XLOOKUP($B69,efs!$A$74:$A$84,efs!$F$74:$F$84,0,0)</f>
        <v>0</v>
      </c>
      <c r="AC69" s="18">
        <f>BAU_Fuel_cons!AL31*_xlfn.XLOOKUP($B69,efs!$A$74:$A$84,efs!$F$74:$F$84,0,0)</f>
        <v>0</v>
      </c>
      <c r="AD69" s="18">
        <f>BAU_Fuel_cons!AM31*_xlfn.XLOOKUP($B69,efs!$A$74:$A$84,efs!$F$74:$F$84,0,0)</f>
        <v>0</v>
      </c>
      <c r="AE69" s="18">
        <f>BAU_Fuel_cons!AN31*_xlfn.XLOOKUP($B69,efs!$A$74:$A$84,efs!$F$74:$F$84,0,0)</f>
        <v>0</v>
      </c>
      <c r="AF69" s="18">
        <f>BAU_Fuel_cons!AO31*_xlfn.XLOOKUP($B69,efs!$A$74:$A$84,efs!$F$74:$F$84,0,0)</f>
        <v>0</v>
      </c>
      <c r="AG69" s="18">
        <f>BAU_Fuel_cons!AP31*_xlfn.XLOOKUP($B69,efs!$A$74:$A$84,efs!$F$74:$F$84,0,0)</f>
        <v>0</v>
      </c>
      <c r="AH69" s="18">
        <f>BAU_Fuel_cons!AQ31*_xlfn.XLOOKUP($B69,efs!$A$74:$A$84,efs!$F$74:$F$84,0,0)</f>
        <v>0</v>
      </c>
      <c r="AI69" s="18">
        <f>BAU_Fuel_cons!AR31*_xlfn.XLOOKUP($B69,efs!$A$74:$A$84,efs!$F$74:$F$84,0,0)</f>
        <v>0</v>
      </c>
      <c r="AJ69" s="111">
        <f>BAU_Fuel_cons!AS31*_xlfn.XLOOKUP($B69,efs!$A$74:$A$84,efs!$F$74:$F$84,0,0)</f>
        <v>0</v>
      </c>
    </row>
    <row r="70" spans="1:53">
      <c r="A70" s="4" t="s">
        <v>19</v>
      </c>
      <c r="B70" s="4" t="s">
        <v>15</v>
      </c>
      <c r="C70" s="4" t="s">
        <v>53</v>
      </c>
      <c r="D70" s="91" t="s">
        <v>122</v>
      </c>
      <c r="E70" s="110">
        <f>BAU_Fuel_cons!N32*_xlfn.XLOOKUP($B70,efs!$A$74:$A$84,efs!$F$74:$F$84,0,0)</f>
        <v>0</v>
      </c>
      <c r="F70" s="18">
        <f>BAU_Fuel_cons!O32*_xlfn.XLOOKUP($B70,efs!$A$74:$A$84,efs!$F$74:$F$84,0,0)</f>
        <v>0</v>
      </c>
      <c r="G70" s="18">
        <f>BAU_Fuel_cons!P32*_xlfn.XLOOKUP($B70,efs!$A$74:$A$84,efs!$F$74:$F$84,0,0)</f>
        <v>0</v>
      </c>
      <c r="H70" s="18">
        <f>BAU_Fuel_cons!Q32*_xlfn.XLOOKUP($B70,efs!$A$74:$A$84,efs!$F$74:$F$84,0,0)</f>
        <v>0</v>
      </c>
      <c r="I70" s="18">
        <f>BAU_Fuel_cons!R32*_xlfn.XLOOKUP($B70,efs!$A$74:$A$84,efs!$F$74:$F$84,0,0)</f>
        <v>0</v>
      </c>
      <c r="J70" s="18">
        <f>BAU_Fuel_cons!S32*_xlfn.XLOOKUP($B70,efs!$A$74:$A$84,efs!$F$74:$F$84,0,0)</f>
        <v>0</v>
      </c>
      <c r="K70" s="18">
        <f>BAU_Fuel_cons!T32*_xlfn.XLOOKUP($B70,efs!$A$74:$A$84,efs!$F$74:$F$84,0,0)</f>
        <v>0</v>
      </c>
      <c r="L70" s="18">
        <f>BAU_Fuel_cons!U32*_xlfn.XLOOKUP($B70,efs!$A$74:$A$84,efs!$F$74:$F$84,0,0)</f>
        <v>0</v>
      </c>
      <c r="M70" s="18">
        <f>BAU_Fuel_cons!V32*_xlfn.XLOOKUP($B70,efs!$A$74:$A$84,efs!$F$74:$F$84,0,0)</f>
        <v>0</v>
      </c>
      <c r="N70" s="18">
        <f>BAU_Fuel_cons!W32*_xlfn.XLOOKUP($B70,efs!$A$74:$A$84,efs!$F$74:$F$84,0,0)</f>
        <v>0</v>
      </c>
      <c r="O70" s="18">
        <f>BAU_Fuel_cons!X32*_xlfn.XLOOKUP($B70,efs!$A$74:$A$84,efs!$F$74:$F$84,0,0)</f>
        <v>0</v>
      </c>
      <c r="P70" s="18">
        <f>BAU_Fuel_cons!Y32*_xlfn.XLOOKUP($B70,efs!$A$74:$A$84,efs!$F$74:$F$84,0,0)</f>
        <v>0</v>
      </c>
      <c r="Q70" s="18">
        <f>BAU_Fuel_cons!Z32*_xlfn.XLOOKUP($B70,efs!$A$74:$A$84,efs!$F$74:$F$84,0,0)</f>
        <v>0</v>
      </c>
      <c r="R70" s="18">
        <f>BAU_Fuel_cons!AA32*_xlfn.XLOOKUP($B70,efs!$A$74:$A$84,efs!$F$74:$F$84,0,0)</f>
        <v>0</v>
      </c>
      <c r="S70" s="18">
        <f>BAU_Fuel_cons!AB32*_xlfn.XLOOKUP($B70,efs!$A$74:$A$84,efs!$F$74:$F$84,0,0)</f>
        <v>0</v>
      </c>
      <c r="T70" s="18">
        <f>BAU_Fuel_cons!AC32*_xlfn.XLOOKUP($B70,efs!$A$74:$A$84,efs!$F$74:$F$84,0,0)</f>
        <v>0</v>
      </c>
      <c r="U70" s="18">
        <f>BAU_Fuel_cons!AD32*_xlfn.XLOOKUP($B70,efs!$A$74:$A$84,efs!$F$74:$F$84,0,0)</f>
        <v>0</v>
      </c>
      <c r="V70" s="18">
        <f>BAU_Fuel_cons!AE32*_xlfn.XLOOKUP($B70,efs!$A$74:$A$84,efs!$F$74:$F$84,0,0)</f>
        <v>0</v>
      </c>
      <c r="W70" s="18">
        <f>BAU_Fuel_cons!AF32*_xlfn.XLOOKUP($B70,efs!$A$74:$A$84,efs!$F$74:$F$84,0,0)</f>
        <v>0</v>
      </c>
      <c r="X70" s="18">
        <f>BAU_Fuel_cons!AG32*_xlfn.XLOOKUP($B70,efs!$A$74:$A$84,efs!$F$74:$F$84,0,0)</f>
        <v>0</v>
      </c>
      <c r="Y70" s="18">
        <f>BAU_Fuel_cons!AH32*_xlfn.XLOOKUP($B70,efs!$A$74:$A$84,efs!$F$74:$F$84,0,0)</f>
        <v>0</v>
      </c>
      <c r="Z70" s="18">
        <f>BAU_Fuel_cons!AI32*_xlfn.XLOOKUP($B70,efs!$A$74:$A$84,efs!$F$74:$F$84,0,0)</f>
        <v>0</v>
      </c>
      <c r="AA70" s="18">
        <f>BAU_Fuel_cons!AJ32*_xlfn.XLOOKUP($B70,efs!$A$74:$A$84,efs!$F$74:$F$84,0,0)</f>
        <v>0</v>
      </c>
      <c r="AB70" s="18">
        <f>BAU_Fuel_cons!AK32*_xlfn.XLOOKUP($B70,efs!$A$74:$A$84,efs!$F$74:$F$84,0,0)</f>
        <v>0</v>
      </c>
      <c r="AC70" s="18">
        <f>BAU_Fuel_cons!AL32*_xlfn.XLOOKUP($B70,efs!$A$74:$A$84,efs!$F$74:$F$84,0,0)</f>
        <v>0</v>
      </c>
      <c r="AD70" s="18">
        <f>BAU_Fuel_cons!AM32*_xlfn.XLOOKUP($B70,efs!$A$74:$A$84,efs!$F$74:$F$84,0,0)</f>
        <v>0</v>
      </c>
      <c r="AE70" s="18">
        <f>BAU_Fuel_cons!AN32*_xlfn.XLOOKUP($B70,efs!$A$74:$A$84,efs!$F$74:$F$84,0,0)</f>
        <v>0</v>
      </c>
      <c r="AF70" s="18">
        <f>BAU_Fuel_cons!AO32*_xlfn.XLOOKUP($B70,efs!$A$74:$A$84,efs!$F$74:$F$84,0,0)</f>
        <v>0</v>
      </c>
      <c r="AG70" s="18">
        <f>BAU_Fuel_cons!AP32*_xlfn.XLOOKUP($B70,efs!$A$74:$A$84,efs!$F$74:$F$84,0,0)</f>
        <v>0</v>
      </c>
      <c r="AH70" s="18">
        <f>BAU_Fuel_cons!AQ32*_xlfn.XLOOKUP($B70,efs!$A$74:$A$84,efs!$F$74:$F$84,0,0)</f>
        <v>0</v>
      </c>
      <c r="AI70" s="18">
        <f>BAU_Fuel_cons!AR32*_xlfn.XLOOKUP($B70,efs!$A$74:$A$84,efs!$F$74:$F$84,0,0)</f>
        <v>0</v>
      </c>
      <c r="AJ70" s="111">
        <f>BAU_Fuel_cons!AS32*_xlfn.XLOOKUP($B70,efs!$A$74:$A$84,efs!$F$74:$F$84,0,0)</f>
        <v>0</v>
      </c>
    </row>
    <row r="71" spans="1:53">
      <c r="A71" s="40" t="s">
        <v>19</v>
      </c>
      <c r="B71" s="40" t="s">
        <v>16</v>
      </c>
      <c r="C71" s="4" t="s">
        <v>53</v>
      </c>
      <c r="D71" s="91" t="s">
        <v>122</v>
      </c>
      <c r="E71" s="110">
        <f>BAU_Fuel_cons!N33*_xlfn.XLOOKUP($B71,efs!$A$74:$A$84,efs!$F$74:$F$84,0,0)</f>
        <v>0</v>
      </c>
      <c r="F71" s="18">
        <f>BAU_Fuel_cons!O33*_xlfn.XLOOKUP($B71,efs!$A$74:$A$84,efs!$F$74:$F$84,0,0)</f>
        <v>0</v>
      </c>
      <c r="G71" s="18">
        <f>BAU_Fuel_cons!P33*_xlfn.XLOOKUP($B71,efs!$A$74:$A$84,efs!$F$74:$F$84,0,0)</f>
        <v>0</v>
      </c>
      <c r="H71" s="18">
        <f>BAU_Fuel_cons!Q33*_xlfn.XLOOKUP($B71,efs!$A$74:$A$84,efs!$F$74:$F$84,0,0)</f>
        <v>0</v>
      </c>
      <c r="I71" s="18">
        <f>BAU_Fuel_cons!R33*_xlfn.XLOOKUP($B71,efs!$A$74:$A$84,efs!$F$74:$F$84,0,0)</f>
        <v>0</v>
      </c>
      <c r="J71" s="18">
        <f>BAU_Fuel_cons!S33*_xlfn.XLOOKUP($B71,efs!$A$74:$A$84,efs!$F$74:$F$84,0,0)</f>
        <v>0</v>
      </c>
      <c r="K71" s="18">
        <f>BAU_Fuel_cons!T33*_xlfn.XLOOKUP($B71,efs!$A$74:$A$84,efs!$F$74:$F$84,0,0)</f>
        <v>0</v>
      </c>
      <c r="L71" s="18">
        <f>BAU_Fuel_cons!U33*_xlfn.XLOOKUP($B71,efs!$A$74:$A$84,efs!$F$74:$F$84,0,0)</f>
        <v>0</v>
      </c>
      <c r="M71" s="18">
        <f>BAU_Fuel_cons!V33*_xlfn.XLOOKUP($B71,efs!$A$74:$A$84,efs!$F$74:$F$84,0,0)</f>
        <v>0</v>
      </c>
      <c r="N71" s="18">
        <f>BAU_Fuel_cons!W33*_xlfn.XLOOKUP($B71,efs!$A$74:$A$84,efs!$F$74:$F$84,0,0)</f>
        <v>0</v>
      </c>
      <c r="O71" s="18">
        <f>BAU_Fuel_cons!X33*_xlfn.XLOOKUP($B71,efs!$A$74:$A$84,efs!$F$74:$F$84,0,0)</f>
        <v>0</v>
      </c>
      <c r="P71" s="18">
        <f>BAU_Fuel_cons!Y33*_xlfn.XLOOKUP($B71,efs!$A$74:$A$84,efs!$F$74:$F$84,0,0)</f>
        <v>0</v>
      </c>
      <c r="Q71" s="18">
        <f>BAU_Fuel_cons!Z33*_xlfn.XLOOKUP($B71,efs!$A$74:$A$84,efs!$F$74:$F$84,0,0)</f>
        <v>0</v>
      </c>
      <c r="R71" s="18">
        <f>BAU_Fuel_cons!AA33*_xlfn.XLOOKUP($B71,efs!$A$74:$A$84,efs!$F$74:$F$84,0,0)</f>
        <v>0</v>
      </c>
      <c r="S71" s="18">
        <f>BAU_Fuel_cons!AB33*_xlfn.XLOOKUP($B71,efs!$A$74:$A$84,efs!$F$74:$F$84,0,0)</f>
        <v>0</v>
      </c>
      <c r="T71" s="18">
        <f>BAU_Fuel_cons!AC33*_xlfn.XLOOKUP($B71,efs!$A$74:$A$84,efs!$F$74:$F$84,0,0)</f>
        <v>0</v>
      </c>
      <c r="U71" s="18">
        <f>BAU_Fuel_cons!AD33*_xlfn.XLOOKUP($B71,efs!$A$74:$A$84,efs!$F$74:$F$84,0,0)</f>
        <v>0</v>
      </c>
      <c r="V71" s="18">
        <f>BAU_Fuel_cons!AE33*_xlfn.XLOOKUP($B71,efs!$A$74:$A$84,efs!$F$74:$F$84,0,0)</f>
        <v>0</v>
      </c>
      <c r="W71" s="18">
        <f>BAU_Fuel_cons!AF33*_xlfn.XLOOKUP($B71,efs!$A$74:$A$84,efs!$F$74:$F$84,0,0)</f>
        <v>0</v>
      </c>
      <c r="X71" s="18">
        <f>BAU_Fuel_cons!AG33*_xlfn.XLOOKUP($B71,efs!$A$74:$A$84,efs!$F$74:$F$84,0,0)</f>
        <v>0</v>
      </c>
      <c r="Y71" s="18">
        <f>BAU_Fuel_cons!AH33*_xlfn.XLOOKUP($B71,efs!$A$74:$A$84,efs!$F$74:$F$84,0,0)</f>
        <v>0</v>
      </c>
      <c r="Z71" s="18">
        <f>BAU_Fuel_cons!AI33*_xlfn.XLOOKUP($B71,efs!$A$74:$A$84,efs!$F$74:$F$84,0,0)</f>
        <v>0</v>
      </c>
      <c r="AA71" s="18">
        <f>BAU_Fuel_cons!AJ33*_xlfn.XLOOKUP($B71,efs!$A$74:$A$84,efs!$F$74:$F$84,0,0)</f>
        <v>0</v>
      </c>
      <c r="AB71" s="18">
        <f>BAU_Fuel_cons!AK33*_xlfn.XLOOKUP($B71,efs!$A$74:$A$84,efs!$F$74:$F$84,0,0)</f>
        <v>0</v>
      </c>
      <c r="AC71" s="18">
        <f>BAU_Fuel_cons!AL33*_xlfn.XLOOKUP($B71,efs!$A$74:$A$84,efs!$F$74:$F$84,0,0)</f>
        <v>0</v>
      </c>
      <c r="AD71" s="18">
        <f>BAU_Fuel_cons!AM33*_xlfn.XLOOKUP($B71,efs!$A$74:$A$84,efs!$F$74:$F$84,0,0)</f>
        <v>0</v>
      </c>
      <c r="AE71" s="18">
        <f>BAU_Fuel_cons!AN33*_xlfn.XLOOKUP($B71,efs!$A$74:$A$84,efs!$F$74:$F$84,0,0)</f>
        <v>0</v>
      </c>
      <c r="AF71" s="18">
        <f>BAU_Fuel_cons!AO33*_xlfn.XLOOKUP($B71,efs!$A$74:$A$84,efs!$F$74:$F$84,0,0)</f>
        <v>0</v>
      </c>
      <c r="AG71" s="18">
        <f>BAU_Fuel_cons!AP33*_xlfn.XLOOKUP($B71,efs!$A$74:$A$84,efs!$F$74:$F$84,0,0)</f>
        <v>0</v>
      </c>
      <c r="AH71" s="18">
        <f>BAU_Fuel_cons!AQ33*_xlfn.XLOOKUP($B71,efs!$A$74:$A$84,efs!$F$74:$F$84,0,0)</f>
        <v>0</v>
      </c>
      <c r="AI71" s="18">
        <f>BAU_Fuel_cons!AR33*_xlfn.XLOOKUP($B71,efs!$A$74:$A$84,efs!$F$74:$F$84,0,0)</f>
        <v>0</v>
      </c>
      <c r="AJ71" s="111">
        <f>BAU_Fuel_cons!AS33*_xlfn.XLOOKUP($B71,efs!$A$74:$A$84,efs!$F$74:$F$84,0,0)</f>
        <v>0</v>
      </c>
    </row>
    <row r="72" spans="1:53" ht="17" thickBot="1">
      <c r="A72" s="32" t="s">
        <v>19</v>
      </c>
      <c r="B72" s="32" t="s">
        <v>17</v>
      </c>
      <c r="C72" s="32" t="s">
        <v>53</v>
      </c>
      <c r="D72" s="93" t="s">
        <v>122</v>
      </c>
      <c r="E72" s="112">
        <f>BAU_Fuel_cons!N34*_xlfn.XLOOKUP($B72,efs!$A$74:$A$84,efs!$F$74:$F$84,0,0)</f>
        <v>0</v>
      </c>
      <c r="F72" s="113">
        <f>BAU_Fuel_cons!O34*_xlfn.XLOOKUP($B72,efs!$A$74:$A$84,efs!$F$74:$F$84,0,0)</f>
        <v>0</v>
      </c>
      <c r="G72" s="113">
        <f>BAU_Fuel_cons!P34*_xlfn.XLOOKUP($B72,efs!$A$74:$A$84,efs!$F$74:$F$84,0,0)</f>
        <v>0</v>
      </c>
      <c r="H72" s="113">
        <f>BAU_Fuel_cons!Q34*_xlfn.XLOOKUP($B72,efs!$A$74:$A$84,efs!$F$74:$F$84,0,0)</f>
        <v>0</v>
      </c>
      <c r="I72" s="113">
        <f>BAU_Fuel_cons!R34*_xlfn.XLOOKUP($B72,efs!$A$74:$A$84,efs!$F$74:$F$84,0,0)</f>
        <v>0</v>
      </c>
      <c r="J72" s="113">
        <f>BAU_Fuel_cons!S34*_xlfn.XLOOKUP($B72,efs!$A$74:$A$84,efs!$F$74:$F$84,0,0)</f>
        <v>0</v>
      </c>
      <c r="K72" s="113">
        <f>BAU_Fuel_cons!T34*_xlfn.XLOOKUP($B72,efs!$A$74:$A$84,efs!$F$74:$F$84,0,0)</f>
        <v>0</v>
      </c>
      <c r="L72" s="113">
        <f>BAU_Fuel_cons!U34*_xlfn.XLOOKUP($B72,efs!$A$74:$A$84,efs!$F$74:$F$84,0,0)</f>
        <v>0</v>
      </c>
      <c r="M72" s="113">
        <f>BAU_Fuel_cons!V34*_xlfn.XLOOKUP($B72,efs!$A$74:$A$84,efs!$F$74:$F$84,0,0)</f>
        <v>0</v>
      </c>
      <c r="N72" s="113">
        <f>BAU_Fuel_cons!W34*_xlfn.XLOOKUP($B72,efs!$A$74:$A$84,efs!$F$74:$F$84,0,0)</f>
        <v>0</v>
      </c>
      <c r="O72" s="113">
        <f>BAU_Fuel_cons!X34*_xlfn.XLOOKUP($B72,efs!$A$74:$A$84,efs!$F$74:$F$84,0,0)</f>
        <v>0</v>
      </c>
      <c r="P72" s="113">
        <f>BAU_Fuel_cons!Y34*_xlfn.XLOOKUP($B72,efs!$A$74:$A$84,efs!$F$74:$F$84,0,0)</f>
        <v>0</v>
      </c>
      <c r="Q72" s="113">
        <f>BAU_Fuel_cons!Z34*_xlfn.XLOOKUP($B72,efs!$A$74:$A$84,efs!$F$74:$F$84,0,0)</f>
        <v>0</v>
      </c>
      <c r="R72" s="113">
        <f>BAU_Fuel_cons!AA34*_xlfn.XLOOKUP($B72,efs!$A$74:$A$84,efs!$F$74:$F$84,0,0)</f>
        <v>0</v>
      </c>
      <c r="S72" s="113">
        <f>BAU_Fuel_cons!AB34*_xlfn.XLOOKUP($B72,efs!$A$74:$A$84,efs!$F$74:$F$84,0,0)</f>
        <v>0</v>
      </c>
      <c r="T72" s="113">
        <f>BAU_Fuel_cons!AC34*_xlfn.XLOOKUP($B72,efs!$A$74:$A$84,efs!$F$74:$F$84,0,0)</f>
        <v>0</v>
      </c>
      <c r="U72" s="113">
        <f>BAU_Fuel_cons!AD34*_xlfn.XLOOKUP($B72,efs!$A$74:$A$84,efs!$F$74:$F$84,0,0)</f>
        <v>0</v>
      </c>
      <c r="V72" s="113">
        <f>BAU_Fuel_cons!AE34*_xlfn.XLOOKUP($B72,efs!$A$74:$A$84,efs!$F$74:$F$84,0,0)</f>
        <v>0</v>
      </c>
      <c r="W72" s="113">
        <f>BAU_Fuel_cons!AF34*_xlfn.XLOOKUP($B72,efs!$A$74:$A$84,efs!$F$74:$F$84,0,0)</f>
        <v>0</v>
      </c>
      <c r="X72" s="113">
        <f>BAU_Fuel_cons!AG34*_xlfn.XLOOKUP($B72,efs!$A$74:$A$84,efs!$F$74:$F$84,0,0)</f>
        <v>0</v>
      </c>
      <c r="Y72" s="113">
        <f>BAU_Fuel_cons!AH34*_xlfn.XLOOKUP($B72,efs!$A$74:$A$84,efs!$F$74:$F$84,0,0)</f>
        <v>0</v>
      </c>
      <c r="Z72" s="113">
        <f>BAU_Fuel_cons!AI34*_xlfn.XLOOKUP($B72,efs!$A$74:$A$84,efs!$F$74:$F$84,0,0)</f>
        <v>0</v>
      </c>
      <c r="AA72" s="113">
        <f>BAU_Fuel_cons!AJ34*_xlfn.XLOOKUP($B72,efs!$A$74:$A$84,efs!$F$74:$F$84,0,0)</f>
        <v>0</v>
      </c>
      <c r="AB72" s="113">
        <f>BAU_Fuel_cons!AK34*_xlfn.XLOOKUP($B72,efs!$A$74:$A$84,efs!$F$74:$F$84,0,0)</f>
        <v>0</v>
      </c>
      <c r="AC72" s="113">
        <f>BAU_Fuel_cons!AL34*_xlfn.XLOOKUP($B72,efs!$A$74:$A$84,efs!$F$74:$F$84,0,0)</f>
        <v>0</v>
      </c>
      <c r="AD72" s="113">
        <f>BAU_Fuel_cons!AM34*_xlfn.XLOOKUP($B72,efs!$A$74:$A$84,efs!$F$74:$F$84,0,0)</f>
        <v>0</v>
      </c>
      <c r="AE72" s="113">
        <f>BAU_Fuel_cons!AN34*_xlfn.XLOOKUP($B72,efs!$A$74:$A$84,efs!$F$74:$F$84,0,0)</f>
        <v>0</v>
      </c>
      <c r="AF72" s="113">
        <f>BAU_Fuel_cons!AO34*_xlfn.XLOOKUP($B72,efs!$A$74:$A$84,efs!$F$74:$F$84,0,0)</f>
        <v>0</v>
      </c>
      <c r="AG72" s="113">
        <f>BAU_Fuel_cons!AP34*_xlfn.XLOOKUP($B72,efs!$A$74:$A$84,efs!$F$74:$F$84,0,0)</f>
        <v>0</v>
      </c>
      <c r="AH72" s="113">
        <f>BAU_Fuel_cons!AQ34*_xlfn.XLOOKUP($B72,efs!$A$74:$A$84,efs!$F$74:$F$84,0,0)</f>
        <v>0</v>
      </c>
      <c r="AI72" s="113">
        <f>BAU_Fuel_cons!AR34*_xlfn.XLOOKUP($B72,efs!$A$74:$A$84,efs!$F$74:$F$84,0,0)</f>
        <v>0</v>
      </c>
      <c r="AJ72" s="114">
        <f>BAU_Fuel_cons!AS34*_xlfn.XLOOKUP($B72,efs!$A$74:$A$84,efs!$F$74:$F$84,0,0)</f>
        <v>0</v>
      </c>
    </row>
    <row r="73" spans="1:53">
      <c r="D73" t="s">
        <v>4</v>
      </c>
      <c r="E73" s="54">
        <f>SUM(E40:E50)</f>
        <v>20.984392981752933</v>
      </c>
      <c r="F73" s="54">
        <f t="shared" ref="F73:AJ73" si="27">SUM(F40:F50)</f>
        <v>21.637629535290266</v>
      </c>
      <c r="G73" s="54">
        <f t="shared" si="27"/>
        <v>22.303548462915757</v>
      </c>
      <c r="H73" s="54">
        <f t="shared" si="27"/>
        <v>22.982070288377198</v>
      </c>
      <c r="I73" s="54">
        <f t="shared" si="27"/>
        <v>23.673295836063375</v>
      </c>
      <c r="J73" s="54">
        <f t="shared" si="27"/>
        <v>24.377445616741337</v>
      </c>
      <c r="K73" s="54">
        <f t="shared" si="27"/>
        <v>25.013323374867468</v>
      </c>
      <c r="L73" s="54">
        <f t="shared" si="27"/>
        <v>25.65661694732723</v>
      </c>
      <c r="M73" s="54">
        <f t="shared" si="27"/>
        <v>26.306223997116334</v>
      </c>
      <c r="N73" s="54">
        <f t="shared" si="27"/>
        <v>26.960579827263565</v>
      </c>
      <c r="O73" s="54">
        <f t="shared" si="27"/>
        <v>27.617837192359801</v>
      </c>
      <c r="P73" s="54">
        <f t="shared" si="27"/>
        <v>28.276365616094616</v>
      </c>
      <c r="Q73" s="54">
        <f t="shared" si="27"/>
        <v>28.93500871617292</v>
      </c>
      <c r="R73" s="54">
        <f t="shared" si="27"/>
        <v>29.59293761207336</v>
      </c>
      <c r="S73" s="54">
        <f t="shared" si="27"/>
        <v>30.249194250553337</v>
      </c>
      <c r="T73" s="54">
        <f t="shared" si="27"/>
        <v>30.902775382321366</v>
      </c>
      <c r="U73" s="54">
        <f t="shared" si="27"/>
        <v>31.559152588772442</v>
      </c>
      <c r="V73" s="54">
        <f t="shared" si="27"/>
        <v>32.217520842642671</v>
      </c>
      <c r="W73" s="54">
        <f t="shared" si="27"/>
        <v>32.877375043908494</v>
      </c>
      <c r="X73" s="54">
        <f t="shared" si="27"/>
        <v>33.538422824928183</v>
      </c>
      <c r="Y73" s="54">
        <f t="shared" si="27"/>
        <v>34.200398278802702</v>
      </c>
      <c r="Z73" s="54">
        <f t="shared" si="27"/>
        <v>34.863033157184326</v>
      </c>
      <c r="AA73" s="54">
        <f t="shared" si="27"/>
        <v>35.525945966361824</v>
      </c>
      <c r="AB73" s="54">
        <f t="shared" si="27"/>
        <v>36.188706660933398</v>
      </c>
      <c r="AC73" s="54">
        <f t="shared" si="27"/>
        <v>36.850868573045766</v>
      </c>
      <c r="AD73" s="54">
        <f t="shared" si="27"/>
        <v>37.511958195040066</v>
      </c>
      <c r="AE73" s="54">
        <f t="shared" si="27"/>
        <v>38.171550785476512</v>
      </c>
      <c r="AF73" s="54">
        <f t="shared" si="27"/>
        <v>38.82921971122623</v>
      </c>
      <c r="AG73" s="54">
        <f t="shared" si="27"/>
        <v>39.484587411868063</v>
      </c>
      <c r="AH73" s="54">
        <f t="shared" si="27"/>
        <v>40.137337865649499</v>
      </c>
      <c r="AI73" s="54">
        <f t="shared" si="27"/>
        <v>40.787162345095027</v>
      </c>
      <c r="AJ73" s="54">
        <f t="shared" si="27"/>
        <v>41.43371628742031</v>
      </c>
    </row>
    <row r="74" spans="1:53">
      <c r="D74" t="s">
        <v>18</v>
      </c>
      <c r="E74" s="54">
        <f>SUM(E51:E61)</f>
        <v>14.068874463582539</v>
      </c>
      <c r="F74" s="54">
        <f t="shared" ref="F74:AJ74" si="28">SUM(F51:F61)</f>
        <v>14.392191062112039</v>
      </c>
      <c r="G74" s="54">
        <f t="shared" si="28"/>
        <v>14.715938011760953</v>
      </c>
      <c r="H74" s="54">
        <f t="shared" si="28"/>
        <v>15.039875747997044</v>
      </c>
      <c r="I74" s="54">
        <f t="shared" si="28"/>
        <v>15.364102974610109</v>
      </c>
      <c r="J74" s="54">
        <f t="shared" si="28"/>
        <v>15.688912093843372</v>
      </c>
      <c r="K74" s="54">
        <f t="shared" si="28"/>
        <v>15.967278520882919</v>
      </c>
      <c r="L74" s="54">
        <f t="shared" si="28"/>
        <v>16.243664918531678</v>
      </c>
      <c r="M74" s="54">
        <f t="shared" si="28"/>
        <v>16.517145557600923</v>
      </c>
      <c r="N74" s="54">
        <f t="shared" si="28"/>
        <v>16.78646484587609</v>
      </c>
      <c r="O74" s="54">
        <f t="shared" si="28"/>
        <v>17.050160420103172</v>
      </c>
      <c r="P74" s="54">
        <f t="shared" si="28"/>
        <v>17.306979573535077</v>
      </c>
      <c r="Q74" s="54">
        <f t="shared" si="28"/>
        <v>17.556138654599859</v>
      </c>
      <c r="R74" s="54">
        <f t="shared" si="28"/>
        <v>17.797177174551717</v>
      </c>
      <c r="S74" s="54">
        <f t="shared" si="28"/>
        <v>18.029641666470276</v>
      </c>
      <c r="T74" s="54">
        <f t="shared" si="28"/>
        <v>18.253337665886804</v>
      </c>
      <c r="U74" s="54">
        <f t="shared" si="28"/>
        <v>18.470257796801015</v>
      </c>
      <c r="V74" s="54">
        <f t="shared" si="28"/>
        <v>18.680304156113397</v>
      </c>
      <c r="W74" s="54">
        <f t="shared" si="28"/>
        <v>18.883043889259785</v>
      </c>
      <c r="X74" s="54">
        <f t="shared" si="28"/>
        <v>19.078160880792446</v>
      </c>
      <c r="Y74" s="54">
        <f t="shared" si="28"/>
        <v>19.265335432712714</v>
      </c>
      <c r="Z74" s="54">
        <f t="shared" si="28"/>
        <v>19.44427959440382</v>
      </c>
      <c r="AA74" s="54">
        <f t="shared" si="28"/>
        <v>19.614683205568095</v>
      </c>
      <c r="AB74" s="54">
        <f t="shared" si="28"/>
        <v>19.776226334766775</v>
      </c>
      <c r="AC74" s="54">
        <f t="shared" si="28"/>
        <v>19.92854323042566</v>
      </c>
      <c r="AD74" s="54">
        <f t="shared" si="28"/>
        <v>20.071249792930754</v>
      </c>
      <c r="AE74" s="54">
        <f t="shared" si="28"/>
        <v>20.204037193827961</v>
      </c>
      <c r="AF74" s="54">
        <f t="shared" si="28"/>
        <v>20.326625733939679</v>
      </c>
      <c r="AG74" s="54">
        <f t="shared" si="28"/>
        <v>20.438828299574325</v>
      </c>
      <c r="AH74" s="54">
        <f t="shared" si="28"/>
        <v>20.540528560721874</v>
      </c>
      <c r="AI74" s="54">
        <f t="shared" si="28"/>
        <v>20.63166062497714</v>
      </c>
      <c r="AJ74" s="54">
        <f t="shared" si="28"/>
        <v>20.7121323878828</v>
      </c>
    </row>
    <row r="75" spans="1:53">
      <c r="D75" t="s">
        <v>19</v>
      </c>
      <c r="E75" s="54">
        <f>SUM(E62:E72)</f>
        <v>6.9155185181703915</v>
      </c>
      <c r="F75" s="54">
        <f t="shared" ref="F75:AJ75" si="29">SUM(F62:F72)</f>
        <v>7.2454384731782255</v>
      </c>
      <c r="G75" s="54">
        <f t="shared" si="29"/>
        <v>7.5876104511548039</v>
      </c>
      <c r="H75" s="54">
        <f t="shared" si="29"/>
        <v>7.9421945403801582</v>
      </c>
      <c r="I75" s="54">
        <f t="shared" si="29"/>
        <v>8.309192861453262</v>
      </c>
      <c r="J75" s="54">
        <f t="shared" si="29"/>
        <v>8.6885335228979628</v>
      </c>
      <c r="K75" s="54">
        <f t="shared" si="29"/>
        <v>9.0460448539845526</v>
      </c>
      <c r="L75" s="54">
        <f t="shared" si="29"/>
        <v>9.4129520287955515</v>
      </c>
      <c r="M75" s="54">
        <f t="shared" si="29"/>
        <v>9.7890784395154071</v>
      </c>
      <c r="N75" s="54">
        <f t="shared" si="29"/>
        <v>10.174114981387476</v>
      </c>
      <c r="O75" s="54">
        <f t="shared" si="29"/>
        <v>10.567676772256629</v>
      </c>
      <c r="P75" s="54">
        <f t="shared" si="29"/>
        <v>10.969386042559535</v>
      </c>
      <c r="Q75" s="54">
        <f t="shared" si="29"/>
        <v>11.378870061573064</v>
      </c>
      <c r="R75" s="54">
        <f t="shared" si="29"/>
        <v>11.795760437521638</v>
      </c>
      <c r="S75" s="54">
        <f t="shared" si="29"/>
        <v>12.219552584083063</v>
      </c>
      <c r="T75" s="54">
        <f t="shared" si="29"/>
        <v>12.64943771643456</v>
      </c>
      <c r="U75" s="54">
        <f t="shared" si="29"/>
        <v>13.088894791971425</v>
      </c>
      <c r="V75" s="54">
        <f t="shared" si="29"/>
        <v>13.537216686529273</v>
      </c>
      <c r="W75" s="54">
        <f t="shared" si="29"/>
        <v>13.994331154648711</v>
      </c>
      <c r="X75" s="54">
        <f t="shared" si="29"/>
        <v>14.460261944135745</v>
      </c>
      <c r="Y75" s="54">
        <f t="shared" si="29"/>
        <v>14.935062846089991</v>
      </c>
      <c r="Z75" s="54">
        <f t="shared" si="29"/>
        <v>15.418753562780502</v>
      </c>
      <c r="AA75" s="54">
        <f t="shared" si="29"/>
        <v>15.911262760793734</v>
      </c>
      <c r="AB75" s="54">
        <f t="shared" si="29"/>
        <v>16.412480326166623</v>
      </c>
      <c r="AC75" s="54">
        <f t="shared" si="29"/>
        <v>16.922325342620109</v>
      </c>
      <c r="AD75" s="54">
        <f t="shared" si="29"/>
        <v>17.440708402109312</v>
      </c>
      <c r="AE75" s="54">
        <f t="shared" si="29"/>
        <v>17.967513591648544</v>
      </c>
      <c r="AF75" s="54">
        <f t="shared" si="29"/>
        <v>18.502593977286555</v>
      </c>
      <c r="AG75" s="54">
        <f t="shared" si="29"/>
        <v>19.045759112293727</v>
      </c>
      <c r="AH75" s="54">
        <f t="shared" si="29"/>
        <v>19.596809304927621</v>
      </c>
      <c r="AI75" s="54">
        <f t="shared" si="29"/>
        <v>20.155501720117879</v>
      </c>
      <c r="AJ75" s="54">
        <f t="shared" si="29"/>
        <v>20.721583899537507</v>
      </c>
    </row>
    <row r="77" spans="1:53" ht="17" thickBot="1">
      <c r="A77" s="1" t="s">
        <v>101</v>
      </c>
      <c r="B77" s="115"/>
      <c r="C77" s="6"/>
      <c r="D77" s="6"/>
      <c r="AU77">
        <v>2020</v>
      </c>
      <c r="AV77">
        <v>2025</v>
      </c>
      <c r="AW77">
        <v>2030</v>
      </c>
      <c r="AX77">
        <v>2035</v>
      </c>
      <c r="AY77">
        <v>2040</v>
      </c>
      <c r="AZ77">
        <v>2045</v>
      </c>
      <c r="BA77">
        <v>2050</v>
      </c>
    </row>
    <row r="78" spans="1:53">
      <c r="A78" s="94" t="s">
        <v>4</v>
      </c>
      <c r="B78" s="88" t="s">
        <v>36</v>
      </c>
      <c r="C78" s="88" t="s">
        <v>53</v>
      </c>
      <c r="D78" s="89" t="s">
        <v>122</v>
      </c>
      <c r="E78" s="107">
        <f>SUM(E89,E100)</f>
        <v>2410.5980666096175</v>
      </c>
      <c r="F78" s="108">
        <f t="shared" ref="F78:AJ86" si="30">SUM(F89,F100)</f>
        <v>2435.7563648517107</v>
      </c>
      <c r="G78" s="108">
        <f t="shared" si="30"/>
        <v>2459.0420496599218</v>
      </c>
      <c r="H78" s="108">
        <f t="shared" si="30"/>
        <v>2480.3496515106449</v>
      </c>
      <c r="I78" s="108">
        <f t="shared" si="30"/>
        <v>2499.6156622938897</v>
      </c>
      <c r="J78" s="108">
        <f t="shared" si="30"/>
        <v>2516.8005748484106</v>
      </c>
      <c r="K78" s="108">
        <f t="shared" si="30"/>
        <v>2510.4614820789957</v>
      </c>
      <c r="L78" s="108">
        <f t="shared" si="30"/>
        <v>2501.0228320616011</v>
      </c>
      <c r="M78" s="108">
        <f t="shared" si="30"/>
        <v>2488.2958324968995</v>
      </c>
      <c r="N78" s="108">
        <f t="shared" si="30"/>
        <v>2472.056732296061</v>
      </c>
      <c r="O78" s="108">
        <f t="shared" si="30"/>
        <v>2452.0701188670246</v>
      </c>
      <c r="P78" s="108">
        <f t="shared" si="30"/>
        <v>2428.1460385534856</v>
      </c>
      <c r="Q78" s="108">
        <f t="shared" si="30"/>
        <v>2400.167864309808</v>
      </c>
      <c r="R78" s="108">
        <f t="shared" si="30"/>
        <v>2368.0686228883224</v>
      </c>
      <c r="S78" s="108">
        <f t="shared" si="30"/>
        <v>2331.7871971007239</v>
      </c>
      <c r="T78" s="108">
        <f t="shared" si="30"/>
        <v>2291.2928082393323</v>
      </c>
      <c r="U78" s="108">
        <f t="shared" si="30"/>
        <v>2246.8906749814091</v>
      </c>
      <c r="V78" s="108">
        <f t="shared" si="30"/>
        <v>2198.53813079976</v>
      </c>
      <c r="W78" s="108">
        <f t="shared" si="30"/>
        <v>2146.177700658081</v>
      </c>
      <c r="X78" s="108">
        <f t="shared" si="30"/>
        <v>2089.7715338333992</v>
      </c>
      <c r="Y78" s="108">
        <f t="shared" si="30"/>
        <v>2029.2866999168862</v>
      </c>
      <c r="Z78" s="108">
        <f t="shared" si="30"/>
        <v>1964.6973497620343</v>
      </c>
      <c r="AA78" s="108">
        <f t="shared" si="30"/>
        <v>1895.9791844009139</v>
      </c>
      <c r="AB78" s="108">
        <f t="shared" si="30"/>
        <v>1823.112330115433</v>
      </c>
      <c r="AC78" s="108">
        <f t="shared" si="30"/>
        <v>1746.0798598634783</v>
      </c>
      <c r="AD78" s="108">
        <f t="shared" si="30"/>
        <v>1664.8702865988482</v>
      </c>
      <c r="AE78" s="108">
        <f t="shared" si="30"/>
        <v>1579.4847110320422</v>
      </c>
      <c r="AF78" s="108">
        <f t="shared" si="30"/>
        <v>1489.9327130874274</v>
      </c>
      <c r="AG78" s="108">
        <f t="shared" si="30"/>
        <v>1396.2362506123329</v>
      </c>
      <c r="AH78" s="108">
        <f t="shared" si="30"/>
        <v>1298.4272359602523</v>
      </c>
      <c r="AI78" s="108">
        <f t="shared" si="30"/>
        <v>1196.5452171928484</v>
      </c>
      <c r="AJ78" s="109">
        <f t="shared" si="30"/>
        <v>1090.6328303263072</v>
      </c>
      <c r="AT78" s="87" t="s">
        <v>36</v>
      </c>
      <c r="AU78" s="54">
        <f>_xlfn.XLOOKUP(AU$1,$E$1:$AJ$1,$E80:$AJ80)+_xlfn.XLOOKUP(AU$1,$E$1:$AJ$1,$E78:$AJ78)</f>
        <v>2446.0925293467703</v>
      </c>
      <c r="AV78" s="54">
        <f t="shared" ref="AV78:BA78" si="31">_xlfn.XLOOKUP(AV$1,$E$1:$AJ$1,$E80:$AJ80)+_xlfn.XLOOKUP(AV$1,$E$1:$AJ$1,$E78:$AJ78)</f>
        <v>2532.988929334957</v>
      </c>
      <c r="AW78" s="54">
        <f t="shared" si="31"/>
        <v>2466.7785555037499</v>
      </c>
      <c r="AX78" s="54">
        <f t="shared" si="31"/>
        <v>2306.6510258270555</v>
      </c>
      <c r="AY78" s="54">
        <f t="shared" si="31"/>
        <v>2051.3842653208021</v>
      </c>
      <c r="AZ78" s="54">
        <f t="shared" si="31"/>
        <v>1699.7127264130797</v>
      </c>
      <c r="BA78" s="54">
        <f t="shared" si="31"/>
        <v>1251.7156601363406</v>
      </c>
    </row>
    <row r="79" spans="1:53">
      <c r="A79" s="95" t="s">
        <v>4</v>
      </c>
      <c r="B79" s="4" t="s">
        <v>8</v>
      </c>
      <c r="C79" s="4" t="s">
        <v>53</v>
      </c>
      <c r="D79" s="91" t="s">
        <v>122</v>
      </c>
      <c r="E79" s="110">
        <f t="shared" ref="E79:T86" si="32">SUM(E90,E101)</f>
        <v>2587.9108255244109</v>
      </c>
      <c r="F79" s="18">
        <f t="shared" si="32"/>
        <v>2793.9134013331573</v>
      </c>
      <c r="G79" s="18">
        <f t="shared" si="32"/>
        <v>3009.7325662322473</v>
      </c>
      <c r="H79" s="18">
        <f t="shared" si="32"/>
        <v>3235.5876720262922</v>
      </c>
      <c r="I79" s="18">
        <f t="shared" si="32"/>
        <v>3471.6655269471489</v>
      </c>
      <c r="J79" s="18">
        <f t="shared" si="32"/>
        <v>3718.1415920943591</v>
      </c>
      <c r="K79" s="18">
        <f t="shared" si="32"/>
        <v>3997.2559138148026</v>
      </c>
      <c r="L79" s="18">
        <f t="shared" si="32"/>
        <v>4287.0949836492418</v>
      </c>
      <c r="M79" s="18">
        <f t="shared" si="32"/>
        <v>4587.6652285798109</v>
      </c>
      <c r="N79" s="18">
        <f t="shared" si="32"/>
        <v>4898.869449165928</v>
      </c>
      <c r="O79" s="18">
        <f t="shared" si="32"/>
        <v>5220.5221176813775</v>
      </c>
      <c r="P79" s="18">
        <f t="shared" si="32"/>
        <v>5552.4115415024717</v>
      </c>
      <c r="Q79" s="18">
        <f t="shared" si="32"/>
        <v>5894.3364050849523</v>
      </c>
      <c r="R79" s="18">
        <f t="shared" si="32"/>
        <v>6246.1054683235925</v>
      </c>
      <c r="S79" s="18">
        <f t="shared" si="32"/>
        <v>6607.459799561826</v>
      </c>
      <c r="T79" s="18">
        <f t="shared" si="32"/>
        <v>6978.0471743938579</v>
      </c>
      <c r="U79" s="18">
        <f t="shared" si="30"/>
        <v>7359.3315609974725</v>
      </c>
      <c r="V79" s="18">
        <f t="shared" si="30"/>
        <v>7751.0702918581374</v>
      </c>
      <c r="W79" s="18">
        <f t="shared" si="30"/>
        <v>8153.178905431856</v>
      </c>
      <c r="X79" s="18">
        <f t="shared" si="30"/>
        <v>8565.6105438920604</v>
      </c>
      <c r="Y79" s="18">
        <f t="shared" si="30"/>
        <v>8988.3159812328449</v>
      </c>
      <c r="Z79" s="18">
        <f t="shared" si="30"/>
        <v>9421.2267519327543</v>
      </c>
      <c r="AA79" s="18">
        <f t="shared" si="30"/>
        <v>9864.2236014755745</v>
      </c>
      <c r="AB79" s="18">
        <f t="shared" si="30"/>
        <v>10317.155799218108</v>
      </c>
      <c r="AC79" s="18">
        <f t="shared" si="30"/>
        <v>10779.857361242246</v>
      </c>
      <c r="AD79" s="18">
        <f t="shared" si="30"/>
        <v>11252.136849208531</v>
      </c>
      <c r="AE79" s="18">
        <f t="shared" si="30"/>
        <v>11733.791280565238</v>
      </c>
      <c r="AF79" s="18">
        <f t="shared" si="30"/>
        <v>12224.595514575092</v>
      </c>
      <c r="AG79" s="18">
        <f t="shared" si="30"/>
        <v>12724.31416727601</v>
      </c>
      <c r="AH79" s="18">
        <f t="shared" si="30"/>
        <v>13232.712620321361</v>
      </c>
      <c r="AI79" s="18">
        <f t="shared" si="30"/>
        <v>13749.540866658232</v>
      </c>
      <c r="AJ79" s="111">
        <f t="shared" si="30"/>
        <v>14274.526344047999</v>
      </c>
      <c r="AT79" s="3" t="s">
        <v>8</v>
      </c>
      <c r="AU79" s="54">
        <f>(_xlfn.XLOOKUP(AU$1,$E$1:$AJ$1,$E81:$AJ81)+_xlfn.XLOOKUP(AU$1,$E$1:$AJ$1,$E79:$AJ79))</f>
        <v>2801.6505012095458</v>
      </c>
      <c r="AV79" s="54">
        <f t="shared" ref="AV79:BA79" si="33">(_xlfn.XLOOKUP(AV$1,$E$1:$AJ$1,$E81:$AJ81)+_xlfn.XLOOKUP(AV$1,$E$1:$AJ$1,$E79:$AJ79))</f>
        <v>4014.118755874134</v>
      </c>
      <c r="AW79" s="54">
        <f t="shared" si="33"/>
        <v>5581.3297773009981</v>
      </c>
      <c r="AX79" s="54">
        <f t="shared" si="33"/>
        <v>7404.0649631566412</v>
      </c>
      <c r="AY79" s="54">
        <f t="shared" si="33"/>
        <v>9486.1159401780533</v>
      </c>
      <c r="AZ79" s="54">
        <f t="shared" si="33"/>
        <v>11823.78754207866</v>
      </c>
      <c r="BA79" s="54">
        <f t="shared" si="33"/>
        <v>14395.104334385453</v>
      </c>
    </row>
    <row r="80" spans="1:53">
      <c r="A80" s="95" t="s">
        <v>4</v>
      </c>
      <c r="B80" s="4" t="s">
        <v>37</v>
      </c>
      <c r="C80" s="4" t="s">
        <v>53</v>
      </c>
      <c r="D80" s="91" t="s">
        <v>122</v>
      </c>
      <c r="E80" s="110">
        <f t="shared" si="32"/>
        <v>8.36117092258932</v>
      </c>
      <c r="F80" s="18">
        <f t="shared" si="30"/>
        <v>10.336164495059693</v>
      </c>
      <c r="G80" s="18">
        <f t="shared" si="30"/>
        <v>12.466245532577894</v>
      </c>
      <c r="H80" s="18">
        <f t="shared" si="30"/>
        <v>14.758573161346952</v>
      </c>
      <c r="I80" s="18">
        <f t="shared" si="30"/>
        <v>17.22004520750346</v>
      </c>
      <c r="J80" s="18">
        <f t="shared" si="30"/>
        <v>19.857320380651338</v>
      </c>
      <c r="K80" s="18">
        <f t="shared" si="30"/>
        <v>22.527447255961434</v>
      </c>
      <c r="L80" s="18">
        <f t="shared" si="30"/>
        <v>25.373931669129515</v>
      </c>
      <c r="M80" s="18">
        <f t="shared" si="30"/>
        <v>28.402599624146632</v>
      </c>
      <c r="N80" s="18">
        <f t="shared" si="30"/>
        <v>31.618749695421574</v>
      </c>
      <c r="O80" s="18">
        <f t="shared" si="30"/>
        <v>35.0272033418101</v>
      </c>
      <c r="P80" s="18">
        <f t="shared" si="30"/>
        <v>38.63251695026424</v>
      </c>
      <c r="Q80" s="18">
        <f t="shared" si="30"/>
        <v>42.43897976362647</v>
      </c>
      <c r="R80" s="18">
        <f t="shared" si="30"/>
        <v>46.450614667561588</v>
      </c>
      <c r="S80" s="18">
        <f t="shared" si="30"/>
        <v>50.670598280669857</v>
      </c>
      <c r="T80" s="18">
        <f t="shared" si="30"/>
        <v>55.100384945392783</v>
      </c>
      <c r="U80" s="18">
        <f t="shared" si="30"/>
        <v>59.760350845646599</v>
      </c>
      <c r="V80" s="18">
        <f t="shared" si="30"/>
        <v>64.653827111615627</v>
      </c>
      <c r="W80" s="18">
        <f t="shared" si="30"/>
        <v>69.786746865118374</v>
      </c>
      <c r="X80" s="18">
        <f t="shared" si="30"/>
        <v>75.165511375632207</v>
      </c>
      <c r="Y80" s="18">
        <f t="shared" si="30"/>
        <v>80.796734748773417</v>
      </c>
      <c r="Z80" s="18">
        <f t="shared" si="30"/>
        <v>86.686915558767751</v>
      </c>
      <c r="AA80" s="18">
        <f t="shared" si="30"/>
        <v>92.842068749406465</v>
      </c>
      <c r="AB80" s="18">
        <f t="shared" si="30"/>
        <v>99.267944873500383</v>
      </c>
      <c r="AC80" s="18">
        <f t="shared" si="30"/>
        <v>105.9704141384608</v>
      </c>
      <c r="AD80" s="18">
        <f t="shared" si="30"/>
        <v>112.95525322187676</v>
      </c>
      <c r="AE80" s="18">
        <f t="shared" si="30"/>
        <v>120.22801538103747</v>
      </c>
      <c r="AF80" s="18">
        <f t="shared" si="30"/>
        <v>127.79397043615499</v>
      </c>
      <c r="AG80" s="18">
        <f t="shared" si="30"/>
        <v>135.65798188343581</v>
      </c>
      <c r="AH80" s="18">
        <f t="shared" si="30"/>
        <v>143.82471071515869</v>
      </c>
      <c r="AI80" s="18">
        <f t="shared" si="30"/>
        <v>152.29834842932883</v>
      </c>
      <c r="AJ80" s="111">
        <f t="shared" si="30"/>
        <v>161.08282981003347</v>
      </c>
      <c r="AT80" s="34" t="s">
        <v>11</v>
      </c>
      <c r="AU80" s="54">
        <f>_xlfn.XLOOKUP(AU$1,$E$1:$AJ$1,$E82:$AJ82)</f>
        <v>0.28839600373379443</v>
      </c>
      <c r="AV80" s="54">
        <f t="shared" ref="AV80:BA80" si="34">_xlfn.XLOOKUP(AV$1,$E$1:$AJ$1,$E82:$AJ82)</f>
        <v>0.48656248855391843</v>
      </c>
      <c r="AW80" s="54">
        <f t="shared" si="34"/>
        <v>0.47365432609773261</v>
      </c>
      <c r="AX80" s="54">
        <f t="shared" si="34"/>
        <v>0.42547301060642417</v>
      </c>
      <c r="AY80" s="54">
        <f t="shared" si="34"/>
        <v>0.33546794644802591</v>
      </c>
      <c r="AZ80" s="54">
        <f t="shared" si="34"/>
        <v>0.19627327563689631</v>
      </c>
      <c r="BA80" s="54">
        <f t="shared" si="34"/>
        <v>0</v>
      </c>
    </row>
    <row r="81" spans="1:53">
      <c r="A81" s="95" t="s">
        <v>4</v>
      </c>
      <c r="B81" s="4" t="s">
        <v>10</v>
      </c>
      <c r="C81" s="4" t="s">
        <v>53</v>
      </c>
      <c r="D81" s="91" t="s">
        <v>122</v>
      </c>
      <c r="E81" s="110">
        <f t="shared" si="32"/>
        <v>6.2587253272286318</v>
      </c>
      <c r="F81" s="18">
        <f t="shared" si="30"/>
        <v>7.7370998763885472</v>
      </c>
      <c r="G81" s="18">
        <f t="shared" si="30"/>
        <v>9.3315646065080013</v>
      </c>
      <c r="H81" s="18">
        <f t="shared" si="30"/>
        <v>11.04747845653101</v>
      </c>
      <c r="I81" s="18">
        <f t="shared" si="30"/>
        <v>12.890004770151224</v>
      </c>
      <c r="J81" s="18">
        <f t="shared" si="30"/>
        <v>14.864127901214115</v>
      </c>
      <c r="K81" s="18">
        <f t="shared" si="30"/>
        <v>16.862842059331413</v>
      </c>
      <c r="L81" s="18">
        <f t="shared" si="30"/>
        <v>18.993568037211588</v>
      </c>
      <c r="M81" s="18">
        <f t="shared" si="30"/>
        <v>21.260666869818877</v>
      </c>
      <c r="N81" s="18">
        <f t="shared" si="30"/>
        <v>23.668104786543577</v>
      </c>
      <c r="O81" s="18">
        <f t="shared" si="30"/>
        <v>26.219490873593131</v>
      </c>
      <c r="P81" s="18">
        <f t="shared" si="30"/>
        <v>28.918235798526108</v>
      </c>
      <c r="Q81" s="18">
        <f t="shared" si="30"/>
        <v>31.767550259109747</v>
      </c>
      <c r="R81" s="18">
        <f t="shared" si="30"/>
        <v>34.770445572375145</v>
      </c>
      <c r="S81" s="18">
        <f t="shared" si="30"/>
        <v>37.929299585094284</v>
      </c>
      <c r="T81" s="18">
        <f t="shared" si="30"/>
        <v>41.245200940228457</v>
      </c>
      <c r="U81" s="18">
        <f t="shared" si="30"/>
        <v>44.733402159168456</v>
      </c>
      <c r="V81" s="18">
        <f t="shared" si="30"/>
        <v>48.396396747793553</v>
      </c>
      <c r="W81" s="18">
        <f t="shared" si="30"/>
        <v>52.23862592374401</v>
      </c>
      <c r="X81" s="18">
        <f t="shared" si="30"/>
        <v>56.264881334957145</v>
      </c>
      <c r="Y81" s="18">
        <f t="shared" si="30"/>
        <v>60.480113947119555</v>
      </c>
      <c r="Z81" s="18">
        <f t="shared" si="30"/>
        <v>64.889188245298485</v>
      </c>
      <c r="AA81" s="18">
        <f t="shared" si="30"/>
        <v>69.496606694686477</v>
      </c>
      <c r="AB81" s="18">
        <f t="shared" si="30"/>
        <v>74.30667385153005</v>
      </c>
      <c r="AC81" s="18">
        <f t="shared" si="30"/>
        <v>79.323783839109453</v>
      </c>
      <c r="AD81" s="18">
        <f t="shared" si="30"/>
        <v>84.552260769282768</v>
      </c>
      <c r="AE81" s="18">
        <f t="shared" si="30"/>
        <v>89.996261513421985</v>
      </c>
      <c r="AF81" s="18">
        <f t="shared" si="30"/>
        <v>95.659730777063757</v>
      </c>
      <c r="AG81" s="18">
        <f t="shared" si="30"/>
        <v>101.54630911332777</v>
      </c>
      <c r="AH81" s="18">
        <f t="shared" si="30"/>
        <v>107.65948549172502</v>
      </c>
      <c r="AI81" s="18">
        <f t="shared" si="30"/>
        <v>114.00239744346575</v>
      </c>
      <c r="AJ81" s="111">
        <f t="shared" si="30"/>
        <v>120.57799033745239</v>
      </c>
      <c r="AT81" s="3" t="s">
        <v>12</v>
      </c>
      <c r="AU81" s="54">
        <f t="shared" ref="AU81:BA81" si="35">_xlfn.XLOOKUP(AU$1,$E$1:$AJ$1,$E83:$AJ83)</f>
        <v>1.9288976149541292E-2</v>
      </c>
      <c r="AV81" s="54">
        <f t="shared" si="35"/>
        <v>0</v>
      </c>
      <c r="AW81" s="54">
        <f t="shared" si="35"/>
        <v>0</v>
      </c>
      <c r="AX81" s="54">
        <f t="shared" si="35"/>
        <v>0</v>
      </c>
      <c r="AY81" s="54">
        <f t="shared" si="35"/>
        <v>0</v>
      </c>
      <c r="AZ81" s="54">
        <f t="shared" si="35"/>
        <v>0</v>
      </c>
      <c r="BA81" s="54">
        <f t="shared" si="35"/>
        <v>0</v>
      </c>
    </row>
    <row r="82" spans="1:53">
      <c r="A82" s="95" t="s">
        <v>4</v>
      </c>
      <c r="B82" s="4" t="s">
        <v>11</v>
      </c>
      <c r="C82" s="4" t="s">
        <v>53</v>
      </c>
      <c r="D82" s="91" t="s">
        <v>122</v>
      </c>
      <c r="E82" s="110">
        <f t="shared" si="32"/>
        <v>0.24712951306609293</v>
      </c>
      <c r="F82" s="18">
        <f t="shared" si="30"/>
        <v>0.28839600373379443</v>
      </c>
      <c r="G82" s="18">
        <f t="shared" si="30"/>
        <v>0.33275108169542983</v>
      </c>
      <c r="H82" s="18">
        <f t="shared" si="30"/>
        <v>0.38033388033983773</v>
      </c>
      <c r="I82" s="18">
        <f t="shared" si="30"/>
        <v>0.43127722640321714</v>
      </c>
      <c r="J82" s="18">
        <f t="shared" si="30"/>
        <v>0.48570873378599089</v>
      </c>
      <c r="K82" s="18">
        <f t="shared" si="30"/>
        <v>0.48656248855391843</v>
      </c>
      <c r="L82" s="18">
        <f t="shared" si="30"/>
        <v>0.48637076897527864</v>
      </c>
      <c r="M82" s="18">
        <f t="shared" si="30"/>
        <v>0.48506143869519425</v>
      </c>
      <c r="N82" s="18">
        <f t="shared" si="30"/>
        <v>0.48255724472673189</v>
      </c>
      <c r="O82" s="18">
        <f t="shared" si="30"/>
        <v>0.47877982677478681</v>
      </c>
      <c r="P82" s="18">
        <f t="shared" si="30"/>
        <v>0.47365432609773261</v>
      </c>
      <c r="Q82" s="18">
        <f t="shared" si="30"/>
        <v>0.46710939443350413</v>
      </c>
      <c r="R82" s="18">
        <f t="shared" si="30"/>
        <v>0.45907696755394567</v>
      </c>
      <c r="S82" s="18">
        <f t="shared" si="30"/>
        <v>0.44948695166869379</v>
      </c>
      <c r="T82" s="18">
        <f t="shared" si="30"/>
        <v>0.43826311702054022</v>
      </c>
      <c r="U82" s="18">
        <f t="shared" si="30"/>
        <v>0.42547301060642417</v>
      </c>
      <c r="V82" s="18">
        <f t="shared" si="30"/>
        <v>0.41102955836022498</v>
      </c>
      <c r="W82" s="18">
        <f t="shared" si="30"/>
        <v>0.39486862749530866</v>
      </c>
      <c r="X82" s="18">
        <f t="shared" si="30"/>
        <v>0.37692895503971163</v>
      </c>
      <c r="Y82" s="18">
        <f t="shared" si="30"/>
        <v>0.35714953419793205</v>
      </c>
      <c r="Z82" s="18">
        <f t="shared" si="30"/>
        <v>0.33546794644802591</v>
      </c>
      <c r="AA82" s="18">
        <f t="shared" si="30"/>
        <v>0.31181960133630754</v>
      </c>
      <c r="AB82" s="18">
        <f t="shared" si="30"/>
        <v>0.28613959540425116</v>
      </c>
      <c r="AC82" s="18">
        <f t="shared" si="30"/>
        <v>0.25836413439619366</v>
      </c>
      <c r="AD82" s="18">
        <f t="shared" si="30"/>
        <v>0.2284297604822417</v>
      </c>
      <c r="AE82" s="18">
        <f t="shared" si="30"/>
        <v>0.19627327563689631</v>
      </c>
      <c r="AF82" s="18">
        <f t="shared" si="30"/>
        <v>0.16183196889219112</v>
      </c>
      <c r="AG82" s="18">
        <f t="shared" si="30"/>
        <v>0.12504387523885749</v>
      </c>
      <c r="AH82" s="18">
        <f t="shared" si="30"/>
        <v>8.584837680539846E-2</v>
      </c>
      <c r="AI82" s="18">
        <f t="shared" si="30"/>
        <v>4.4186224094648466E-2</v>
      </c>
      <c r="AJ82" s="111">
        <f t="shared" si="30"/>
        <v>0</v>
      </c>
      <c r="AT82" s="3" t="s">
        <v>13</v>
      </c>
      <c r="AU82" s="54">
        <f t="shared" ref="AU82:BA82" si="36">_xlfn.XLOOKUP(AU$1,$E$1:$AJ$1,$E84:$AJ84)</f>
        <v>0</v>
      </c>
      <c r="AV82" s="54">
        <f t="shared" si="36"/>
        <v>0</v>
      </c>
      <c r="AW82" s="54">
        <f t="shared" si="36"/>
        <v>0</v>
      </c>
      <c r="AX82" s="54">
        <f t="shared" si="36"/>
        <v>0</v>
      </c>
      <c r="AY82" s="54">
        <f t="shared" si="36"/>
        <v>0</v>
      </c>
      <c r="AZ82" s="54">
        <f t="shared" si="36"/>
        <v>0</v>
      </c>
      <c r="BA82" s="54">
        <f t="shared" si="36"/>
        <v>0</v>
      </c>
    </row>
    <row r="83" spans="1:53">
      <c r="A83" s="95" t="s">
        <v>4</v>
      </c>
      <c r="B83" s="4" t="s">
        <v>12</v>
      </c>
      <c r="C83" s="4" t="s">
        <v>53</v>
      </c>
      <c r="D83" s="91" t="s">
        <v>122</v>
      </c>
      <c r="E83" s="110">
        <f t="shared" si="32"/>
        <v>2.3493047670423713E-2</v>
      </c>
      <c r="F83" s="18">
        <f t="shared" si="30"/>
        <v>1.9288976149541292E-2</v>
      </c>
      <c r="G83" s="18">
        <f t="shared" si="30"/>
        <v>1.4652611363304268E-2</v>
      </c>
      <c r="H83" s="18">
        <f t="shared" si="30"/>
        <v>9.560964031161431E-3</v>
      </c>
      <c r="I83" s="18">
        <f t="shared" si="30"/>
        <v>3.9907457747725564E-3</v>
      </c>
      <c r="J83" s="18">
        <f t="shared" si="30"/>
        <v>0</v>
      </c>
      <c r="K83" s="18">
        <f t="shared" si="30"/>
        <v>0</v>
      </c>
      <c r="L83" s="18">
        <f t="shared" si="30"/>
        <v>0</v>
      </c>
      <c r="M83" s="18">
        <f t="shared" si="30"/>
        <v>0</v>
      </c>
      <c r="N83" s="18">
        <f t="shared" si="30"/>
        <v>0</v>
      </c>
      <c r="O83" s="18">
        <f t="shared" si="30"/>
        <v>0</v>
      </c>
      <c r="P83" s="18">
        <f t="shared" si="30"/>
        <v>0</v>
      </c>
      <c r="Q83" s="18">
        <f t="shared" si="30"/>
        <v>0</v>
      </c>
      <c r="R83" s="18">
        <f t="shared" si="30"/>
        <v>0</v>
      </c>
      <c r="S83" s="18">
        <f t="shared" si="30"/>
        <v>0</v>
      </c>
      <c r="T83" s="18">
        <f t="shared" si="30"/>
        <v>0</v>
      </c>
      <c r="U83" s="18">
        <f t="shared" si="30"/>
        <v>0</v>
      </c>
      <c r="V83" s="18">
        <f t="shared" si="30"/>
        <v>0</v>
      </c>
      <c r="W83" s="18">
        <f t="shared" si="30"/>
        <v>0</v>
      </c>
      <c r="X83" s="18">
        <f t="shared" si="30"/>
        <v>0</v>
      </c>
      <c r="Y83" s="18">
        <f t="shared" si="30"/>
        <v>0</v>
      </c>
      <c r="Z83" s="18">
        <f t="shared" si="30"/>
        <v>0</v>
      </c>
      <c r="AA83" s="18">
        <f t="shared" si="30"/>
        <v>0</v>
      </c>
      <c r="AB83" s="18">
        <f t="shared" si="30"/>
        <v>0</v>
      </c>
      <c r="AC83" s="18">
        <f t="shared" si="30"/>
        <v>0</v>
      </c>
      <c r="AD83" s="18">
        <f t="shared" si="30"/>
        <v>0</v>
      </c>
      <c r="AE83" s="18">
        <f t="shared" si="30"/>
        <v>0</v>
      </c>
      <c r="AF83" s="18">
        <f t="shared" si="30"/>
        <v>0</v>
      </c>
      <c r="AG83" s="18">
        <f t="shared" si="30"/>
        <v>0</v>
      </c>
      <c r="AH83" s="18">
        <f t="shared" si="30"/>
        <v>0</v>
      </c>
      <c r="AI83" s="18">
        <f t="shared" si="30"/>
        <v>0</v>
      </c>
      <c r="AJ83" s="111">
        <f t="shared" si="30"/>
        <v>0</v>
      </c>
      <c r="AT83" t="s">
        <v>14</v>
      </c>
      <c r="AU83" s="54">
        <f t="shared" ref="AU83:BA83" si="37">_xlfn.XLOOKUP(AU$1,$E$1:$AJ$1,$E85:$AJ85)</f>
        <v>0</v>
      </c>
      <c r="AV83" s="54">
        <f t="shared" si="37"/>
        <v>0</v>
      </c>
      <c r="AW83" s="54">
        <f t="shared" si="37"/>
        <v>0</v>
      </c>
      <c r="AX83" s="54">
        <f t="shared" si="37"/>
        <v>0</v>
      </c>
      <c r="AY83" s="54">
        <f t="shared" si="37"/>
        <v>0</v>
      </c>
      <c r="AZ83" s="54">
        <f t="shared" si="37"/>
        <v>0</v>
      </c>
      <c r="BA83" s="54">
        <f t="shared" si="37"/>
        <v>0</v>
      </c>
    </row>
    <row r="84" spans="1:53">
      <c r="A84" s="95" t="s">
        <v>4</v>
      </c>
      <c r="B84" s="4" t="s">
        <v>13</v>
      </c>
      <c r="C84" s="4" t="s">
        <v>53</v>
      </c>
      <c r="D84" s="91" t="s">
        <v>122</v>
      </c>
      <c r="E84" s="110">
        <f t="shared" si="32"/>
        <v>0</v>
      </c>
      <c r="F84" s="18">
        <f t="shared" si="30"/>
        <v>0</v>
      </c>
      <c r="G84" s="18">
        <f t="shared" si="30"/>
        <v>0</v>
      </c>
      <c r="H84" s="18">
        <f t="shared" si="30"/>
        <v>0</v>
      </c>
      <c r="I84" s="18">
        <f t="shared" si="30"/>
        <v>0</v>
      </c>
      <c r="J84" s="18">
        <f t="shared" si="30"/>
        <v>0</v>
      </c>
      <c r="K84" s="18">
        <f t="shared" si="30"/>
        <v>0</v>
      </c>
      <c r="L84" s="18">
        <f t="shared" si="30"/>
        <v>0</v>
      </c>
      <c r="M84" s="18">
        <f t="shared" si="30"/>
        <v>0</v>
      </c>
      <c r="N84" s="18">
        <f t="shared" si="30"/>
        <v>0</v>
      </c>
      <c r="O84" s="18">
        <f t="shared" si="30"/>
        <v>0</v>
      </c>
      <c r="P84" s="18">
        <f t="shared" si="30"/>
        <v>0</v>
      </c>
      <c r="Q84" s="18">
        <f t="shared" si="30"/>
        <v>0</v>
      </c>
      <c r="R84" s="18">
        <f t="shared" si="30"/>
        <v>0</v>
      </c>
      <c r="S84" s="18">
        <f t="shared" si="30"/>
        <v>0</v>
      </c>
      <c r="T84" s="18">
        <f t="shared" si="30"/>
        <v>0</v>
      </c>
      <c r="U84" s="18">
        <f t="shared" si="30"/>
        <v>0</v>
      </c>
      <c r="V84" s="18">
        <f t="shared" si="30"/>
        <v>0</v>
      </c>
      <c r="W84" s="18">
        <f t="shared" si="30"/>
        <v>0</v>
      </c>
      <c r="X84" s="18">
        <f t="shared" si="30"/>
        <v>0</v>
      </c>
      <c r="Y84" s="18">
        <f t="shared" si="30"/>
        <v>0</v>
      </c>
      <c r="Z84" s="18">
        <f t="shared" si="30"/>
        <v>0</v>
      </c>
      <c r="AA84" s="18">
        <f t="shared" si="30"/>
        <v>0</v>
      </c>
      <c r="AB84" s="18">
        <f t="shared" si="30"/>
        <v>0</v>
      </c>
      <c r="AC84" s="18">
        <f t="shared" si="30"/>
        <v>0</v>
      </c>
      <c r="AD84" s="18">
        <f t="shared" si="30"/>
        <v>0</v>
      </c>
      <c r="AE84" s="18">
        <f t="shared" si="30"/>
        <v>0</v>
      </c>
      <c r="AF84" s="18">
        <f t="shared" si="30"/>
        <v>0</v>
      </c>
      <c r="AG84" s="18">
        <f t="shared" si="30"/>
        <v>0</v>
      </c>
      <c r="AH84" s="18">
        <f t="shared" si="30"/>
        <v>0</v>
      </c>
      <c r="AI84" s="18">
        <f t="shared" si="30"/>
        <v>0</v>
      </c>
      <c r="AJ84" s="111">
        <f t="shared" si="30"/>
        <v>0</v>
      </c>
      <c r="AT84" t="s">
        <v>15</v>
      </c>
      <c r="AU84" s="54">
        <f t="shared" ref="AU84:BA84" si="38">_xlfn.XLOOKUP(AU$1,$E$1:$AJ$1,$E86:$AJ86)</f>
        <v>0</v>
      </c>
      <c r="AV84" s="54">
        <f t="shared" si="38"/>
        <v>0</v>
      </c>
      <c r="AW84" s="54">
        <f t="shared" si="38"/>
        <v>0</v>
      </c>
      <c r="AX84" s="54">
        <f t="shared" si="38"/>
        <v>0</v>
      </c>
      <c r="AY84" s="54">
        <f t="shared" si="38"/>
        <v>0</v>
      </c>
      <c r="AZ84" s="54">
        <f t="shared" si="38"/>
        <v>0</v>
      </c>
      <c r="BA84" s="54">
        <f t="shared" si="38"/>
        <v>0</v>
      </c>
    </row>
    <row r="85" spans="1:53">
      <c r="A85" s="95" t="s">
        <v>4</v>
      </c>
      <c r="B85" s="4" t="s">
        <v>14</v>
      </c>
      <c r="C85" s="4" t="s">
        <v>53</v>
      </c>
      <c r="D85" s="91" t="s">
        <v>122</v>
      </c>
      <c r="E85" s="110">
        <f t="shared" si="32"/>
        <v>0</v>
      </c>
      <c r="F85" s="18">
        <f t="shared" si="30"/>
        <v>0</v>
      </c>
      <c r="G85" s="18">
        <f t="shared" si="30"/>
        <v>0</v>
      </c>
      <c r="H85" s="18">
        <f t="shared" si="30"/>
        <v>0</v>
      </c>
      <c r="I85" s="18">
        <f t="shared" si="30"/>
        <v>0</v>
      </c>
      <c r="J85" s="18">
        <f t="shared" si="30"/>
        <v>0</v>
      </c>
      <c r="K85" s="18">
        <f t="shared" si="30"/>
        <v>0</v>
      </c>
      <c r="L85" s="18">
        <f t="shared" si="30"/>
        <v>0</v>
      </c>
      <c r="M85" s="18">
        <f t="shared" si="30"/>
        <v>0</v>
      </c>
      <c r="N85" s="18">
        <f t="shared" si="30"/>
        <v>0</v>
      </c>
      <c r="O85" s="18">
        <f t="shared" si="30"/>
        <v>0</v>
      </c>
      <c r="P85" s="18">
        <f t="shared" si="30"/>
        <v>0</v>
      </c>
      <c r="Q85" s="18">
        <f t="shared" si="30"/>
        <v>0</v>
      </c>
      <c r="R85" s="18">
        <f t="shared" si="30"/>
        <v>0</v>
      </c>
      <c r="S85" s="18">
        <f t="shared" si="30"/>
        <v>0</v>
      </c>
      <c r="T85" s="18">
        <f t="shared" si="30"/>
        <v>0</v>
      </c>
      <c r="U85" s="18">
        <f t="shared" si="30"/>
        <v>0</v>
      </c>
      <c r="V85" s="18">
        <f t="shared" si="30"/>
        <v>0</v>
      </c>
      <c r="W85" s="18">
        <f t="shared" si="30"/>
        <v>0</v>
      </c>
      <c r="X85" s="18">
        <f t="shared" si="30"/>
        <v>0</v>
      </c>
      <c r="Y85" s="18">
        <f t="shared" si="30"/>
        <v>0</v>
      </c>
      <c r="Z85" s="18">
        <f t="shared" si="30"/>
        <v>0</v>
      </c>
      <c r="AA85" s="18">
        <f t="shared" si="30"/>
        <v>0</v>
      </c>
      <c r="AB85" s="18">
        <f t="shared" si="30"/>
        <v>0</v>
      </c>
      <c r="AC85" s="18">
        <f t="shared" si="30"/>
        <v>0</v>
      </c>
      <c r="AD85" s="18">
        <f t="shared" si="30"/>
        <v>0</v>
      </c>
      <c r="AE85" s="18">
        <f t="shared" si="30"/>
        <v>0</v>
      </c>
      <c r="AF85" s="18">
        <f t="shared" si="30"/>
        <v>0</v>
      </c>
      <c r="AG85" s="18">
        <f t="shared" si="30"/>
        <v>0</v>
      </c>
      <c r="AH85" s="18">
        <f t="shared" si="30"/>
        <v>0</v>
      </c>
      <c r="AI85" s="18">
        <f t="shared" si="30"/>
        <v>0</v>
      </c>
      <c r="AJ85" s="111">
        <f t="shared" si="30"/>
        <v>0</v>
      </c>
      <c r="AT85" t="s">
        <v>16</v>
      </c>
      <c r="AU85" s="54">
        <f t="shared" ref="AU85:BA85" si="39">_xlfn.XLOOKUP(AU$1,$E$1:$AJ$1,$E87:$AJ87)</f>
        <v>0</v>
      </c>
      <c r="AV85" s="54">
        <f t="shared" si="39"/>
        <v>0</v>
      </c>
      <c r="AW85" s="54">
        <f t="shared" si="39"/>
        <v>0</v>
      </c>
      <c r="AX85" s="54">
        <f t="shared" si="39"/>
        <v>0</v>
      </c>
      <c r="AY85" s="54">
        <f t="shared" si="39"/>
        <v>0</v>
      </c>
      <c r="AZ85" s="54">
        <f t="shared" si="39"/>
        <v>0</v>
      </c>
      <c r="BA85" s="54">
        <f t="shared" si="39"/>
        <v>0</v>
      </c>
    </row>
    <row r="86" spans="1:53">
      <c r="A86" s="95" t="s">
        <v>4</v>
      </c>
      <c r="B86" s="4" t="s">
        <v>15</v>
      </c>
      <c r="C86" s="4" t="s">
        <v>53</v>
      </c>
      <c r="D86" s="91" t="s">
        <v>122</v>
      </c>
      <c r="E86" s="110">
        <f t="shared" si="32"/>
        <v>0</v>
      </c>
      <c r="F86" s="18">
        <f t="shared" si="30"/>
        <v>0</v>
      </c>
      <c r="G86" s="18">
        <f t="shared" si="30"/>
        <v>0</v>
      </c>
      <c r="H86" s="18">
        <f t="shared" si="30"/>
        <v>0</v>
      </c>
      <c r="I86" s="18">
        <f t="shared" si="30"/>
        <v>0</v>
      </c>
      <c r="J86" s="18">
        <f t="shared" si="30"/>
        <v>0</v>
      </c>
      <c r="K86" s="18">
        <f t="shared" si="30"/>
        <v>0</v>
      </c>
      <c r="L86" s="18">
        <f t="shared" si="30"/>
        <v>0</v>
      </c>
      <c r="M86" s="18">
        <f t="shared" si="30"/>
        <v>0</v>
      </c>
      <c r="N86" s="18">
        <f t="shared" si="30"/>
        <v>0</v>
      </c>
      <c r="O86" s="18">
        <f t="shared" si="30"/>
        <v>0</v>
      </c>
      <c r="P86" s="18">
        <f t="shared" si="30"/>
        <v>0</v>
      </c>
      <c r="Q86" s="18">
        <f t="shared" si="30"/>
        <v>0</v>
      </c>
      <c r="R86" s="18">
        <f t="shared" si="30"/>
        <v>0</v>
      </c>
      <c r="S86" s="18">
        <f t="shared" si="30"/>
        <v>0</v>
      </c>
      <c r="T86" s="18">
        <f t="shared" si="30"/>
        <v>0</v>
      </c>
      <c r="U86" s="18">
        <f t="shared" si="30"/>
        <v>0</v>
      </c>
      <c r="V86" s="18">
        <f t="shared" si="30"/>
        <v>0</v>
      </c>
      <c r="W86" s="18">
        <f t="shared" si="30"/>
        <v>0</v>
      </c>
      <c r="X86" s="18">
        <f t="shared" si="30"/>
        <v>0</v>
      </c>
      <c r="Y86" s="18">
        <f t="shared" si="30"/>
        <v>0</v>
      </c>
      <c r="Z86" s="18">
        <f t="shared" si="30"/>
        <v>0</v>
      </c>
      <c r="AA86" s="18">
        <f t="shared" si="30"/>
        <v>0</v>
      </c>
      <c r="AB86" s="18">
        <f t="shared" ref="AB86:AJ86" si="40">SUM(AB97,AB108)</f>
        <v>0</v>
      </c>
      <c r="AC86" s="18">
        <f t="shared" si="40"/>
        <v>0</v>
      </c>
      <c r="AD86" s="18">
        <f t="shared" si="40"/>
        <v>0</v>
      </c>
      <c r="AE86" s="18">
        <f t="shared" si="40"/>
        <v>0</v>
      </c>
      <c r="AF86" s="18">
        <f t="shared" si="40"/>
        <v>0</v>
      </c>
      <c r="AG86" s="18">
        <f t="shared" si="40"/>
        <v>0</v>
      </c>
      <c r="AH86" s="18">
        <f t="shared" si="40"/>
        <v>0</v>
      </c>
      <c r="AI86" s="18">
        <f t="shared" si="40"/>
        <v>0</v>
      </c>
      <c r="AJ86" s="111">
        <f t="shared" si="40"/>
        <v>0</v>
      </c>
    </row>
    <row r="87" spans="1:53">
      <c r="A87" s="95" t="s">
        <v>4</v>
      </c>
      <c r="B87" s="4" t="s">
        <v>16</v>
      </c>
      <c r="C87" s="4" t="s">
        <v>53</v>
      </c>
      <c r="D87" s="91" t="s">
        <v>122</v>
      </c>
      <c r="E87" s="110">
        <f t="shared" ref="E87:AJ87" si="41">SUM(E98,E109)</f>
        <v>0</v>
      </c>
      <c r="F87" s="18">
        <f t="shared" si="41"/>
        <v>0</v>
      </c>
      <c r="G87" s="18">
        <f t="shared" si="41"/>
        <v>0</v>
      </c>
      <c r="H87" s="18">
        <f t="shared" si="41"/>
        <v>0</v>
      </c>
      <c r="I87" s="18">
        <f t="shared" si="41"/>
        <v>0</v>
      </c>
      <c r="J87" s="18">
        <f t="shared" si="41"/>
        <v>0</v>
      </c>
      <c r="K87" s="18">
        <f t="shared" si="41"/>
        <v>0</v>
      </c>
      <c r="L87" s="18">
        <f t="shared" si="41"/>
        <v>0</v>
      </c>
      <c r="M87" s="18">
        <f t="shared" si="41"/>
        <v>0</v>
      </c>
      <c r="N87" s="18">
        <f t="shared" si="41"/>
        <v>0</v>
      </c>
      <c r="O87" s="18">
        <f t="shared" si="41"/>
        <v>0</v>
      </c>
      <c r="P87" s="18">
        <f t="shared" si="41"/>
        <v>0</v>
      </c>
      <c r="Q87" s="18">
        <f t="shared" si="41"/>
        <v>0</v>
      </c>
      <c r="R87" s="18">
        <f t="shared" si="41"/>
        <v>0</v>
      </c>
      <c r="S87" s="18">
        <f t="shared" si="41"/>
        <v>0</v>
      </c>
      <c r="T87" s="18">
        <f t="shared" si="41"/>
        <v>0</v>
      </c>
      <c r="U87" s="18">
        <f t="shared" si="41"/>
        <v>0</v>
      </c>
      <c r="V87" s="18">
        <f t="shared" si="41"/>
        <v>0</v>
      </c>
      <c r="W87" s="18">
        <f t="shared" si="41"/>
        <v>0</v>
      </c>
      <c r="X87" s="18">
        <f t="shared" si="41"/>
        <v>0</v>
      </c>
      <c r="Y87" s="18">
        <f t="shared" si="41"/>
        <v>0</v>
      </c>
      <c r="Z87" s="18">
        <f t="shared" si="41"/>
        <v>0</v>
      </c>
      <c r="AA87" s="18">
        <f t="shared" si="41"/>
        <v>0</v>
      </c>
      <c r="AB87" s="18">
        <f t="shared" si="41"/>
        <v>0</v>
      </c>
      <c r="AC87" s="18">
        <f t="shared" si="41"/>
        <v>0</v>
      </c>
      <c r="AD87" s="18">
        <f t="shared" si="41"/>
        <v>0</v>
      </c>
      <c r="AE87" s="18">
        <f t="shared" si="41"/>
        <v>0</v>
      </c>
      <c r="AF87" s="18">
        <f t="shared" si="41"/>
        <v>0</v>
      </c>
      <c r="AG87" s="18">
        <f t="shared" si="41"/>
        <v>0</v>
      </c>
      <c r="AH87" s="18">
        <f t="shared" si="41"/>
        <v>0</v>
      </c>
      <c r="AI87" s="18">
        <f t="shared" si="41"/>
        <v>0</v>
      </c>
      <c r="AJ87" s="111">
        <f t="shared" si="41"/>
        <v>0</v>
      </c>
    </row>
    <row r="88" spans="1:53" ht="17" thickBot="1">
      <c r="A88" s="96" t="s">
        <v>4</v>
      </c>
      <c r="B88" s="32" t="s">
        <v>17</v>
      </c>
      <c r="C88" s="32" t="s">
        <v>53</v>
      </c>
      <c r="D88" s="93" t="s">
        <v>122</v>
      </c>
      <c r="E88" s="112">
        <f t="shared" ref="E88:AJ88" si="42">SUM(E99,E110)</f>
        <v>0</v>
      </c>
      <c r="F88" s="113">
        <f t="shared" si="42"/>
        <v>0</v>
      </c>
      <c r="G88" s="113">
        <f t="shared" si="42"/>
        <v>0</v>
      </c>
      <c r="H88" s="113">
        <f t="shared" si="42"/>
        <v>0</v>
      </c>
      <c r="I88" s="113">
        <f t="shared" si="42"/>
        <v>0</v>
      </c>
      <c r="J88" s="113">
        <f t="shared" si="42"/>
        <v>0</v>
      </c>
      <c r="K88" s="113">
        <f t="shared" si="42"/>
        <v>0</v>
      </c>
      <c r="L88" s="113">
        <f t="shared" si="42"/>
        <v>0</v>
      </c>
      <c r="M88" s="113">
        <f t="shared" si="42"/>
        <v>0</v>
      </c>
      <c r="N88" s="113">
        <f t="shared" si="42"/>
        <v>0</v>
      </c>
      <c r="O88" s="113">
        <f t="shared" si="42"/>
        <v>0</v>
      </c>
      <c r="P88" s="113">
        <f t="shared" si="42"/>
        <v>0</v>
      </c>
      <c r="Q88" s="113">
        <f t="shared" si="42"/>
        <v>0</v>
      </c>
      <c r="R88" s="113">
        <f t="shared" si="42"/>
        <v>0</v>
      </c>
      <c r="S88" s="113">
        <f t="shared" si="42"/>
        <v>0</v>
      </c>
      <c r="T88" s="113">
        <f t="shared" si="42"/>
        <v>0</v>
      </c>
      <c r="U88" s="113">
        <f t="shared" si="42"/>
        <v>0</v>
      </c>
      <c r="V88" s="113">
        <f t="shared" si="42"/>
        <v>0</v>
      </c>
      <c r="W88" s="113">
        <f t="shared" si="42"/>
        <v>0</v>
      </c>
      <c r="X88" s="113">
        <f t="shared" si="42"/>
        <v>0</v>
      </c>
      <c r="Y88" s="113">
        <f t="shared" si="42"/>
        <v>0</v>
      </c>
      <c r="Z88" s="113">
        <f t="shared" si="42"/>
        <v>0</v>
      </c>
      <c r="AA88" s="113">
        <f t="shared" si="42"/>
        <v>0</v>
      </c>
      <c r="AB88" s="113">
        <f t="shared" si="42"/>
        <v>0</v>
      </c>
      <c r="AC88" s="113">
        <f t="shared" si="42"/>
        <v>0</v>
      </c>
      <c r="AD88" s="113">
        <f t="shared" si="42"/>
        <v>0</v>
      </c>
      <c r="AE88" s="113">
        <f t="shared" si="42"/>
        <v>0</v>
      </c>
      <c r="AF88" s="113">
        <f t="shared" si="42"/>
        <v>0</v>
      </c>
      <c r="AG88" s="113">
        <f t="shared" si="42"/>
        <v>0</v>
      </c>
      <c r="AH88" s="113">
        <f t="shared" si="42"/>
        <v>0</v>
      </c>
      <c r="AI88" s="113">
        <f t="shared" si="42"/>
        <v>0</v>
      </c>
      <c r="AJ88" s="114">
        <f t="shared" si="42"/>
        <v>0</v>
      </c>
      <c r="AS88" t="s">
        <v>134</v>
      </c>
      <c r="AT88" t="s">
        <v>53</v>
      </c>
      <c r="AU88" s="54">
        <f>SUM(AU78:AU85)</f>
        <v>5248.0507155361984</v>
      </c>
      <c r="AV88" s="54">
        <f t="shared" ref="AV88:BA88" si="43">SUM(AV78:AV85)</f>
        <v>6547.5942476976452</v>
      </c>
      <c r="AW88" s="54">
        <f t="shared" si="43"/>
        <v>8048.5819871308458</v>
      </c>
      <c r="AX88" s="54">
        <f t="shared" si="43"/>
        <v>9711.1414619943025</v>
      </c>
      <c r="AY88" s="54">
        <f t="shared" si="43"/>
        <v>11537.835673445303</v>
      </c>
      <c r="AZ88" s="54">
        <f t="shared" si="43"/>
        <v>13523.696541767376</v>
      </c>
      <c r="BA88" s="54">
        <f t="shared" si="43"/>
        <v>15646.819994521793</v>
      </c>
    </row>
    <row r="89" spans="1:53">
      <c r="A89" s="94" t="s">
        <v>18</v>
      </c>
      <c r="B89" s="88" t="s">
        <v>36</v>
      </c>
      <c r="C89" s="88" t="s">
        <v>53</v>
      </c>
      <c r="D89" s="89" t="s">
        <v>122</v>
      </c>
      <c r="E89" s="139">
        <f>BAU_Fuel_cons!N13*_xlfn.XLOOKUP($B89,efs!$A$74:$A$84,efs!$C$74:$C$84,0,0)</f>
        <v>2070.3128220074996</v>
      </c>
      <c r="F89" s="108">
        <f>BAU_Fuel_cons!O13*_xlfn.XLOOKUP($B89,efs!$A$74:$A$84,efs!$C$74:$C$84,0,0)</f>
        <v>2094.7409926177534</v>
      </c>
      <c r="G89" s="108">
        <f>BAU_Fuel_cons!P13*_xlfn.XLOOKUP($B89,efs!$A$74:$A$84,efs!$C$74:$C$84,0,0)</f>
        <v>2118.073533759884</v>
      </c>
      <c r="H89" s="108">
        <f>BAU_Fuel_cons!Q13*_xlfn.XLOOKUP($B89,efs!$A$74:$A$84,efs!$C$74:$C$84,0,0)</f>
        <v>2140.2656179383093</v>
      </c>
      <c r="I89" s="108">
        <f>BAU_Fuel_cons!R13*_xlfn.XLOOKUP($B89,efs!$A$74:$A$84,efs!$C$74:$C$84,0,0)</f>
        <v>2161.3214604040863</v>
      </c>
      <c r="J89" s="108">
        <f>BAU_Fuel_cons!S13*_xlfn.XLOOKUP($B89,efs!$A$74:$A$84,efs!$C$74:$C$84,0,0)</f>
        <v>2181.2714623204133</v>
      </c>
      <c r="K89" s="108">
        <f>BAU_Fuel_cons!T13*_xlfn.XLOOKUP($B89,efs!$A$74:$A$84,efs!$C$74:$C$84,0,0)</f>
        <v>2174.1650492062668</v>
      </c>
      <c r="L89" s="108">
        <f>BAU_Fuel_cons!U13*_xlfn.XLOOKUP($B89,efs!$A$74:$A$84,efs!$C$74:$C$84,0,0)</f>
        <v>2164.6860648617726</v>
      </c>
      <c r="M89" s="108">
        <f>BAU_Fuel_cons!V13*_xlfn.XLOOKUP($B89,efs!$A$74:$A$84,efs!$C$74:$C$84,0,0)</f>
        <v>2152.6963715787451</v>
      </c>
      <c r="N89" s="108">
        <f>BAU_Fuel_cons!W13*_xlfn.XLOOKUP($B89,efs!$A$74:$A$84,efs!$C$74:$C$84,0,0)</f>
        <v>2138.0264090811056</v>
      </c>
      <c r="O89" s="108">
        <f>BAU_Fuel_cons!X13*_xlfn.XLOOKUP($B89,efs!$A$74:$A$84,efs!$C$74:$C$84,0,0)</f>
        <v>2120.4957433415043</v>
      </c>
      <c r="P89" s="108">
        <f>BAU_Fuel_cons!Y13*_xlfn.XLOOKUP($B89,efs!$A$74:$A$84,efs!$C$74:$C$84,0,0)</f>
        <v>2099.9671450544574</v>
      </c>
      <c r="Q89" s="108">
        <f>BAU_Fuel_cons!Z13*_xlfn.XLOOKUP($B89,efs!$A$74:$A$84,efs!$C$74:$C$84,0,0)</f>
        <v>2076.3745561624132</v>
      </c>
      <c r="R89" s="108">
        <f>BAU_Fuel_cons!AA13*_xlfn.XLOOKUP($B89,efs!$A$74:$A$84,efs!$C$74:$C$84,0,0)</f>
        <v>2049.6994608636601</v>
      </c>
      <c r="S89" s="108">
        <f>BAU_Fuel_cons!AB13*_xlfn.XLOOKUP($B89,efs!$A$74:$A$84,efs!$C$74:$C$84,0,0)</f>
        <v>2019.930694412134</v>
      </c>
      <c r="T89" s="108">
        <f>BAU_Fuel_cons!AC13*_xlfn.XLOOKUP($B89,efs!$A$74:$A$84,efs!$C$74:$C$84,0,0)</f>
        <v>1987.0919511991842</v>
      </c>
      <c r="U89" s="108">
        <f>BAU_Fuel_cons!AD13*_xlfn.XLOOKUP($B89,efs!$A$74:$A$84,efs!$C$74:$C$84,0,0)</f>
        <v>1951.4415302539251</v>
      </c>
      <c r="V89" s="108">
        <f>BAU_Fuel_cons!AE13*_xlfn.XLOOKUP($B89,efs!$A$74:$A$84,efs!$C$74:$C$84,0,0)</f>
        <v>1912.9988833166367</v>
      </c>
      <c r="W89" s="108">
        <f>BAU_Fuel_cons!AF13*_xlfn.XLOOKUP($B89,efs!$A$74:$A$84,efs!$C$74:$C$84,0,0)</f>
        <v>1871.7522351555697</v>
      </c>
      <c r="X89" s="108">
        <f>BAU_Fuel_cons!AG13*_xlfn.XLOOKUP($B89,efs!$A$74:$A$84,efs!$C$74:$C$84,0,0)</f>
        <v>1827.7074782109551</v>
      </c>
      <c r="Y89" s="108">
        <f>BAU_Fuel_cons!AH13*_xlfn.XLOOKUP($B89,efs!$A$74:$A$84,efs!$C$74:$C$84,0,0)</f>
        <v>1780.8752795081496</v>
      </c>
      <c r="Z89" s="108">
        <f>BAU_Fuel_cons!AI13*_xlfn.XLOOKUP($B89,efs!$A$74:$A$84,efs!$C$74:$C$84,0,0)</f>
        <v>1731.2744390295588</v>
      </c>
      <c r="AA89" s="108">
        <f>BAU_Fuel_cons!AJ13*_xlfn.XLOOKUP($B89,efs!$A$74:$A$84,efs!$C$74:$C$84,0,0)</f>
        <v>1678.9268834591708</v>
      </c>
      <c r="AB89" s="108">
        <f>BAU_Fuel_cons!AK13*_xlfn.XLOOKUP($B89,efs!$A$74:$A$84,efs!$C$74:$C$84,0,0)</f>
        <v>1623.8592256163242</v>
      </c>
      <c r="AC89" s="108">
        <f>BAU_Fuel_cons!AL13*_xlfn.XLOOKUP($B89,efs!$A$74:$A$84,efs!$C$74:$C$84,0,0)</f>
        <v>1566.1002698550653</v>
      </c>
      <c r="AD89" s="108">
        <f>BAU_Fuel_cons!AM13*_xlfn.XLOOKUP($B89,efs!$A$74:$A$84,efs!$C$74:$C$84,0,0)</f>
        <v>1505.6840668993859</v>
      </c>
      <c r="AE89" s="108">
        <f>BAU_Fuel_cons!AN13*_xlfn.XLOOKUP($B89,efs!$A$74:$A$84,efs!$C$74:$C$84,0,0)</f>
        <v>1442.657132939893</v>
      </c>
      <c r="AF89" s="108">
        <f>BAU_Fuel_cons!AO13*_xlfn.XLOOKUP($B89,efs!$A$74:$A$84,efs!$C$74:$C$84,0,0)</f>
        <v>1377.0741658085233</v>
      </c>
      <c r="AG89" s="108">
        <f>BAU_Fuel_cons!AP13*_xlfn.XLOOKUP($B89,efs!$A$74:$A$84,efs!$C$74:$C$84,0,0)</f>
        <v>1309.001762290678</v>
      </c>
      <c r="AH89" s="108">
        <f>BAU_Fuel_cons!AQ13*_xlfn.XLOOKUP($B89,efs!$A$74:$A$84,efs!$C$74:$C$84,0,0)</f>
        <v>1238.5155544641214</v>
      </c>
      <c r="AI89" s="108">
        <f>BAU_Fuel_cons!AR13*_xlfn.XLOOKUP($B89,efs!$A$74:$A$84,efs!$C$74:$C$84,0,0)</f>
        <v>1165.6978664429687</v>
      </c>
      <c r="AJ89" s="109">
        <f>BAU_Fuel_cons!AS13*_xlfn.XLOOKUP($B89,efs!$A$74:$A$84,efs!$C$74:$C$84,0,0)</f>
        <v>1090.6328303263072</v>
      </c>
      <c r="AT89" t="s">
        <v>68</v>
      </c>
      <c r="AU89" s="54">
        <f>SUM(NICCS_emissions!AU78:AU85)</f>
        <v>5248.0507155361984</v>
      </c>
      <c r="AV89" s="54">
        <f>SUM(NICCS_emissions!AV78:AV85)</f>
        <v>6547.5942476976461</v>
      </c>
      <c r="AW89" s="54">
        <f>SUM(NICCS_emissions!AW78:AW85)</f>
        <v>5858.0258883839197</v>
      </c>
      <c r="AX89" s="54">
        <f>SUM(NICCS_emissions!AX78:AX85)</f>
        <v>4641.8518068051289</v>
      </c>
      <c r="AY89" s="54">
        <f>SUM(NICCS_emissions!AY78:AY85)</f>
        <v>2834.893517851106</v>
      </c>
      <c r="AZ89" s="54">
        <f>SUM(NICCS_emissions!AZ78:AZ85)</f>
        <v>3103.4151711804998</v>
      </c>
      <c r="BA89" s="54">
        <f>SUM(NICCS_emissions!BA78:BA85)</f>
        <v>3362.1731813205843</v>
      </c>
    </row>
    <row r="90" spans="1:53">
      <c r="A90" s="95" t="s">
        <v>18</v>
      </c>
      <c r="B90" s="4" t="s">
        <v>8</v>
      </c>
      <c r="C90" s="4" t="s">
        <v>53</v>
      </c>
      <c r="D90" s="91" t="s">
        <v>122</v>
      </c>
      <c r="E90" s="110">
        <f>BAU_Fuel_cons!N14*_xlfn.XLOOKUP($B90,efs!$A$74:$A$84,efs!$C$74:$C$84,0,0)</f>
        <v>559.18593062337141</v>
      </c>
      <c r="F90" s="18">
        <f>BAU_Fuel_cons!O14*_xlfn.XLOOKUP($B90,efs!$A$74:$A$84,efs!$C$74:$C$84,0,0)</f>
        <v>632.94237233151944</v>
      </c>
      <c r="G90" s="18">
        <f>BAU_Fuel_cons!P14*_xlfn.XLOOKUP($B90,efs!$A$74:$A$84,efs!$C$74:$C$84,0,0)</f>
        <v>709.76508977609444</v>
      </c>
      <c r="H90" s="18">
        <f>BAU_Fuel_cons!Q14*_xlfn.XLOOKUP($B90,efs!$A$74:$A$84,efs!$C$74:$C$84,0,0)</f>
        <v>789.66975060052778</v>
      </c>
      <c r="I90" s="18">
        <f>BAU_Fuel_cons!R14*_xlfn.XLOOKUP($B90,efs!$A$74:$A$84,efs!$C$74:$C$84,0,0)</f>
        <v>872.68740194095062</v>
      </c>
      <c r="J90" s="18">
        <f>BAU_Fuel_cons!S14*_xlfn.XLOOKUP($B90,efs!$A$74:$A$84,efs!$C$74:$C$84,0,0)</f>
        <v>958.86288800248667</v>
      </c>
      <c r="K90" s="18">
        <f>BAU_Fuel_cons!T14*_xlfn.XLOOKUP($B90,efs!$A$74:$A$84,efs!$C$74:$C$84,0,0)</f>
        <v>1096.3959540835913</v>
      </c>
      <c r="L90" s="18">
        <f>BAU_Fuel_cons!U14*_xlfn.XLOOKUP($B90,efs!$A$74:$A$84,efs!$C$74:$C$84,0,0)</f>
        <v>1239.3258678586094</v>
      </c>
      <c r="M90" s="18">
        <f>BAU_Fuel_cons!V14*_xlfn.XLOOKUP($B90,efs!$A$74:$A$84,efs!$C$74:$C$84,0,0)</f>
        <v>1387.6208641477326</v>
      </c>
      <c r="N90" s="18">
        <f>BAU_Fuel_cons!W14*_xlfn.XLOOKUP($B90,efs!$A$74:$A$84,efs!$C$74:$C$84,0,0)</f>
        <v>1541.1910286037869</v>
      </c>
      <c r="O90" s="18">
        <f>BAU_Fuel_cons!X14*_xlfn.XLOOKUP($B90,efs!$A$74:$A$84,efs!$C$74:$C$84,0,0)</f>
        <v>1699.8867833923591</v>
      </c>
      <c r="P90" s="18">
        <f>BAU_Fuel_cons!Y14*_xlfn.XLOOKUP($B90,efs!$A$74:$A$84,efs!$C$74:$C$84,0,0)</f>
        <v>1863.5343845711916</v>
      </c>
      <c r="Q90" s="18">
        <f>BAU_Fuel_cons!Z14*_xlfn.XLOOKUP($B90,efs!$A$74:$A$84,efs!$C$74:$C$84,0,0)</f>
        <v>2031.9730822766444</v>
      </c>
      <c r="R90" s="18">
        <f>BAU_Fuel_cons!AA14*_xlfn.XLOOKUP($B90,efs!$A$74:$A$84,efs!$C$74:$C$84,0,0)</f>
        <v>2205.0550052358758</v>
      </c>
      <c r="S90" s="18">
        <f>BAU_Fuel_cons!AB14*_xlfn.XLOOKUP($B90,efs!$A$74:$A$84,efs!$C$74:$C$84,0,0)</f>
        <v>2382.6159395206155</v>
      </c>
      <c r="T90" s="18">
        <f>BAU_Fuel_cons!AC14*_xlfn.XLOOKUP($B90,efs!$A$74:$A$84,efs!$C$74:$C$84,0,0)</f>
        <v>2564.5105280720527</v>
      </c>
      <c r="U90" s="18">
        <f>BAU_Fuel_cons!AD14*_xlfn.XLOOKUP($B90,efs!$A$74:$A$84,efs!$C$74:$C$84,0,0)</f>
        <v>2750.9098608655463</v>
      </c>
      <c r="V90" s="18">
        <f>BAU_Fuel_cons!AE14*_xlfn.XLOOKUP($B90,efs!$A$74:$A$84,efs!$C$74:$C$84,0,0)</f>
        <v>2941.7209657391181</v>
      </c>
      <c r="W90" s="18">
        <f>BAU_Fuel_cons!AF14*_xlfn.XLOOKUP($B90,efs!$A$74:$A$84,efs!$C$74:$C$84,0,0)</f>
        <v>3136.7900344721638</v>
      </c>
      <c r="X90" s="18">
        <f>BAU_Fuel_cons!AG14*_xlfn.XLOOKUP($B90,efs!$A$74:$A$84,efs!$C$74:$C$84,0,0)</f>
        <v>3335.9666126137031</v>
      </c>
      <c r="Y90" s="18">
        <f>BAU_Fuel_cons!AH14*_xlfn.XLOOKUP($B90,efs!$A$74:$A$84,efs!$C$74:$C$84,0,0)</f>
        <v>3539.0861545670432</v>
      </c>
      <c r="Z90" s="18">
        <f>BAU_Fuel_cons!AI14*_xlfn.XLOOKUP($B90,efs!$A$74:$A$84,efs!$C$74:$C$84,0,0)</f>
        <v>3745.9762704273253</v>
      </c>
      <c r="AA90" s="18">
        <f>BAU_Fuel_cons!AJ14*_xlfn.XLOOKUP($B90,efs!$A$74:$A$84,efs!$C$74:$C$84,0,0)</f>
        <v>3956.446862616132</v>
      </c>
      <c r="AB90" s="18">
        <f>BAU_Fuel_cons!AK14*_xlfn.XLOOKUP($B90,efs!$A$74:$A$84,efs!$C$74:$C$84,0,0)</f>
        <v>4170.2913331685686</v>
      </c>
      <c r="AC90" s="18">
        <f>BAU_Fuel_cons!AL14*_xlfn.XLOOKUP($B90,efs!$A$74:$A$84,efs!$C$74:$C$84,0,0)</f>
        <v>4387.2777573779977</v>
      </c>
      <c r="AD90" s="18">
        <f>BAU_Fuel_cons!AM14*_xlfn.XLOOKUP($B90,efs!$A$74:$A$84,efs!$C$74:$C$84,0,0)</f>
        <v>4607.1525746652769</v>
      </c>
      <c r="AE90" s="18">
        <f>BAU_Fuel_cons!AN14*_xlfn.XLOOKUP($B90,efs!$A$74:$A$84,efs!$C$74:$C$84,0,0)</f>
        <v>4829.6615620700877</v>
      </c>
      <c r="AF90" s="18">
        <f>BAU_Fuel_cons!AO14*_xlfn.XLOOKUP($B90,efs!$A$74:$A$84,efs!$C$74:$C$84,0,0)</f>
        <v>5054.5414065518471</v>
      </c>
      <c r="AG90" s="18">
        <f>BAU_Fuel_cons!AP14*_xlfn.XLOOKUP($B90,efs!$A$74:$A$84,efs!$C$74:$C$84,0,0)</f>
        <v>5281.5370147566246</v>
      </c>
      <c r="AH90" s="18">
        <f>BAU_Fuel_cons!AQ14*_xlfn.XLOOKUP($B90,efs!$A$74:$A$84,efs!$C$74:$C$84,0,0)</f>
        <v>5510.3997398600613</v>
      </c>
      <c r="AI90" s="18">
        <f>BAU_Fuel_cons!AR14*_xlfn.XLOOKUP($B90,efs!$A$74:$A$84,efs!$C$74:$C$84,0,0)</f>
        <v>5740.8848607058944</v>
      </c>
      <c r="AJ90" s="111">
        <f>BAU_Fuel_cons!AS14*_xlfn.XLOOKUP($B90,efs!$A$74:$A$84,efs!$C$74:$C$84,0,0)</f>
        <v>5972.7317093144047</v>
      </c>
    </row>
    <row r="91" spans="1:53">
      <c r="A91" s="95" t="s">
        <v>18</v>
      </c>
      <c r="B91" s="4" t="s">
        <v>37</v>
      </c>
      <c r="C91" s="4" t="s">
        <v>53</v>
      </c>
      <c r="D91" s="91" t="s">
        <v>122</v>
      </c>
      <c r="E91" s="110">
        <f>BAU_Fuel_cons!N15*_xlfn.XLOOKUP($B91,efs!$A$74:$A$84,efs!$C$74:$C$84,0,0)</f>
        <v>0</v>
      </c>
      <c r="F91" s="18">
        <f>BAU_Fuel_cons!O15*_xlfn.XLOOKUP($B91,efs!$A$74:$A$84,efs!$C$74:$C$84,0,0)</f>
        <v>0</v>
      </c>
      <c r="G91" s="18">
        <f>BAU_Fuel_cons!P15*_xlfn.XLOOKUP($B91,efs!$A$74:$A$84,efs!$C$74:$C$84,0,0)</f>
        <v>0</v>
      </c>
      <c r="H91" s="18">
        <f>BAU_Fuel_cons!Q15*_xlfn.XLOOKUP($B91,efs!$A$74:$A$84,efs!$C$74:$C$84,0,0)</f>
        <v>0</v>
      </c>
      <c r="I91" s="18">
        <f>BAU_Fuel_cons!R15*_xlfn.XLOOKUP($B91,efs!$A$74:$A$84,efs!$C$74:$C$84,0,0)</f>
        <v>0</v>
      </c>
      <c r="J91" s="18">
        <f>BAU_Fuel_cons!S15*_xlfn.XLOOKUP($B91,efs!$A$74:$A$84,efs!$C$74:$C$84,0,0)</f>
        <v>0</v>
      </c>
      <c r="K91" s="18">
        <f>BAU_Fuel_cons!T15*_xlfn.XLOOKUP($B91,efs!$A$74:$A$84,efs!$C$74:$C$84,0,0)</f>
        <v>0</v>
      </c>
      <c r="L91" s="18">
        <f>BAU_Fuel_cons!U15*_xlfn.XLOOKUP($B91,efs!$A$74:$A$84,efs!$C$74:$C$84,0,0)</f>
        <v>0</v>
      </c>
      <c r="M91" s="18">
        <f>BAU_Fuel_cons!V15*_xlfn.XLOOKUP($B91,efs!$A$74:$A$84,efs!$C$74:$C$84,0,0)</f>
        <v>0</v>
      </c>
      <c r="N91" s="18">
        <f>BAU_Fuel_cons!W15*_xlfn.XLOOKUP($B91,efs!$A$74:$A$84,efs!$C$74:$C$84,0,0)</f>
        <v>0</v>
      </c>
      <c r="O91" s="18">
        <f>BAU_Fuel_cons!X15*_xlfn.XLOOKUP($B91,efs!$A$74:$A$84,efs!$C$74:$C$84,0,0)</f>
        <v>0</v>
      </c>
      <c r="P91" s="18">
        <f>BAU_Fuel_cons!Y15*_xlfn.XLOOKUP($B91,efs!$A$74:$A$84,efs!$C$74:$C$84,0,0)</f>
        <v>0</v>
      </c>
      <c r="Q91" s="18">
        <f>BAU_Fuel_cons!Z15*_xlfn.XLOOKUP($B91,efs!$A$74:$A$84,efs!$C$74:$C$84,0,0)</f>
        <v>0</v>
      </c>
      <c r="R91" s="18">
        <f>BAU_Fuel_cons!AA15*_xlfn.XLOOKUP($B91,efs!$A$74:$A$84,efs!$C$74:$C$84,0,0)</f>
        <v>0</v>
      </c>
      <c r="S91" s="18">
        <f>BAU_Fuel_cons!AB15*_xlfn.XLOOKUP($B91,efs!$A$74:$A$84,efs!$C$74:$C$84,0,0)</f>
        <v>0</v>
      </c>
      <c r="T91" s="18">
        <f>BAU_Fuel_cons!AC15*_xlfn.XLOOKUP($B91,efs!$A$74:$A$84,efs!$C$74:$C$84,0,0)</f>
        <v>0</v>
      </c>
      <c r="U91" s="18">
        <f>BAU_Fuel_cons!AD15*_xlfn.XLOOKUP($B91,efs!$A$74:$A$84,efs!$C$74:$C$84,0,0)</f>
        <v>0</v>
      </c>
      <c r="V91" s="18">
        <f>BAU_Fuel_cons!AE15*_xlfn.XLOOKUP($B91,efs!$A$74:$A$84,efs!$C$74:$C$84,0,0)</f>
        <v>0</v>
      </c>
      <c r="W91" s="18">
        <f>BAU_Fuel_cons!AF15*_xlfn.XLOOKUP($B91,efs!$A$74:$A$84,efs!$C$74:$C$84,0,0)</f>
        <v>0</v>
      </c>
      <c r="X91" s="18">
        <f>BAU_Fuel_cons!AG15*_xlfn.XLOOKUP($B91,efs!$A$74:$A$84,efs!$C$74:$C$84,0,0)</f>
        <v>0</v>
      </c>
      <c r="Y91" s="18">
        <f>BAU_Fuel_cons!AH15*_xlfn.XLOOKUP($B91,efs!$A$74:$A$84,efs!$C$74:$C$84,0,0)</f>
        <v>0</v>
      </c>
      <c r="Z91" s="18">
        <f>BAU_Fuel_cons!AI15*_xlfn.XLOOKUP($B91,efs!$A$74:$A$84,efs!$C$74:$C$84,0,0)</f>
        <v>0</v>
      </c>
      <c r="AA91" s="18">
        <f>BAU_Fuel_cons!AJ15*_xlfn.XLOOKUP($B91,efs!$A$74:$A$84,efs!$C$74:$C$84,0,0)</f>
        <v>0</v>
      </c>
      <c r="AB91" s="18">
        <f>BAU_Fuel_cons!AK15*_xlfn.XLOOKUP($B91,efs!$A$74:$A$84,efs!$C$74:$C$84,0,0)</f>
        <v>0</v>
      </c>
      <c r="AC91" s="18">
        <f>BAU_Fuel_cons!AL15*_xlfn.XLOOKUP($B91,efs!$A$74:$A$84,efs!$C$74:$C$84,0,0)</f>
        <v>0</v>
      </c>
      <c r="AD91" s="18">
        <f>BAU_Fuel_cons!AM15*_xlfn.XLOOKUP($B91,efs!$A$74:$A$84,efs!$C$74:$C$84,0,0)</f>
        <v>0</v>
      </c>
      <c r="AE91" s="18">
        <f>BAU_Fuel_cons!AN15*_xlfn.XLOOKUP($B91,efs!$A$74:$A$84,efs!$C$74:$C$84,0,0)</f>
        <v>0</v>
      </c>
      <c r="AF91" s="18">
        <f>BAU_Fuel_cons!AO15*_xlfn.XLOOKUP($B91,efs!$A$74:$A$84,efs!$C$74:$C$84,0,0)</f>
        <v>0</v>
      </c>
      <c r="AG91" s="18">
        <f>BAU_Fuel_cons!AP15*_xlfn.XLOOKUP($B91,efs!$A$74:$A$84,efs!$C$74:$C$84,0,0)</f>
        <v>0</v>
      </c>
      <c r="AH91" s="18">
        <f>BAU_Fuel_cons!AQ15*_xlfn.XLOOKUP($B91,efs!$A$74:$A$84,efs!$C$74:$C$84,0,0)</f>
        <v>0</v>
      </c>
      <c r="AI91" s="18">
        <f>BAU_Fuel_cons!AR15*_xlfn.XLOOKUP($B91,efs!$A$74:$A$84,efs!$C$74:$C$84,0,0)</f>
        <v>0</v>
      </c>
      <c r="AJ91" s="111">
        <f>BAU_Fuel_cons!AS15*_xlfn.XLOOKUP($B91,efs!$A$74:$A$84,efs!$C$74:$C$84,0,0)</f>
        <v>0</v>
      </c>
      <c r="AU91" s="21">
        <f>(AU89-AU88)/AU88</f>
        <v>0</v>
      </c>
      <c r="AV91" s="21">
        <f t="shared" ref="AV91:BA91" si="44">(AV89-AV88)/AV88</f>
        <v>1.3890517148229477E-16</v>
      </c>
      <c r="AW91" s="21">
        <f t="shared" si="44"/>
        <v>-0.27216671237858814</v>
      </c>
      <c r="AX91" s="21">
        <f t="shared" si="44"/>
        <v>-0.52200760075717534</v>
      </c>
      <c r="AY91" s="21">
        <f t="shared" si="44"/>
        <v>-0.75429590106091526</v>
      </c>
      <c r="AZ91" s="21">
        <f t="shared" si="44"/>
        <v>-0.7705202004795263</v>
      </c>
      <c r="BA91" s="21">
        <f t="shared" si="44"/>
        <v>-0.78512099055924867</v>
      </c>
    </row>
    <row r="92" spans="1:53">
      <c r="A92" s="95" t="s">
        <v>18</v>
      </c>
      <c r="B92" s="4" t="s">
        <v>10</v>
      </c>
      <c r="C92" s="4" t="s">
        <v>53</v>
      </c>
      <c r="D92" s="91" t="s">
        <v>122</v>
      </c>
      <c r="E92" s="110">
        <f>BAU_Fuel_cons!N16*_xlfn.XLOOKUP($B92,efs!$A$74:$A$84,efs!$C$74:$C$84,0,0)</f>
        <v>0</v>
      </c>
      <c r="F92" s="18">
        <f>BAU_Fuel_cons!O16*_xlfn.XLOOKUP($B92,efs!$A$74:$A$84,efs!$C$74:$C$84,0,0)</f>
        <v>0</v>
      </c>
      <c r="G92" s="18">
        <f>BAU_Fuel_cons!P16*_xlfn.XLOOKUP($B92,efs!$A$74:$A$84,efs!$C$74:$C$84,0,0)</f>
        <v>0</v>
      </c>
      <c r="H92" s="18">
        <f>BAU_Fuel_cons!Q16*_xlfn.XLOOKUP($B92,efs!$A$74:$A$84,efs!$C$74:$C$84,0,0)</f>
        <v>0</v>
      </c>
      <c r="I92" s="18">
        <f>BAU_Fuel_cons!R16*_xlfn.XLOOKUP($B92,efs!$A$74:$A$84,efs!$C$74:$C$84,0,0)</f>
        <v>0</v>
      </c>
      <c r="J92" s="18">
        <f>BAU_Fuel_cons!S16*_xlfn.XLOOKUP($B92,efs!$A$74:$A$84,efs!$C$74:$C$84,0,0)</f>
        <v>0</v>
      </c>
      <c r="K92" s="18">
        <f>BAU_Fuel_cons!T16*_xlfn.XLOOKUP($B92,efs!$A$74:$A$84,efs!$C$74:$C$84,0,0)</f>
        <v>0</v>
      </c>
      <c r="L92" s="18">
        <f>BAU_Fuel_cons!U16*_xlfn.XLOOKUP($B92,efs!$A$74:$A$84,efs!$C$74:$C$84,0,0)</f>
        <v>0</v>
      </c>
      <c r="M92" s="18">
        <f>BAU_Fuel_cons!V16*_xlfn.XLOOKUP($B92,efs!$A$74:$A$84,efs!$C$74:$C$84,0,0)</f>
        <v>0</v>
      </c>
      <c r="N92" s="18">
        <f>BAU_Fuel_cons!W16*_xlfn.XLOOKUP($B92,efs!$A$74:$A$84,efs!$C$74:$C$84,0,0)</f>
        <v>0</v>
      </c>
      <c r="O92" s="18">
        <f>BAU_Fuel_cons!X16*_xlfn.XLOOKUP($B92,efs!$A$74:$A$84,efs!$C$74:$C$84,0,0)</f>
        <v>0</v>
      </c>
      <c r="P92" s="18">
        <f>BAU_Fuel_cons!Y16*_xlfn.XLOOKUP($B92,efs!$A$74:$A$84,efs!$C$74:$C$84,0,0)</f>
        <v>0</v>
      </c>
      <c r="Q92" s="18">
        <f>BAU_Fuel_cons!Z16*_xlfn.XLOOKUP($B92,efs!$A$74:$A$84,efs!$C$74:$C$84,0,0)</f>
        <v>0</v>
      </c>
      <c r="R92" s="18">
        <f>BAU_Fuel_cons!AA16*_xlfn.XLOOKUP($B92,efs!$A$74:$A$84,efs!$C$74:$C$84,0,0)</f>
        <v>0</v>
      </c>
      <c r="S92" s="18">
        <f>BAU_Fuel_cons!AB16*_xlfn.XLOOKUP($B92,efs!$A$74:$A$84,efs!$C$74:$C$84,0,0)</f>
        <v>0</v>
      </c>
      <c r="T92" s="18">
        <f>BAU_Fuel_cons!AC16*_xlfn.XLOOKUP($B92,efs!$A$74:$A$84,efs!$C$74:$C$84,0,0)</f>
        <v>0</v>
      </c>
      <c r="U92" s="18">
        <f>BAU_Fuel_cons!AD16*_xlfn.XLOOKUP($B92,efs!$A$74:$A$84,efs!$C$74:$C$84,0,0)</f>
        <v>0</v>
      </c>
      <c r="V92" s="18">
        <f>BAU_Fuel_cons!AE16*_xlfn.XLOOKUP($B92,efs!$A$74:$A$84,efs!$C$74:$C$84,0,0)</f>
        <v>0</v>
      </c>
      <c r="W92" s="18">
        <f>BAU_Fuel_cons!AF16*_xlfn.XLOOKUP($B92,efs!$A$74:$A$84,efs!$C$74:$C$84,0,0)</f>
        <v>0</v>
      </c>
      <c r="X92" s="18">
        <f>BAU_Fuel_cons!AG16*_xlfn.XLOOKUP($B92,efs!$A$74:$A$84,efs!$C$74:$C$84,0,0)</f>
        <v>0</v>
      </c>
      <c r="Y92" s="18">
        <f>BAU_Fuel_cons!AH16*_xlfn.XLOOKUP($B92,efs!$A$74:$A$84,efs!$C$74:$C$84,0,0)</f>
        <v>0</v>
      </c>
      <c r="Z92" s="18">
        <f>BAU_Fuel_cons!AI16*_xlfn.XLOOKUP($B92,efs!$A$74:$A$84,efs!$C$74:$C$84,0,0)</f>
        <v>0</v>
      </c>
      <c r="AA92" s="18">
        <f>BAU_Fuel_cons!AJ16*_xlfn.XLOOKUP($B92,efs!$A$74:$A$84,efs!$C$74:$C$84,0,0)</f>
        <v>0</v>
      </c>
      <c r="AB92" s="18">
        <f>BAU_Fuel_cons!AK16*_xlfn.XLOOKUP($B92,efs!$A$74:$A$84,efs!$C$74:$C$84,0,0)</f>
        <v>0</v>
      </c>
      <c r="AC92" s="18">
        <f>BAU_Fuel_cons!AL16*_xlfn.XLOOKUP($B92,efs!$A$74:$A$84,efs!$C$74:$C$84,0,0)</f>
        <v>0</v>
      </c>
      <c r="AD92" s="18">
        <f>BAU_Fuel_cons!AM16*_xlfn.XLOOKUP($B92,efs!$A$74:$A$84,efs!$C$74:$C$84,0,0)</f>
        <v>0</v>
      </c>
      <c r="AE92" s="18">
        <f>BAU_Fuel_cons!AN16*_xlfn.XLOOKUP($B92,efs!$A$74:$A$84,efs!$C$74:$C$84,0,0)</f>
        <v>0</v>
      </c>
      <c r="AF92" s="18">
        <f>BAU_Fuel_cons!AO16*_xlfn.XLOOKUP($B92,efs!$A$74:$A$84,efs!$C$74:$C$84,0,0)</f>
        <v>0</v>
      </c>
      <c r="AG92" s="18">
        <f>BAU_Fuel_cons!AP16*_xlfn.XLOOKUP($B92,efs!$A$74:$A$84,efs!$C$74:$C$84,0,0)</f>
        <v>0</v>
      </c>
      <c r="AH92" s="18">
        <f>BAU_Fuel_cons!AQ16*_xlfn.XLOOKUP($B92,efs!$A$74:$A$84,efs!$C$74:$C$84,0,0)</f>
        <v>0</v>
      </c>
      <c r="AI92" s="18">
        <f>BAU_Fuel_cons!AR16*_xlfn.XLOOKUP($B92,efs!$A$74:$A$84,efs!$C$74:$C$84,0,0)</f>
        <v>0</v>
      </c>
      <c r="AJ92" s="111">
        <f>BAU_Fuel_cons!AS16*_xlfn.XLOOKUP($B92,efs!$A$74:$A$84,efs!$C$74:$C$84,0,0)</f>
        <v>0</v>
      </c>
    </row>
    <row r="93" spans="1:53">
      <c r="A93" s="95" t="s">
        <v>18</v>
      </c>
      <c r="B93" s="4" t="s">
        <v>11</v>
      </c>
      <c r="C93" s="4" t="s">
        <v>53</v>
      </c>
      <c r="D93" s="91" t="s">
        <v>122</v>
      </c>
      <c r="E93" s="110">
        <f>BAU_Fuel_cons!N17*_xlfn.XLOOKUP($B93,efs!$A$74:$A$84,efs!$C$74:$C$84,0,0)</f>
        <v>1.5142891140094358E-2</v>
      </c>
      <c r="F93" s="18">
        <f>BAU_Fuel_cons!O17*_xlfn.XLOOKUP($B93,efs!$A$74:$A$84,efs!$C$74:$C$84,0,0)</f>
        <v>1.4967990840854479E-2</v>
      </c>
      <c r="G93" s="18">
        <f>BAU_Fuel_cons!P17*_xlfn.XLOOKUP($B93,efs!$A$74:$A$84,efs!$C$74:$C$84,0,0)</f>
        <v>1.4767375483215569E-2</v>
      </c>
      <c r="H93" s="18">
        <f>BAU_Fuel_cons!Q17*_xlfn.XLOOKUP($B93,efs!$A$74:$A$84,efs!$C$74:$C$84,0,0)</f>
        <v>1.4540570953532502E-2</v>
      </c>
      <c r="I93" s="18">
        <f>BAU_Fuel_cons!R17*_xlfn.XLOOKUP($B93,efs!$A$74:$A$84,efs!$C$74:$C$84,0,0)</f>
        <v>1.4287450620829109E-2</v>
      </c>
      <c r="J93" s="18">
        <f>BAU_Fuel_cons!S17*_xlfn.XLOOKUP($B93,efs!$A$74:$A$84,efs!$C$74:$C$84,0,0)</f>
        <v>1.4008043983606057E-2</v>
      </c>
      <c r="K93" s="18">
        <f>BAU_Fuel_cons!T17*_xlfn.XLOOKUP($B93,efs!$A$74:$A$84,efs!$C$74:$C$84,0,0)</f>
        <v>1.3783068106725421E-2</v>
      </c>
      <c r="L93" s="18">
        <f>BAU_Fuel_cons!U17*_xlfn.XLOOKUP($B93,efs!$A$74:$A$84,efs!$C$74:$C$84,0,0)</f>
        <v>1.3534644864512696E-2</v>
      </c>
      <c r="M93" s="18">
        <f>BAU_Fuel_cons!V17*_xlfn.XLOOKUP($B93,efs!$A$74:$A$84,efs!$C$74:$C$84,0,0)</f>
        <v>1.3261850219268007E-2</v>
      </c>
      <c r="N93" s="18">
        <f>BAU_Fuel_cons!W17*_xlfn.XLOOKUP($B93,efs!$A$74:$A$84,efs!$C$74:$C$84,0,0)</f>
        <v>1.296361486768159E-2</v>
      </c>
      <c r="O93" s="18">
        <f>BAU_Fuel_cons!X17*_xlfn.XLOOKUP($B93,efs!$A$74:$A$84,efs!$C$74:$C$84,0,0)</f>
        <v>1.2638869652527357E-2</v>
      </c>
      <c r="P93" s="18">
        <f>BAU_Fuel_cons!Y17*_xlfn.XLOOKUP($B93,efs!$A$74:$A$84,efs!$C$74:$C$84,0,0)</f>
        <v>1.2286877903031464E-2</v>
      </c>
      <c r="Q93" s="18">
        <f>BAU_Fuel_cons!Z17*_xlfn.XLOOKUP($B93,efs!$A$74:$A$84,efs!$C$74:$C$84,0,0)</f>
        <v>1.1907383329988374E-2</v>
      </c>
      <c r="R93" s="18">
        <f>BAU_Fuel_cons!AA17*_xlfn.XLOOKUP($B93,efs!$A$74:$A$84,efs!$C$74:$C$84,0,0)</f>
        <v>1.1500445184938077E-2</v>
      </c>
      <c r="S93" s="18">
        <f>BAU_Fuel_cons!AB17*_xlfn.XLOOKUP($B93,efs!$A$74:$A$84,efs!$C$74:$C$84,0,0)</f>
        <v>1.1066194884757744E-2</v>
      </c>
      <c r="T93" s="18">
        <f>BAU_Fuel_cons!AC17*_xlfn.XLOOKUP($B93,efs!$A$74:$A$84,efs!$C$74:$C$84,0,0)</f>
        <v>1.060498320557614E-2</v>
      </c>
      <c r="U93" s="18">
        <f>BAU_Fuel_cons!AD17*_xlfn.XLOOKUP($B93,efs!$A$74:$A$84,efs!$C$74:$C$84,0,0)</f>
        <v>1.0118395564339116E-2</v>
      </c>
      <c r="V93" s="18">
        <f>BAU_Fuel_cons!AE17*_xlfn.XLOOKUP($B93,efs!$A$74:$A$84,efs!$C$74:$C$84,0,0)</f>
        <v>9.6066863219476401E-3</v>
      </c>
      <c r="W93" s="18">
        <f>BAU_Fuel_cons!AF17*_xlfn.XLOOKUP($B93,efs!$A$74:$A$84,efs!$C$74:$C$84,0,0)</f>
        <v>9.0699693652374624E-3</v>
      </c>
      <c r="X93" s="18">
        <f>BAU_Fuel_cons!AG17*_xlfn.XLOOKUP($B93,efs!$A$74:$A$84,efs!$C$74:$C$84,0,0)</f>
        <v>8.5084776684590264E-3</v>
      </c>
      <c r="Y93" s="18">
        <f>BAU_Fuel_cons!AH17*_xlfn.XLOOKUP($B93,efs!$A$74:$A$84,efs!$C$74:$C$84,0,0)</f>
        <v>7.9224955104506573E-3</v>
      </c>
      <c r="Z93" s="18">
        <f>BAU_Fuel_cons!AI17*_xlfn.XLOOKUP($B93,efs!$A$74:$A$84,efs!$C$74:$C$84,0,0)</f>
        <v>7.3123739595084914E-3</v>
      </c>
      <c r="AA93" s="18">
        <f>BAU_Fuel_cons!AJ17*_xlfn.XLOOKUP($B93,efs!$A$74:$A$84,efs!$C$74:$C$84,0,0)</f>
        <v>6.678508493366913E-3</v>
      </c>
      <c r="AB93" s="18">
        <f>BAU_Fuel_cons!AK17*_xlfn.XLOOKUP($B93,efs!$A$74:$A$84,efs!$C$74:$C$84,0,0)</f>
        <v>6.0213483485539983E-3</v>
      </c>
      <c r="AC93" s="18">
        <f>BAU_Fuel_cons!AL17*_xlfn.XLOOKUP($B93,efs!$A$74:$A$84,efs!$C$74:$C$84,0,0)</f>
        <v>5.3413903556602639E-3</v>
      </c>
      <c r="AD93" s="18">
        <f>BAU_Fuel_cons!AM17*_xlfn.XLOOKUP($B93,efs!$A$74:$A$84,efs!$C$74:$C$84,0,0)</f>
        <v>4.6391955636612935E-3</v>
      </c>
      <c r="AE93" s="18">
        <f>BAU_Fuel_cons!AN17*_xlfn.XLOOKUP($B93,efs!$A$74:$A$84,efs!$C$74:$C$84,0,0)</f>
        <v>3.9154129054736458E-3</v>
      </c>
      <c r="AF93" s="18">
        <f>BAU_Fuel_cons!AO17*_xlfn.XLOOKUP($B93,efs!$A$74:$A$84,efs!$C$74:$C$84,0,0)</f>
        <v>3.1707600317762374E-3</v>
      </c>
      <c r="AG93" s="18">
        <f>BAU_Fuel_cons!AP17*_xlfn.XLOOKUP($B93,efs!$A$74:$A$84,efs!$C$74:$C$84,0,0)</f>
        <v>2.4060271968361908E-3</v>
      </c>
      <c r="AH93" s="18">
        <f>BAU_Fuel_cons!AQ17*_xlfn.XLOOKUP($B93,efs!$A$74:$A$84,efs!$C$74:$C$84,0,0)</f>
        <v>1.6220595239502663E-3</v>
      </c>
      <c r="AI93" s="18">
        <f>BAU_Fuel_cons!AR17*_xlfn.XLOOKUP($B93,efs!$A$74:$A$84,efs!$C$74:$C$84,0,0)</f>
        <v>8.1974385791379984E-4</v>
      </c>
      <c r="AJ93" s="111">
        <f>BAU_Fuel_cons!AS17*_xlfn.XLOOKUP($B93,efs!$A$74:$A$84,efs!$C$74:$C$84,0,0)</f>
        <v>0</v>
      </c>
    </row>
    <row r="94" spans="1:53">
      <c r="A94" s="95" t="s">
        <v>18</v>
      </c>
      <c r="B94" s="4" t="s">
        <v>12</v>
      </c>
      <c r="C94" s="4" t="s">
        <v>53</v>
      </c>
      <c r="D94" s="91" t="s">
        <v>122</v>
      </c>
      <c r="E94" s="110">
        <f>BAU_Fuel_cons!N18*_xlfn.XLOOKUP($B94,efs!$A$74:$A$84,efs!$C$74:$C$84,0,0)</f>
        <v>0</v>
      </c>
      <c r="F94" s="18">
        <f>BAU_Fuel_cons!O18*_xlfn.XLOOKUP($B94,efs!$A$74:$A$84,efs!$C$74:$C$84,0,0)</f>
        <v>0</v>
      </c>
      <c r="G94" s="18">
        <f>BAU_Fuel_cons!P18*_xlfn.XLOOKUP($B94,efs!$A$74:$A$84,efs!$C$74:$C$84,0,0)</f>
        <v>0</v>
      </c>
      <c r="H94" s="18">
        <f>BAU_Fuel_cons!Q18*_xlfn.XLOOKUP($B94,efs!$A$74:$A$84,efs!$C$74:$C$84,0,0)</f>
        <v>0</v>
      </c>
      <c r="I94" s="18">
        <f>BAU_Fuel_cons!R18*_xlfn.XLOOKUP($B94,efs!$A$74:$A$84,efs!$C$74:$C$84,0,0)</f>
        <v>0</v>
      </c>
      <c r="J94" s="18">
        <f>BAU_Fuel_cons!S18*_xlfn.XLOOKUP($B94,efs!$A$74:$A$84,efs!$C$74:$C$84,0,0)</f>
        <v>0</v>
      </c>
      <c r="K94" s="18">
        <f>BAU_Fuel_cons!T18*_xlfn.XLOOKUP($B94,efs!$A$74:$A$84,efs!$C$74:$C$84,0,0)</f>
        <v>0</v>
      </c>
      <c r="L94" s="18">
        <f>BAU_Fuel_cons!U18*_xlfn.XLOOKUP($B94,efs!$A$74:$A$84,efs!$C$74:$C$84,0,0)</f>
        <v>0</v>
      </c>
      <c r="M94" s="18">
        <f>BAU_Fuel_cons!V18*_xlfn.XLOOKUP($B94,efs!$A$74:$A$84,efs!$C$74:$C$84,0,0)</f>
        <v>0</v>
      </c>
      <c r="N94" s="18">
        <f>BAU_Fuel_cons!W18*_xlfn.XLOOKUP($B94,efs!$A$74:$A$84,efs!$C$74:$C$84,0,0)</f>
        <v>0</v>
      </c>
      <c r="O94" s="18">
        <f>BAU_Fuel_cons!X18*_xlfn.XLOOKUP($B94,efs!$A$74:$A$84,efs!$C$74:$C$84,0,0)</f>
        <v>0</v>
      </c>
      <c r="P94" s="18">
        <f>BAU_Fuel_cons!Y18*_xlfn.XLOOKUP($B94,efs!$A$74:$A$84,efs!$C$74:$C$84,0,0)</f>
        <v>0</v>
      </c>
      <c r="Q94" s="18">
        <f>BAU_Fuel_cons!Z18*_xlfn.XLOOKUP($B94,efs!$A$74:$A$84,efs!$C$74:$C$84,0,0)</f>
        <v>0</v>
      </c>
      <c r="R94" s="18">
        <f>BAU_Fuel_cons!AA18*_xlfn.XLOOKUP($B94,efs!$A$74:$A$84,efs!$C$74:$C$84,0,0)</f>
        <v>0</v>
      </c>
      <c r="S94" s="18">
        <f>BAU_Fuel_cons!AB18*_xlfn.XLOOKUP($B94,efs!$A$74:$A$84,efs!$C$74:$C$84,0,0)</f>
        <v>0</v>
      </c>
      <c r="T94" s="18">
        <f>BAU_Fuel_cons!AC18*_xlfn.XLOOKUP($B94,efs!$A$74:$A$84,efs!$C$74:$C$84,0,0)</f>
        <v>0</v>
      </c>
      <c r="U94" s="18">
        <f>BAU_Fuel_cons!AD18*_xlfn.XLOOKUP($B94,efs!$A$74:$A$84,efs!$C$74:$C$84,0,0)</f>
        <v>0</v>
      </c>
      <c r="V94" s="18">
        <f>BAU_Fuel_cons!AE18*_xlfn.XLOOKUP($B94,efs!$A$74:$A$84,efs!$C$74:$C$84,0,0)</f>
        <v>0</v>
      </c>
      <c r="W94" s="18">
        <f>BAU_Fuel_cons!AF18*_xlfn.XLOOKUP($B94,efs!$A$74:$A$84,efs!$C$74:$C$84,0,0)</f>
        <v>0</v>
      </c>
      <c r="X94" s="18">
        <f>BAU_Fuel_cons!AG18*_xlfn.XLOOKUP($B94,efs!$A$74:$A$84,efs!$C$74:$C$84,0,0)</f>
        <v>0</v>
      </c>
      <c r="Y94" s="18">
        <f>BAU_Fuel_cons!AH18*_xlfn.XLOOKUP($B94,efs!$A$74:$A$84,efs!$C$74:$C$84,0,0)</f>
        <v>0</v>
      </c>
      <c r="Z94" s="18">
        <f>BAU_Fuel_cons!AI18*_xlfn.XLOOKUP($B94,efs!$A$74:$A$84,efs!$C$74:$C$84,0,0)</f>
        <v>0</v>
      </c>
      <c r="AA94" s="18">
        <f>BAU_Fuel_cons!AJ18*_xlfn.XLOOKUP($B94,efs!$A$74:$A$84,efs!$C$74:$C$84,0,0)</f>
        <v>0</v>
      </c>
      <c r="AB94" s="18">
        <f>BAU_Fuel_cons!AK18*_xlfn.XLOOKUP($B94,efs!$A$74:$A$84,efs!$C$74:$C$84,0,0)</f>
        <v>0</v>
      </c>
      <c r="AC94" s="18">
        <f>BAU_Fuel_cons!AL18*_xlfn.XLOOKUP($B94,efs!$A$74:$A$84,efs!$C$74:$C$84,0,0)</f>
        <v>0</v>
      </c>
      <c r="AD94" s="18">
        <f>BAU_Fuel_cons!AM18*_xlfn.XLOOKUP($B94,efs!$A$74:$A$84,efs!$C$74:$C$84,0,0)</f>
        <v>0</v>
      </c>
      <c r="AE94" s="18">
        <f>BAU_Fuel_cons!AN18*_xlfn.XLOOKUP($B94,efs!$A$74:$A$84,efs!$C$74:$C$84,0,0)</f>
        <v>0</v>
      </c>
      <c r="AF94" s="18">
        <f>BAU_Fuel_cons!AO18*_xlfn.XLOOKUP($B94,efs!$A$74:$A$84,efs!$C$74:$C$84,0,0)</f>
        <v>0</v>
      </c>
      <c r="AG94" s="18">
        <f>BAU_Fuel_cons!AP18*_xlfn.XLOOKUP($B94,efs!$A$74:$A$84,efs!$C$74:$C$84,0,0)</f>
        <v>0</v>
      </c>
      <c r="AH94" s="18">
        <f>BAU_Fuel_cons!AQ18*_xlfn.XLOOKUP($B94,efs!$A$74:$A$84,efs!$C$74:$C$84,0,0)</f>
        <v>0</v>
      </c>
      <c r="AI94" s="18">
        <f>BAU_Fuel_cons!AR18*_xlfn.XLOOKUP($B94,efs!$A$74:$A$84,efs!$C$74:$C$84,0,0)</f>
        <v>0</v>
      </c>
      <c r="AJ94" s="111">
        <f>BAU_Fuel_cons!AS18*_xlfn.XLOOKUP($B94,efs!$A$74:$A$84,efs!$C$74:$C$84,0,0)</f>
        <v>0</v>
      </c>
    </row>
    <row r="95" spans="1:53">
      <c r="A95" s="95" t="s">
        <v>18</v>
      </c>
      <c r="B95" s="4" t="s">
        <v>13</v>
      </c>
      <c r="C95" s="4" t="s">
        <v>53</v>
      </c>
      <c r="D95" s="91" t="s">
        <v>122</v>
      </c>
      <c r="E95" s="110">
        <f>BAU_Fuel_cons!N19*_xlfn.XLOOKUP($B95,efs!$A$74:$A$84,efs!$C$74:$C$84,0,0)</f>
        <v>0</v>
      </c>
      <c r="F95" s="18">
        <f>BAU_Fuel_cons!O19*_xlfn.XLOOKUP($B95,efs!$A$74:$A$84,efs!$C$74:$C$84,0,0)</f>
        <v>0</v>
      </c>
      <c r="G95" s="18">
        <f>BAU_Fuel_cons!P19*_xlfn.XLOOKUP($B95,efs!$A$74:$A$84,efs!$C$74:$C$84,0,0)</f>
        <v>0</v>
      </c>
      <c r="H95" s="18">
        <f>BAU_Fuel_cons!Q19*_xlfn.XLOOKUP($B95,efs!$A$74:$A$84,efs!$C$74:$C$84,0,0)</f>
        <v>0</v>
      </c>
      <c r="I95" s="18">
        <f>BAU_Fuel_cons!R19*_xlfn.XLOOKUP($B95,efs!$A$74:$A$84,efs!$C$74:$C$84,0,0)</f>
        <v>0</v>
      </c>
      <c r="J95" s="18">
        <f>BAU_Fuel_cons!S19*_xlfn.XLOOKUP($B95,efs!$A$74:$A$84,efs!$C$74:$C$84,0,0)</f>
        <v>0</v>
      </c>
      <c r="K95" s="18">
        <f>BAU_Fuel_cons!T19*_xlfn.XLOOKUP($B95,efs!$A$74:$A$84,efs!$C$74:$C$84,0,0)</f>
        <v>0</v>
      </c>
      <c r="L95" s="18">
        <f>BAU_Fuel_cons!U19*_xlfn.XLOOKUP($B95,efs!$A$74:$A$84,efs!$C$74:$C$84,0,0)</f>
        <v>0</v>
      </c>
      <c r="M95" s="18">
        <f>BAU_Fuel_cons!V19*_xlfn.XLOOKUP($B95,efs!$A$74:$A$84,efs!$C$74:$C$84,0,0)</f>
        <v>0</v>
      </c>
      <c r="N95" s="18">
        <f>BAU_Fuel_cons!W19*_xlfn.XLOOKUP($B95,efs!$A$74:$A$84,efs!$C$74:$C$84,0,0)</f>
        <v>0</v>
      </c>
      <c r="O95" s="18">
        <f>BAU_Fuel_cons!X19*_xlfn.XLOOKUP($B95,efs!$A$74:$A$84,efs!$C$74:$C$84,0,0)</f>
        <v>0</v>
      </c>
      <c r="P95" s="18">
        <f>BAU_Fuel_cons!Y19*_xlfn.XLOOKUP($B95,efs!$A$74:$A$84,efs!$C$74:$C$84,0,0)</f>
        <v>0</v>
      </c>
      <c r="Q95" s="18">
        <f>BAU_Fuel_cons!Z19*_xlfn.XLOOKUP($B95,efs!$A$74:$A$84,efs!$C$74:$C$84,0,0)</f>
        <v>0</v>
      </c>
      <c r="R95" s="18">
        <f>BAU_Fuel_cons!AA19*_xlfn.XLOOKUP($B95,efs!$A$74:$A$84,efs!$C$74:$C$84,0,0)</f>
        <v>0</v>
      </c>
      <c r="S95" s="18">
        <f>BAU_Fuel_cons!AB19*_xlfn.XLOOKUP($B95,efs!$A$74:$A$84,efs!$C$74:$C$84,0,0)</f>
        <v>0</v>
      </c>
      <c r="T95" s="18">
        <f>BAU_Fuel_cons!AC19*_xlfn.XLOOKUP($B95,efs!$A$74:$A$84,efs!$C$74:$C$84,0,0)</f>
        <v>0</v>
      </c>
      <c r="U95" s="18">
        <f>BAU_Fuel_cons!AD19*_xlfn.XLOOKUP($B95,efs!$A$74:$A$84,efs!$C$74:$C$84,0,0)</f>
        <v>0</v>
      </c>
      <c r="V95" s="18">
        <f>BAU_Fuel_cons!AE19*_xlfn.XLOOKUP($B95,efs!$A$74:$A$84,efs!$C$74:$C$84,0,0)</f>
        <v>0</v>
      </c>
      <c r="W95" s="18">
        <f>BAU_Fuel_cons!AF19*_xlfn.XLOOKUP($B95,efs!$A$74:$A$84,efs!$C$74:$C$84,0,0)</f>
        <v>0</v>
      </c>
      <c r="X95" s="18">
        <f>BAU_Fuel_cons!AG19*_xlfn.XLOOKUP($B95,efs!$A$74:$A$84,efs!$C$74:$C$84,0,0)</f>
        <v>0</v>
      </c>
      <c r="Y95" s="18">
        <f>BAU_Fuel_cons!AH19*_xlfn.XLOOKUP($B95,efs!$A$74:$A$84,efs!$C$74:$C$84,0,0)</f>
        <v>0</v>
      </c>
      <c r="Z95" s="18">
        <f>BAU_Fuel_cons!AI19*_xlfn.XLOOKUP($B95,efs!$A$74:$A$84,efs!$C$74:$C$84,0,0)</f>
        <v>0</v>
      </c>
      <c r="AA95" s="18">
        <f>BAU_Fuel_cons!AJ19*_xlfn.XLOOKUP($B95,efs!$A$74:$A$84,efs!$C$74:$C$84,0,0)</f>
        <v>0</v>
      </c>
      <c r="AB95" s="18">
        <f>BAU_Fuel_cons!AK19*_xlfn.XLOOKUP($B95,efs!$A$74:$A$84,efs!$C$74:$C$84,0,0)</f>
        <v>0</v>
      </c>
      <c r="AC95" s="18">
        <f>BAU_Fuel_cons!AL19*_xlfn.XLOOKUP($B95,efs!$A$74:$A$84,efs!$C$74:$C$84,0,0)</f>
        <v>0</v>
      </c>
      <c r="AD95" s="18">
        <f>BAU_Fuel_cons!AM19*_xlfn.XLOOKUP($B95,efs!$A$74:$A$84,efs!$C$74:$C$84,0,0)</f>
        <v>0</v>
      </c>
      <c r="AE95" s="18">
        <f>BAU_Fuel_cons!AN19*_xlfn.XLOOKUP($B95,efs!$A$74:$A$84,efs!$C$74:$C$84,0,0)</f>
        <v>0</v>
      </c>
      <c r="AF95" s="18">
        <f>BAU_Fuel_cons!AO19*_xlfn.XLOOKUP($B95,efs!$A$74:$A$84,efs!$C$74:$C$84,0,0)</f>
        <v>0</v>
      </c>
      <c r="AG95" s="18">
        <f>BAU_Fuel_cons!AP19*_xlfn.XLOOKUP($B95,efs!$A$74:$A$84,efs!$C$74:$C$84,0,0)</f>
        <v>0</v>
      </c>
      <c r="AH95" s="18">
        <f>BAU_Fuel_cons!AQ19*_xlfn.XLOOKUP($B95,efs!$A$74:$A$84,efs!$C$74:$C$84,0,0)</f>
        <v>0</v>
      </c>
      <c r="AI95" s="18">
        <f>BAU_Fuel_cons!AR19*_xlfn.XLOOKUP($B95,efs!$A$74:$A$84,efs!$C$74:$C$84,0,0)</f>
        <v>0</v>
      </c>
      <c r="AJ95" s="111">
        <f>BAU_Fuel_cons!AS19*_xlfn.XLOOKUP($B95,efs!$A$74:$A$84,efs!$C$74:$C$84,0,0)</f>
        <v>0</v>
      </c>
    </row>
    <row r="96" spans="1:53">
      <c r="A96" s="95" t="s">
        <v>18</v>
      </c>
      <c r="B96" s="4" t="s">
        <v>14</v>
      </c>
      <c r="C96" s="4" t="s">
        <v>53</v>
      </c>
      <c r="D96" s="91" t="s">
        <v>122</v>
      </c>
      <c r="E96" s="110">
        <f>BAU_Fuel_cons!N20*_xlfn.XLOOKUP($B96,efs!$A$74:$A$84,efs!$C$74:$C$84,0,0)</f>
        <v>0</v>
      </c>
      <c r="F96" s="18">
        <f>BAU_Fuel_cons!O20*_xlfn.XLOOKUP($B96,efs!$A$74:$A$84,efs!$C$74:$C$84,0,0)</f>
        <v>0</v>
      </c>
      <c r="G96" s="18">
        <f>BAU_Fuel_cons!P20*_xlfn.XLOOKUP($B96,efs!$A$74:$A$84,efs!$C$74:$C$84,0,0)</f>
        <v>0</v>
      </c>
      <c r="H96" s="18">
        <f>BAU_Fuel_cons!Q20*_xlfn.XLOOKUP($B96,efs!$A$74:$A$84,efs!$C$74:$C$84,0,0)</f>
        <v>0</v>
      </c>
      <c r="I96" s="18">
        <f>BAU_Fuel_cons!R20*_xlfn.XLOOKUP($B96,efs!$A$74:$A$84,efs!$C$74:$C$84,0,0)</f>
        <v>0</v>
      </c>
      <c r="J96" s="18">
        <f>BAU_Fuel_cons!S20*_xlfn.XLOOKUP($B96,efs!$A$74:$A$84,efs!$C$74:$C$84,0,0)</f>
        <v>0</v>
      </c>
      <c r="K96" s="18">
        <f>BAU_Fuel_cons!T20*_xlfn.XLOOKUP($B96,efs!$A$74:$A$84,efs!$C$74:$C$84,0,0)</f>
        <v>0</v>
      </c>
      <c r="L96" s="18">
        <f>BAU_Fuel_cons!U20*_xlfn.XLOOKUP($B96,efs!$A$74:$A$84,efs!$C$74:$C$84,0,0)</f>
        <v>0</v>
      </c>
      <c r="M96" s="18">
        <f>BAU_Fuel_cons!V20*_xlfn.XLOOKUP($B96,efs!$A$74:$A$84,efs!$C$74:$C$84,0,0)</f>
        <v>0</v>
      </c>
      <c r="N96" s="18">
        <f>BAU_Fuel_cons!W20*_xlfn.XLOOKUP($B96,efs!$A$74:$A$84,efs!$C$74:$C$84,0,0)</f>
        <v>0</v>
      </c>
      <c r="O96" s="18">
        <f>BAU_Fuel_cons!X20*_xlfn.XLOOKUP($B96,efs!$A$74:$A$84,efs!$C$74:$C$84,0,0)</f>
        <v>0</v>
      </c>
      <c r="P96" s="18">
        <f>BAU_Fuel_cons!Y20*_xlfn.XLOOKUP($B96,efs!$A$74:$A$84,efs!$C$74:$C$84,0,0)</f>
        <v>0</v>
      </c>
      <c r="Q96" s="18">
        <f>BAU_Fuel_cons!Z20*_xlfn.XLOOKUP($B96,efs!$A$74:$A$84,efs!$C$74:$C$84,0,0)</f>
        <v>0</v>
      </c>
      <c r="R96" s="18">
        <f>BAU_Fuel_cons!AA20*_xlfn.XLOOKUP($B96,efs!$A$74:$A$84,efs!$C$74:$C$84,0,0)</f>
        <v>0</v>
      </c>
      <c r="S96" s="18">
        <f>BAU_Fuel_cons!AB20*_xlfn.XLOOKUP($B96,efs!$A$74:$A$84,efs!$C$74:$C$84,0,0)</f>
        <v>0</v>
      </c>
      <c r="T96" s="18">
        <f>BAU_Fuel_cons!AC20*_xlfn.XLOOKUP($B96,efs!$A$74:$A$84,efs!$C$74:$C$84,0,0)</f>
        <v>0</v>
      </c>
      <c r="U96" s="18">
        <f>BAU_Fuel_cons!AD20*_xlfn.XLOOKUP($B96,efs!$A$74:$A$84,efs!$C$74:$C$84,0,0)</f>
        <v>0</v>
      </c>
      <c r="V96" s="18">
        <f>BAU_Fuel_cons!AE20*_xlfn.XLOOKUP($B96,efs!$A$74:$A$84,efs!$C$74:$C$84,0,0)</f>
        <v>0</v>
      </c>
      <c r="W96" s="18">
        <f>BAU_Fuel_cons!AF20*_xlfn.XLOOKUP($B96,efs!$A$74:$A$84,efs!$C$74:$C$84,0,0)</f>
        <v>0</v>
      </c>
      <c r="X96" s="18">
        <f>BAU_Fuel_cons!AG20*_xlfn.XLOOKUP($B96,efs!$A$74:$A$84,efs!$C$74:$C$84,0,0)</f>
        <v>0</v>
      </c>
      <c r="Y96" s="18">
        <f>BAU_Fuel_cons!AH20*_xlfn.XLOOKUP($B96,efs!$A$74:$A$84,efs!$C$74:$C$84,0,0)</f>
        <v>0</v>
      </c>
      <c r="Z96" s="18">
        <f>BAU_Fuel_cons!AI20*_xlfn.XLOOKUP($B96,efs!$A$74:$A$84,efs!$C$74:$C$84,0,0)</f>
        <v>0</v>
      </c>
      <c r="AA96" s="18">
        <f>BAU_Fuel_cons!AJ20*_xlfn.XLOOKUP($B96,efs!$A$74:$A$84,efs!$C$74:$C$84,0,0)</f>
        <v>0</v>
      </c>
      <c r="AB96" s="18">
        <f>BAU_Fuel_cons!AK20*_xlfn.XLOOKUP($B96,efs!$A$74:$A$84,efs!$C$74:$C$84,0,0)</f>
        <v>0</v>
      </c>
      <c r="AC96" s="18">
        <f>BAU_Fuel_cons!AL20*_xlfn.XLOOKUP($B96,efs!$A$74:$A$84,efs!$C$74:$C$84,0,0)</f>
        <v>0</v>
      </c>
      <c r="AD96" s="18">
        <f>BAU_Fuel_cons!AM20*_xlfn.XLOOKUP($B96,efs!$A$74:$A$84,efs!$C$74:$C$84,0,0)</f>
        <v>0</v>
      </c>
      <c r="AE96" s="18">
        <f>BAU_Fuel_cons!AN20*_xlfn.XLOOKUP($B96,efs!$A$74:$A$84,efs!$C$74:$C$84,0,0)</f>
        <v>0</v>
      </c>
      <c r="AF96" s="18">
        <f>BAU_Fuel_cons!AO20*_xlfn.XLOOKUP($B96,efs!$A$74:$A$84,efs!$C$74:$C$84,0,0)</f>
        <v>0</v>
      </c>
      <c r="AG96" s="18">
        <f>BAU_Fuel_cons!AP20*_xlfn.XLOOKUP($B96,efs!$A$74:$A$84,efs!$C$74:$C$84,0,0)</f>
        <v>0</v>
      </c>
      <c r="AH96" s="18">
        <f>BAU_Fuel_cons!AQ20*_xlfn.XLOOKUP($B96,efs!$A$74:$A$84,efs!$C$74:$C$84,0,0)</f>
        <v>0</v>
      </c>
      <c r="AI96" s="18">
        <f>BAU_Fuel_cons!AR20*_xlfn.XLOOKUP($B96,efs!$A$74:$A$84,efs!$C$74:$C$84,0,0)</f>
        <v>0</v>
      </c>
      <c r="AJ96" s="111">
        <f>BAU_Fuel_cons!AS20*_xlfn.XLOOKUP($B96,efs!$A$74:$A$84,efs!$C$74:$C$84,0,0)</f>
        <v>0</v>
      </c>
    </row>
    <row r="97" spans="1:36">
      <c r="A97" s="95" t="s">
        <v>18</v>
      </c>
      <c r="B97" s="4" t="s">
        <v>15</v>
      </c>
      <c r="C97" s="4" t="s">
        <v>53</v>
      </c>
      <c r="D97" s="91" t="s">
        <v>122</v>
      </c>
      <c r="E97" s="110">
        <f>BAU_Fuel_cons!N21*_xlfn.XLOOKUP($B97,efs!$A$74:$A$84,efs!$C$74:$C$84,0,0)</f>
        <v>0</v>
      </c>
      <c r="F97" s="18">
        <f>BAU_Fuel_cons!O21*_xlfn.XLOOKUP($B97,efs!$A$74:$A$84,efs!$C$74:$C$84,0,0)</f>
        <v>0</v>
      </c>
      <c r="G97" s="18">
        <f>BAU_Fuel_cons!P21*_xlfn.XLOOKUP($B97,efs!$A$74:$A$84,efs!$C$74:$C$84,0,0)</f>
        <v>0</v>
      </c>
      <c r="H97" s="18">
        <f>BAU_Fuel_cons!Q21*_xlfn.XLOOKUP($B97,efs!$A$74:$A$84,efs!$C$74:$C$84,0,0)</f>
        <v>0</v>
      </c>
      <c r="I97" s="18">
        <f>BAU_Fuel_cons!R21*_xlfn.XLOOKUP($B97,efs!$A$74:$A$84,efs!$C$74:$C$84,0,0)</f>
        <v>0</v>
      </c>
      <c r="J97" s="18">
        <f>BAU_Fuel_cons!S21*_xlfn.XLOOKUP($B97,efs!$A$74:$A$84,efs!$C$74:$C$84,0,0)</f>
        <v>0</v>
      </c>
      <c r="K97" s="18">
        <f>BAU_Fuel_cons!T21*_xlfn.XLOOKUP($B97,efs!$A$74:$A$84,efs!$C$74:$C$84,0,0)</f>
        <v>0</v>
      </c>
      <c r="L97" s="18">
        <f>BAU_Fuel_cons!U21*_xlfn.XLOOKUP($B97,efs!$A$74:$A$84,efs!$C$74:$C$84,0,0)</f>
        <v>0</v>
      </c>
      <c r="M97" s="18">
        <f>BAU_Fuel_cons!V21*_xlfn.XLOOKUP($B97,efs!$A$74:$A$84,efs!$C$74:$C$84,0,0)</f>
        <v>0</v>
      </c>
      <c r="N97" s="18">
        <f>BAU_Fuel_cons!W21*_xlfn.XLOOKUP($B97,efs!$A$74:$A$84,efs!$C$74:$C$84,0,0)</f>
        <v>0</v>
      </c>
      <c r="O97" s="18">
        <f>BAU_Fuel_cons!X21*_xlfn.XLOOKUP($B97,efs!$A$74:$A$84,efs!$C$74:$C$84,0,0)</f>
        <v>0</v>
      </c>
      <c r="P97" s="18">
        <f>BAU_Fuel_cons!Y21*_xlfn.XLOOKUP($B97,efs!$A$74:$A$84,efs!$C$74:$C$84,0,0)</f>
        <v>0</v>
      </c>
      <c r="Q97" s="18">
        <f>BAU_Fuel_cons!Z21*_xlfn.XLOOKUP($B97,efs!$A$74:$A$84,efs!$C$74:$C$84,0,0)</f>
        <v>0</v>
      </c>
      <c r="R97" s="18">
        <f>BAU_Fuel_cons!AA21*_xlfn.XLOOKUP($B97,efs!$A$74:$A$84,efs!$C$74:$C$84,0,0)</f>
        <v>0</v>
      </c>
      <c r="S97" s="18">
        <f>BAU_Fuel_cons!AB21*_xlfn.XLOOKUP($B97,efs!$A$74:$A$84,efs!$C$74:$C$84,0,0)</f>
        <v>0</v>
      </c>
      <c r="T97" s="18">
        <f>BAU_Fuel_cons!AC21*_xlfn.XLOOKUP($B97,efs!$A$74:$A$84,efs!$C$74:$C$84,0,0)</f>
        <v>0</v>
      </c>
      <c r="U97" s="18">
        <f>BAU_Fuel_cons!AD21*_xlfn.XLOOKUP($B97,efs!$A$74:$A$84,efs!$C$74:$C$84,0,0)</f>
        <v>0</v>
      </c>
      <c r="V97" s="18">
        <f>BAU_Fuel_cons!AE21*_xlfn.XLOOKUP($B97,efs!$A$74:$A$84,efs!$C$74:$C$84,0,0)</f>
        <v>0</v>
      </c>
      <c r="W97" s="18">
        <f>BAU_Fuel_cons!AF21*_xlfn.XLOOKUP($B97,efs!$A$74:$A$84,efs!$C$74:$C$84,0,0)</f>
        <v>0</v>
      </c>
      <c r="X97" s="18">
        <f>BAU_Fuel_cons!AG21*_xlfn.XLOOKUP($B97,efs!$A$74:$A$84,efs!$C$74:$C$84,0,0)</f>
        <v>0</v>
      </c>
      <c r="Y97" s="18">
        <f>BAU_Fuel_cons!AH21*_xlfn.XLOOKUP($B97,efs!$A$74:$A$84,efs!$C$74:$C$84,0,0)</f>
        <v>0</v>
      </c>
      <c r="Z97" s="18">
        <f>BAU_Fuel_cons!AI21*_xlfn.XLOOKUP($B97,efs!$A$74:$A$84,efs!$C$74:$C$84,0,0)</f>
        <v>0</v>
      </c>
      <c r="AA97" s="18">
        <f>BAU_Fuel_cons!AJ21*_xlfn.XLOOKUP($B97,efs!$A$74:$A$84,efs!$C$74:$C$84,0,0)</f>
        <v>0</v>
      </c>
      <c r="AB97" s="18">
        <f>BAU_Fuel_cons!AK21*_xlfn.XLOOKUP($B97,efs!$A$74:$A$84,efs!$C$74:$C$84,0,0)</f>
        <v>0</v>
      </c>
      <c r="AC97" s="18">
        <f>BAU_Fuel_cons!AL21*_xlfn.XLOOKUP($B97,efs!$A$74:$A$84,efs!$C$74:$C$84,0,0)</f>
        <v>0</v>
      </c>
      <c r="AD97" s="18">
        <f>BAU_Fuel_cons!AM21*_xlfn.XLOOKUP($B97,efs!$A$74:$A$84,efs!$C$74:$C$84,0,0)</f>
        <v>0</v>
      </c>
      <c r="AE97" s="18">
        <f>BAU_Fuel_cons!AN21*_xlfn.XLOOKUP($B97,efs!$A$74:$A$84,efs!$C$74:$C$84,0,0)</f>
        <v>0</v>
      </c>
      <c r="AF97" s="18">
        <f>BAU_Fuel_cons!AO21*_xlfn.XLOOKUP($B97,efs!$A$74:$A$84,efs!$C$74:$C$84,0,0)</f>
        <v>0</v>
      </c>
      <c r="AG97" s="18">
        <f>BAU_Fuel_cons!AP21*_xlfn.XLOOKUP($B97,efs!$A$74:$A$84,efs!$C$74:$C$84,0,0)</f>
        <v>0</v>
      </c>
      <c r="AH97" s="18">
        <f>BAU_Fuel_cons!AQ21*_xlfn.XLOOKUP($B97,efs!$A$74:$A$84,efs!$C$74:$C$84,0,0)</f>
        <v>0</v>
      </c>
      <c r="AI97" s="18">
        <f>BAU_Fuel_cons!AR21*_xlfn.XLOOKUP($B97,efs!$A$74:$A$84,efs!$C$74:$C$84,0,0)</f>
        <v>0</v>
      </c>
      <c r="AJ97" s="111">
        <f>BAU_Fuel_cons!AS21*_xlfn.XLOOKUP($B97,efs!$A$74:$A$84,efs!$C$74:$C$84,0,0)</f>
        <v>0</v>
      </c>
    </row>
    <row r="98" spans="1:36">
      <c r="A98" s="97" t="s">
        <v>18</v>
      </c>
      <c r="B98" s="40" t="s">
        <v>16</v>
      </c>
      <c r="C98" s="4" t="s">
        <v>53</v>
      </c>
      <c r="D98" s="91" t="s">
        <v>122</v>
      </c>
      <c r="E98" s="110">
        <f>BAU_Fuel_cons!N22*_xlfn.XLOOKUP($B98,efs!$A$74:$A$84,efs!$C$74:$C$84,0,0)</f>
        <v>0</v>
      </c>
      <c r="F98" s="18">
        <f>BAU_Fuel_cons!O22*_xlfn.XLOOKUP($B98,efs!$A$74:$A$84,efs!$C$74:$C$84,0,0)</f>
        <v>0</v>
      </c>
      <c r="G98" s="18">
        <f>BAU_Fuel_cons!P22*_xlfn.XLOOKUP($B98,efs!$A$74:$A$84,efs!$C$74:$C$84,0,0)</f>
        <v>0</v>
      </c>
      <c r="H98" s="18">
        <f>BAU_Fuel_cons!Q22*_xlfn.XLOOKUP($B98,efs!$A$74:$A$84,efs!$C$74:$C$84,0,0)</f>
        <v>0</v>
      </c>
      <c r="I98" s="18">
        <f>BAU_Fuel_cons!R22*_xlfn.XLOOKUP($B98,efs!$A$74:$A$84,efs!$C$74:$C$84,0,0)</f>
        <v>0</v>
      </c>
      <c r="J98" s="18">
        <f>BAU_Fuel_cons!S22*_xlfn.XLOOKUP($B98,efs!$A$74:$A$84,efs!$C$74:$C$84,0,0)</f>
        <v>0</v>
      </c>
      <c r="K98" s="18">
        <f>BAU_Fuel_cons!T22*_xlfn.XLOOKUP($B98,efs!$A$74:$A$84,efs!$C$74:$C$84,0,0)</f>
        <v>0</v>
      </c>
      <c r="L98" s="18">
        <f>BAU_Fuel_cons!U22*_xlfn.XLOOKUP($B98,efs!$A$74:$A$84,efs!$C$74:$C$84,0,0)</f>
        <v>0</v>
      </c>
      <c r="M98" s="18">
        <f>BAU_Fuel_cons!V22*_xlfn.XLOOKUP($B98,efs!$A$74:$A$84,efs!$C$74:$C$84,0,0)</f>
        <v>0</v>
      </c>
      <c r="N98" s="18">
        <f>BAU_Fuel_cons!W22*_xlfn.XLOOKUP($B98,efs!$A$74:$A$84,efs!$C$74:$C$84,0,0)</f>
        <v>0</v>
      </c>
      <c r="O98" s="18">
        <f>BAU_Fuel_cons!X22*_xlfn.XLOOKUP($B98,efs!$A$74:$A$84,efs!$C$74:$C$84,0,0)</f>
        <v>0</v>
      </c>
      <c r="P98" s="18">
        <f>BAU_Fuel_cons!Y22*_xlfn.XLOOKUP($B98,efs!$A$74:$A$84,efs!$C$74:$C$84,0,0)</f>
        <v>0</v>
      </c>
      <c r="Q98" s="18">
        <f>BAU_Fuel_cons!Z22*_xlfn.XLOOKUP($B98,efs!$A$74:$A$84,efs!$C$74:$C$84,0,0)</f>
        <v>0</v>
      </c>
      <c r="R98" s="18">
        <f>BAU_Fuel_cons!AA22*_xlfn.XLOOKUP($B98,efs!$A$74:$A$84,efs!$C$74:$C$84,0,0)</f>
        <v>0</v>
      </c>
      <c r="S98" s="18">
        <f>BAU_Fuel_cons!AB22*_xlfn.XLOOKUP($B98,efs!$A$74:$A$84,efs!$C$74:$C$84,0,0)</f>
        <v>0</v>
      </c>
      <c r="T98" s="18">
        <f>BAU_Fuel_cons!AC22*_xlfn.XLOOKUP($B98,efs!$A$74:$A$84,efs!$C$74:$C$84,0,0)</f>
        <v>0</v>
      </c>
      <c r="U98" s="18">
        <f>BAU_Fuel_cons!AD22*_xlfn.XLOOKUP($B98,efs!$A$74:$A$84,efs!$C$74:$C$84,0,0)</f>
        <v>0</v>
      </c>
      <c r="V98" s="18">
        <f>BAU_Fuel_cons!AE22*_xlfn.XLOOKUP($B98,efs!$A$74:$A$84,efs!$C$74:$C$84,0,0)</f>
        <v>0</v>
      </c>
      <c r="W98" s="18">
        <f>BAU_Fuel_cons!AF22*_xlfn.XLOOKUP($B98,efs!$A$74:$A$84,efs!$C$74:$C$84,0,0)</f>
        <v>0</v>
      </c>
      <c r="X98" s="18">
        <f>BAU_Fuel_cons!AG22*_xlfn.XLOOKUP($B98,efs!$A$74:$A$84,efs!$C$74:$C$84,0,0)</f>
        <v>0</v>
      </c>
      <c r="Y98" s="18">
        <f>BAU_Fuel_cons!AH22*_xlfn.XLOOKUP($B98,efs!$A$74:$A$84,efs!$C$74:$C$84,0,0)</f>
        <v>0</v>
      </c>
      <c r="Z98" s="18">
        <f>BAU_Fuel_cons!AI22*_xlfn.XLOOKUP($B98,efs!$A$74:$A$84,efs!$C$74:$C$84,0,0)</f>
        <v>0</v>
      </c>
      <c r="AA98" s="18">
        <f>BAU_Fuel_cons!AJ22*_xlfn.XLOOKUP($B98,efs!$A$74:$A$84,efs!$C$74:$C$84,0,0)</f>
        <v>0</v>
      </c>
      <c r="AB98" s="18">
        <f>BAU_Fuel_cons!AK22*_xlfn.XLOOKUP($B98,efs!$A$74:$A$84,efs!$C$74:$C$84,0,0)</f>
        <v>0</v>
      </c>
      <c r="AC98" s="18">
        <f>BAU_Fuel_cons!AL22*_xlfn.XLOOKUP($B98,efs!$A$74:$A$84,efs!$C$74:$C$84,0,0)</f>
        <v>0</v>
      </c>
      <c r="AD98" s="18">
        <f>BAU_Fuel_cons!AM22*_xlfn.XLOOKUP($B98,efs!$A$74:$A$84,efs!$C$74:$C$84,0,0)</f>
        <v>0</v>
      </c>
      <c r="AE98" s="18">
        <f>BAU_Fuel_cons!AN22*_xlfn.XLOOKUP($B98,efs!$A$74:$A$84,efs!$C$74:$C$84,0,0)</f>
        <v>0</v>
      </c>
      <c r="AF98" s="18">
        <f>BAU_Fuel_cons!AO22*_xlfn.XLOOKUP($B98,efs!$A$74:$A$84,efs!$C$74:$C$84,0,0)</f>
        <v>0</v>
      </c>
      <c r="AG98" s="18">
        <f>BAU_Fuel_cons!AP22*_xlfn.XLOOKUP($B98,efs!$A$74:$A$84,efs!$C$74:$C$84,0,0)</f>
        <v>0</v>
      </c>
      <c r="AH98" s="18">
        <f>BAU_Fuel_cons!AQ22*_xlfn.XLOOKUP($B98,efs!$A$74:$A$84,efs!$C$74:$C$84,0,0)</f>
        <v>0</v>
      </c>
      <c r="AI98" s="18">
        <f>BAU_Fuel_cons!AR22*_xlfn.XLOOKUP($B98,efs!$A$74:$A$84,efs!$C$74:$C$84,0,0)</f>
        <v>0</v>
      </c>
      <c r="AJ98" s="111">
        <f>BAU_Fuel_cons!AS22*_xlfn.XLOOKUP($B98,efs!$A$74:$A$84,efs!$C$74:$C$84,0,0)</f>
        <v>0</v>
      </c>
    </row>
    <row r="99" spans="1:36" ht="17" thickBot="1">
      <c r="A99" s="96" t="s">
        <v>18</v>
      </c>
      <c r="B99" s="32" t="s">
        <v>17</v>
      </c>
      <c r="C99" s="32" t="s">
        <v>53</v>
      </c>
      <c r="D99" s="93" t="s">
        <v>122</v>
      </c>
      <c r="E99" s="112">
        <f>BAU_Fuel_cons!N23*_xlfn.XLOOKUP($B99,efs!$A$74:$A$84,efs!$C$74:$C$84,0,0)</f>
        <v>0</v>
      </c>
      <c r="F99" s="113">
        <f>BAU_Fuel_cons!O23*_xlfn.XLOOKUP($B99,efs!$A$74:$A$84,efs!$C$74:$C$84,0,0)</f>
        <v>0</v>
      </c>
      <c r="G99" s="113">
        <f>BAU_Fuel_cons!P23*_xlfn.XLOOKUP($B99,efs!$A$74:$A$84,efs!$C$74:$C$84,0,0)</f>
        <v>0</v>
      </c>
      <c r="H99" s="113">
        <f>BAU_Fuel_cons!Q23*_xlfn.XLOOKUP($B99,efs!$A$74:$A$84,efs!$C$74:$C$84,0,0)</f>
        <v>0</v>
      </c>
      <c r="I99" s="113">
        <f>BAU_Fuel_cons!R23*_xlfn.XLOOKUP($B99,efs!$A$74:$A$84,efs!$C$74:$C$84,0,0)</f>
        <v>0</v>
      </c>
      <c r="J99" s="113">
        <f>BAU_Fuel_cons!S23*_xlfn.XLOOKUP($B99,efs!$A$74:$A$84,efs!$C$74:$C$84,0,0)</f>
        <v>0</v>
      </c>
      <c r="K99" s="113">
        <f>BAU_Fuel_cons!T23*_xlfn.XLOOKUP($B99,efs!$A$74:$A$84,efs!$C$74:$C$84,0,0)</f>
        <v>0</v>
      </c>
      <c r="L99" s="113">
        <f>BAU_Fuel_cons!U23*_xlfn.XLOOKUP($B99,efs!$A$74:$A$84,efs!$C$74:$C$84,0,0)</f>
        <v>0</v>
      </c>
      <c r="M99" s="113">
        <f>BAU_Fuel_cons!V23*_xlfn.XLOOKUP($B99,efs!$A$74:$A$84,efs!$C$74:$C$84,0,0)</f>
        <v>0</v>
      </c>
      <c r="N99" s="113">
        <f>BAU_Fuel_cons!W23*_xlfn.XLOOKUP($B99,efs!$A$74:$A$84,efs!$C$74:$C$84,0,0)</f>
        <v>0</v>
      </c>
      <c r="O99" s="113">
        <f>BAU_Fuel_cons!X23*_xlfn.XLOOKUP($B99,efs!$A$74:$A$84,efs!$C$74:$C$84,0,0)</f>
        <v>0</v>
      </c>
      <c r="P99" s="113">
        <f>BAU_Fuel_cons!Y23*_xlfn.XLOOKUP($B99,efs!$A$74:$A$84,efs!$C$74:$C$84,0,0)</f>
        <v>0</v>
      </c>
      <c r="Q99" s="113">
        <f>BAU_Fuel_cons!Z23*_xlfn.XLOOKUP($B99,efs!$A$74:$A$84,efs!$C$74:$C$84,0,0)</f>
        <v>0</v>
      </c>
      <c r="R99" s="113">
        <f>BAU_Fuel_cons!AA23*_xlfn.XLOOKUP($B99,efs!$A$74:$A$84,efs!$C$74:$C$84,0,0)</f>
        <v>0</v>
      </c>
      <c r="S99" s="113">
        <f>BAU_Fuel_cons!AB23*_xlfn.XLOOKUP($B99,efs!$A$74:$A$84,efs!$C$74:$C$84,0,0)</f>
        <v>0</v>
      </c>
      <c r="T99" s="113">
        <f>BAU_Fuel_cons!AC23*_xlfn.XLOOKUP($B99,efs!$A$74:$A$84,efs!$C$74:$C$84,0,0)</f>
        <v>0</v>
      </c>
      <c r="U99" s="113">
        <f>BAU_Fuel_cons!AD23*_xlfn.XLOOKUP($B99,efs!$A$74:$A$84,efs!$C$74:$C$84,0,0)</f>
        <v>0</v>
      </c>
      <c r="V99" s="113">
        <f>BAU_Fuel_cons!AE23*_xlfn.XLOOKUP($B99,efs!$A$74:$A$84,efs!$C$74:$C$84,0,0)</f>
        <v>0</v>
      </c>
      <c r="W99" s="113">
        <f>BAU_Fuel_cons!AF23*_xlfn.XLOOKUP($B99,efs!$A$74:$A$84,efs!$C$74:$C$84,0,0)</f>
        <v>0</v>
      </c>
      <c r="X99" s="113">
        <f>BAU_Fuel_cons!AG23*_xlfn.XLOOKUP($B99,efs!$A$74:$A$84,efs!$C$74:$C$84,0,0)</f>
        <v>0</v>
      </c>
      <c r="Y99" s="113">
        <f>BAU_Fuel_cons!AH23*_xlfn.XLOOKUP($B99,efs!$A$74:$A$84,efs!$C$74:$C$84,0,0)</f>
        <v>0</v>
      </c>
      <c r="Z99" s="113">
        <f>BAU_Fuel_cons!AI23*_xlfn.XLOOKUP($B99,efs!$A$74:$A$84,efs!$C$74:$C$84,0,0)</f>
        <v>0</v>
      </c>
      <c r="AA99" s="113">
        <f>BAU_Fuel_cons!AJ23*_xlfn.XLOOKUP($B99,efs!$A$74:$A$84,efs!$C$74:$C$84,0,0)</f>
        <v>0</v>
      </c>
      <c r="AB99" s="113">
        <f>BAU_Fuel_cons!AK23*_xlfn.XLOOKUP($B99,efs!$A$74:$A$84,efs!$C$74:$C$84,0,0)</f>
        <v>0</v>
      </c>
      <c r="AC99" s="113">
        <f>BAU_Fuel_cons!AL23*_xlfn.XLOOKUP($B99,efs!$A$74:$A$84,efs!$C$74:$C$84,0,0)</f>
        <v>0</v>
      </c>
      <c r="AD99" s="113">
        <f>BAU_Fuel_cons!AM23*_xlfn.XLOOKUP($B99,efs!$A$74:$A$84,efs!$C$74:$C$84,0,0)</f>
        <v>0</v>
      </c>
      <c r="AE99" s="113">
        <f>BAU_Fuel_cons!AN23*_xlfn.XLOOKUP($B99,efs!$A$74:$A$84,efs!$C$74:$C$84,0,0)</f>
        <v>0</v>
      </c>
      <c r="AF99" s="113">
        <f>BAU_Fuel_cons!AO23*_xlfn.XLOOKUP($B99,efs!$A$74:$A$84,efs!$C$74:$C$84,0,0)</f>
        <v>0</v>
      </c>
      <c r="AG99" s="113">
        <f>BAU_Fuel_cons!AP23*_xlfn.XLOOKUP($B99,efs!$A$74:$A$84,efs!$C$74:$C$84,0,0)</f>
        <v>0</v>
      </c>
      <c r="AH99" s="113">
        <f>BAU_Fuel_cons!AQ23*_xlfn.XLOOKUP($B99,efs!$A$74:$A$84,efs!$C$74:$C$84,0,0)</f>
        <v>0</v>
      </c>
      <c r="AI99" s="113">
        <f>BAU_Fuel_cons!AR23*_xlfn.XLOOKUP($B99,efs!$A$74:$A$84,efs!$C$74:$C$84,0,0)</f>
        <v>0</v>
      </c>
      <c r="AJ99" s="114">
        <f>BAU_Fuel_cons!AS23*_xlfn.XLOOKUP($B99,efs!$A$74:$A$84,efs!$C$74:$C$84,0,0)</f>
        <v>0</v>
      </c>
    </row>
    <row r="100" spans="1:36">
      <c r="A100" s="29" t="s">
        <v>19</v>
      </c>
      <c r="B100" s="29" t="s">
        <v>36</v>
      </c>
      <c r="C100" s="88" t="s">
        <v>53</v>
      </c>
      <c r="D100" s="89" t="s">
        <v>122</v>
      </c>
      <c r="E100" s="107">
        <f>BAU_Fuel_cons!N24*_xlfn.XLOOKUP($B100,efs!$A$74:$A$84,efs!$C$74:$C$84,0,0)</f>
        <v>340.28524460211815</v>
      </c>
      <c r="F100" s="108">
        <f>BAU_Fuel_cons!O24*_xlfn.XLOOKUP($B100,efs!$A$74:$A$84,efs!$C$74:$C$84,0,0)</f>
        <v>341.01537223395741</v>
      </c>
      <c r="G100" s="108">
        <f>BAU_Fuel_cons!P24*_xlfn.XLOOKUP($B100,efs!$A$74:$A$84,efs!$C$74:$C$84,0,0)</f>
        <v>340.96851590003774</v>
      </c>
      <c r="H100" s="108">
        <f>BAU_Fuel_cons!Q24*_xlfn.XLOOKUP($B100,efs!$A$74:$A$84,efs!$C$74:$C$84,0,0)</f>
        <v>340.08403357233556</v>
      </c>
      <c r="I100" s="108">
        <f>BAU_Fuel_cons!R24*_xlfn.XLOOKUP($B100,efs!$A$74:$A$84,efs!$C$74:$C$84,0,0)</f>
        <v>338.29420188980339</v>
      </c>
      <c r="J100" s="108">
        <f>BAU_Fuel_cons!S24*_xlfn.XLOOKUP($B100,efs!$A$74:$A$84,efs!$C$74:$C$84,0,0)</f>
        <v>335.52911252799748</v>
      </c>
      <c r="K100" s="108">
        <f>BAU_Fuel_cons!T24*_xlfn.XLOOKUP($B100,efs!$A$74:$A$84,efs!$C$74:$C$84,0,0)</f>
        <v>336.29643287272893</v>
      </c>
      <c r="L100" s="108">
        <f>BAU_Fuel_cons!U24*_xlfn.XLOOKUP($B100,efs!$A$74:$A$84,efs!$C$74:$C$84,0,0)</f>
        <v>336.33676719982867</v>
      </c>
      <c r="M100" s="108">
        <f>BAU_Fuel_cons!V24*_xlfn.XLOOKUP($B100,efs!$A$74:$A$84,efs!$C$74:$C$84,0,0)</f>
        <v>335.59946091815442</v>
      </c>
      <c r="N100" s="108">
        <f>BAU_Fuel_cons!W24*_xlfn.XLOOKUP($B100,efs!$A$74:$A$84,efs!$C$74:$C$84,0,0)</f>
        <v>334.0303232149555</v>
      </c>
      <c r="O100" s="108">
        <f>BAU_Fuel_cons!X24*_xlfn.XLOOKUP($B100,efs!$A$74:$A$84,efs!$C$74:$C$84,0,0)</f>
        <v>331.57437552552051</v>
      </c>
      <c r="P100" s="108">
        <f>BAU_Fuel_cons!Y24*_xlfn.XLOOKUP($B100,efs!$A$74:$A$84,efs!$C$74:$C$84,0,0)</f>
        <v>328.17889349902805</v>
      </c>
      <c r="Q100" s="108">
        <f>BAU_Fuel_cons!Z24*_xlfn.XLOOKUP($B100,efs!$A$74:$A$84,efs!$C$74:$C$84,0,0)</f>
        <v>323.7933081473949</v>
      </c>
      <c r="R100" s="108">
        <f>BAU_Fuel_cons!AA24*_xlfn.XLOOKUP($B100,efs!$A$74:$A$84,efs!$C$74:$C$84,0,0)</f>
        <v>318.3691620246625</v>
      </c>
      <c r="S100" s="108">
        <f>BAU_Fuel_cons!AB24*_xlfn.XLOOKUP($B100,efs!$A$74:$A$84,efs!$C$74:$C$84,0,0)</f>
        <v>311.8565026885899</v>
      </c>
      <c r="T100" s="108">
        <f>BAU_Fuel_cons!AC24*_xlfn.XLOOKUP($B100,efs!$A$74:$A$84,efs!$C$74:$C$84,0,0)</f>
        <v>304.20085704014804</v>
      </c>
      <c r="U100" s="108">
        <f>BAU_Fuel_cons!AD24*_xlfn.XLOOKUP($B100,efs!$A$74:$A$84,efs!$C$74:$C$84,0,0)</f>
        <v>295.449144727484</v>
      </c>
      <c r="V100" s="108">
        <f>BAU_Fuel_cons!AE24*_xlfn.XLOOKUP($B100,efs!$A$74:$A$84,efs!$C$74:$C$84,0,0)</f>
        <v>285.53924748312318</v>
      </c>
      <c r="W100" s="108">
        <f>BAU_Fuel_cons!AF24*_xlfn.XLOOKUP($B100,efs!$A$74:$A$84,efs!$C$74:$C$84,0,0)</f>
        <v>274.42546550251114</v>
      </c>
      <c r="X100" s="108">
        <f>BAU_Fuel_cons!AG24*_xlfn.XLOOKUP($B100,efs!$A$74:$A$84,efs!$C$74:$C$84,0,0)</f>
        <v>262.0640556224443</v>
      </c>
      <c r="Y100" s="108">
        <f>BAU_Fuel_cons!AH24*_xlfn.XLOOKUP($B100,efs!$A$74:$A$84,efs!$C$74:$C$84,0,0)</f>
        <v>248.41142040873652</v>
      </c>
      <c r="Z100" s="108">
        <f>BAU_Fuel_cons!AI24*_xlfn.XLOOKUP($B100,efs!$A$74:$A$84,efs!$C$74:$C$84,0,0)</f>
        <v>233.42291073247532</v>
      </c>
      <c r="AA100" s="108">
        <f>BAU_Fuel_cons!AJ24*_xlfn.XLOOKUP($B100,efs!$A$74:$A$84,efs!$C$74:$C$84,0,0)</f>
        <v>217.05230094174314</v>
      </c>
      <c r="AB100" s="108">
        <f>BAU_Fuel_cons!AK24*_xlfn.XLOOKUP($B100,efs!$A$74:$A$84,efs!$C$74:$C$84,0,0)</f>
        <v>199.25310449910887</v>
      </c>
      <c r="AC100" s="108">
        <f>BAU_Fuel_cons!AL24*_xlfn.XLOOKUP($B100,efs!$A$74:$A$84,efs!$C$74:$C$84,0,0)</f>
        <v>179.97959000841286</v>
      </c>
      <c r="AD100" s="108">
        <f>BAU_Fuel_cons!AM24*_xlfn.XLOOKUP($B100,efs!$A$74:$A$84,efs!$C$74:$C$84,0,0)</f>
        <v>159.18621969946236</v>
      </c>
      <c r="AE100" s="108">
        <f>BAU_Fuel_cons!AN24*_xlfn.XLOOKUP($B100,efs!$A$74:$A$84,efs!$C$74:$C$84,0,0)</f>
        <v>136.82757809214928</v>
      </c>
      <c r="AF100" s="108">
        <f>BAU_Fuel_cons!AO24*_xlfn.XLOOKUP($B100,efs!$A$74:$A$84,efs!$C$74:$C$84,0,0)</f>
        <v>112.85854727890415</v>
      </c>
      <c r="AG100" s="108">
        <f>BAU_Fuel_cons!AP24*_xlfn.XLOOKUP($B100,efs!$A$74:$A$84,efs!$C$74:$C$84,0,0)</f>
        <v>87.234488321654922</v>
      </c>
      <c r="AH100" s="108">
        <f>BAU_Fuel_cons!AQ24*_xlfn.XLOOKUP($B100,efs!$A$74:$A$84,efs!$C$74:$C$84,0,0)</f>
        <v>59.911681496130953</v>
      </c>
      <c r="AI100" s="108">
        <f>BAU_Fuel_cons!AR24*_xlfn.XLOOKUP($B100,efs!$A$74:$A$84,efs!$C$74:$C$84,0,0)</f>
        <v>30.847350749879805</v>
      </c>
      <c r="AJ100" s="109">
        <f>BAU_Fuel_cons!AS24*_xlfn.XLOOKUP($B100,efs!$A$74:$A$84,efs!$C$74:$C$84,0,0)</f>
        <v>0</v>
      </c>
    </row>
    <row r="101" spans="1:36">
      <c r="A101" s="4" t="s">
        <v>19</v>
      </c>
      <c r="B101" s="4" t="s">
        <v>8</v>
      </c>
      <c r="C101" s="4" t="s">
        <v>53</v>
      </c>
      <c r="D101" s="91" t="s">
        <v>122</v>
      </c>
      <c r="E101" s="110">
        <f>BAU_Fuel_cons!N25*_xlfn.XLOOKUP($B101,efs!$A$74:$A$84,efs!$C$74:$C$84,0,0)</f>
        <v>2028.7248949010393</v>
      </c>
      <c r="F101" s="18">
        <f>BAU_Fuel_cons!O25*_xlfn.XLOOKUP($B101,efs!$A$74:$A$84,efs!$C$74:$C$84,0,0)</f>
        <v>2160.9710290016378</v>
      </c>
      <c r="G101" s="18">
        <f>BAU_Fuel_cons!P25*_xlfn.XLOOKUP($B101,efs!$A$74:$A$84,efs!$C$74:$C$84,0,0)</f>
        <v>2299.9674764561528</v>
      </c>
      <c r="H101" s="18">
        <f>BAU_Fuel_cons!Q25*_xlfn.XLOOKUP($B101,efs!$A$74:$A$84,efs!$C$74:$C$84,0,0)</f>
        <v>2445.9179214257642</v>
      </c>
      <c r="I101" s="18">
        <f>BAU_Fuel_cons!R25*_xlfn.XLOOKUP($B101,efs!$A$74:$A$84,efs!$C$74:$C$84,0,0)</f>
        <v>2598.9781250061983</v>
      </c>
      <c r="J101" s="18">
        <f>BAU_Fuel_cons!S25*_xlfn.XLOOKUP($B101,efs!$A$74:$A$84,efs!$C$74:$C$84,0,0)</f>
        <v>2759.2787040918724</v>
      </c>
      <c r="K101" s="18">
        <f>BAU_Fuel_cons!T25*_xlfn.XLOOKUP($B101,efs!$A$74:$A$84,efs!$C$74:$C$84,0,0)</f>
        <v>2900.8599597312113</v>
      </c>
      <c r="L101" s="18">
        <f>BAU_Fuel_cons!U25*_xlfn.XLOOKUP($B101,efs!$A$74:$A$84,efs!$C$74:$C$84,0,0)</f>
        <v>3047.7691157906329</v>
      </c>
      <c r="M101" s="18">
        <f>BAU_Fuel_cons!V25*_xlfn.XLOOKUP($B101,efs!$A$74:$A$84,efs!$C$74:$C$84,0,0)</f>
        <v>3200.0443644320781</v>
      </c>
      <c r="N101" s="18">
        <f>BAU_Fuel_cons!W25*_xlfn.XLOOKUP($B101,efs!$A$74:$A$84,efs!$C$74:$C$84,0,0)</f>
        <v>3357.6784205621411</v>
      </c>
      <c r="O101" s="18">
        <f>BAU_Fuel_cons!X25*_xlfn.XLOOKUP($B101,efs!$A$74:$A$84,efs!$C$74:$C$84,0,0)</f>
        <v>3520.6353342890188</v>
      </c>
      <c r="P101" s="18">
        <f>BAU_Fuel_cons!Y25*_xlfn.XLOOKUP($B101,efs!$A$74:$A$84,efs!$C$74:$C$84,0,0)</f>
        <v>3688.8771569312798</v>
      </c>
      <c r="Q101" s="18">
        <f>BAU_Fuel_cons!Z25*_xlfn.XLOOKUP($B101,efs!$A$74:$A$84,efs!$C$74:$C$84,0,0)</f>
        <v>3862.3633228083081</v>
      </c>
      <c r="R101" s="18">
        <f>BAU_Fuel_cons!AA25*_xlfn.XLOOKUP($B101,efs!$A$74:$A$84,efs!$C$74:$C$84,0,0)</f>
        <v>4041.0504630877163</v>
      </c>
      <c r="S101" s="18">
        <f>BAU_Fuel_cons!AB25*_xlfn.XLOOKUP($B101,efs!$A$74:$A$84,efs!$C$74:$C$84,0,0)</f>
        <v>4224.843860041211</v>
      </c>
      <c r="T101" s="18">
        <f>BAU_Fuel_cons!AC25*_xlfn.XLOOKUP($B101,efs!$A$74:$A$84,efs!$C$74:$C$84,0,0)</f>
        <v>4413.5366463218052</v>
      </c>
      <c r="U101" s="18">
        <f>BAU_Fuel_cons!AD25*_xlfn.XLOOKUP($B101,efs!$A$74:$A$84,efs!$C$74:$C$84,0,0)</f>
        <v>4608.4217001319257</v>
      </c>
      <c r="V101" s="18">
        <f>BAU_Fuel_cons!AE25*_xlfn.XLOOKUP($B101,efs!$A$74:$A$84,efs!$C$74:$C$84,0,0)</f>
        <v>4809.3493261190188</v>
      </c>
      <c r="W101" s="18">
        <f>BAU_Fuel_cons!AF25*_xlfn.XLOOKUP($B101,efs!$A$74:$A$84,efs!$C$74:$C$84,0,0)</f>
        <v>5016.3888709596922</v>
      </c>
      <c r="X101" s="18">
        <f>BAU_Fuel_cons!AG25*_xlfn.XLOOKUP($B101,efs!$A$74:$A$84,efs!$C$74:$C$84,0,0)</f>
        <v>5229.6439312783568</v>
      </c>
      <c r="Y101" s="18">
        <f>BAU_Fuel_cons!AH25*_xlfn.XLOOKUP($B101,efs!$A$74:$A$84,efs!$C$74:$C$84,0,0)</f>
        <v>5449.2298266658017</v>
      </c>
      <c r="Z101" s="18">
        <f>BAU_Fuel_cons!AI25*_xlfn.XLOOKUP($B101,efs!$A$74:$A$84,efs!$C$74:$C$84,0,0)</f>
        <v>5675.2504815054281</v>
      </c>
      <c r="AA101" s="18">
        <f>BAU_Fuel_cons!AJ25*_xlfn.XLOOKUP($B101,efs!$A$74:$A$84,efs!$C$74:$C$84,0,0)</f>
        <v>5907.776738859442</v>
      </c>
      <c r="AB101" s="18">
        <f>BAU_Fuel_cons!AK25*_xlfn.XLOOKUP($B101,efs!$A$74:$A$84,efs!$C$74:$C$84,0,0)</f>
        <v>6146.8644660495402</v>
      </c>
      <c r="AC101" s="18">
        <f>BAU_Fuel_cons!AL25*_xlfn.XLOOKUP($B101,efs!$A$74:$A$84,efs!$C$74:$C$84,0,0)</f>
        <v>6392.5796038642484</v>
      </c>
      <c r="AD101" s="18">
        <f>BAU_Fuel_cons!AM25*_xlfn.XLOOKUP($B101,efs!$A$74:$A$84,efs!$C$74:$C$84,0,0)</f>
        <v>6644.9842745432552</v>
      </c>
      <c r="AE101" s="18">
        <f>BAU_Fuel_cons!AN25*_xlfn.XLOOKUP($B101,efs!$A$74:$A$84,efs!$C$74:$C$84,0,0)</f>
        <v>6904.12971849515</v>
      </c>
      <c r="AF101" s="18">
        <f>BAU_Fuel_cons!AO25*_xlfn.XLOOKUP($B101,efs!$A$74:$A$84,efs!$C$74:$C$84,0,0)</f>
        <v>7170.054108023246</v>
      </c>
      <c r="AG101" s="18">
        <f>BAU_Fuel_cons!AP25*_xlfn.XLOOKUP($B101,efs!$A$74:$A$84,efs!$C$74:$C$84,0,0)</f>
        <v>7442.7771525193857</v>
      </c>
      <c r="AH101" s="18">
        <f>BAU_Fuel_cons!AQ25*_xlfn.XLOOKUP($B101,efs!$A$74:$A$84,efs!$C$74:$C$84,0,0)</f>
        <v>7722.3128804612998</v>
      </c>
      <c r="AI101" s="18">
        <f>BAU_Fuel_cons!AR25*_xlfn.XLOOKUP($B101,efs!$A$74:$A$84,efs!$C$74:$C$84,0,0)</f>
        <v>8008.6560059523372</v>
      </c>
      <c r="AJ101" s="111">
        <f>BAU_Fuel_cons!AS25*_xlfn.XLOOKUP($B101,efs!$A$74:$A$84,efs!$C$74:$C$84,0,0)</f>
        <v>8301.7946347335946</v>
      </c>
    </row>
    <row r="102" spans="1:36">
      <c r="A102" s="4" t="s">
        <v>19</v>
      </c>
      <c r="B102" s="4" t="s">
        <v>37</v>
      </c>
      <c r="C102" s="4" t="s">
        <v>53</v>
      </c>
      <c r="D102" s="91" t="s">
        <v>122</v>
      </c>
      <c r="E102" s="110">
        <f>BAU_Fuel_cons!N26*_xlfn.XLOOKUP($B102,efs!$A$74:$A$84,efs!$C$74:$C$84,0,0)</f>
        <v>8.36117092258932</v>
      </c>
      <c r="F102" s="18">
        <f>BAU_Fuel_cons!O26*_xlfn.XLOOKUP($B102,efs!$A$74:$A$84,efs!$C$74:$C$84,0,0)</f>
        <v>10.336164495059693</v>
      </c>
      <c r="G102" s="18">
        <f>BAU_Fuel_cons!P26*_xlfn.XLOOKUP($B102,efs!$A$74:$A$84,efs!$C$74:$C$84,0,0)</f>
        <v>12.466245532577894</v>
      </c>
      <c r="H102" s="18">
        <f>BAU_Fuel_cons!Q26*_xlfn.XLOOKUP($B102,efs!$A$74:$A$84,efs!$C$74:$C$84,0,0)</f>
        <v>14.758573161346952</v>
      </c>
      <c r="I102" s="18">
        <f>BAU_Fuel_cons!R26*_xlfn.XLOOKUP($B102,efs!$A$74:$A$84,efs!$C$74:$C$84,0,0)</f>
        <v>17.22004520750346</v>
      </c>
      <c r="J102" s="18">
        <f>BAU_Fuel_cons!S26*_xlfn.XLOOKUP($B102,efs!$A$74:$A$84,efs!$C$74:$C$84,0,0)</f>
        <v>19.857320380651338</v>
      </c>
      <c r="K102" s="18">
        <f>BAU_Fuel_cons!T26*_xlfn.XLOOKUP($B102,efs!$A$74:$A$84,efs!$C$74:$C$84,0,0)</f>
        <v>22.527447255961434</v>
      </c>
      <c r="L102" s="18">
        <f>BAU_Fuel_cons!U26*_xlfn.XLOOKUP($B102,efs!$A$74:$A$84,efs!$C$74:$C$84,0,0)</f>
        <v>25.373931669129515</v>
      </c>
      <c r="M102" s="18">
        <f>BAU_Fuel_cons!V26*_xlfn.XLOOKUP($B102,efs!$A$74:$A$84,efs!$C$74:$C$84,0,0)</f>
        <v>28.402599624146632</v>
      </c>
      <c r="N102" s="18">
        <f>BAU_Fuel_cons!W26*_xlfn.XLOOKUP($B102,efs!$A$74:$A$84,efs!$C$74:$C$84,0,0)</f>
        <v>31.618749695421574</v>
      </c>
      <c r="O102" s="18">
        <f>BAU_Fuel_cons!X26*_xlfn.XLOOKUP($B102,efs!$A$74:$A$84,efs!$C$74:$C$84,0,0)</f>
        <v>35.0272033418101</v>
      </c>
      <c r="P102" s="18">
        <f>BAU_Fuel_cons!Y26*_xlfn.XLOOKUP($B102,efs!$A$74:$A$84,efs!$C$74:$C$84,0,0)</f>
        <v>38.63251695026424</v>
      </c>
      <c r="Q102" s="18">
        <f>BAU_Fuel_cons!Z26*_xlfn.XLOOKUP($B102,efs!$A$74:$A$84,efs!$C$74:$C$84,0,0)</f>
        <v>42.43897976362647</v>
      </c>
      <c r="R102" s="18">
        <f>BAU_Fuel_cons!AA26*_xlfn.XLOOKUP($B102,efs!$A$74:$A$84,efs!$C$74:$C$84,0,0)</f>
        <v>46.450614667561588</v>
      </c>
      <c r="S102" s="18">
        <f>BAU_Fuel_cons!AB26*_xlfn.XLOOKUP($B102,efs!$A$74:$A$84,efs!$C$74:$C$84,0,0)</f>
        <v>50.670598280669857</v>
      </c>
      <c r="T102" s="18">
        <f>BAU_Fuel_cons!AC26*_xlfn.XLOOKUP($B102,efs!$A$74:$A$84,efs!$C$74:$C$84,0,0)</f>
        <v>55.100384945392783</v>
      </c>
      <c r="U102" s="18">
        <f>BAU_Fuel_cons!AD26*_xlfn.XLOOKUP($B102,efs!$A$74:$A$84,efs!$C$74:$C$84,0,0)</f>
        <v>59.760350845646599</v>
      </c>
      <c r="V102" s="18">
        <f>BAU_Fuel_cons!AE26*_xlfn.XLOOKUP($B102,efs!$A$74:$A$84,efs!$C$74:$C$84,0,0)</f>
        <v>64.653827111615627</v>
      </c>
      <c r="W102" s="18">
        <f>BAU_Fuel_cons!AF26*_xlfn.XLOOKUP($B102,efs!$A$74:$A$84,efs!$C$74:$C$84,0,0)</f>
        <v>69.786746865118374</v>
      </c>
      <c r="X102" s="18">
        <f>BAU_Fuel_cons!AG26*_xlfn.XLOOKUP($B102,efs!$A$74:$A$84,efs!$C$74:$C$84,0,0)</f>
        <v>75.165511375632207</v>
      </c>
      <c r="Y102" s="18">
        <f>BAU_Fuel_cons!AH26*_xlfn.XLOOKUP($B102,efs!$A$74:$A$84,efs!$C$74:$C$84,0,0)</f>
        <v>80.796734748773417</v>
      </c>
      <c r="Z102" s="18">
        <f>BAU_Fuel_cons!AI26*_xlfn.XLOOKUP($B102,efs!$A$74:$A$84,efs!$C$74:$C$84,0,0)</f>
        <v>86.686915558767751</v>
      </c>
      <c r="AA102" s="18">
        <f>BAU_Fuel_cons!AJ26*_xlfn.XLOOKUP($B102,efs!$A$74:$A$84,efs!$C$74:$C$84,0,0)</f>
        <v>92.842068749406465</v>
      </c>
      <c r="AB102" s="18">
        <f>BAU_Fuel_cons!AK26*_xlfn.XLOOKUP($B102,efs!$A$74:$A$84,efs!$C$74:$C$84,0,0)</f>
        <v>99.267944873500383</v>
      </c>
      <c r="AC102" s="18">
        <f>BAU_Fuel_cons!AL26*_xlfn.XLOOKUP($B102,efs!$A$74:$A$84,efs!$C$74:$C$84,0,0)</f>
        <v>105.9704141384608</v>
      </c>
      <c r="AD102" s="18">
        <f>BAU_Fuel_cons!AM26*_xlfn.XLOOKUP($B102,efs!$A$74:$A$84,efs!$C$74:$C$84,0,0)</f>
        <v>112.95525322187676</v>
      </c>
      <c r="AE102" s="18">
        <f>BAU_Fuel_cons!AN26*_xlfn.XLOOKUP($B102,efs!$A$74:$A$84,efs!$C$74:$C$84,0,0)</f>
        <v>120.22801538103747</v>
      </c>
      <c r="AF102" s="18">
        <f>BAU_Fuel_cons!AO26*_xlfn.XLOOKUP($B102,efs!$A$74:$A$84,efs!$C$74:$C$84,0,0)</f>
        <v>127.79397043615499</v>
      </c>
      <c r="AG102" s="18">
        <f>BAU_Fuel_cons!AP26*_xlfn.XLOOKUP($B102,efs!$A$74:$A$84,efs!$C$74:$C$84,0,0)</f>
        <v>135.65798188343581</v>
      </c>
      <c r="AH102" s="18">
        <f>BAU_Fuel_cons!AQ26*_xlfn.XLOOKUP($B102,efs!$A$74:$A$84,efs!$C$74:$C$84,0,0)</f>
        <v>143.82471071515869</v>
      </c>
      <c r="AI102" s="18">
        <f>BAU_Fuel_cons!AR26*_xlfn.XLOOKUP($B102,efs!$A$74:$A$84,efs!$C$74:$C$84,0,0)</f>
        <v>152.29834842932883</v>
      </c>
      <c r="AJ102" s="111">
        <f>BAU_Fuel_cons!AS26*_xlfn.XLOOKUP($B102,efs!$A$74:$A$84,efs!$C$74:$C$84,0,0)</f>
        <v>161.08282981003347</v>
      </c>
    </row>
    <row r="103" spans="1:36">
      <c r="A103" s="4" t="s">
        <v>19</v>
      </c>
      <c r="B103" s="4" t="s">
        <v>10</v>
      </c>
      <c r="C103" s="4" t="s">
        <v>53</v>
      </c>
      <c r="D103" s="91" t="s">
        <v>122</v>
      </c>
      <c r="E103" s="110">
        <f>BAU_Fuel_cons!N27*_xlfn.XLOOKUP($B103,efs!$A$74:$A$84,efs!$C$74:$C$84,0,0)</f>
        <v>6.2587253272286318</v>
      </c>
      <c r="F103" s="18">
        <f>BAU_Fuel_cons!O27*_xlfn.XLOOKUP($B103,efs!$A$74:$A$84,efs!$C$74:$C$84,0,0)</f>
        <v>7.7370998763885472</v>
      </c>
      <c r="G103" s="18">
        <f>BAU_Fuel_cons!P27*_xlfn.XLOOKUP($B103,efs!$A$74:$A$84,efs!$C$74:$C$84,0,0)</f>
        <v>9.3315646065080013</v>
      </c>
      <c r="H103" s="18">
        <f>BAU_Fuel_cons!Q27*_xlfn.XLOOKUP($B103,efs!$A$74:$A$84,efs!$C$74:$C$84,0,0)</f>
        <v>11.04747845653101</v>
      </c>
      <c r="I103" s="18">
        <f>BAU_Fuel_cons!R27*_xlfn.XLOOKUP($B103,efs!$A$74:$A$84,efs!$C$74:$C$84,0,0)</f>
        <v>12.890004770151224</v>
      </c>
      <c r="J103" s="18">
        <f>BAU_Fuel_cons!S27*_xlfn.XLOOKUP($B103,efs!$A$74:$A$84,efs!$C$74:$C$84,0,0)</f>
        <v>14.864127901214115</v>
      </c>
      <c r="K103" s="18">
        <f>BAU_Fuel_cons!T27*_xlfn.XLOOKUP($B103,efs!$A$74:$A$84,efs!$C$74:$C$84,0,0)</f>
        <v>16.862842059331413</v>
      </c>
      <c r="L103" s="18">
        <f>BAU_Fuel_cons!U27*_xlfn.XLOOKUP($B103,efs!$A$74:$A$84,efs!$C$74:$C$84,0,0)</f>
        <v>18.993568037211588</v>
      </c>
      <c r="M103" s="18">
        <f>BAU_Fuel_cons!V27*_xlfn.XLOOKUP($B103,efs!$A$74:$A$84,efs!$C$74:$C$84,0,0)</f>
        <v>21.260666869818877</v>
      </c>
      <c r="N103" s="18">
        <f>BAU_Fuel_cons!W27*_xlfn.XLOOKUP($B103,efs!$A$74:$A$84,efs!$C$74:$C$84,0,0)</f>
        <v>23.668104786543577</v>
      </c>
      <c r="O103" s="18">
        <f>BAU_Fuel_cons!X27*_xlfn.XLOOKUP($B103,efs!$A$74:$A$84,efs!$C$74:$C$84,0,0)</f>
        <v>26.219490873593131</v>
      </c>
      <c r="P103" s="18">
        <f>BAU_Fuel_cons!Y27*_xlfn.XLOOKUP($B103,efs!$A$74:$A$84,efs!$C$74:$C$84,0,0)</f>
        <v>28.918235798526108</v>
      </c>
      <c r="Q103" s="18">
        <f>BAU_Fuel_cons!Z27*_xlfn.XLOOKUP($B103,efs!$A$74:$A$84,efs!$C$74:$C$84,0,0)</f>
        <v>31.767550259109747</v>
      </c>
      <c r="R103" s="18">
        <f>BAU_Fuel_cons!AA27*_xlfn.XLOOKUP($B103,efs!$A$74:$A$84,efs!$C$74:$C$84,0,0)</f>
        <v>34.770445572375145</v>
      </c>
      <c r="S103" s="18">
        <f>BAU_Fuel_cons!AB27*_xlfn.XLOOKUP($B103,efs!$A$74:$A$84,efs!$C$74:$C$84,0,0)</f>
        <v>37.929299585094284</v>
      </c>
      <c r="T103" s="18">
        <f>BAU_Fuel_cons!AC27*_xlfn.XLOOKUP($B103,efs!$A$74:$A$84,efs!$C$74:$C$84,0,0)</f>
        <v>41.245200940228457</v>
      </c>
      <c r="U103" s="18">
        <f>BAU_Fuel_cons!AD27*_xlfn.XLOOKUP($B103,efs!$A$74:$A$84,efs!$C$74:$C$84,0,0)</f>
        <v>44.733402159168456</v>
      </c>
      <c r="V103" s="18">
        <f>BAU_Fuel_cons!AE27*_xlfn.XLOOKUP($B103,efs!$A$74:$A$84,efs!$C$74:$C$84,0,0)</f>
        <v>48.396396747793553</v>
      </c>
      <c r="W103" s="18">
        <f>BAU_Fuel_cons!AF27*_xlfn.XLOOKUP($B103,efs!$A$74:$A$84,efs!$C$74:$C$84,0,0)</f>
        <v>52.23862592374401</v>
      </c>
      <c r="X103" s="18">
        <f>BAU_Fuel_cons!AG27*_xlfn.XLOOKUP($B103,efs!$A$74:$A$84,efs!$C$74:$C$84,0,0)</f>
        <v>56.264881334957145</v>
      </c>
      <c r="Y103" s="18">
        <f>BAU_Fuel_cons!AH27*_xlfn.XLOOKUP($B103,efs!$A$74:$A$84,efs!$C$74:$C$84,0,0)</f>
        <v>60.480113947119555</v>
      </c>
      <c r="Z103" s="18">
        <f>BAU_Fuel_cons!AI27*_xlfn.XLOOKUP($B103,efs!$A$74:$A$84,efs!$C$74:$C$84,0,0)</f>
        <v>64.889188245298485</v>
      </c>
      <c r="AA103" s="18">
        <f>BAU_Fuel_cons!AJ27*_xlfn.XLOOKUP($B103,efs!$A$74:$A$84,efs!$C$74:$C$84,0,0)</f>
        <v>69.496606694686477</v>
      </c>
      <c r="AB103" s="18">
        <f>BAU_Fuel_cons!AK27*_xlfn.XLOOKUP($B103,efs!$A$74:$A$84,efs!$C$74:$C$84,0,0)</f>
        <v>74.30667385153005</v>
      </c>
      <c r="AC103" s="18">
        <f>BAU_Fuel_cons!AL27*_xlfn.XLOOKUP($B103,efs!$A$74:$A$84,efs!$C$74:$C$84,0,0)</f>
        <v>79.323783839109453</v>
      </c>
      <c r="AD103" s="18">
        <f>BAU_Fuel_cons!AM27*_xlfn.XLOOKUP($B103,efs!$A$74:$A$84,efs!$C$74:$C$84,0,0)</f>
        <v>84.552260769282768</v>
      </c>
      <c r="AE103" s="18">
        <f>BAU_Fuel_cons!AN27*_xlfn.XLOOKUP($B103,efs!$A$74:$A$84,efs!$C$74:$C$84,0,0)</f>
        <v>89.996261513421985</v>
      </c>
      <c r="AF103" s="18">
        <f>BAU_Fuel_cons!AO27*_xlfn.XLOOKUP($B103,efs!$A$74:$A$84,efs!$C$74:$C$84,0,0)</f>
        <v>95.659730777063757</v>
      </c>
      <c r="AG103" s="18">
        <f>BAU_Fuel_cons!AP27*_xlfn.XLOOKUP($B103,efs!$A$74:$A$84,efs!$C$74:$C$84,0,0)</f>
        <v>101.54630911332777</v>
      </c>
      <c r="AH103" s="18">
        <f>BAU_Fuel_cons!AQ27*_xlfn.XLOOKUP($B103,efs!$A$74:$A$84,efs!$C$74:$C$84,0,0)</f>
        <v>107.65948549172502</v>
      </c>
      <c r="AI103" s="18">
        <f>BAU_Fuel_cons!AR27*_xlfn.XLOOKUP($B103,efs!$A$74:$A$84,efs!$C$74:$C$84,0,0)</f>
        <v>114.00239744346575</v>
      </c>
      <c r="AJ103" s="111">
        <f>BAU_Fuel_cons!AS27*_xlfn.XLOOKUP($B103,efs!$A$74:$A$84,efs!$C$74:$C$84,0,0)</f>
        <v>120.57799033745239</v>
      </c>
    </row>
    <row r="104" spans="1:36">
      <c r="A104" s="4" t="s">
        <v>19</v>
      </c>
      <c r="B104" s="4" t="s">
        <v>11</v>
      </c>
      <c r="C104" s="4" t="s">
        <v>53</v>
      </c>
      <c r="D104" s="91" t="s">
        <v>122</v>
      </c>
      <c r="E104" s="110">
        <f>BAU_Fuel_cons!N28*_xlfn.XLOOKUP($B104,efs!$A$74:$A$84,efs!$C$74:$C$84,0,0)</f>
        <v>0.23198662192599856</v>
      </c>
      <c r="F104" s="18">
        <f>BAU_Fuel_cons!O28*_xlfn.XLOOKUP($B104,efs!$A$74:$A$84,efs!$C$74:$C$84,0,0)</f>
        <v>0.27342801289293994</v>
      </c>
      <c r="G104" s="18">
        <f>BAU_Fuel_cons!P28*_xlfn.XLOOKUP($B104,efs!$A$74:$A$84,efs!$C$74:$C$84,0,0)</f>
        <v>0.31798370621221428</v>
      </c>
      <c r="H104" s="18">
        <f>BAU_Fuel_cons!Q28*_xlfn.XLOOKUP($B104,efs!$A$74:$A$84,efs!$C$74:$C$84,0,0)</f>
        <v>0.36579330938630522</v>
      </c>
      <c r="I104" s="18">
        <f>BAU_Fuel_cons!R28*_xlfn.XLOOKUP($B104,efs!$A$74:$A$84,efs!$C$74:$C$84,0,0)</f>
        <v>0.41698977578238805</v>
      </c>
      <c r="J104" s="18">
        <f>BAU_Fuel_cons!S28*_xlfn.XLOOKUP($B104,efs!$A$74:$A$84,efs!$C$74:$C$84,0,0)</f>
        <v>0.47170068980238483</v>
      </c>
      <c r="K104" s="18">
        <f>BAU_Fuel_cons!T28*_xlfn.XLOOKUP($B104,efs!$A$74:$A$84,efs!$C$74:$C$84,0,0)</f>
        <v>0.47277942044719301</v>
      </c>
      <c r="L104" s="18">
        <f>BAU_Fuel_cons!U28*_xlfn.XLOOKUP($B104,efs!$A$74:$A$84,efs!$C$74:$C$84,0,0)</f>
        <v>0.47283612411076592</v>
      </c>
      <c r="M104" s="18">
        <f>BAU_Fuel_cons!V28*_xlfn.XLOOKUP($B104,efs!$A$74:$A$84,efs!$C$74:$C$84,0,0)</f>
        <v>0.47179958847592623</v>
      </c>
      <c r="N104" s="18">
        <f>BAU_Fuel_cons!W28*_xlfn.XLOOKUP($B104,efs!$A$74:$A$84,efs!$C$74:$C$84,0,0)</f>
        <v>0.46959362985905029</v>
      </c>
      <c r="O104" s="18">
        <f>BAU_Fuel_cons!X28*_xlfn.XLOOKUP($B104,efs!$A$74:$A$84,efs!$C$74:$C$84,0,0)</f>
        <v>0.46614095712225945</v>
      </c>
      <c r="P104" s="18">
        <f>BAU_Fuel_cons!Y28*_xlfn.XLOOKUP($B104,efs!$A$74:$A$84,efs!$C$74:$C$84,0,0)</f>
        <v>0.46136744819470116</v>
      </c>
      <c r="Q104" s="18">
        <f>BAU_Fuel_cons!Z28*_xlfn.XLOOKUP($B104,efs!$A$74:$A$84,efs!$C$74:$C$84,0,0)</f>
        <v>0.45520201110351577</v>
      </c>
      <c r="R104" s="18">
        <f>BAU_Fuel_cons!AA28*_xlfn.XLOOKUP($B104,efs!$A$74:$A$84,efs!$C$74:$C$84,0,0)</f>
        <v>0.44757652236900758</v>
      </c>
      <c r="S104" s="18">
        <f>BAU_Fuel_cons!AB28*_xlfn.XLOOKUP($B104,efs!$A$74:$A$84,efs!$C$74:$C$84,0,0)</f>
        <v>0.43842075678393605</v>
      </c>
      <c r="T104" s="18">
        <f>BAU_Fuel_cons!AC28*_xlfn.XLOOKUP($B104,efs!$A$74:$A$84,efs!$C$74:$C$84,0,0)</f>
        <v>0.42765813381496409</v>
      </c>
      <c r="U104" s="18">
        <f>BAU_Fuel_cons!AD28*_xlfn.XLOOKUP($B104,efs!$A$74:$A$84,efs!$C$74:$C$84,0,0)</f>
        <v>0.41535461504208504</v>
      </c>
      <c r="V104" s="18">
        <f>BAU_Fuel_cons!AE28*_xlfn.XLOOKUP($B104,efs!$A$74:$A$84,efs!$C$74:$C$84,0,0)</f>
        <v>0.40142287203827731</v>
      </c>
      <c r="W104" s="18">
        <f>BAU_Fuel_cons!AF28*_xlfn.XLOOKUP($B104,efs!$A$74:$A$84,efs!$C$74:$C$84,0,0)</f>
        <v>0.38579865813007119</v>
      </c>
      <c r="X104" s="18">
        <f>BAU_Fuel_cons!AG28*_xlfn.XLOOKUP($B104,efs!$A$74:$A$84,efs!$C$74:$C$84,0,0)</f>
        <v>0.36842047737125261</v>
      </c>
      <c r="Y104" s="18">
        <f>BAU_Fuel_cons!AH28*_xlfn.XLOOKUP($B104,efs!$A$74:$A$84,efs!$C$74:$C$84,0,0)</f>
        <v>0.34922703868748139</v>
      </c>
      <c r="Z104" s="18">
        <f>BAU_Fuel_cons!AI28*_xlfn.XLOOKUP($B104,efs!$A$74:$A$84,efs!$C$74:$C$84,0,0)</f>
        <v>0.3281555724885174</v>
      </c>
      <c r="AA104" s="18">
        <f>BAU_Fuel_cons!AJ28*_xlfn.XLOOKUP($B104,efs!$A$74:$A$84,efs!$C$74:$C$84,0,0)</f>
        <v>0.30514109284294061</v>
      </c>
      <c r="AB104" s="18">
        <f>BAU_Fuel_cons!AK28*_xlfn.XLOOKUP($B104,efs!$A$74:$A$84,efs!$C$74:$C$84,0,0)</f>
        <v>0.28011824705569716</v>
      </c>
      <c r="AC104" s="18">
        <f>BAU_Fuel_cons!AL28*_xlfn.XLOOKUP($B104,efs!$A$74:$A$84,efs!$C$74:$C$84,0,0)</f>
        <v>0.25302274404053338</v>
      </c>
      <c r="AD104" s="18">
        <f>BAU_Fuel_cons!AM28*_xlfn.XLOOKUP($B104,efs!$A$74:$A$84,efs!$C$74:$C$84,0,0)</f>
        <v>0.2237905649185804</v>
      </c>
      <c r="AE104" s="18">
        <f>BAU_Fuel_cons!AN28*_xlfn.XLOOKUP($B104,efs!$A$74:$A$84,efs!$C$74:$C$84,0,0)</f>
        <v>0.19235786273142266</v>
      </c>
      <c r="AF104" s="18">
        <f>BAU_Fuel_cons!AO28*_xlfn.XLOOKUP($B104,efs!$A$74:$A$84,efs!$C$74:$C$84,0,0)</f>
        <v>0.15866120886041488</v>
      </c>
      <c r="AG104" s="18">
        <f>BAU_Fuel_cons!AP28*_xlfn.XLOOKUP($B104,efs!$A$74:$A$84,efs!$C$74:$C$84,0,0)</f>
        <v>0.1226378480420213</v>
      </c>
      <c r="AH104" s="18">
        <f>BAU_Fuel_cons!AQ28*_xlfn.XLOOKUP($B104,efs!$A$74:$A$84,efs!$C$74:$C$84,0,0)</f>
        <v>8.4226317281448193E-2</v>
      </c>
      <c r="AI104" s="18">
        <f>BAU_Fuel_cons!AR28*_xlfn.XLOOKUP($B104,efs!$A$74:$A$84,efs!$C$74:$C$84,0,0)</f>
        <v>4.3366480236734666E-2</v>
      </c>
      <c r="AJ104" s="111">
        <f>BAU_Fuel_cons!AS28*_xlfn.XLOOKUP($B104,efs!$A$74:$A$84,efs!$C$74:$C$84,0,0)</f>
        <v>0</v>
      </c>
    </row>
    <row r="105" spans="1:36">
      <c r="A105" s="4" t="s">
        <v>19</v>
      </c>
      <c r="B105" s="4" t="s">
        <v>12</v>
      </c>
      <c r="C105" s="4" t="s">
        <v>53</v>
      </c>
      <c r="D105" s="91" t="s">
        <v>122</v>
      </c>
      <c r="E105" s="110">
        <f>BAU_Fuel_cons!N29*_xlfn.XLOOKUP($B105,efs!$A$74:$A$84,efs!$C$74:$C$84,0,0)</f>
        <v>2.3493047670423713E-2</v>
      </c>
      <c r="F105" s="18">
        <f>BAU_Fuel_cons!O29*_xlfn.XLOOKUP($B105,efs!$A$74:$A$84,efs!$C$74:$C$84,0,0)</f>
        <v>1.9288976149541292E-2</v>
      </c>
      <c r="G105" s="18">
        <f>BAU_Fuel_cons!P29*_xlfn.XLOOKUP($B105,efs!$A$74:$A$84,efs!$C$74:$C$84,0,0)</f>
        <v>1.4652611363304268E-2</v>
      </c>
      <c r="H105" s="18">
        <f>BAU_Fuel_cons!Q29*_xlfn.XLOOKUP($B105,efs!$A$74:$A$84,efs!$C$74:$C$84,0,0)</f>
        <v>9.560964031161431E-3</v>
      </c>
      <c r="I105" s="18">
        <f>BAU_Fuel_cons!R29*_xlfn.XLOOKUP($B105,efs!$A$74:$A$84,efs!$C$74:$C$84,0,0)</f>
        <v>3.9907457747725564E-3</v>
      </c>
      <c r="J105" s="18">
        <f>BAU_Fuel_cons!S29*_xlfn.XLOOKUP($B105,efs!$A$74:$A$84,efs!$C$74:$C$84,0,0)</f>
        <v>0</v>
      </c>
      <c r="K105" s="18">
        <f>BAU_Fuel_cons!T29*_xlfn.XLOOKUP($B105,efs!$A$74:$A$84,efs!$C$74:$C$84,0,0)</f>
        <v>0</v>
      </c>
      <c r="L105" s="18">
        <f>BAU_Fuel_cons!U29*_xlfn.XLOOKUP($B105,efs!$A$74:$A$84,efs!$C$74:$C$84,0,0)</f>
        <v>0</v>
      </c>
      <c r="M105" s="18">
        <f>BAU_Fuel_cons!V29*_xlfn.XLOOKUP($B105,efs!$A$74:$A$84,efs!$C$74:$C$84,0,0)</f>
        <v>0</v>
      </c>
      <c r="N105" s="18">
        <f>BAU_Fuel_cons!W29*_xlfn.XLOOKUP($B105,efs!$A$74:$A$84,efs!$C$74:$C$84,0,0)</f>
        <v>0</v>
      </c>
      <c r="O105" s="18">
        <f>BAU_Fuel_cons!X29*_xlfn.XLOOKUP($B105,efs!$A$74:$A$84,efs!$C$74:$C$84,0,0)</f>
        <v>0</v>
      </c>
      <c r="P105" s="18">
        <f>BAU_Fuel_cons!Y29*_xlfn.XLOOKUP($B105,efs!$A$74:$A$84,efs!$C$74:$C$84,0,0)</f>
        <v>0</v>
      </c>
      <c r="Q105" s="18">
        <f>BAU_Fuel_cons!Z29*_xlfn.XLOOKUP($B105,efs!$A$74:$A$84,efs!$C$74:$C$84,0,0)</f>
        <v>0</v>
      </c>
      <c r="R105" s="18">
        <f>BAU_Fuel_cons!AA29*_xlfn.XLOOKUP($B105,efs!$A$74:$A$84,efs!$C$74:$C$84,0,0)</f>
        <v>0</v>
      </c>
      <c r="S105" s="18">
        <f>BAU_Fuel_cons!AB29*_xlfn.XLOOKUP($B105,efs!$A$74:$A$84,efs!$C$74:$C$84,0,0)</f>
        <v>0</v>
      </c>
      <c r="T105" s="18">
        <f>BAU_Fuel_cons!AC29*_xlfn.XLOOKUP($B105,efs!$A$74:$A$84,efs!$C$74:$C$84,0,0)</f>
        <v>0</v>
      </c>
      <c r="U105" s="18">
        <f>BAU_Fuel_cons!AD29*_xlfn.XLOOKUP($B105,efs!$A$74:$A$84,efs!$C$74:$C$84,0,0)</f>
        <v>0</v>
      </c>
      <c r="V105" s="18">
        <f>BAU_Fuel_cons!AE29*_xlfn.XLOOKUP($B105,efs!$A$74:$A$84,efs!$C$74:$C$84,0,0)</f>
        <v>0</v>
      </c>
      <c r="W105" s="18">
        <f>BAU_Fuel_cons!AF29*_xlfn.XLOOKUP($B105,efs!$A$74:$A$84,efs!$C$74:$C$84,0,0)</f>
        <v>0</v>
      </c>
      <c r="X105" s="18">
        <f>BAU_Fuel_cons!AG29*_xlfn.XLOOKUP($B105,efs!$A$74:$A$84,efs!$C$74:$C$84,0,0)</f>
        <v>0</v>
      </c>
      <c r="Y105" s="18">
        <f>BAU_Fuel_cons!AH29*_xlfn.XLOOKUP($B105,efs!$A$74:$A$84,efs!$C$74:$C$84,0,0)</f>
        <v>0</v>
      </c>
      <c r="Z105" s="18">
        <f>BAU_Fuel_cons!AI29*_xlfn.XLOOKUP($B105,efs!$A$74:$A$84,efs!$C$74:$C$84,0,0)</f>
        <v>0</v>
      </c>
      <c r="AA105" s="18">
        <f>BAU_Fuel_cons!AJ29*_xlfn.XLOOKUP($B105,efs!$A$74:$A$84,efs!$C$74:$C$84,0,0)</f>
        <v>0</v>
      </c>
      <c r="AB105" s="18">
        <f>BAU_Fuel_cons!AK29*_xlfn.XLOOKUP($B105,efs!$A$74:$A$84,efs!$C$74:$C$84,0,0)</f>
        <v>0</v>
      </c>
      <c r="AC105" s="18">
        <f>BAU_Fuel_cons!AL29*_xlfn.XLOOKUP($B105,efs!$A$74:$A$84,efs!$C$74:$C$84,0,0)</f>
        <v>0</v>
      </c>
      <c r="AD105" s="18">
        <f>BAU_Fuel_cons!AM29*_xlfn.XLOOKUP($B105,efs!$A$74:$A$84,efs!$C$74:$C$84,0,0)</f>
        <v>0</v>
      </c>
      <c r="AE105" s="18">
        <f>BAU_Fuel_cons!AN29*_xlfn.XLOOKUP($B105,efs!$A$74:$A$84,efs!$C$74:$C$84,0,0)</f>
        <v>0</v>
      </c>
      <c r="AF105" s="18">
        <f>BAU_Fuel_cons!AO29*_xlfn.XLOOKUP($B105,efs!$A$74:$A$84,efs!$C$74:$C$84,0,0)</f>
        <v>0</v>
      </c>
      <c r="AG105" s="18">
        <f>BAU_Fuel_cons!AP29*_xlfn.XLOOKUP($B105,efs!$A$74:$A$84,efs!$C$74:$C$84,0,0)</f>
        <v>0</v>
      </c>
      <c r="AH105" s="18">
        <f>BAU_Fuel_cons!AQ29*_xlfn.XLOOKUP($B105,efs!$A$74:$A$84,efs!$C$74:$C$84,0,0)</f>
        <v>0</v>
      </c>
      <c r="AI105" s="18">
        <f>BAU_Fuel_cons!AR29*_xlfn.XLOOKUP($B105,efs!$A$74:$A$84,efs!$C$74:$C$84,0,0)</f>
        <v>0</v>
      </c>
      <c r="AJ105" s="111">
        <f>BAU_Fuel_cons!AS29*_xlfn.XLOOKUP($B105,efs!$A$74:$A$84,efs!$C$74:$C$84,0,0)</f>
        <v>0</v>
      </c>
    </row>
    <row r="106" spans="1:36">
      <c r="A106" s="4" t="s">
        <v>19</v>
      </c>
      <c r="B106" s="4" t="s">
        <v>13</v>
      </c>
      <c r="C106" s="4" t="s">
        <v>53</v>
      </c>
      <c r="D106" s="91" t="s">
        <v>122</v>
      </c>
      <c r="E106" s="110">
        <f>BAU_Fuel_cons!N30*_xlfn.XLOOKUP($B106,efs!$A$74:$A$84,efs!$C$74:$C$84,0,0)</f>
        <v>0</v>
      </c>
      <c r="F106" s="18">
        <f>BAU_Fuel_cons!O30*_xlfn.XLOOKUP($B106,efs!$A$74:$A$84,efs!$C$74:$C$84,0,0)</f>
        <v>0</v>
      </c>
      <c r="G106" s="18">
        <f>BAU_Fuel_cons!P30*_xlfn.XLOOKUP($B106,efs!$A$74:$A$84,efs!$C$74:$C$84,0,0)</f>
        <v>0</v>
      </c>
      <c r="H106" s="18">
        <f>BAU_Fuel_cons!Q30*_xlfn.XLOOKUP($B106,efs!$A$74:$A$84,efs!$C$74:$C$84,0,0)</f>
        <v>0</v>
      </c>
      <c r="I106" s="18">
        <f>BAU_Fuel_cons!R30*_xlfn.XLOOKUP($B106,efs!$A$74:$A$84,efs!$C$74:$C$84,0,0)</f>
        <v>0</v>
      </c>
      <c r="J106" s="18">
        <f>BAU_Fuel_cons!S30*_xlfn.XLOOKUP($B106,efs!$A$74:$A$84,efs!$C$74:$C$84,0,0)</f>
        <v>0</v>
      </c>
      <c r="K106" s="18">
        <f>BAU_Fuel_cons!T30*_xlfn.XLOOKUP($B106,efs!$A$74:$A$84,efs!$C$74:$C$84,0,0)</f>
        <v>0</v>
      </c>
      <c r="L106" s="18">
        <f>BAU_Fuel_cons!U30*_xlfn.XLOOKUP($B106,efs!$A$74:$A$84,efs!$C$74:$C$84,0,0)</f>
        <v>0</v>
      </c>
      <c r="M106" s="18">
        <f>BAU_Fuel_cons!V30*_xlfn.XLOOKUP($B106,efs!$A$74:$A$84,efs!$C$74:$C$84,0,0)</f>
        <v>0</v>
      </c>
      <c r="N106" s="18">
        <f>BAU_Fuel_cons!W30*_xlfn.XLOOKUP($B106,efs!$A$74:$A$84,efs!$C$74:$C$84,0,0)</f>
        <v>0</v>
      </c>
      <c r="O106" s="18">
        <f>BAU_Fuel_cons!X30*_xlfn.XLOOKUP($B106,efs!$A$74:$A$84,efs!$C$74:$C$84,0,0)</f>
        <v>0</v>
      </c>
      <c r="P106" s="18">
        <f>BAU_Fuel_cons!Y30*_xlfn.XLOOKUP($B106,efs!$A$74:$A$84,efs!$C$74:$C$84,0,0)</f>
        <v>0</v>
      </c>
      <c r="Q106" s="18">
        <f>BAU_Fuel_cons!Z30*_xlfn.XLOOKUP($B106,efs!$A$74:$A$84,efs!$C$74:$C$84,0,0)</f>
        <v>0</v>
      </c>
      <c r="R106" s="18">
        <f>BAU_Fuel_cons!AA30*_xlfn.XLOOKUP($B106,efs!$A$74:$A$84,efs!$C$74:$C$84,0,0)</f>
        <v>0</v>
      </c>
      <c r="S106" s="18">
        <f>BAU_Fuel_cons!AB30*_xlfn.XLOOKUP($B106,efs!$A$74:$A$84,efs!$C$74:$C$84,0,0)</f>
        <v>0</v>
      </c>
      <c r="T106" s="18">
        <f>BAU_Fuel_cons!AC30*_xlfn.XLOOKUP($B106,efs!$A$74:$A$84,efs!$C$74:$C$84,0,0)</f>
        <v>0</v>
      </c>
      <c r="U106" s="18">
        <f>BAU_Fuel_cons!AD30*_xlfn.XLOOKUP($B106,efs!$A$74:$A$84,efs!$C$74:$C$84,0,0)</f>
        <v>0</v>
      </c>
      <c r="V106" s="18">
        <f>BAU_Fuel_cons!AE30*_xlfn.XLOOKUP($B106,efs!$A$74:$A$84,efs!$C$74:$C$84,0,0)</f>
        <v>0</v>
      </c>
      <c r="W106" s="18">
        <f>BAU_Fuel_cons!AF30*_xlfn.XLOOKUP($B106,efs!$A$74:$A$84,efs!$C$74:$C$84,0,0)</f>
        <v>0</v>
      </c>
      <c r="X106" s="18">
        <f>BAU_Fuel_cons!AG30*_xlfn.XLOOKUP($B106,efs!$A$74:$A$84,efs!$C$74:$C$84,0,0)</f>
        <v>0</v>
      </c>
      <c r="Y106" s="18">
        <f>BAU_Fuel_cons!AH30*_xlfn.XLOOKUP($B106,efs!$A$74:$A$84,efs!$C$74:$C$84,0,0)</f>
        <v>0</v>
      </c>
      <c r="Z106" s="18">
        <f>BAU_Fuel_cons!AI30*_xlfn.XLOOKUP($B106,efs!$A$74:$A$84,efs!$C$74:$C$84,0,0)</f>
        <v>0</v>
      </c>
      <c r="AA106" s="18">
        <f>BAU_Fuel_cons!AJ30*_xlfn.XLOOKUP($B106,efs!$A$74:$A$84,efs!$C$74:$C$84,0,0)</f>
        <v>0</v>
      </c>
      <c r="AB106" s="18">
        <f>BAU_Fuel_cons!AK30*_xlfn.XLOOKUP($B106,efs!$A$74:$A$84,efs!$C$74:$C$84,0,0)</f>
        <v>0</v>
      </c>
      <c r="AC106" s="18">
        <f>BAU_Fuel_cons!AL30*_xlfn.XLOOKUP($B106,efs!$A$74:$A$84,efs!$C$74:$C$84,0,0)</f>
        <v>0</v>
      </c>
      <c r="AD106" s="18">
        <f>BAU_Fuel_cons!AM30*_xlfn.XLOOKUP($B106,efs!$A$74:$A$84,efs!$C$74:$C$84,0,0)</f>
        <v>0</v>
      </c>
      <c r="AE106" s="18">
        <f>BAU_Fuel_cons!AN30*_xlfn.XLOOKUP($B106,efs!$A$74:$A$84,efs!$C$74:$C$84,0,0)</f>
        <v>0</v>
      </c>
      <c r="AF106" s="18">
        <f>BAU_Fuel_cons!AO30*_xlfn.XLOOKUP($B106,efs!$A$74:$A$84,efs!$C$74:$C$84,0,0)</f>
        <v>0</v>
      </c>
      <c r="AG106" s="18">
        <f>BAU_Fuel_cons!AP30*_xlfn.XLOOKUP($B106,efs!$A$74:$A$84,efs!$C$74:$C$84,0,0)</f>
        <v>0</v>
      </c>
      <c r="AH106" s="18">
        <f>BAU_Fuel_cons!AQ30*_xlfn.XLOOKUP($B106,efs!$A$74:$A$84,efs!$C$74:$C$84,0,0)</f>
        <v>0</v>
      </c>
      <c r="AI106" s="18">
        <f>BAU_Fuel_cons!AR30*_xlfn.XLOOKUP($B106,efs!$A$74:$A$84,efs!$C$74:$C$84,0,0)</f>
        <v>0</v>
      </c>
      <c r="AJ106" s="111">
        <f>BAU_Fuel_cons!AS30*_xlfn.XLOOKUP($B106,efs!$A$74:$A$84,efs!$C$74:$C$84,0,0)</f>
        <v>0</v>
      </c>
    </row>
    <row r="107" spans="1:36">
      <c r="A107" s="4" t="s">
        <v>19</v>
      </c>
      <c r="B107" s="4" t="s">
        <v>14</v>
      </c>
      <c r="C107" s="4" t="s">
        <v>53</v>
      </c>
      <c r="D107" s="91" t="s">
        <v>122</v>
      </c>
      <c r="E107" s="110">
        <f>BAU_Fuel_cons!N31*_xlfn.XLOOKUP($B107,efs!$A$74:$A$84,efs!$C$74:$C$84,0,0)</f>
        <v>0</v>
      </c>
      <c r="F107" s="18">
        <f>BAU_Fuel_cons!O31*_xlfn.XLOOKUP($B107,efs!$A$74:$A$84,efs!$C$74:$C$84,0,0)</f>
        <v>0</v>
      </c>
      <c r="G107" s="18">
        <f>BAU_Fuel_cons!P31*_xlfn.XLOOKUP($B107,efs!$A$74:$A$84,efs!$C$74:$C$84,0,0)</f>
        <v>0</v>
      </c>
      <c r="H107" s="18">
        <f>BAU_Fuel_cons!Q31*_xlfn.XLOOKUP($B107,efs!$A$74:$A$84,efs!$C$74:$C$84,0,0)</f>
        <v>0</v>
      </c>
      <c r="I107" s="18">
        <f>BAU_Fuel_cons!R31*_xlfn.XLOOKUP($B107,efs!$A$74:$A$84,efs!$C$74:$C$84,0,0)</f>
        <v>0</v>
      </c>
      <c r="J107" s="18">
        <f>BAU_Fuel_cons!S31*_xlfn.XLOOKUP($B107,efs!$A$74:$A$84,efs!$C$74:$C$84,0,0)</f>
        <v>0</v>
      </c>
      <c r="K107" s="18">
        <f>BAU_Fuel_cons!T31*_xlfn.XLOOKUP($B107,efs!$A$74:$A$84,efs!$C$74:$C$84,0,0)</f>
        <v>0</v>
      </c>
      <c r="L107" s="18">
        <f>BAU_Fuel_cons!U31*_xlfn.XLOOKUP($B107,efs!$A$74:$A$84,efs!$C$74:$C$84,0,0)</f>
        <v>0</v>
      </c>
      <c r="M107" s="18">
        <f>BAU_Fuel_cons!V31*_xlfn.XLOOKUP($B107,efs!$A$74:$A$84,efs!$C$74:$C$84,0,0)</f>
        <v>0</v>
      </c>
      <c r="N107" s="18">
        <f>BAU_Fuel_cons!W31*_xlfn.XLOOKUP($B107,efs!$A$74:$A$84,efs!$C$74:$C$84,0,0)</f>
        <v>0</v>
      </c>
      <c r="O107" s="18">
        <f>BAU_Fuel_cons!X31*_xlfn.XLOOKUP($B107,efs!$A$74:$A$84,efs!$C$74:$C$84,0,0)</f>
        <v>0</v>
      </c>
      <c r="P107" s="18">
        <f>BAU_Fuel_cons!Y31*_xlfn.XLOOKUP($B107,efs!$A$74:$A$84,efs!$C$74:$C$84,0,0)</f>
        <v>0</v>
      </c>
      <c r="Q107" s="18">
        <f>BAU_Fuel_cons!Z31*_xlfn.XLOOKUP($B107,efs!$A$74:$A$84,efs!$C$74:$C$84,0,0)</f>
        <v>0</v>
      </c>
      <c r="R107" s="18">
        <f>BAU_Fuel_cons!AA31*_xlfn.XLOOKUP($B107,efs!$A$74:$A$84,efs!$C$74:$C$84,0,0)</f>
        <v>0</v>
      </c>
      <c r="S107" s="18">
        <f>BAU_Fuel_cons!AB31*_xlfn.XLOOKUP($B107,efs!$A$74:$A$84,efs!$C$74:$C$84,0,0)</f>
        <v>0</v>
      </c>
      <c r="T107" s="18">
        <f>BAU_Fuel_cons!AC31*_xlfn.XLOOKUP($B107,efs!$A$74:$A$84,efs!$C$74:$C$84,0,0)</f>
        <v>0</v>
      </c>
      <c r="U107" s="18">
        <f>BAU_Fuel_cons!AD31*_xlfn.XLOOKUP($B107,efs!$A$74:$A$84,efs!$C$74:$C$84,0,0)</f>
        <v>0</v>
      </c>
      <c r="V107" s="18">
        <f>BAU_Fuel_cons!AE31*_xlfn.XLOOKUP($B107,efs!$A$74:$A$84,efs!$C$74:$C$84,0,0)</f>
        <v>0</v>
      </c>
      <c r="W107" s="18">
        <f>BAU_Fuel_cons!AF31*_xlfn.XLOOKUP($B107,efs!$A$74:$A$84,efs!$C$74:$C$84,0,0)</f>
        <v>0</v>
      </c>
      <c r="X107" s="18">
        <f>BAU_Fuel_cons!AG31*_xlfn.XLOOKUP($B107,efs!$A$74:$A$84,efs!$C$74:$C$84,0,0)</f>
        <v>0</v>
      </c>
      <c r="Y107" s="18">
        <f>BAU_Fuel_cons!AH31*_xlfn.XLOOKUP($B107,efs!$A$74:$A$84,efs!$C$74:$C$84,0,0)</f>
        <v>0</v>
      </c>
      <c r="Z107" s="18">
        <f>BAU_Fuel_cons!AI31*_xlfn.XLOOKUP($B107,efs!$A$74:$A$84,efs!$C$74:$C$84,0,0)</f>
        <v>0</v>
      </c>
      <c r="AA107" s="18">
        <f>BAU_Fuel_cons!AJ31*_xlfn.XLOOKUP($B107,efs!$A$74:$A$84,efs!$C$74:$C$84,0,0)</f>
        <v>0</v>
      </c>
      <c r="AB107" s="18">
        <f>BAU_Fuel_cons!AK31*_xlfn.XLOOKUP($B107,efs!$A$74:$A$84,efs!$C$74:$C$84,0,0)</f>
        <v>0</v>
      </c>
      <c r="AC107" s="18">
        <f>BAU_Fuel_cons!AL31*_xlfn.XLOOKUP($B107,efs!$A$74:$A$84,efs!$C$74:$C$84,0,0)</f>
        <v>0</v>
      </c>
      <c r="AD107" s="18">
        <f>BAU_Fuel_cons!AM31*_xlfn.XLOOKUP($B107,efs!$A$74:$A$84,efs!$C$74:$C$84,0,0)</f>
        <v>0</v>
      </c>
      <c r="AE107" s="18">
        <f>BAU_Fuel_cons!AN31*_xlfn.XLOOKUP($B107,efs!$A$74:$A$84,efs!$C$74:$C$84,0,0)</f>
        <v>0</v>
      </c>
      <c r="AF107" s="18">
        <f>BAU_Fuel_cons!AO31*_xlfn.XLOOKUP($B107,efs!$A$74:$A$84,efs!$C$74:$C$84,0,0)</f>
        <v>0</v>
      </c>
      <c r="AG107" s="18">
        <f>BAU_Fuel_cons!AP31*_xlfn.XLOOKUP($B107,efs!$A$74:$A$84,efs!$C$74:$C$84,0,0)</f>
        <v>0</v>
      </c>
      <c r="AH107" s="18">
        <f>BAU_Fuel_cons!AQ31*_xlfn.XLOOKUP($B107,efs!$A$74:$A$84,efs!$C$74:$C$84,0,0)</f>
        <v>0</v>
      </c>
      <c r="AI107" s="18">
        <f>BAU_Fuel_cons!AR31*_xlfn.XLOOKUP($B107,efs!$A$74:$A$84,efs!$C$74:$C$84,0,0)</f>
        <v>0</v>
      </c>
      <c r="AJ107" s="111">
        <f>BAU_Fuel_cons!AS31*_xlfn.XLOOKUP($B107,efs!$A$74:$A$84,efs!$C$74:$C$84,0,0)</f>
        <v>0</v>
      </c>
    </row>
    <row r="108" spans="1:36">
      <c r="A108" s="4" t="s">
        <v>19</v>
      </c>
      <c r="B108" s="4" t="s">
        <v>15</v>
      </c>
      <c r="C108" s="4" t="s">
        <v>53</v>
      </c>
      <c r="D108" s="91" t="s">
        <v>122</v>
      </c>
      <c r="E108" s="110">
        <f>BAU_Fuel_cons!N32*_xlfn.XLOOKUP($B108,efs!$A$74:$A$84,efs!$C$74:$C$84,0,0)</f>
        <v>0</v>
      </c>
      <c r="F108" s="18">
        <f>BAU_Fuel_cons!O32*_xlfn.XLOOKUP($B108,efs!$A$74:$A$84,efs!$C$74:$C$84,0,0)</f>
        <v>0</v>
      </c>
      <c r="G108" s="18">
        <f>BAU_Fuel_cons!P32*_xlfn.XLOOKUP($B108,efs!$A$74:$A$84,efs!$C$74:$C$84,0,0)</f>
        <v>0</v>
      </c>
      <c r="H108" s="18">
        <f>BAU_Fuel_cons!Q32*_xlfn.XLOOKUP($B108,efs!$A$74:$A$84,efs!$C$74:$C$84,0,0)</f>
        <v>0</v>
      </c>
      <c r="I108" s="18">
        <f>BAU_Fuel_cons!R32*_xlfn.XLOOKUP($B108,efs!$A$74:$A$84,efs!$C$74:$C$84,0,0)</f>
        <v>0</v>
      </c>
      <c r="J108" s="18">
        <f>BAU_Fuel_cons!S32*_xlfn.XLOOKUP($B108,efs!$A$74:$A$84,efs!$C$74:$C$84,0,0)</f>
        <v>0</v>
      </c>
      <c r="K108" s="18">
        <f>BAU_Fuel_cons!T32*_xlfn.XLOOKUP($B108,efs!$A$74:$A$84,efs!$C$74:$C$84,0,0)</f>
        <v>0</v>
      </c>
      <c r="L108" s="18">
        <f>BAU_Fuel_cons!U32*_xlfn.XLOOKUP($B108,efs!$A$74:$A$84,efs!$C$74:$C$84,0,0)</f>
        <v>0</v>
      </c>
      <c r="M108" s="18">
        <f>BAU_Fuel_cons!V32*_xlfn.XLOOKUP($B108,efs!$A$74:$A$84,efs!$C$74:$C$84,0,0)</f>
        <v>0</v>
      </c>
      <c r="N108" s="18">
        <f>BAU_Fuel_cons!W32*_xlfn.XLOOKUP($B108,efs!$A$74:$A$84,efs!$C$74:$C$84,0,0)</f>
        <v>0</v>
      </c>
      <c r="O108" s="18">
        <f>BAU_Fuel_cons!X32*_xlfn.XLOOKUP($B108,efs!$A$74:$A$84,efs!$C$74:$C$84,0,0)</f>
        <v>0</v>
      </c>
      <c r="P108" s="18">
        <f>BAU_Fuel_cons!Y32*_xlfn.XLOOKUP($B108,efs!$A$74:$A$84,efs!$C$74:$C$84,0,0)</f>
        <v>0</v>
      </c>
      <c r="Q108" s="18">
        <f>BAU_Fuel_cons!Z32*_xlfn.XLOOKUP($B108,efs!$A$74:$A$84,efs!$C$74:$C$84,0,0)</f>
        <v>0</v>
      </c>
      <c r="R108" s="18">
        <f>BAU_Fuel_cons!AA32*_xlfn.XLOOKUP($B108,efs!$A$74:$A$84,efs!$C$74:$C$84,0,0)</f>
        <v>0</v>
      </c>
      <c r="S108" s="18">
        <f>BAU_Fuel_cons!AB32*_xlfn.XLOOKUP($B108,efs!$A$74:$A$84,efs!$C$74:$C$84,0,0)</f>
        <v>0</v>
      </c>
      <c r="T108" s="18">
        <f>BAU_Fuel_cons!AC32*_xlfn.XLOOKUP($B108,efs!$A$74:$A$84,efs!$C$74:$C$84,0,0)</f>
        <v>0</v>
      </c>
      <c r="U108" s="18">
        <f>BAU_Fuel_cons!AD32*_xlfn.XLOOKUP($B108,efs!$A$74:$A$84,efs!$C$74:$C$84,0,0)</f>
        <v>0</v>
      </c>
      <c r="V108" s="18">
        <f>BAU_Fuel_cons!AE32*_xlfn.XLOOKUP($B108,efs!$A$74:$A$84,efs!$C$74:$C$84,0,0)</f>
        <v>0</v>
      </c>
      <c r="W108" s="18">
        <f>BAU_Fuel_cons!AF32*_xlfn.XLOOKUP($B108,efs!$A$74:$A$84,efs!$C$74:$C$84,0,0)</f>
        <v>0</v>
      </c>
      <c r="X108" s="18">
        <f>BAU_Fuel_cons!AG32*_xlfn.XLOOKUP($B108,efs!$A$74:$A$84,efs!$C$74:$C$84,0,0)</f>
        <v>0</v>
      </c>
      <c r="Y108" s="18">
        <f>BAU_Fuel_cons!AH32*_xlfn.XLOOKUP($B108,efs!$A$74:$A$84,efs!$C$74:$C$84,0,0)</f>
        <v>0</v>
      </c>
      <c r="Z108" s="18">
        <f>BAU_Fuel_cons!AI32*_xlfn.XLOOKUP($B108,efs!$A$74:$A$84,efs!$C$74:$C$84,0,0)</f>
        <v>0</v>
      </c>
      <c r="AA108" s="18">
        <f>BAU_Fuel_cons!AJ32*_xlfn.XLOOKUP($B108,efs!$A$74:$A$84,efs!$C$74:$C$84,0,0)</f>
        <v>0</v>
      </c>
      <c r="AB108" s="18">
        <f>BAU_Fuel_cons!AK32*_xlfn.XLOOKUP($B108,efs!$A$74:$A$84,efs!$C$74:$C$84,0,0)</f>
        <v>0</v>
      </c>
      <c r="AC108" s="18">
        <f>BAU_Fuel_cons!AL32*_xlfn.XLOOKUP($B108,efs!$A$74:$A$84,efs!$C$74:$C$84,0,0)</f>
        <v>0</v>
      </c>
      <c r="AD108" s="18">
        <f>BAU_Fuel_cons!AM32*_xlfn.XLOOKUP($B108,efs!$A$74:$A$84,efs!$C$74:$C$84,0,0)</f>
        <v>0</v>
      </c>
      <c r="AE108" s="18">
        <f>BAU_Fuel_cons!AN32*_xlfn.XLOOKUP($B108,efs!$A$74:$A$84,efs!$C$74:$C$84,0,0)</f>
        <v>0</v>
      </c>
      <c r="AF108" s="18">
        <f>BAU_Fuel_cons!AO32*_xlfn.XLOOKUP($B108,efs!$A$74:$A$84,efs!$C$74:$C$84,0,0)</f>
        <v>0</v>
      </c>
      <c r="AG108" s="18">
        <f>BAU_Fuel_cons!AP32*_xlfn.XLOOKUP($B108,efs!$A$74:$A$84,efs!$C$74:$C$84,0,0)</f>
        <v>0</v>
      </c>
      <c r="AH108" s="18">
        <f>BAU_Fuel_cons!AQ32*_xlfn.XLOOKUP($B108,efs!$A$74:$A$84,efs!$C$74:$C$84,0,0)</f>
        <v>0</v>
      </c>
      <c r="AI108" s="18">
        <f>BAU_Fuel_cons!AR32*_xlfn.XLOOKUP($B108,efs!$A$74:$A$84,efs!$C$74:$C$84,0,0)</f>
        <v>0</v>
      </c>
      <c r="AJ108" s="111">
        <f>BAU_Fuel_cons!AS32*_xlfn.XLOOKUP($B108,efs!$A$74:$A$84,efs!$C$74:$C$84,0,0)</f>
        <v>0</v>
      </c>
    </row>
    <row r="109" spans="1:36">
      <c r="A109" s="40" t="s">
        <v>19</v>
      </c>
      <c r="B109" s="40" t="s">
        <v>16</v>
      </c>
      <c r="C109" s="4" t="s">
        <v>53</v>
      </c>
      <c r="D109" s="91" t="s">
        <v>122</v>
      </c>
      <c r="E109" s="110">
        <f>BAU_Fuel_cons!N33*_xlfn.XLOOKUP($B109,efs!$A$74:$A$84,efs!$C$74:$C$84,0,0)</f>
        <v>0</v>
      </c>
      <c r="F109" s="18">
        <f>BAU_Fuel_cons!O33*_xlfn.XLOOKUP($B109,efs!$A$74:$A$84,efs!$C$74:$C$84,0,0)</f>
        <v>0</v>
      </c>
      <c r="G109" s="18">
        <f>BAU_Fuel_cons!P33*_xlfn.XLOOKUP($B109,efs!$A$74:$A$84,efs!$C$74:$C$84,0,0)</f>
        <v>0</v>
      </c>
      <c r="H109" s="18">
        <f>BAU_Fuel_cons!Q33*_xlfn.XLOOKUP($B109,efs!$A$74:$A$84,efs!$C$74:$C$84,0,0)</f>
        <v>0</v>
      </c>
      <c r="I109" s="18">
        <f>BAU_Fuel_cons!R33*_xlfn.XLOOKUP($B109,efs!$A$74:$A$84,efs!$C$74:$C$84,0,0)</f>
        <v>0</v>
      </c>
      <c r="J109" s="18">
        <f>BAU_Fuel_cons!S33*_xlfn.XLOOKUP($B109,efs!$A$74:$A$84,efs!$C$74:$C$84,0,0)</f>
        <v>0</v>
      </c>
      <c r="K109" s="18">
        <f>BAU_Fuel_cons!T33*_xlfn.XLOOKUP($B109,efs!$A$74:$A$84,efs!$C$74:$C$84,0,0)</f>
        <v>0</v>
      </c>
      <c r="L109" s="18">
        <f>BAU_Fuel_cons!U33*_xlfn.XLOOKUP($B109,efs!$A$74:$A$84,efs!$C$74:$C$84,0,0)</f>
        <v>0</v>
      </c>
      <c r="M109" s="18">
        <f>BAU_Fuel_cons!V33*_xlfn.XLOOKUP($B109,efs!$A$74:$A$84,efs!$C$74:$C$84,0,0)</f>
        <v>0</v>
      </c>
      <c r="N109" s="18">
        <f>BAU_Fuel_cons!W33*_xlfn.XLOOKUP($B109,efs!$A$74:$A$84,efs!$C$74:$C$84,0,0)</f>
        <v>0</v>
      </c>
      <c r="O109" s="18">
        <f>BAU_Fuel_cons!X33*_xlfn.XLOOKUP($B109,efs!$A$74:$A$84,efs!$C$74:$C$84,0,0)</f>
        <v>0</v>
      </c>
      <c r="P109" s="18">
        <f>BAU_Fuel_cons!Y33*_xlfn.XLOOKUP($B109,efs!$A$74:$A$84,efs!$C$74:$C$84,0,0)</f>
        <v>0</v>
      </c>
      <c r="Q109" s="18">
        <f>BAU_Fuel_cons!Z33*_xlfn.XLOOKUP($B109,efs!$A$74:$A$84,efs!$C$74:$C$84,0,0)</f>
        <v>0</v>
      </c>
      <c r="R109" s="18">
        <f>BAU_Fuel_cons!AA33*_xlfn.XLOOKUP($B109,efs!$A$74:$A$84,efs!$C$74:$C$84,0,0)</f>
        <v>0</v>
      </c>
      <c r="S109" s="18">
        <f>BAU_Fuel_cons!AB33*_xlfn.XLOOKUP($B109,efs!$A$74:$A$84,efs!$C$74:$C$84,0,0)</f>
        <v>0</v>
      </c>
      <c r="T109" s="18">
        <f>BAU_Fuel_cons!AC33*_xlfn.XLOOKUP($B109,efs!$A$74:$A$84,efs!$C$74:$C$84,0,0)</f>
        <v>0</v>
      </c>
      <c r="U109" s="18">
        <f>BAU_Fuel_cons!AD33*_xlfn.XLOOKUP($B109,efs!$A$74:$A$84,efs!$C$74:$C$84,0,0)</f>
        <v>0</v>
      </c>
      <c r="V109" s="18">
        <f>BAU_Fuel_cons!AE33*_xlfn.XLOOKUP($B109,efs!$A$74:$A$84,efs!$C$74:$C$84,0,0)</f>
        <v>0</v>
      </c>
      <c r="W109" s="18">
        <f>BAU_Fuel_cons!AF33*_xlfn.XLOOKUP($B109,efs!$A$74:$A$84,efs!$C$74:$C$84,0,0)</f>
        <v>0</v>
      </c>
      <c r="X109" s="18">
        <f>BAU_Fuel_cons!AG33*_xlfn.XLOOKUP($B109,efs!$A$74:$A$84,efs!$C$74:$C$84,0,0)</f>
        <v>0</v>
      </c>
      <c r="Y109" s="18">
        <f>BAU_Fuel_cons!AH33*_xlfn.XLOOKUP($B109,efs!$A$74:$A$84,efs!$C$74:$C$84,0,0)</f>
        <v>0</v>
      </c>
      <c r="Z109" s="18">
        <f>BAU_Fuel_cons!AI33*_xlfn.XLOOKUP($B109,efs!$A$74:$A$84,efs!$C$74:$C$84,0,0)</f>
        <v>0</v>
      </c>
      <c r="AA109" s="18">
        <f>BAU_Fuel_cons!AJ33*_xlfn.XLOOKUP($B109,efs!$A$74:$A$84,efs!$C$74:$C$84,0,0)</f>
        <v>0</v>
      </c>
      <c r="AB109" s="18">
        <f>BAU_Fuel_cons!AK33*_xlfn.XLOOKUP($B109,efs!$A$74:$A$84,efs!$C$74:$C$84,0,0)</f>
        <v>0</v>
      </c>
      <c r="AC109" s="18">
        <f>BAU_Fuel_cons!AL33*_xlfn.XLOOKUP($B109,efs!$A$74:$A$84,efs!$C$74:$C$84,0,0)</f>
        <v>0</v>
      </c>
      <c r="AD109" s="18">
        <f>BAU_Fuel_cons!AM33*_xlfn.XLOOKUP($B109,efs!$A$74:$A$84,efs!$C$74:$C$84,0,0)</f>
        <v>0</v>
      </c>
      <c r="AE109" s="18">
        <f>BAU_Fuel_cons!AN33*_xlfn.XLOOKUP($B109,efs!$A$74:$A$84,efs!$C$74:$C$84,0,0)</f>
        <v>0</v>
      </c>
      <c r="AF109" s="18">
        <f>BAU_Fuel_cons!AO33*_xlfn.XLOOKUP($B109,efs!$A$74:$A$84,efs!$C$74:$C$84,0,0)</f>
        <v>0</v>
      </c>
      <c r="AG109" s="18">
        <f>BAU_Fuel_cons!AP33*_xlfn.XLOOKUP($B109,efs!$A$74:$A$84,efs!$C$74:$C$84,0,0)</f>
        <v>0</v>
      </c>
      <c r="AH109" s="18">
        <f>BAU_Fuel_cons!AQ33*_xlfn.XLOOKUP($B109,efs!$A$74:$A$84,efs!$C$74:$C$84,0,0)</f>
        <v>0</v>
      </c>
      <c r="AI109" s="18">
        <f>BAU_Fuel_cons!AR33*_xlfn.XLOOKUP($B109,efs!$A$74:$A$84,efs!$C$74:$C$84,0,0)</f>
        <v>0</v>
      </c>
      <c r="AJ109" s="111">
        <f>BAU_Fuel_cons!AS33*_xlfn.XLOOKUP($B109,efs!$A$74:$A$84,efs!$C$74:$C$84,0,0)</f>
        <v>0</v>
      </c>
    </row>
    <row r="110" spans="1:36" ht="17" thickBot="1">
      <c r="A110" s="32" t="s">
        <v>19</v>
      </c>
      <c r="B110" s="32" t="s">
        <v>17</v>
      </c>
      <c r="C110" s="32" t="s">
        <v>53</v>
      </c>
      <c r="D110" s="93" t="s">
        <v>122</v>
      </c>
      <c r="E110" s="112">
        <f>BAU_Fuel_cons!N34*_xlfn.XLOOKUP($B110,efs!$A$74:$A$84,efs!$C$74:$C$84,0,0)</f>
        <v>0</v>
      </c>
      <c r="F110" s="113">
        <f>BAU_Fuel_cons!O34*_xlfn.XLOOKUP($B110,efs!$A$74:$A$84,efs!$C$74:$C$84,0,0)</f>
        <v>0</v>
      </c>
      <c r="G110" s="113">
        <f>BAU_Fuel_cons!P34*_xlfn.XLOOKUP($B110,efs!$A$74:$A$84,efs!$C$74:$C$84,0,0)</f>
        <v>0</v>
      </c>
      <c r="H110" s="113">
        <f>BAU_Fuel_cons!Q34*_xlfn.XLOOKUP($B110,efs!$A$74:$A$84,efs!$C$74:$C$84,0,0)</f>
        <v>0</v>
      </c>
      <c r="I110" s="113">
        <f>BAU_Fuel_cons!R34*_xlfn.XLOOKUP($B110,efs!$A$74:$A$84,efs!$C$74:$C$84,0,0)</f>
        <v>0</v>
      </c>
      <c r="J110" s="113">
        <f>BAU_Fuel_cons!S34*_xlfn.XLOOKUP($B110,efs!$A$74:$A$84,efs!$C$74:$C$84,0,0)</f>
        <v>0</v>
      </c>
      <c r="K110" s="113">
        <f>BAU_Fuel_cons!T34*_xlfn.XLOOKUP($B110,efs!$A$74:$A$84,efs!$C$74:$C$84,0,0)</f>
        <v>0</v>
      </c>
      <c r="L110" s="113">
        <f>BAU_Fuel_cons!U34*_xlfn.XLOOKUP($B110,efs!$A$74:$A$84,efs!$C$74:$C$84,0,0)</f>
        <v>0</v>
      </c>
      <c r="M110" s="113">
        <f>BAU_Fuel_cons!V34*_xlfn.XLOOKUP($B110,efs!$A$74:$A$84,efs!$C$74:$C$84,0,0)</f>
        <v>0</v>
      </c>
      <c r="N110" s="113">
        <f>BAU_Fuel_cons!W34*_xlfn.XLOOKUP($B110,efs!$A$74:$A$84,efs!$C$74:$C$84,0,0)</f>
        <v>0</v>
      </c>
      <c r="O110" s="113">
        <f>BAU_Fuel_cons!X34*_xlfn.XLOOKUP($B110,efs!$A$74:$A$84,efs!$C$74:$C$84,0,0)</f>
        <v>0</v>
      </c>
      <c r="P110" s="113">
        <f>BAU_Fuel_cons!Y34*_xlfn.XLOOKUP($B110,efs!$A$74:$A$84,efs!$C$74:$C$84,0,0)</f>
        <v>0</v>
      </c>
      <c r="Q110" s="113">
        <f>BAU_Fuel_cons!Z34*_xlfn.XLOOKUP($B110,efs!$A$74:$A$84,efs!$C$74:$C$84,0,0)</f>
        <v>0</v>
      </c>
      <c r="R110" s="113">
        <f>BAU_Fuel_cons!AA34*_xlfn.XLOOKUP($B110,efs!$A$74:$A$84,efs!$C$74:$C$84,0,0)</f>
        <v>0</v>
      </c>
      <c r="S110" s="113">
        <f>BAU_Fuel_cons!AB34*_xlfn.XLOOKUP($B110,efs!$A$74:$A$84,efs!$C$74:$C$84,0,0)</f>
        <v>0</v>
      </c>
      <c r="T110" s="113">
        <f>BAU_Fuel_cons!AC34*_xlfn.XLOOKUP($B110,efs!$A$74:$A$84,efs!$C$74:$C$84,0,0)</f>
        <v>0</v>
      </c>
      <c r="U110" s="113">
        <f>BAU_Fuel_cons!AD34*_xlfn.XLOOKUP($B110,efs!$A$74:$A$84,efs!$C$74:$C$84,0,0)</f>
        <v>0</v>
      </c>
      <c r="V110" s="113">
        <f>BAU_Fuel_cons!AE34*_xlfn.XLOOKUP($B110,efs!$A$74:$A$84,efs!$C$74:$C$84,0,0)</f>
        <v>0</v>
      </c>
      <c r="W110" s="113">
        <f>BAU_Fuel_cons!AF34*_xlfn.XLOOKUP($B110,efs!$A$74:$A$84,efs!$C$74:$C$84,0,0)</f>
        <v>0</v>
      </c>
      <c r="X110" s="113">
        <f>BAU_Fuel_cons!AG34*_xlfn.XLOOKUP($B110,efs!$A$74:$A$84,efs!$C$74:$C$84,0,0)</f>
        <v>0</v>
      </c>
      <c r="Y110" s="113">
        <f>BAU_Fuel_cons!AH34*_xlfn.XLOOKUP($B110,efs!$A$74:$A$84,efs!$C$74:$C$84,0,0)</f>
        <v>0</v>
      </c>
      <c r="Z110" s="113">
        <f>BAU_Fuel_cons!AI34*_xlfn.XLOOKUP($B110,efs!$A$74:$A$84,efs!$C$74:$C$84,0,0)</f>
        <v>0</v>
      </c>
      <c r="AA110" s="113">
        <f>BAU_Fuel_cons!AJ34*_xlfn.XLOOKUP($B110,efs!$A$74:$A$84,efs!$C$74:$C$84,0,0)</f>
        <v>0</v>
      </c>
      <c r="AB110" s="113">
        <f>BAU_Fuel_cons!AK34*_xlfn.XLOOKUP($B110,efs!$A$74:$A$84,efs!$C$74:$C$84,0,0)</f>
        <v>0</v>
      </c>
      <c r="AC110" s="113">
        <f>BAU_Fuel_cons!AL34*_xlfn.XLOOKUP($B110,efs!$A$74:$A$84,efs!$C$74:$C$84,0,0)</f>
        <v>0</v>
      </c>
      <c r="AD110" s="113">
        <f>BAU_Fuel_cons!AM34*_xlfn.XLOOKUP($B110,efs!$A$74:$A$84,efs!$C$74:$C$84,0,0)</f>
        <v>0</v>
      </c>
      <c r="AE110" s="113">
        <f>BAU_Fuel_cons!AN34*_xlfn.XLOOKUP($B110,efs!$A$74:$A$84,efs!$C$74:$C$84,0,0)</f>
        <v>0</v>
      </c>
      <c r="AF110" s="113">
        <f>BAU_Fuel_cons!AO34*_xlfn.XLOOKUP($B110,efs!$A$74:$A$84,efs!$C$74:$C$84,0,0)</f>
        <v>0</v>
      </c>
      <c r="AG110" s="113">
        <f>BAU_Fuel_cons!AP34*_xlfn.XLOOKUP($B110,efs!$A$74:$A$84,efs!$C$74:$C$84,0,0)</f>
        <v>0</v>
      </c>
      <c r="AH110" s="113">
        <f>BAU_Fuel_cons!AQ34*_xlfn.XLOOKUP($B110,efs!$A$74:$A$84,efs!$C$74:$C$84,0,0)</f>
        <v>0</v>
      </c>
      <c r="AI110" s="113">
        <f>BAU_Fuel_cons!AR34*_xlfn.XLOOKUP($B110,efs!$A$74:$A$84,efs!$C$74:$C$84,0,0)</f>
        <v>0</v>
      </c>
      <c r="AJ110" s="114">
        <f>BAU_Fuel_cons!AS34*_xlfn.XLOOKUP($B110,efs!$A$74:$A$84,efs!$C$74:$C$84,0,0)</f>
        <v>0</v>
      </c>
    </row>
    <row r="111" spans="1:36">
      <c r="D111" t="s">
        <v>4</v>
      </c>
      <c r="E111" s="54">
        <f>SUM(E78:E88)</f>
        <v>5013.3994109445839</v>
      </c>
      <c r="F111" s="54">
        <f t="shared" ref="F111:AJ111" si="45">SUM(F78:F88)</f>
        <v>5248.0507155361993</v>
      </c>
      <c r="G111" s="54">
        <f t="shared" si="45"/>
        <v>5490.9198297243138</v>
      </c>
      <c r="H111" s="54">
        <f t="shared" si="45"/>
        <v>5742.1332699991863</v>
      </c>
      <c r="I111" s="54">
        <f t="shared" si="45"/>
        <v>6001.8265071908709</v>
      </c>
      <c r="J111" s="54">
        <f t="shared" si="45"/>
        <v>6270.1493239584215</v>
      </c>
      <c r="K111" s="54">
        <f t="shared" si="45"/>
        <v>6547.5942476976452</v>
      </c>
      <c r="L111" s="54">
        <f t="shared" si="45"/>
        <v>6832.9716861861598</v>
      </c>
      <c r="M111" s="54">
        <f t="shared" si="45"/>
        <v>7126.1093890093707</v>
      </c>
      <c r="N111" s="54">
        <f t="shared" si="45"/>
        <v>7426.6955931886814</v>
      </c>
      <c r="O111" s="54">
        <f t="shared" si="45"/>
        <v>7734.3177105905797</v>
      </c>
      <c r="P111" s="54">
        <f t="shared" si="45"/>
        <v>8048.5819871308458</v>
      </c>
      <c r="Q111" s="54">
        <f t="shared" si="45"/>
        <v>8369.177908811931</v>
      </c>
      <c r="R111" s="54">
        <f t="shared" si="45"/>
        <v>8695.8542284194064</v>
      </c>
      <c r="S111" s="54">
        <f t="shared" si="45"/>
        <v>9028.2963814799841</v>
      </c>
      <c r="T111" s="54">
        <f t="shared" si="45"/>
        <v>9366.1238316358322</v>
      </c>
      <c r="U111" s="54">
        <f t="shared" si="45"/>
        <v>9711.1414619943025</v>
      </c>
      <c r="V111" s="54">
        <f t="shared" si="45"/>
        <v>10063.069676075665</v>
      </c>
      <c r="W111" s="54">
        <f t="shared" si="45"/>
        <v>10421.776847506297</v>
      </c>
      <c r="X111" s="54">
        <f t="shared" si="45"/>
        <v>10787.189399391087</v>
      </c>
      <c r="Y111" s="54">
        <f t="shared" si="45"/>
        <v>11159.236679379823</v>
      </c>
      <c r="Z111" s="54">
        <f t="shared" si="45"/>
        <v>11537.835673445305</v>
      </c>
      <c r="AA111" s="54">
        <f t="shared" si="45"/>
        <v>11922.85328092192</v>
      </c>
      <c r="AB111" s="54">
        <f t="shared" si="45"/>
        <v>12314.128887653975</v>
      </c>
      <c r="AC111" s="54">
        <f t="shared" si="45"/>
        <v>12711.489783217688</v>
      </c>
      <c r="AD111" s="54">
        <f t="shared" si="45"/>
        <v>13114.743079559021</v>
      </c>
      <c r="AE111" s="54">
        <f t="shared" si="45"/>
        <v>13523.696541767376</v>
      </c>
      <c r="AF111" s="54">
        <f t="shared" si="45"/>
        <v>13938.14376084463</v>
      </c>
      <c r="AG111" s="54">
        <f t="shared" si="45"/>
        <v>14357.879752760347</v>
      </c>
      <c r="AH111" s="54">
        <f t="shared" si="45"/>
        <v>14782.709900865304</v>
      </c>
      <c r="AI111" s="54">
        <f t="shared" si="45"/>
        <v>15212.43101594797</v>
      </c>
      <c r="AJ111" s="54">
        <f t="shared" si="45"/>
        <v>15646.819994521793</v>
      </c>
    </row>
    <row r="112" spans="1:36">
      <c r="D112" t="s">
        <v>18</v>
      </c>
      <c r="E112" s="54">
        <f>SUM(E89:E99)</f>
        <v>2629.5138955220109</v>
      </c>
      <c r="F112" s="54">
        <f t="shared" ref="F112:AJ112" si="46">SUM(F89:F99)</f>
        <v>2727.6983329401137</v>
      </c>
      <c r="G112" s="54">
        <f t="shared" si="46"/>
        <v>2827.8533909114617</v>
      </c>
      <c r="H112" s="54">
        <f t="shared" si="46"/>
        <v>2929.9499091097905</v>
      </c>
      <c r="I112" s="54">
        <f t="shared" si="46"/>
        <v>3034.0231497956579</v>
      </c>
      <c r="J112" s="54">
        <f t="shared" si="46"/>
        <v>3140.1483583668837</v>
      </c>
      <c r="K112" s="54">
        <f t="shared" si="46"/>
        <v>3270.574786357965</v>
      </c>
      <c r="L112" s="54">
        <f t="shared" si="46"/>
        <v>3404.0254673652466</v>
      </c>
      <c r="M112" s="54">
        <f t="shared" si="46"/>
        <v>3540.3304975766969</v>
      </c>
      <c r="N112" s="54">
        <f t="shared" si="46"/>
        <v>3679.2304012997602</v>
      </c>
      <c r="O112" s="54">
        <f t="shared" si="46"/>
        <v>3820.395165603516</v>
      </c>
      <c r="P112" s="54">
        <f>SUM(P89:P99)</f>
        <v>3963.5138165035519</v>
      </c>
      <c r="Q112" s="54">
        <f t="shared" si="46"/>
        <v>4108.3595458223881</v>
      </c>
      <c r="R112" s="54">
        <f t="shared" si="46"/>
        <v>4254.76596654472</v>
      </c>
      <c r="S112" s="54">
        <f t="shared" si="46"/>
        <v>4402.5577001276342</v>
      </c>
      <c r="T112" s="54">
        <f t="shared" si="46"/>
        <v>4551.6130842544426</v>
      </c>
      <c r="U112" s="54">
        <f t="shared" si="46"/>
        <v>4702.3615095150353</v>
      </c>
      <c r="V112" s="54">
        <f t="shared" si="46"/>
        <v>4854.7294557420764</v>
      </c>
      <c r="W112" s="54">
        <f t="shared" si="46"/>
        <v>5008.5513395970993</v>
      </c>
      <c r="X112" s="54">
        <f t="shared" si="46"/>
        <v>5163.6825993023267</v>
      </c>
      <c r="Y112" s="54">
        <f t="shared" si="46"/>
        <v>5319.969356570703</v>
      </c>
      <c r="Z112" s="54">
        <f t="shared" si="46"/>
        <v>5477.258021830844</v>
      </c>
      <c r="AA112" s="54">
        <f t="shared" si="46"/>
        <v>5635.3804245837964</v>
      </c>
      <c r="AB112" s="54">
        <f t="shared" si="46"/>
        <v>5794.1565801332417</v>
      </c>
      <c r="AC112" s="54">
        <f t="shared" si="46"/>
        <v>5953.3833686234193</v>
      </c>
      <c r="AD112" s="54">
        <f t="shared" si="46"/>
        <v>6112.8412807602272</v>
      </c>
      <c r="AE112" s="54">
        <f t="shared" si="46"/>
        <v>6272.3226104228861</v>
      </c>
      <c r="AF112" s="54">
        <f t="shared" si="46"/>
        <v>6431.6187431204025</v>
      </c>
      <c r="AG112" s="54">
        <f t="shared" si="46"/>
        <v>6590.5411830744997</v>
      </c>
      <c r="AH112" s="54">
        <f t="shared" si="46"/>
        <v>6748.9169163837068</v>
      </c>
      <c r="AI112" s="54">
        <f t="shared" si="46"/>
        <v>6906.5835468927216</v>
      </c>
      <c r="AJ112" s="54">
        <f t="shared" si="46"/>
        <v>7063.3645396407119</v>
      </c>
    </row>
    <row r="113" spans="4:36">
      <c r="D113" t="s">
        <v>19</v>
      </c>
      <c r="E113" s="54">
        <f>SUM(E100:E110)</f>
        <v>2383.8855154225716</v>
      </c>
      <c r="F113" s="54">
        <f t="shared" ref="F113:AJ113" si="47">SUM(F100:F110)</f>
        <v>2520.352382596086</v>
      </c>
      <c r="G113" s="54">
        <f t="shared" si="47"/>
        <v>2663.0664388128516</v>
      </c>
      <c r="H113" s="54">
        <f t="shared" si="47"/>
        <v>2812.1833608893953</v>
      </c>
      <c r="I113" s="54">
        <f t="shared" si="47"/>
        <v>2967.8033573952139</v>
      </c>
      <c r="J113" s="54">
        <f t="shared" si="47"/>
        <v>3130.0009655915374</v>
      </c>
      <c r="K113" s="54">
        <f t="shared" si="47"/>
        <v>3277.0194613396802</v>
      </c>
      <c r="L113" s="54">
        <f t="shared" si="47"/>
        <v>3428.9462188209131</v>
      </c>
      <c r="M113" s="54">
        <f t="shared" si="47"/>
        <v>3585.7788914326738</v>
      </c>
      <c r="N113" s="54">
        <f t="shared" si="47"/>
        <v>3747.4651918889208</v>
      </c>
      <c r="O113" s="54">
        <f t="shared" si="47"/>
        <v>3913.9225449870651</v>
      </c>
      <c r="P113" s="54">
        <f>SUM(P100:P110)</f>
        <v>4085.0681706272931</v>
      </c>
      <c r="Q113" s="54">
        <f t="shared" si="47"/>
        <v>4260.8183629895429</v>
      </c>
      <c r="R113" s="54">
        <f t="shared" si="47"/>
        <v>4441.0882618746837</v>
      </c>
      <c r="S113" s="54">
        <f t="shared" si="47"/>
        <v>4625.738681352349</v>
      </c>
      <c r="T113" s="54">
        <f t="shared" si="47"/>
        <v>4814.5107473813896</v>
      </c>
      <c r="U113" s="54">
        <f t="shared" si="47"/>
        <v>5008.7799524792672</v>
      </c>
      <c r="V113" s="54">
        <f t="shared" si="47"/>
        <v>5208.34022033359</v>
      </c>
      <c r="W113" s="54">
        <f t="shared" si="47"/>
        <v>5413.2255079091956</v>
      </c>
      <c r="X113" s="54">
        <f t="shared" si="47"/>
        <v>5623.5068000887613</v>
      </c>
      <c r="Y113" s="54">
        <f t="shared" si="47"/>
        <v>5839.2673228091189</v>
      </c>
      <c r="Z113" s="54">
        <f t="shared" si="47"/>
        <v>6060.5776516144579</v>
      </c>
      <c r="AA113" s="54">
        <f t="shared" si="47"/>
        <v>6287.4728563381204</v>
      </c>
      <c r="AB113" s="54">
        <f t="shared" si="47"/>
        <v>6519.9723075207357</v>
      </c>
      <c r="AC113" s="54">
        <f t="shared" si="47"/>
        <v>6758.1064145942719</v>
      </c>
      <c r="AD113" s="54">
        <f t="shared" si="47"/>
        <v>7001.9017987987963</v>
      </c>
      <c r="AE113" s="54">
        <f t="shared" si="47"/>
        <v>7251.3739313444894</v>
      </c>
      <c r="AF113" s="54">
        <f t="shared" si="47"/>
        <v>7506.5250177242297</v>
      </c>
      <c r="AG113" s="54">
        <f t="shared" si="47"/>
        <v>7767.3385696858468</v>
      </c>
      <c r="AH113" s="54">
        <f t="shared" si="47"/>
        <v>8033.7929844815953</v>
      </c>
      <c r="AI113" s="54">
        <f t="shared" si="47"/>
        <v>8305.8474690552484</v>
      </c>
      <c r="AJ113" s="54">
        <f t="shared" si="47"/>
        <v>8583.4554548810811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52B4-58BC-FF46-A6F1-252FA1A0023C}">
  <dimension ref="A1:AO3117"/>
  <sheetViews>
    <sheetView tabSelected="1" workbookViewId="0">
      <selection activeCell="K1" sqref="K1"/>
    </sheetView>
  </sheetViews>
  <sheetFormatPr baseColWidth="10" defaultRowHeight="16"/>
  <cols>
    <col min="7" max="7" width="12.1640625" bestFit="1" customWidth="1"/>
  </cols>
  <sheetData>
    <row r="1" spans="1:41">
      <c r="A1" t="s">
        <v>205</v>
      </c>
      <c r="B1" t="s">
        <v>206</v>
      </c>
      <c r="C1" t="s">
        <v>265</v>
      </c>
      <c r="D1" t="s">
        <v>207</v>
      </c>
      <c r="E1" t="s">
        <v>208</v>
      </c>
      <c r="F1" t="s">
        <v>209</v>
      </c>
      <c r="G1" t="s">
        <v>267</v>
      </c>
      <c r="H1" t="s">
        <v>268</v>
      </c>
      <c r="I1" t="s">
        <v>266</v>
      </c>
      <c r="K1" t="s">
        <v>320</v>
      </c>
      <c r="P1" s="212" t="s">
        <v>297</v>
      </c>
      <c r="AF1" s="25" t="s">
        <v>313</v>
      </c>
    </row>
    <row r="2" spans="1:41">
      <c r="A2" t="s">
        <v>211</v>
      </c>
      <c r="B2" t="s">
        <v>162</v>
      </c>
      <c r="C2" t="s">
        <v>269</v>
      </c>
      <c r="D2" t="s">
        <v>25</v>
      </c>
      <c r="E2" t="s">
        <v>36</v>
      </c>
      <c r="F2">
        <v>2010</v>
      </c>
      <c r="G2" s="55">
        <f>10^6*IF($E2="charcoal",params!$P$13*INDEX(BAU_Fuel_cons!$E$2:$AS$34,MATCH(D2&amp;"_"&amp;E2,BAU_Fuel_cons!$AT$2:$AT$34,0),MATCH(F2,BAU_Fuel_cons!$E$1:$AS$1,0)),INDEX(BAU_Fuel_cons!$E$2:$AS$34,MATCH(D2&amp;"_"&amp;E2,BAU_Fuel_cons!$AT$2:$AT$34,0),MATCH(F2,BAU_Fuel_cons!$E$1:$AS$1,0)))</f>
        <v>1181067.3525816519</v>
      </c>
      <c r="H2" s="55">
        <f>G2+10^6*IF($E2="charcoal",params!$P$13*SUMIFS(nonresidential!$L:$L,nonresidential!$A:$A,$F2,nonresidential!$B:$B,$E2,nonresidential!$C:$C,$D2),SUMIFS(nonresidential!$L:$L,nonresidential!$A:$A,$F2,nonresidential!$B:$B,$E2,nonresidential!$C:$C,$D2))</f>
        <v>1383673.6660526427</v>
      </c>
      <c r="I2">
        <f>1</f>
        <v>1</v>
      </c>
      <c r="K2" t="s">
        <v>267</v>
      </c>
      <c r="L2" t="s">
        <v>270</v>
      </c>
      <c r="O2" s="18"/>
      <c r="P2" t="s">
        <v>272</v>
      </c>
      <c r="Q2">
        <v>2010</v>
      </c>
      <c r="R2">
        <v>2015</v>
      </c>
      <c r="S2">
        <v>2020</v>
      </c>
      <c r="T2">
        <v>2025</v>
      </c>
      <c r="U2">
        <v>2030</v>
      </c>
      <c r="V2">
        <v>2035</v>
      </c>
      <c r="W2">
        <v>2040</v>
      </c>
      <c r="X2">
        <v>2045</v>
      </c>
      <c r="Y2">
        <v>2050</v>
      </c>
      <c r="AG2">
        <v>2010</v>
      </c>
      <c r="AH2">
        <v>2015</v>
      </c>
      <c r="AI2">
        <v>2020</v>
      </c>
      <c r="AJ2">
        <v>2025</v>
      </c>
      <c r="AK2">
        <v>2030</v>
      </c>
      <c r="AL2">
        <v>2035</v>
      </c>
      <c r="AM2">
        <v>2040</v>
      </c>
      <c r="AN2">
        <v>2045</v>
      </c>
      <c r="AO2">
        <v>2050</v>
      </c>
    </row>
    <row r="3" spans="1:41">
      <c r="A3" t="s">
        <v>211</v>
      </c>
      <c r="B3" t="s">
        <v>162</v>
      </c>
      <c r="C3" t="s">
        <v>269</v>
      </c>
      <c r="D3" t="s">
        <v>25</v>
      </c>
      <c r="E3" t="s">
        <v>36</v>
      </c>
      <c r="F3">
        <v>2011</v>
      </c>
      <c r="G3" s="55">
        <f>10^6*IF($E3="charcoal",params!$P$13*INDEX(BAU_Fuel_cons!$E$2:$AS$34,MATCH(D3&amp;"_"&amp;E3,BAU_Fuel_cons!$AT$2:$AT$34,0),MATCH(F3,BAU_Fuel_cons!$E$1:$AS$1,0)),INDEX(BAU_Fuel_cons!$E$2:$AS$34,MATCH(D3&amp;"_"&amp;E3,BAU_Fuel_cons!$AT$2:$AT$34,0),MATCH(F3,BAU_Fuel_cons!$E$1:$AS$1,0)))</f>
        <v>1201469.7152280954</v>
      </c>
      <c r="H3" s="55">
        <f>G3+10^6*IF($E3="charcoal",params!$P$13*SUMIFS(nonresidential!$L:$L,nonresidential!$A:$A,$F3,nonresidential!$B:$B,$E3,nonresidential!$C:$C,$D3),SUMIFS(nonresidential!$L:$L,nonresidential!$A:$A,$F3,nonresidential!$B:$B,$E3,nonresidential!$C:$C,$D3))</f>
        <v>1410043.6417291851</v>
      </c>
      <c r="I3">
        <f>1</f>
        <v>1</v>
      </c>
      <c r="K3" t="s">
        <v>268</v>
      </c>
      <c r="L3" t="s">
        <v>300</v>
      </c>
      <c r="O3" s="18"/>
      <c r="P3" t="s">
        <v>36</v>
      </c>
      <c r="Q3" s="54">
        <f>SUMIFS($G:$G,$A:$A,"MWI",$D:$D,$P$2,$E:$E,$P3,$F:$F,Q$2)/10^6</f>
        <v>8.153354210745297</v>
      </c>
      <c r="R3" s="54">
        <f t="shared" ref="R3:Y12" si="0">SUMIFS($G:$G,$A:$A,"MWI",$D:$D,$P$2,$E:$E,$P3,$F:$F,R$2)/10^6</f>
        <v>8.7952043296904723</v>
      </c>
      <c r="S3" s="54">
        <f t="shared" si="0"/>
        <v>9.3353150588899254</v>
      </c>
      <c r="T3" s="54">
        <f t="shared" si="0"/>
        <v>9.6216309712248052</v>
      </c>
      <c r="U3" s="54">
        <f t="shared" si="0"/>
        <v>9.3061476122930173</v>
      </c>
      <c r="V3" s="54">
        <f t="shared" si="0"/>
        <v>8.6114656853663938</v>
      </c>
      <c r="W3" s="54">
        <f t="shared" si="0"/>
        <v>7.5299274673192746</v>
      </c>
      <c r="X3" s="54">
        <f t="shared" si="0"/>
        <v>6.0535559389091462</v>
      </c>
      <c r="Y3" s="54">
        <f t="shared" si="0"/>
        <v>4.1799751533379492</v>
      </c>
      <c r="AF3" t="s">
        <v>314</v>
      </c>
      <c r="AG3" s="54">
        <f>Q3</f>
        <v>8.153354210745297</v>
      </c>
      <c r="AH3" s="54">
        <f t="shared" ref="AH3:AH4" si="1">R3</f>
        <v>8.7952043296904723</v>
      </c>
      <c r="AI3" s="54">
        <f t="shared" ref="AI3:AI4" si="2">S3</f>
        <v>9.3353150588899254</v>
      </c>
      <c r="AJ3" s="54">
        <f t="shared" ref="AJ3:AJ4" si="3">T3</f>
        <v>9.6216309712248052</v>
      </c>
      <c r="AK3" s="54">
        <f t="shared" ref="AK3:AK4" si="4">U3</f>
        <v>9.3061476122930173</v>
      </c>
      <c r="AL3" s="54">
        <f t="shared" ref="AL3:AL4" si="5">V3</f>
        <v>8.6114656853663938</v>
      </c>
      <c r="AM3" s="54">
        <f t="shared" ref="AM3:AM4" si="6">W3</f>
        <v>7.5299274673192746</v>
      </c>
      <c r="AN3" s="54">
        <f t="shared" ref="AN3:AN4" si="7">X3</f>
        <v>6.0535559389091462</v>
      </c>
      <c r="AO3" s="54">
        <f t="shared" ref="AO3:AO4" si="8">Y3</f>
        <v>4.1799751533379492</v>
      </c>
    </row>
    <row r="4" spans="1:41">
      <c r="A4" t="s">
        <v>211</v>
      </c>
      <c r="B4" t="s">
        <v>162</v>
      </c>
      <c r="C4" t="s">
        <v>269</v>
      </c>
      <c r="D4" t="s">
        <v>25</v>
      </c>
      <c r="E4" t="s">
        <v>36</v>
      </c>
      <c r="F4">
        <v>2012</v>
      </c>
      <c r="G4" s="55">
        <f>10^6*IF($E4="charcoal",params!$P$13*INDEX(BAU_Fuel_cons!$E$2:$AS$34,MATCH(D4&amp;"_"&amp;E4,BAU_Fuel_cons!$AT$2:$AT$34,0),MATCH(F4,BAU_Fuel_cons!$E$1:$AS$1,0)),INDEX(BAU_Fuel_cons!$E$2:$AS$34,MATCH(D4&amp;"_"&amp;E4,BAU_Fuel_cons!$AT$2:$AT$34,0),MATCH(F4,BAU_Fuel_cons!$E$1:$AS$1,0)))</f>
        <v>1220421.0826034511</v>
      </c>
      <c r="H4" s="55">
        <f>G4+10^6*IF($E4="charcoal",params!$P$13*SUMIFS(nonresidential!$L:$L,nonresidential!$A:$A,$F4,nonresidential!$B:$B,$E4,nonresidential!$C:$C,$D4),SUMIFS(nonresidential!$L:$L,nonresidential!$A:$A,$F4,nonresidential!$B:$B,$E4,nonresidential!$C:$C,$D4))</f>
        <v>1434951.2182950971</v>
      </c>
      <c r="I4">
        <f>1</f>
        <v>1</v>
      </c>
      <c r="K4" t="s">
        <v>266</v>
      </c>
      <c r="L4" t="s">
        <v>301</v>
      </c>
      <c r="O4" s="18"/>
      <c r="P4" t="s">
        <v>30</v>
      </c>
      <c r="Q4" s="54">
        <f t="shared" ref="Q4:Y12" si="9">SUMIFS($G:$G,$A:$A,"MWI",$D:$D,$P$2,$E:$E,$P4,$F:$F,Q$2)/10^6</f>
        <v>4.0771691677701707</v>
      </c>
      <c r="R4" s="54">
        <f t="shared" si="0"/>
        <v>6.6590937519290012</v>
      </c>
      <c r="S4" s="54">
        <f t="shared" si="0"/>
        <v>10.013532773234017</v>
      </c>
      <c r="T4" s="54">
        <f t="shared" si="0"/>
        <v>14.326375712607522</v>
      </c>
      <c r="U4" s="54">
        <f t="shared" si="0"/>
        <v>19.900135385294263</v>
      </c>
      <c r="V4" s="54">
        <f t="shared" si="0"/>
        <v>26.376231897516934</v>
      </c>
      <c r="W4" s="54">
        <f t="shared" si="0"/>
        <v>33.766172852577348</v>
      </c>
      <c r="X4" s="54">
        <f t="shared" si="0"/>
        <v>42.054525915571425</v>
      </c>
      <c r="Y4" s="54">
        <f t="shared" si="0"/>
        <v>51.160654192184992</v>
      </c>
      <c r="AF4" t="s">
        <v>316</v>
      </c>
      <c r="AG4" s="54">
        <f t="shared" ref="AG4:AG6" si="10">Q4</f>
        <v>4.0771691677701707</v>
      </c>
      <c r="AH4" s="54">
        <f t="shared" si="1"/>
        <v>6.6590937519290012</v>
      </c>
      <c r="AI4" s="54">
        <f t="shared" si="2"/>
        <v>10.013532773234017</v>
      </c>
      <c r="AJ4" s="54">
        <f t="shared" si="3"/>
        <v>14.326375712607522</v>
      </c>
      <c r="AK4" s="54">
        <f t="shared" si="4"/>
        <v>19.900135385294263</v>
      </c>
      <c r="AL4" s="54">
        <f t="shared" si="5"/>
        <v>26.376231897516934</v>
      </c>
      <c r="AM4" s="54">
        <f t="shared" si="6"/>
        <v>33.766172852577348</v>
      </c>
      <c r="AN4" s="54">
        <f t="shared" si="7"/>
        <v>42.054525915571425</v>
      </c>
      <c r="AO4" s="54">
        <f t="shared" si="8"/>
        <v>51.160654192184992</v>
      </c>
    </row>
    <row r="5" spans="1:41">
      <c r="A5" t="s">
        <v>211</v>
      </c>
      <c r="B5" t="s">
        <v>162</v>
      </c>
      <c r="C5" t="s">
        <v>269</v>
      </c>
      <c r="D5" t="s">
        <v>25</v>
      </c>
      <c r="E5" t="s">
        <v>36</v>
      </c>
      <c r="F5">
        <v>2013</v>
      </c>
      <c r="G5" s="55">
        <f>10^6*IF($E5="charcoal",params!$P$13*INDEX(BAU_Fuel_cons!$E$2:$AS$34,MATCH(D5&amp;"_"&amp;E5,BAU_Fuel_cons!$AT$2:$AT$34,0),MATCH(F5,BAU_Fuel_cons!$E$1:$AS$1,0)),INDEX(BAU_Fuel_cons!$E$2:$AS$34,MATCH(D5&amp;"_"&amp;E5,BAU_Fuel_cons!$AT$2:$AT$34,0),MATCH(F5,BAU_Fuel_cons!$E$1:$AS$1,0)))</f>
        <v>1237853.0956675983</v>
      </c>
      <c r="H5" s="55">
        <f>G5+10^6*IF($E5="charcoal",params!$P$13*SUMIFS(nonresidential!$L:$L,nonresidential!$A:$A,$F5,nonresidential!$B:$B,$E5,nonresidential!$C:$C,$D5),SUMIFS(nonresidential!$L:$L,nonresidential!$A:$A,$F5,nonresidential!$B:$B,$E5,nonresidential!$C:$C,$D5))</f>
        <v>1458329.7709556238</v>
      </c>
      <c r="I5">
        <f>1</f>
        <v>1</v>
      </c>
      <c r="O5" s="18"/>
      <c r="P5" t="s">
        <v>37</v>
      </c>
      <c r="Q5" s="54">
        <f t="shared" si="9"/>
        <v>0</v>
      </c>
      <c r="R5" s="54">
        <f t="shared" si="0"/>
        <v>7.1725358108698017E-3</v>
      </c>
      <c r="S5" s="54">
        <f t="shared" si="0"/>
        <v>3.961453347891325E-2</v>
      </c>
      <c r="T5" s="54">
        <f t="shared" si="0"/>
        <v>8.6339020043873907E-2</v>
      </c>
      <c r="U5" s="54">
        <f t="shared" si="0"/>
        <v>0.1480635429933807</v>
      </c>
      <c r="V5" s="54">
        <f t="shared" si="0"/>
        <v>0.22903838463658244</v>
      </c>
      <c r="W5" s="54">
        <f t="shared" si="0"/>
        <v>0.33223752584702831</v>
      </c>
      <c r="X5" s="54">
        <f t="shared" si="0"/>
        <v>0.46078762994646977</v>
      </c>
      <c r="Y5" s="54">
        <f t="shared" si="0"/>
        <v>0.61736838238571434</v>
      </c>
      <c r="AF5" t="s">
        <v>315</v>
      </c>
      <c r="AG5" s="54">
        <f>Q17</f>
        <v>1.7040450285834758</v>
      </c>
      <c r="AH5" s="54">
        <f t="shared" ref="AH5:AO5" si="11">R17</f>
        <v>1.8810424479921544</v>
      </c>
      <c r="AI5" s="54">
        <f t="shared" si="11"/>
        <v>2.0652136830672934</v>
      </c>
      <c r="AJ5" s="54">
        <f t="shared" si="11"/>
        <v>2.2423885852182543</v>
      </c>
      <c r="AK5" s="54">
        <f t="shared" si="11"/>
        <v>2.3837435359629779</v>
      </c>
      <c r="AL5" s="54">
        <f t="shared" si="11"/>
        <v>2.4987803684468162</v>
      </c>
      <c r="AM5" s="54">
        <f t="shared" si="11"/>
        <v>2.586340895355181</v>
      </c>
      <c r="AN5" s="54">
        <f t="shared" si="11"/>
        <v>2.6442450652690335</v>
      </c>
      <c r="AO5" s="54">
        <f t="shared" si="11"/>
        <v>2.6688975723719626</v>
      </c>
    </row>
    <row r="6" spans="1:41">
      <c r="A6" t="s">
        <v>211</v>
      </c>
      <c r="B6" t="s">
        <v>162</v>
      </c>
      <c r="C6" t="s">
        <v>269</v>
      </c>
      <c r="D6" t="s">
        <v>25</v>
      </c>
      <c r="E6" t="s">
        <v>36</v>
      </c>
      <c r="F6">
        <v>2014</v>
      </c>
      <c r="G6" s="55">
        <f>10^6*IF($E6="charcoal",params!$P$13*INDEX(BAU_Fuel_cons!$E$2:$AS$34,MATCH(D6&amp;"_"&amp;E6,BAU_Fuel_cons!$AT$2:$AT$34,0),MATCH(F6,BAU_Fuel_cons!$E$1:$AS$1,0)),INDEX(BAU_Fuel_cons!$E$2:$AS$34,MATCH(D6&amp;"_"&amp;E6,BAU_Fuel_cons!$AT$2:$AT$34,0),MATCH(F6,BAU_Fuel_cons!$E$1:$AS$1,0)))</f>
        <v>1253712.5973377759</v>
      </c>
      <c r="H6" s="55">
        <f>G6+10^6*IF($E6="charcoal",params!$P$13*SUMIFS(nonresidential!$L:$L,nonresidential!$A:$A,$F6,nonresidential!$B:$B,$E6,nonresidential!$C:$C,$D6),SUMIFS(nonresidential!$L:$L,nonresidential!$A:$A,$F6,nonresidential!$B:$B,$E6,nonresidential!$C:$C,$D6))</f>
        <v>1480131.8348605493</v>
      </c>
      <c r="I6">
        <f>1</f>
        <v>1</v>
      </c>
      <c r="O6" s="18"/>
      <c r="P6" t="s">
        <v>10</v>
      </c>
      <c r="Q6" s="54">
        <f t="shared" si="9"/>
        <v>0</v>
      </c>
      <c r="R6" s="54">
        <f t="shared" si="0"/>
        <v>7.9694842342997794E-4</v>
      </c>
      <c r="S6" s="54">
        <f t="shared" si="0"/>
        <v>4.4016148309900128E-3</v>
      </c>
      <c r="T6" s="54">
        <f t="shared" si="0"/>
        <v>9.5932244493192181E-3</v>
      </c>
      <c r="U6" s="54">
        <f t="shared" si="0"/>
        <v>1.6451504777042204E-2</v>
      </c>
      <c r="V6" s="54">
        <f t="shared" si="0"/>
        <v>2.5448709404064632E-2</v>
      </c>
      <c r="W6" s="54">
        <f t="shared" si="0"/>
        <v>3.6915280649669792E-2</v>
      </c>
      <c r="X6" s="54">
        <f t="shared" si="0"/>
        <v>5.1198625549607781E-2</v>
      </c>
      <c r="Y6" s="54">
        <f t="shared" si="0"/>
        <v>6.859648693174604E-2</v>
      </c>
      <c r="AF6" t="s">
        <v>317</v>
      </c>
      <c r="AG6" s="54">
        <f>Q18</f>
        <v>0.42549572945180891</v>
      </c>
      <c r="AH6" s="54">
        <f t="shared" ref="AH6:AO6" si="12">R18</f>
        <v>0.67280908026164088</v>
      </c>
      <c r="AI6" s="54">
        <f t="shared" si="12"/>
        <v>0.99470847127295059</v>
      </c>
      <c r="AJ6" s="54">
        <f t="shared" si="12"/>
        <v>1.406030928781778</v>
      </c>
      <c r="AK6" s="54">
        <f t="shared" si="12"/>
        <v>1.9225390809989023</v>
      </c>
      <c r="AL6" s="54">
        <f t="shared" si="12"/>
        <v>2.523019203754405</v>
      </c>
      <c r="AM6" s="54">
        <f t="shared" si="12"/>
        <v>3.2098037435971776</v>
      </c>
      <c r="AN6" s="54">
        <f t="shared" si="12"/>
        <v>3.982981186259579</v>
      </c>
      <c r="AO6" s="54">
        <f t="shared" si="12"/>
        <v>4.8367040651017845</v>
      </c>
    </row>
    <row r="7" spans="1:41">
      <c r="A7" t="s">
        <v>211</v>
      </c>
      <c r="B7" t="s">
        <v>162</v>
      </c>
      <c r="C7" t="s">
        <v>269</v>
      </c>
      <c r="D7" t="s">
        <v>25</v>
      </c>
      <c r="E7" t="s">
        <v>36</v>
      </c>
      <c r="F7">
        <v>2015</v>
      </c>
      <c r="G7" s="55">
        <f>10^6*IF($E7="charcoal",params!$P$13*INDEX(BAU_Fuel_cons!$E$2:$AS$34,MATCH(D7&amp;"_"&amp;E7,BAU_Fuel_cons!$AT$2:$AT$34,0),MATCH(F7,BAU_Fuel_cons!$E$1:$AS$1,0)),INDEX(BAU_Fuel_cons!$E$2:$AS$34,MATCH(D7&amp;"_"&amp;E7,BAU_Fuel_cons!$AT$2:$AT$34,0),MATCH(F7,BAU_Fuel_cons!$E$1:$AS$1,0)))</f>
        <v>1267902.9498533106</v>
      </c>
      <c r="H7" s="55">
        <f>G7+10^6*IF($E7="charcoal",params!$P$13*SUMIFS(nonresidential!$L:$L,nonresidential!$A:$A,$F7,nonresidential!$B:$B,$E7,nonresidential!$C:$C,$D7),SUMIFS(nonresidential!$L:$L,nonresidential!$A:$A,$F7,nonresidential!$B:$B,$E7,nonresidential!$C:$C,$D7))</f>
        <v>1500260.0840453506</v>
      </c>
      <c r="I7">
        <f>1</f>
        <v>1</v>
      </c>
      <c r="O7" s="18"/>
      <c r="P7" t="s">
        <v>40</v>
      </c>
      <c r="Q7" s="54">
        <f t="shared" si="9"/>
        <v>3.3293868194047898E-4</v>
      </c>
      <c r="R7" s="54">
        <f t="shared" si="0"/>
        <v>2.6655958385035492E-4</v>
      </c>
      <c r="S7" s="54">
        <f t="shared" si="0"/>
        <v>1.4109146447841009E-4</v>
      </c>
      <c r="T7" s="54">
        <f t="shared" si="0"/>
        <v>0</v>
      </c>
      <c r="U7" s="54">
        <f t="shared" si="0"/>
        <v>0</v>
      </c>
      <c r="V7" s="54">
        <f t="shared" si="0"/>
        <v>0</v>
      </c>
      <c r="W7" s="54">
        <f t="shared" si="0"/>
        <v>0</v>
      </c>
      <c r="X7" s="54">
        <f t="shared" si="0"/>
        <v>0</v>
      </c>
      <c r="Y7" s="54">
        <f t="shared" si="0"/>
        <v>0</v>
      </c>
    </row>
    <row r="8" spans="1:41">
      <c r="A8" t="s">
        <v>211</v>
      </c>
      <c r="B8" t="s">
        <v>162</v>
      </c>
      <c r="C8" t="s">
        <v>269</v>
      </c>
      <c r="D8" t="s">
        <v>25</v>
      </c>
      <c r="E8" t="s">
        <v>36</v>
      </c>
      <c r="F8">
        <v>2016</v>
      </c>
      <c r="G8" s="55">
        <f>10^6*IF($E8="charcoal",params!$P$13*INDEX(BAU_Fuel_cons!$E$2:$AS$34,MATCH(D8&amp;"_"&amp;E8,BAU_Fuel_cons!$AT$2:$AT$34,0),MATCH(F8,BAU_Fuel_cons!$E$1:$AS$1,0)),INDEX(BAU_Fuel_cons!$E$2:$AS$34,MATCH(D8&amp;"_"&amp;E8,BAU_Fuel_cons!$AT$2:$AT$34,0),MATCH(F8,BAU_Fuel_cons!$E$1:$AS$1,0)))</f>
        <v>1280263.1615311031</v>
      </c>
      <c r="H8" s="55">
        <f>G8+10^6*IF($E8="charcoal",params!$P$13*SUMIFS(nonresidential!$L:$L,nonresidential!$A:$A,$F8,nonresidential!$B:$B,$E8,nonresidential!$C:$C,$D8),SUMIFS(nonresidential!$L:$L,nonresidential!$A:$A,$F8,nonresidential!$B:$B,$E8,nonresidential!$C:$C,$D8))</f>
        <v>1518542.242111732</v>
      </c>
      <c r="I8">
        <f>1</f>
        <v>1</v>
      </c>
      <c r="O8" s="18"/>
      <c r="P8" t="s">
        <v>43</v>
      </c>
      <c r="Q8" s="54">
        <f t="shared" si="9"/>
        <v>1.0031991454441227E-4</v>
      </c>
      <c r="R8" s="54">
        <f t="shared" si="0"/>
        <v>7.0259249209371857E-4</v>
      </c>
      <c r="S8" s="54">
        <f t="shared" si="0"/>
        <v>1.8381231236658088E-3</v>
      </c>
      <c r="T8" s="54">
        <f t="shared" si="0"/>
        <v>3.1011586490112529E-3</v>
      </c>
      <c r="U8" s="54">
        <f t="shared" si="0"/>
        <v>3.0188870794070799E-3</v>
      </c>
      <c r="V8" s="54">
        <f t="shared" si="0"/>
        <v>2.7117982536723085E-3</v>
      </c>
      <c r="W8" s="54">
        <f t="shared" si="0"/>
        <v>2.1381412420124406E-3</v>
      </c>
      <c r="X8" s="54">
        <f t="shared" si="0"/>
        <v>1.250968951840356E-3</v>
      </c>
      <c r="Y8" s="54">
        <f t="shared" si="0"/>
        <v>0</v>
      </c>
    </row>
    <row r="9" spans="1:41">
      <c r="A9" t="s">
        <v>211</v>
      </c>
      <c r="B9" t="s">
        <v>162</v>
      </c>
      <c r="C9" t="s">
        <v>269</v>
      </c>
      <c r="D9" t="s">
        <v>25</v>
      </c>
      <c r="E9" t="s">
        <v>36</v>
      </c>
      <c r="F9">
        <v>2017</v>
      </c>
      <c r="G9" s="55">
        <f>10^6*IF($E9="charcoal",params!$P$13*INDEX(BAU_Fuel_cons!$E$2:$AS$34,MATCH(D9&amp;"_"&amp;E9,BAU_Fuel_cons!$AT$2:$AT$34,0),MATCH(F9,BAU_Fuel_cons!$E$1:$AS$1,0)),INDEX(BAU_Fuel_cons!$E$2:$AS$34,MATCH(D9&amp;"_"&amp;E9,BAU_Fuel_cons!$AT$2:$AT$34,0),MATCH(F9,BAU_Fuel_cons!$E$1:$AS$1,0)))</f>
        <v>1290580.2551205333</v>
      </c>
      <c r="H9" s="55">
        <f>G9+10^6*IF($E9="charcoal",params!$P$13*SUMIFS(nonresidential!$L:$L,nonresidential!$A:$A,$F9,nonresidential!$B:$B,$E9,nonresidential!$C:$C,$D9),SUMIFS(nonresidential!$L:$L,nonresidential!$A:$A,$F9,nonresidential!$B:$B,$E9,nonresidential!$C:$C,$D9))</f>
        <v>1534745.06338839</v>
      </c>
      <c r="I9">
        <f>1</f>
        <v>1</v>
      </c>
      <c r="O9" s="18"/>
      <c r="P9" t="s">
        <v>16</v>
      </c>
      <c r="Q9" s="54">
        <f t="shared" si="9"/>
        <v>0</v>
      </c>
      <c r="R9" s="54">
        <f t="shared" si="0"/>
        <v>0</v>
      </c>
      <c r="S9" s="54">
        <f t="shared" si="0"/>
        <v>0</v>
      </c>
      <c r="T9" s="54">
        <f t="shared" si="0"/>
        <v>0</v>
      </c>
      <c r="U9" s="54">
        <f t="shared" si="0"/>
        <v>0</v>
      </c>
      <c r="V9" s="54">
        <f t="shared" si="0"/>
        <v>0</v>
      </c>
      <c r="W9" s="54">
        <f t="shared" si="0"/>
        <v>0</v>
      </c>
      <c r="X9" s="54">
        <f t="shared" si="0"/>
        <v>0</v>
      </c>
      <c r="Y9" s="54">
        <f t="shared" si="0"/>
        <v>0</v>
      </c>
    </row>
    <row r="10" spans="1:41">
      <c r="A10" t="s">
        <v>211</v>
      </c>
      <c r="B10" t="s">
        <v>162</v>
      </c>
      <c r="C10" t="s">
        <v>269</v>
      </c>
      <c r="D10" t="s">
        <v>25</v>
      </c>
      <c r="E10" t="s">
        <v>36</v>
      </c>
      <c r="F10">
        <v>2018</v>
      </c>
      <c r="G10" s="55">
        <f>10^6*IF($E10="charcoal",params!$P$13*INDEX(BAU_Fuel_cons!$E$2:$AS$34,MATCH(D10&amp;"_"&amp;E10,BAU_Fuel_cons!$AT$2:$AT$34,0),MATCH(F10,BAU_Fuel_cons!$E$1:$AS$1,0)),INDEX(BAU_Fuel_cons!$E$2:$AS$34,MATCH(D10&amp;"_"&amp;E10,BAU_Fuel_cons!$AT$2:$AT$34,0),MATCH(F10,BAU_Fuel_cons!$E$1:$AS$1,0)))</f>
        <v>1298634.1604874292</v>
      </c>
      <c r="H10" s="55">
        <f>G10+10^6*IF($E10="charcoal",params!$P$13*SUMIFS(nonresidential!$L:$L,nonresidential!$A:$A,$F10,nonresidential!$B:$B,$E10,nonresidential!$C:$C,$D10),SUMIFS(nonresidential!$L:$L,nonresidential!$A:$A,$F10,nonresidential!$B:$B,$E10,nonresidential!$C:$C,$D10))</f>
        <v>1548627.1737078871</v>
      </c>
      <c r="I10">
        <f>1</f>
        <v>1</v>
      </c>
      <c r="O10" s="18"/>
      <c r="P10" t="s">
        <v>13</v>
      </c>
      <c r="Q10" s="54">
        <f t="shared" si="9"/>
        <v>0.29878206722327511</v>
      </c>
      <c r="R10" s="54">
        <f t="shared" si="0"/>
        <v>0.3111611389016159</v>
      </c>
      <c r="S10" s="54">
        <f t="shared" si="0"/>
        <v>0.30835622534843254</v>
      </c>
      <c r="T10" s="54">
        <f t="shared" si="0"/>
        <v>0.29081508489027647</v>
      </c>
      <c r="U10" s="54">
        <f t="shared" si="0"/>
        <v>0.28277445702309018</v>
      </c>
      <c r="V10" s="54">
        <f t="shared" si="0"/>
        <v>0.25374542960818758</v>
      </c>
      <c r="W10" s="54">
        <f t="shared" si="0"/>
        <v>0.19987618986869019</v>
      </c>
      <c r="X10" s="54">
        <f t="shared" si="0"/>
        <v>0.11683770866120327</v>
      </c>
      <c r="Y10" s="54">
        <f t="shared" si="0"/>
        <v>0</v>
      </c>
    </row>
    <row r="11" spans="1:41">
      <c r="A11" t="s">
        <v>211</v>
      </c>
      <c r="B11" t="s">
        <v>162</v>
      </c>
      <c r="C11" t="s">
        <v>269</v>
      </c>
      <c r="D11" t="s">
        <v>25</v>
      </c>
      <c r="E11" t="s">
        <v>36</v>
      </c>
      <c r="F11">
        <v>2019</v>
      </c>
      <c r="G11" s="55">
        <f>10^6*IF($E11="charcoal",params!$P$13*INDEX(BAU_Fuel_cons!$E$2:$AS$34,MATCH(D11&amp;"_"&amp;E11,BAU_Fuel_cons!$AT$2:$AT$34,0),MATCH(F11,BAU_Fuel_cons!$E$1:$AS$1,0)),INDEX(BAU_Fuel_cons!$E$2:$AS$34,MATCH(D11&amp;"_"&amp;E11,BAU_Fuel_cons!$AT$2:$AT$34,0),MATCH(F11,BAU_Fuel_cons!$E$1:$AS$1,0)))</f>
        <v>1304182.1481376244</v>
      </c>
      <c r="H11" s="55">
        <f>G11+10^6*IF($E11="charcoal",params!$P$13*SUMIFS(nonresidential!$L:$L,nonresidential!$A:$A,$F11,nonresidential!$B:$B,$E11,nonresidential!$C:$C,$D11),SUMIFS(nonresidential!$L:$L,nonresidential!$A:$A,$F11,nonresidential!$B:$B,$E11,nonresidential!$C:$C,$D11))</f>
        <v>1559920.3918823458</v>
      </c>
      <c r="I11">
        <f>1</f>
        <v>1</v>
      </c>
      <c r="O11" s="18"/>
      <c r="P11" t="s">
        <v>14</v>
      </c>
      <c r="Q11" s="54">
        <f t="shared" si="9"/>
        <v>0</v>
      </c>
      <c r="R11" s="54">
        <f t="shared" si="0"/>
        <v>0</v>
      </c>
      <c r="S11" s="54">
        <f t="shared" si="0"/>
        <v>0</v>
      </c>
      <c r="T11" s="54">
        <f t="shared" si="0"/>
        <v>0</v>
      </c>
      <c r="U11" s="54">
        <f t="shared" si="0"/>
        <v>0</v>
      </c>
      <c r="V11" s="54">
        <f t="shared" si="0"/>
        <v>0</v>
      </c>
      <c r="W11" s="54">
        <f t="shared" si="0"/>
        <v>0</v>
      </c>
      <c r="X11" s="54">
        <f t="shared" si="0"/>
        <v>0</v>
      </c>
      <c r="Y11" s="54">
        <f t="shared" si="0"/>
        <v>0</v>
      </c>
    </row>
    <row r="12" spans="1:41">
      <c r="A12" t="s">
        <v>211</v>
      </c>
      <c r="B12" t="s">
        <v>162</v>
      </c>
      <c r="C12" t="s">
        <v>269</v>
      </c>
      <c r="D12" t="s">
        <v>25</v>
      </c>
      <c r="E12" t="s">
        <v>36</v>
      </c>
      <c r="F12">
        <v>2020</v>
      </c>
      <c r="G12" s="55">
        <f>10^6*IF($E12="charcoal",params!$P$13*INDEX(BAU_Fuel_cons!$E$2:$AS$34,MATCH(D12&amp;"_"&amp;E12,BAU_Fuel_cons!$AT$2:$AT$34,0),MATCH(F12,BAU_Fuel_cons!$E$1:$AS$1,0)),INDEX(BAU_Fuel_cons!$E$2:$AS$34,MATCH(D12&amp;"_"&amp;E12,BAU_Fuel_cons!$AT$2:$AT$34,0),MATCH(F12,BAU_Fuel_cons!$E$1:$AS$1,0)))</f>
        <v>1306980.4458552352</v>
      </c>
      <c r="H12" s="55">
        <f>G12+10^6*IF($E12="charcoal",params!$P$13*SUMIFS(nonresidential!$L:$L,nonresidential!$A:$A,$F12,nonresidential!$B:$B,$E12,nonresidential!$C:$C,$D12),SUMIFS(nonresidential!$L:$L,nonresidential!$A:$A,$F12,nonresidential!$B:$B,$E12,nonresidential!$C:$C,$D12))</f>
        <v>1568355.2914412532</v>
      </c>
      <c r="I12">
        <f>1</f>
        <v>1</v>
      </c>
      <c r="O12" s="18"/>
      <c r="P12" t="s">
        <v>15</v>
      </c>
      <c r="Q12" s="54">
        <f t="shared" si="9"/>
        <v>0</v>
      </c>
      <c r="R12" s="54">
        <f t="shared" si="0"/>
        <v>0</v>
      </c>
      <c r="S12" s="54">
        <f t="shared" si="0"/>
        <v>0</v>
      </c>
      <c r="T12" s="54">
        <f t="shared" si="0"/>
        <v>0</v>
      </c>
      <c r="U12" s="54">
        <f t="shared" si="0"/>
        <v>0</v>
      </c>
      <c r="V12" s="54">
        <f t="shared" si="0"/>
        <v>0</v>
      </c>
      <c r="W12" s="54">
        <f t="shared" si="0"/>
        <v>0</v>
      </c>
      <c r="X12" s="54">
        <f t="shared" si="0"/>
        <v>0</v>
      </c>
      <c r="Y12" s="54">
        <f t="shared" si="0"/>
        <v>0</v>
      </c>
    </row>
    <row r="13" spans="1:41">
      <c r="A13" t="s">
        <v>211</v>
      </c>
      <c r="B13" t="s">
        <v>162</v>
      </c>
      <c r="C13" t="s">
        <v>269</v>
      </c>
      <c r="D13" t="s">
        <v>25</v>
      </c>
      <c r="E13" t="s">
        <v>36</v>
      </c>
      <c r="F13">
        <v>2021</v>
      </c>
      <c r="G13" s="55">
        <f>10^6*IF($E13="charcoal",params!$P$13*INDEX(BAU_Fuel_cons!$E$2:$AS$34,MATCH(D13&amp;"_"&amp;E13,BAU_Fuel_cons!$AT$2:$AT$34,0),MATCH(F13,BAU_Fuel_cons!$E$1:$AS$1,0)),INDEX(BAU_Fuel_cons!$E$2:$AS$34,MATCH(D13&amp;"_"&amp;E13,BAU_Fuel_cons!$AT$2:$AT$34,0),MATCH(F13,BAU_Fuel_cons!$E$1:$AS$1,0)))</f>
        <v>1306800.8635924291</v>
      </c>
      <c r="H13" s="55">
        <f>G13+10^6*IF($E13="charcoal",params!$P$13*SUMIFS(nonresidential!$L:$L,nonresidential!$A:$A,$F13,nonresidential!$B:$B,$E13,nonresidential!$C:$C,$D13),SUMIFS(nonresidential!$L:$L,nonresidential!$A:$A,$F13,nonresidential!$B:$B,$E13,nonresidential!$C:$C,$D13))</f>
        <v>1573681.1999495886</v>
      </c>
      <c r="I13">
        <f>1</f>
        <v>1</v>
      </c>
      <c r="P13" t="s">
        <v>127</v>
      </c>
      <c r="Q13" s="54">
        <f>Q4+Q3</f>
        <v>12.230523378515468</v>
      </c>
      <c r="R13" s="54">
        <f t="shared" ref="R13:Y13" si="13">R4+R3</f>
        <v>15.454298081619473</v>
      </c>
      <c r="S13" s="54">
        <f t="shared" si="13"/>
        <v>19.348847832123944</v>
      </c>
      <c r="T13" s="54">
        <f t="shared" si="13"/>
        <v>23.948006683832325</v>
      </c>
      <c r="U13" s="54">
        <f t="shared" si="13"/>
        <v>29.20628299758728</v>
      </c>
      <c r="V13" s="54">
        <f t="shared" si="13"/>
        <v>34.987697582883328</v>
      </c>
      <c r="W13" s="54">
        <f t="shared" si="13"/>
        <v>41.296100319896624</v>
      </c>
      <c r="X13" s="54">
        <f t="shared" si="13"/>
        <v>48.108081854480574</v>
      </c>
      <c r="Y13" s="54">
        <f t="shared" si="13"/>
        <v>55.340629345522942</v>
      </c>
    </row>
    <row r="14" spans="1:41">
      <c r="A14" t="s">
        <v>211</v>
      </c>
      <c r="B14" t="s">
        <v>162</v>
      </c>
      <c r="C14" t="s">
        <v>269</v>
      </c>
      <c r="D14" t="s">
        <v>25</v>
      </c>
      <c r="E14" t="s">
        <v>36</v>
      </c>
      <c r="F14">
        <v>2022</v>
      </c>
      <c r="G14" s="55">
        <f>10^6*IF($E14="charcoal",params!$P$13*INDEX(BAU_Fuel_cons!$E$2:$AS$34,MATCH(D14&amp;"_"&amp;E14,BAU_Fuel_cons!$AT$2:$AT$34,0),MATCH(F14,BAU_Fuel_cons!$E$1:$AS$1,0)),INDEX(BAU_Fuel_cons!$E$2:$AS$34,MATCH(D14&amp;"_"&amp;E14,BAU_Fuel_cons!$AT$2:$AT$34,0),MATCH(F14,BAU_Fuel_cons!$E$1:$AS$1,0)))</f>
        <v>1303410.9838358702</v>
      </c>
      <c r="H14" s="55">
        <f>G14+10^6*IF($E14="charcoal",params!$P$13*SUMIFS(nonresidential!$L:$L,nonresidential!$A:$A,$F14,nonresidential!$B:$B,$E14,nonresidential!$C:$C,$D14),SUMIFS(nonresidential!$L:$L,nonresidential!$A:$A,$F14,nonresidential!$B:$B,$E14,nonresidential!$C:$C,$D14))</f>
        <v>1575642.6107414579</v>
      </c>
      <c r="I14">
        <f>1</f>
        <v>1</v>
      </c>
    </row>
    <row r="15" spans="1:41">
      <c r="A15" t="s">
        <v>211</v>
      </c>
      <c r="B15" t="s">
        <v>162</v>
      </c>
      <c r="C15" t="s">
        <v>269</v>
      </c>
      <c r="D15" t="s">
        <v>25</v>
      </c>
      <c r="E15" t="s">
        <v>36</v>
      </c>
      <c r="F15">
        <v>2023</v>
      </c>
      <c r="G15" s="55">
        <f>10^6*IF($E15="charcoal",params!$P$13*INDEX(BAU_Fuel_cons!$E$2:$AS$34,MATCH(D15&amp;"_"&amp;E15,BAU_Fuel_cons!$AT$2:$AT$34,0),MATCH(F15,BAU_Fuel_cons!$E$1:$AS$1,0)),INDEX(BAU_Fuel_cons!$E$2:$AS$34,MATCH(D15&amp;"_"&amp;E15,BAU_Fuel_cons!$AT$2:$AT$34,0),MATCH(F15,BAU_Fuel_cons!$E$1:$AS$1,0)))</f>
        <v>1296551.2490528971</v>
      </c>
      <c r="H15" s="55">
        <f>G15+10^6*IF($E15="charcoal",params!$P$13*SUMIFS(nonresidential!$L:$L,nonresidential!$A:$A,$F15,nonresidential!$B:$B,$E15,nonresidential!$C:$C,$D15),SUMIFS(nonresidential!$L:$L,nonresidential!$A:$A,$F15,nonresidential!$B:$B,$E15,nonresidential!$C:$C,$D15))</f>
        <v>1573951.3282505739</v>
      </c>
      <c r="I15">
        <f>1</f>
        <v>1</v>
      </c>
      <c r="P15" s="212" t="s">
        <v>312</v>
      </c>
    </row>
    <row r="16" spans="1:41">
      <c r="A16" t="s">
        <v>211</v>
      </c>
      <c r="B16" t="s">
        <v>162</v>
      </c>
      <c r="C16" t="s">
        <v>269</v>
      </c>
      <c r="D16" t="s">
        <v>25</v>
      </c>
      <c r="E16" t="s">
        <v>36</v>
      </c>
      <c r="F16">
        <v>2024</v>
      </c>
      <c r="G16" s="55">
        <f>10^6*IF($E16="charcoal",params!$P$13*INDEX(BAU_Fuel_cons!$E$2:$AS$34,MATCH(D16&amp;"_"&amp;E16,BAU_Fuel_cons!$AT$2:$AT$34,0),MATCH(F16,BAU_Fuel_cons!$E$1:$AS$1,0)),INDEX(BAU_Fuel_cons!$E$2:$AS$34,MATCH(D16&amp;"_"&amp;E16,BAU_Fuel_cons!$AT$2:$AT$34,0),MATCH(F16,BAU_Fuel_cons!$E$1:$AS$1,0)))</f>
        <v>1285953.7275885474</v>
      </c>
      <c r="H16" s="55">
        <f>G16+10^6*IF($E16="charcoal",params!$P$13*SUMIFS(nonresidential!$L:$L,nonresidential!$A:$A,$F16,nonresidential!$B:$B,$E16,nonresidential!$C:$C,$D16),SUMIFS(nonresidential!$L:$L,nonresidential!$A:$A,$F16,nonresidential!$B:$B,$E16,nonresidential!$C:$C,$D16))</f>
        <v>1568308.658625521</v>
      </c>
      <c r="I16">
        <f>1</f>
        <v>1</v>
      </c>
      <c r="P16" t="s">
        <v>272</v>
      </c>
    </row>
    <row r="17" spans="1:25">
      <c r="A17" t="s">
        <v>211</v>
      </c>
      <c r="B17" t="s">
        <v>162</v>
      </c>
      <c r="C17" t="s">
        <v>269</v>
      </c>
      <c r="D17" t="s">
        <v>25</v>
      </c>
      <c r="E17" t="s">
        <v>36</v>
      </c>
      <c r="F17">
        <v>2025</v>
      </c>
      <c r="G17" s="55">
        <f>10^6*IF($E17="charcoal",params!$P$13*INDEX(BAU_Fuel_cons!$E$2:$AS$34,MATCH(D17&amp;"_"&amp;E17,BAU_Fuel_cons!$AT$2:$AT$34,0),MATCH(F17,BAU_Fuel_cons!$E$1:$AS$1,0)),INDEX(BAU_Fuel_cons!$E$2:$AS$34,MATCH(D17&amp;"_"&amp;E17,BAU_Fuel_cons!$AT$2:$AT$34,0),MATCH(F17,BAU_Fuel_cons!$E$1:$AS$1,0)))</f>
        <v>1288894.5706353025</v>
      </c>
      <c r="H17" s="55">
        <f>G17+10^6*IF($E17="charcoal",params!$P$13*SUMIFS(nonresidential!$L:$L,nonresidential!$A:$A,$F17,nonresidential!$B:$B,$E17,nonresidential!$C:$C,$D17),SUMIFS(nonresidential!$L:$L,nonresidential!$A:$A,$F17,nonresidential!$B:$B,$E17,nonresidential!$C:$C,$D17))</f>
        <v>1577801.8868734608</v>
      </c>
      <c r="I17">
        <f>1</f>
        <v>1</v>
      </c>
      <c r="P17" t="s">
        <v>36</v>
      </c>
      <c r="Q17" s="54">
        <f>Q32-Q3</f>
        <v>1.7040450285834758</v>
      </c>
      <c r="R17" s="54">
        <f t="shared" ref="R17:Y17" si="14">R32-R3</f>
        <v>1.8810424479921544</v>
      </c>
      <c r="S17" s="54">
        <f t="shared" si="14"/>
        <v>2.0652136830672934</v>
      </c>
      <c r="T17" s="54">
        <f t="shared" si="14"/>
        <v>2.2423885852182543</v>
      </c>
      <c r="U17" s="54">
        <f t="shared" si="14"/>
        <v>2.3837435359629779</v>
      </c>
      <c r="V17" s="54">
        <f t="shared" si="14"/>
        <v>2.4987803684468162</v>
      </c>
      <c r="W17" s="54">
        <f t="shared" si="14"/>
        <v>2.586340895355181</v>
      </c>
      <c r="X17" s="54">
        <f t="shared" si="14"/>
        <v>2.6442450652690335</v>
      </c>
      <c r="Y17" s="54">
        <f t="shared" si="14"/>
        <v>2.6688975723719626</v>
      </c>
    </row>
    <row r="18" spans="1:25">
      <c r="A18" t="s">
        <v>211</v>
      </c>
      <c r="B18" t="s">
        <v>162</v>
      </c>
      <c r="C18" t="s">
        <v>269</v>
      </c>
      <c r="D18" t="s">
        <v>25</v>
      </c>
      <c r="E18" t="s">
        <v>36</v>
      </c>
      <c r="F18">
        <v>2026</v>
      </c>
      <c r="G18" s="55">
        <f>10^6*IF($E18="charcoal",params!$P$13*INDEX(BAU_Fuel_cons!$E$2:$AS$34,MATCH(D18&amp;"_"&amp;E18,BAU_Fuel_cons!$AT$2:$AT$34,0),MATCH(F18,BAU_Fuel_cons!$E$1:$AS$1,0)),INDEX(BAU_Fuel_cons!$E$2:$AS$34,MATCH(D18&amp;"_"&amp;E18,BAU_Fuel_cons!$AT$2:$AT$34,0),MATCH(F18,BAU_Fuel_cons!$E$1:$AS$1,0)))</f>
        <v>1289049.156560479</v>
      </c>
      <c r="H18" s="55">
        <f>G18+10^6*IF($E18="charcoal",params!$P$13*SUMIFS(nonresidential!$L:$L,nonresidential!$A:$A,$F18,nonresidential!$B:$B,$E18,nonresidential!$C:$C,$D18),SUMIFS(nonresidential!$L:$L,nonresidential!$A:$A,$F18,nonresidential!$B:$B,$E18,nonresidential!$C:$C,$D18))</f>
        <v>1584390.781984874</v>
      </c>
      <c r="I18">
        <f>1</f>
        <v>1</v>
      </c>
      <c r="P18" t="s">
        <v>30</v>
      </c>
      <c r="Q18" s="54">
        <f t="shared" ref="Q18:Y26" si="15">Q33-Q4</f>
        <v>0.42549572945180891</v>
      </c>
      <c r="R18" s="54">
        <f t="shared" si="15"/>
        <v>0.67280908026164088</v>
      </c>
      <c r="S18" s="54">
        <f t="shared" si="15"/>
        <v>0.99470847127295059</v>
      </c>
      <c r="T18" s="54">
        <f t="shared" si="15"/>
        <v>1.406030928781778</v>
      </c>
      <c r="U18" s="54">
        <f t="shared" si="15"/>
        <v>1.9225390809989023</v>
      </c>
      <c r="V18" s="54">
        <f t="shared" si="15"/>
        <v>2.523019203754405</v>
      </c>
      <c r="W18" s="54">
        <f t="shared" si="15"/>
        <v>3.2098037435971776</v>
      </c>
      <c r="X18" s="54">
        <f t="shared" si="15"/>
        <v>3.982981186259579</v>
      </c>
      <c r="Y18" s="54">
        <f t="shared" si="15"/>
        <v>4.8367040651017845</v>
      </c>
    </row>
    <row r="19" spans="1:25">
      <c r="A19" t="s">
        <v>211</v>
      </c>
      <c r="B19" t="s">
        <v>162</v>
      </c>
      <c r="C19" t="s">
        <v>269</v>
      </c>
      <c r="D19" t="s">
        <v>25</v>
      </c>
      <c r="E19" t="s">
        <v>36</v>
      </c>
      <c r="F19">
        <v>2027</v>
      </c>
      <c r="G19" s="55">
        <f>10^6*IF($E19="charcoal",params!$P$13*INDEX(BAU_Fuel_cons!$E$2:$AS$34,MATCH(D19&amp;"_"&amp;E19,BAU_Fuel_cons!$AT$2:$AT$34,0),MATCH(F19,BAU_Fuel_cons!$E$1:$AS$1,0)),INDEX(BAU_Fuel_cons!$E$2:$AS$34,MATCH(D19&amp;"_"&amp;E19,BAU_Fuel_cons!$AT$2:$AT$34,0),MATCH(F19,BAU_Fuel_cons!$E$1:$AS$1,0)))</f>
        <v>1286223.3458457252</v>
      </c>
      <c r="H19" s="55">
        <f>G19+10^6*IF($E19="charcoal",params!$P$13*SUMIFS(nonresidential!$L:$L,nonresidential!$A:$A,$F19,nonresidential!$B:$B,$E19,nonresidential!$C:$C,$D19),SUMIFS(nonresidential!$L:$L,nonresidential!$A:$A,$F19,nonresidential!$B:$B,$E19,nonresidential!$C:$C,$D19))</f>
        <v>1587858.4347415401</v>
      </c>
      <c r="I19">
        <f>1</f>
        <v>1</v>
      </c>
      <c r="P19" t="s">
        <v>37</v>
      </c>
      <c r="Q19" s="54">
        <f t="shared" si="15"/>
        <v>0</v>
      </c>
      <c r="R19" s="54">
        <f t="shared" si="15"/>
        <v>0</v>
      </c>
      <c r="S19" s="54">
        <f t="shared" si="15"/>
        <v>0</v>
      </c>
      <c r="T19" s="54">
        <f t="shared" si="15"/>
        <v>0</v>
      </c>
      <c r="U19" s="54">
        <f t="shared" si="15"/>
        <v>0</v>
      </c>
      <c r="V19" s="54">
        <f t="shared" si="15"/>
        <v>0</v>
      </c>
      <c r="W19" s="54">
        <f t="shared" si="15"/>
        <v>0</v>
      </c>
      <c r="X19" s="54">
        <f t="shared" si="15"/>
        <v>0</v>
      </c>
      <c r="Y19" s="54">
        <f t="shared" si="15"/>
        <v>0</v>
      </c>
    </row>
    <row r="20" spans="1:25">
      <c r="A20" t="s">
        <v>211</v>
      </c>
      <c r="B20" t="s">
        <v>162</v>
      </c>
      <c r="C20" t="s">
        <v>269</v>
      </c>
      <c r="D20" t="s">
        <v>25</v>
      </c>
      <c r="E20" t="s">
        <v>36</v>
      </c>
      <c r="F20">
        <v>2028</v>
      </c>
      <c r="G20" s="55">
        <f>10^6*IF($E20="charcoal",params!$P$13*INDEX(BAU_Fuel_cons!$E$2:$AS$34,MATCH(D20&amp;"_"&amp;E20,BAU_Fuel_cons!$AT$2:$AT$34,0),MATCH(F20,BAU_Fuel_cons!$E$1:$AS$1,0)),INDEX(BAU_Fuel_cons!$E$2:$AS$34,MATCH(D20&amp;"_"&amp;E20,BAU_Fuel_cons!$AT$2:$AT$34,0),MATCH(F20,BAU_Fuel_cons!$E$1:$AS$1,0)))</f>
        <v>1280209.4459986291</v>
      </c>
      <c r="H20" s="55">
        <f>G20+10^6*IF($E20="charcoal",params!$P$13*SUMIFS(nonresidential!$L:$L,nonresidential!$A:$A,$F20,nonresidential!$B:$B,$E20,nonresidential!$C:$C,$D20),SUMIFS(nonresidential!$L:$L,nonresidential!$A:$A,$F20,nonresidential!$B:$B,$E20,nonresidential!$C:$C,$D20))</f>
        <v>1587970.6911823838</v>
      </c>
      <c r="I20">
        <f>1</f>
        <v>1</v>
      </c>
      <c r="P20" t="s">
        <v>10</v>
      </c>
      <c r="Q20" s="54">
        <f t="shared" si="15"/>
        <v>0</v>
      </c>
      <c r="R20" s="54">
        <f t="shared" si="15"/>
        <v>0</v>
      </c>
      <c r="S20" s="54">
        <f t="shared" si="15"/>
        <v>0</v>
      </c>
      <c r="T20" s="54">
        <f t="shared" si="15"/>
        <v>0</v>
      </c>
      <c r="U20" s="54">
        <f t="shared" si="15"/>
        <v>0</v>
      </c>
      <c r="V20" s="54">
        <f t="shared" si="15"/>
        <v>0</v>
      </c>
      <c r="W20" s="54">
        <f t="shared" si="15"/>
        <v>0</v>
      </c>
      <c r="X20" s="54">
        <f t="shared" si="15"/>
        <v>0</v>
      </c>
      <c r="Y20" s="54">
        <f t="shared" si="15"/>
        <v>0</v>
      </c>
    </row>
    <row r="21" spans="1:25">
      <c r="A21" t="s">
        <v>211</v>
      </c>
      <c r="B21" t="s">
        <v>162</v>
      </c>
      <c r="C21" t="s">
        <v>269</v>
      </c>
      <c r="D21" t="s">
        <v>25</v>
      </c>
      <c r="E21" t="s">
        <v>36</v>
      </c>
      <c r="F21">
        <v>2029</v>
      </c>
      <c r="G21" s="55">
        <f>10^6*IF($E21="charcoal",params!$P$13*INDEX(BAU_Fuel_cons!$E$2:$AS$34,MATCH(D21&amp;"_"&amp;E21,BAU_Fuel_cons!$AT$2:$AT$34,0),MATCH(F21,BAU_Fuel_cons!$E$1:$AS$1,0)),INDEX(BAU_Fuel_cons!$E$2:$AS$34,MATCH(D21&amp;"_"&amp;E21,BAU_Fuel_cons!$AT$2:$AT$34,0),MATCH(F21,BAU_Fuel_cons!$E$1:$AS$1,0)))</f>
        <v>1270796.7453772251</v>
      </c>
      <c r="H21" s="55">
        <f>G21+10^6*IF($E21="charcoal",params!$P$13*SUMIFS(nonresidential!$L:$L,nonresidential!$A:$A,$F21,nonresidential!$B:$B,$E21,nonresidential!$C:$C,$D21),SUMIFS(nonresidential!$L:$L,nonresidential!$A:$A,$F21,nonresidential!$B:$B,$E21,nonresidential!$C:$C,$D21))</f>
        <v>1584488.7464997321</v>
      </c>
      <c r="I21">
        <f>1</f>
        <v>1</v>
      </c>
      <c r="P21" t="s">
        <v>40</v>
      </c>
      <c r="Q21" s="54">
        <f t="shared" si="15"/>
        <v>0</v>
      </c>
      <c r="R21" s="54">
        <f t="shared" si="15"/>
        <v>0</v>
      </c>
      <c r="S21" s="54">
        <f t="shared" si="15"/>
        <v>0</v>
      </c>
      <c r="T21" s="54">
        <f t="shared" si="15"/>
        <v>0</v>
      </c>
      <c r="U21" s="54">
        <f t="shared" si="15"/>
        <v>0</v>
      </c>
      <c r="V21" s="54">
        <f t="shared" si="15"/>
        <v>0</v>
      </c>
      <c r="W21" s="54">
        <f t="shared" si="15"/>
        <v>0</v>
      </c>
      <c r="X21" s="54">
        <f t="shared" si="15"/>
        <v>0</v>
      </c>
      <c r="Y21" s="54">
        <f t="shared" si="15"/>
        <v>0</v>
      </c>
    </row>
    <row r="22" spans="1:25">
      <c r="A22" t="s">
        <v>211</v>
      </c>
      <c r="B22" t="s">
        <v>162</v>
      </c>
      <c r="C22" t="s">
        <v>269</v>
      </c>
      <c r="D22" t="s">
        <v>25</v>
      </c>
      <c r="E22" t="s">
        <v>36</v>
      </c>
      <c r="F22">
        <v>2030</v>
      </c>
      <c r="G22" s="55">
        <f>10^6*IF($E22="charcoal",params!$P$13*INDEX(BAU_Fuel_cons!$E$2:$AS$34,MATCH(D22&amp;"_"&amp;E22,BAU_Fuel_cons!$AT$2:$AT$34,0),MATCH(F22,BAU_Fuel_cons!$E$1:$AS$1,0)),INDEX(BAU_Fuel_cons!$E$2:$AS$34,MATCH(D22&amp;"_"&amp;E22,BAU_Fuel_cons!$AT$2:$AT$34,0),MATCH(F22,BAU_Fuel_cons!$E$1:$AS$1,0)))</f>
        <v>1257783.1718722924</v>
      </c>
      <c r="H22" s="55">
        <f>G22+10^6*IF($E22="charcoal",params!$P$13*SUMIFS(nonresidential!$L:$L,nonresidential!$A:$A,$F22,nonresidential!$B:$B,$E22,nonresidential!$C:$C,$D22),SUMIFS(nonresidential!$L:$L,nonresidential!$A:$A,$F22,nonresidential!$B:$B,$E22,nonresidential!$C:$C,$D22))</f>
        <v>1577183.4356447342</v>
      </c>
      <c r="I22">
        <f>1</f>
        <v>1</v>
      </c>
      <c r="P22" t="s">
        <v>43</v>
      </c>
      <c r="Q22" s="54">
        <f t="shared" si="15"/>
        <v>0</v>
      </c>
      <c r="R22" s="54">
        <f t="shared" si="15"/>
        <v>0</v>
      </c>
      <c r="S22" s="54">
        <f t="shared" si="15"/>
        <v>0</v>
      </c>
      <c r="T22" s="54">
        <f t="shared" si="15"/>
        <v>0</v>
      </c>
      <c r="U22" s="54">
        <f t="shared" si="15"/>
        <v>0</v>
      </c>
      <c r="V22" s="54">
        <f t="shared" si="15"/>
        <v>0</v>
      </c>
      <c r="W22" s="54">
        <f t="shared" si="15"/>
        <v>0</v>
      </c>
      <c r="X22" s="54">
        <f t="shared" si="15"/>
        <v>0</v>
      </c>
      <c r="Y22" s="54">
        <f t="shared" si="15"/>
        <v>0</v>
      </c>
    </row>
    <row r="23" spans="1:25">
      <c r="A23" t="s">
        <v>211</v>
      </c>
      <c r="B23" t="s">
        <v>162</v>
      </c>
      <c r="C23" t="s">
        <v>269</v>
      </c>
      <c r="D23" t="s">
        <v>25</v>
      </c>
      <c r="E23" t="s">
        <v>36</v>
      </c>
      <c r="F23">
        <v>2031</v>
      </c>
      <c r="G23" s="55">
        <f>10^6*IF($E23="charcoal",params!$P$13*INDEX(BAU_Fuel_cons!$E$2:$AS$34,MATCH(D23&amp;"_"&amp;E23,BAU_Fuel_cons!$AT$2:$AT$34,0),MATCH(F23,BAU_Fuel_cons!$E$1:$AS$1,0)),INDEX(BAU_Fuel_cons!$E$2:$AS$34,MATCH(D23&amp;"_"&amp;E23,BAU_Fuel_cons!$AT$2:$AT$34,0),MATCH(F23,BAU_Fuel_cons!$E$1:$AS$1,0)))</f>
        <v>1240974.9140490021</v>
      </c>
      <c r="H23" s="55">
        <f>G23+10^6*IF($E23="charcoal",params!$P$13*SUMIFS(nonresidential!$L:$L,nonresidential!$A:$A,$F23,nonresidential!$B:$B,$E23,nonresidential!$C:$C,$D23),SUMIFS(nonresidential!$L:$L,nonresidential!$A:$A,$F23,nonresidential!$B:$B,$E23,nonresidential!$C:$C,$D23))</f>
        <v>1565834.7797857041</v>
      </c>
      <c r="I23">
        <f>1</f>
        <v>1</v>
      </c>
      <c r="P23" t="s">
        <v>16</v>
      </c>
      <c r="Q23" s="54">
        <f t="shared" si="15"/>
        <v>0</v>
      </c>
      <c r="R23" s="54">
        <f t="shared" si="15"/>
        <v>0</v>
      </c>
      <c r="S23" s="54">
        <f t="shared" si="15"/>
        <v>0</v>
      </c>
      <c r="T23" s="54">
        <f t="shared" si="15"/>
        <v>0</v>
      </c>
      <c r="U23" s="54">
        <f t="shared" si="15"/>
        <v>0</v>
      </c>
      <c r="V23" s="54">
        <f t="shared" si="15"/>
        <v>0</v>
      </c>
      <c r="W23" s="54">
        <f t="shared" si="15"/>
        <v>0</v>
      </c>
      <c r="X23" s="54">
        <f t="shared" si="15"/>
        <v>0</v>
      </c>
      <c r="Y23" s="54">
        <f t="shared" si="15"/>
        <v>0</v>
      </c>
    </row>
    <row r="24" spans="1:25">
      <c r="A24" t="s">
        <v>211</v>
      </c>
      <c r="B24" t="s">
        <v>162</v>
      </c>
      <c r="C24" t="s">
        <v>269</v>
      </c>
      <c r="D24" t="s">
        <v>25</v>
      </c>
      <c r="E24" t="s">
        <v>36</v>
      </c>
      <c r="F24">
        <v>2032</v>
      </c>
      <c r="G24" s="55">
        <f>10^6*IF($E24="charcoal",params!$P$13*INDEX(BAU_Fuel_cons!$E$2:$AS$34,MATCH(D24&amp;"_"&amp;E24,BAU_Fuel_cons!$AT$2:$AT$34,0),MATCH(F24,BAU_Fuel_cons!$E$1:$AS$1,0)),INDEX(BAU_Fuel_cons!$E$2:$AS$34,MATCH(D24&amp;"_"&amp;E24,BAU_Fuel_cons!$AT$2:$AT$34,0),MATCH(F24,BAU_Fuel_cons!$E$1:$AS$1,0)))</f>
        <v>1220186.2531993994</v>
      </c>
      <c r="H24" s="55">
        <f>G24+10^6*IF($E24="charcoal",params!$P$13*SUMIFS(nonresidential!$L:$L,nonresidential!$A:$A,$F24,nonresidential!$B:$B,$E24,nonresidential!$C:$C,$D24),SUMIFS(nonresidential!$L:$L,nonresidential!$A:$A,$F24,nonresidential!$B:$B,$E24,nonresidential!$C:$C,$D24))</f>
        <v>1550231.7890917221</v>
      </c>
      <c r="I24">
        <f>1</f>
        <v>1</v>
      </c>
      <c r="P24" t="s">
        <v>13</v>
      </c>
      <c r="Q24" s="54">
        <f t="shared" si="15"/>
        <v>0</v>
      </c>
      <c r="R24" s="54">
        <f t="shared" si="15"/>
        <v>0</v>
      </c>
      <c r="S24" s="54">
        <f t="shared" si="15"/>
        <v>0</v>
      </c>
      <c r="T24" s="54">
        <f t="shared" si="15"/>
        <v>0</v>
      </c>
      <c r="U24" s="54">
        <f t="shared" si="15"/>
        <v>0</v>
      </c>
      <c r="V24" s="54">
        <f t="shared" si="15"/>
        <v>0</v>
      </c>
      <c r="W24" s="54">
        <f t="shared" si="15"/>
        <v>0</v>
      </c>
      <c r="X24" s="54">
        <f t="shared" si="15"/>
        <v>0</v>
      </c>
      <c r="Y24" s="54">
        <f t="shared" si="15"/>
        <v>0</v>
      </c>
    </row>
    <row r="25" spans="1:25">
      <c r="A25" t="s">
        <v>211</v>
      </c>
      <c r="B25" t="s">
        <v>162</v>
      </c>
      <c r="C25" t="s">
        <v>269</v>
      </c>
      <c r="D25" t="s">
        <v>25</v>
      </c>
      <c r="E25" t="s">
        <v>36</v>
      </c>
      <c r="F25">
        <v>2033</v>
      </c>
      <c r="G25" s="55">
        <f>10^6*IF($E25="charcoal",params!$P$13*INDEX(BAU_Fuel_cons!$E$2:$AS$34,MATCH(D25&amp;"_"&amp;E25,BAU_Fuel_cons!$AT$2:$AT$34,0),MATCH(F25,BAU_Fuel_cons!$E$1:$AS$1,0)),INDEX(BAU_Fuel_cons!$E$2:$AS$34,MATCH(D25&amp;"_"&amp;E25,BAU_Fuel_cons!$AT$2:$AT$34,0),MATCH(F25,BAU_Fuel_cons!$E$1:$AS$1,0)))</f>
        <v>1195225.7408711642</v>
      </c>
      <c r="H25" s="55">
        <f>G25+10^6*IF($E25="charcoal",params!$P$13*SUMIFS(nonresidential!$L:$L,nonresidential!$A:$A,$F25,nonresidential!$B:$B,$E25,nonresidential!$C:$C,$D25),SUMIFS(nonresidential!$L:$L,nonresidential!$A:$A,$F25,nonresidential!$B:$B,$E25,nonresidential!$C:$C,$D25))</f>
        <v>1530154.7805826864</v>
      </c>
      <c r="I25">
        <f>1</f>
        <v>1</v>
      </c>
      <c r="P25" t="s">
        <v>14</v>
      </c>
      <c r="Q25" s="54">
        <f t="shared" si="15"/>
        <v>0</v>
      </c>
      <c r="R25" s="54">
        <f t="shared" si="15"/>
        <v>0</v>
      </c>
      <c r="S25" s="54">
        <f t="shared" si="15"/>
        <v>0</v>
      </c>
      <c r="T25" s="54">
        <f t="shared" si="15"/>
        <v>0</v>
      </c>
      <c r="U25" s="54">
        <f t="shared" si="15"/>
        <v>0</v>
      </c>
      <c r="V25" s="54">
        <f t="shared" si="15"/>
        <v>0</v>
      </c>
      <c r="W25" s="54">
        <f t="shared" si="15"/>
        <v>0</v>
      </c>
      <c r="X25" s="54">
        <f t="shared" si="15"/>
        <v>0</v>
      </c>
      <c r="Y25" s="54">
        <f t="shared" si="15"/>
        <v>0</v>
      </c>
    </row>
    <row r="26" spans="1:25">
      <c r="A26" t="s">
        <v>211</v>
      </c>
      <c r="B26" t="s">
        <v>162</v>
      </c>
      <c r="C26" t="s">
        <v>269</v>
      </c>
      <c r="D26" t="s">
        <v>25</v>
      </c>
      <c r="E26" t="s">
        <v>36</v>
      </c>
      <c r="F26">
        <v>2034</v>
      </c>
      <c r="G26" s="55">
        <f>10^6*IF($E26="charcoal",params!$P$13*INDEX(BAU_Fuel_cons!$E$2:$AS$34,MATCH(D26&amp;"_"&amp;E26,BAU_Fuel_cons!$AT$2:$AT$34,0),MATCH(F26,BAU_Fuel_cons!$E$1:$AS$1,0)),INDEX(BAU_Fuel_cons!$E$2:$AS$34,MATCH(D26&amp;"_"&amp;E26,BAU_Fuel_cons!$AT$2:$AT$34,0),MATCH(F26,BAU_Fuel_cons!$E$1:$AS$1,0)))</f>
        <v>1165884.6026774126</v>
      </c>
      <c r="H26" s="55">
        <f>G26+10^6*IF($E26="charcoal",params!$P$13*SUMIFS(nonresidential!$L:$L,nonresidential!$A:$A,$F26,nonresidential!$B:$B,$E26,nonresidential!$C:$C,$D26),SUMIFS(nonresidential!$L:$L,nonresidential!$A:$A,$F26,nonresidential!$B:$B,$E26,nonresidential!$C:$C,$D26))</f>
        <v>1505359.6673754386</v>
      </c>
      <c r="I26">
        <f>1</f>
        <v>1</v>
      </c>
      <c r="P26" t="s">
        <v>15</v>
      </c>
      <c r="Q26" s="54">
        <f t="shared" si="15"/>
        <v>0</v>
      </c>
      <c r="R26" s="54">
        <f t="shared" si="15"/>
        <v>0</v>
      </c>
      <c r="S26" s="54">
        <f t="shared" si="15"/>
        <v>0</v>
      </c>
      <c r="T26" s="54">
        <f t="shared" si="15"/>
        <v>0</v>
      </c>
      <c r="U26" s="54">
        <f t="shared" si="15"/>
        <v>0</v>
      </c>
      <c r="V26" s="54">
        <f t="shared" si="15"/>
        <v>0</v>
      </c>
      <c r="W26" s="54">
        <f t="shared" si="15"/>
        <v>0</v>
      </c>
      <c r="X26" s="54">
        <f t="shared" si="15"/>
        <v>0</v>
      </c>
      <c r="Y26" s="54">
        <f t="shared" si="15"/>
        <v>0</v>
      </c>
    </row>
    <row r="27" spans="1:25">
      <c r="A27" t="s">
        <v>211</v>
      </c>
      <c r="B27" t="s">
        <v>162</v>
      </c>
      <c r="C27" t="s">
        <v>269</v>
      </c>
      <c r="D27" t="s">
        <v>25</v>
      </c>
      <c r="E27" t="s">
        <v>36</v>
      </c>
      <c r="F27">
        <v>2035</v>
      </c>
      <c r="G27" s="55">
        <f>10^6*IF($E27="charcoal",params!$P$13*INDEX(BAU_Fuel_cons!$E$2:$AS$34,MATCH(D27&amp;"_"&amp;E27,BAU_Fuel_cons!$AT$2:$AT$34,0),MATCH(F27,BAU_Fuel_cons!$E$1:$AS$1,0)),INDEX(BAU_Fuel_cons!$E$2:$AS$34,MATCH(D27&amp;"_"&amp;E27,BAU_Fuel_cons!$AT$2:$AT$34,0),MATCH(F27,BAU_Fuel_cons!$E$1:$AS$1,0)))</f>
        <v>1132342.6635399738</v>
      </c>
      <c r="H27" s="55">
        <f>G27+10^6*IF($E27="charcoal",params!$P$13*SUMIFS(nonresidential!$L:$L,nonresidential!$A:$A,$F27,nonresidential!$B:$B,$E27,nonresidential!$C:$C,$D27),SUMIFS(nonresidential!$L:$L,nonresidential!$A:$A,$F27,nonresidential!$B:$B,$E27,nonresidential!$C:$C,$D27))</f>
        <v>1476105.3639892687</v>
      </c>
      <c r="I27">
        <f>1</f>
        <v>1</v>
      </c>
      <c r="P27" t="s">
        <v>127</v>
      </c>
      <c r="Q27" s="54">
        <f>Q18+Q17</f>
        <v>2.1295407580352848</v>
      </c>
      <c r="R27" s="54">
        <f t="shared" ref="R27:Y27" si="16">R18+R17</f>
        <v>2.5538515282537952</v>
      </c>
      <c r="S27" s="54">
        <f t="shared" si="16"/>
        <v>3.0599221543402439</v>
      </c>
      <c r="T27" s="54">
        <f t="shared" si="16"/>
        <v>3.6484195140000324</v>
      </c>
      <c r="U27" s="54">
        <f t="shared" si="16"/>
        <v>4.3062826169618802</v>
      </c>
      <c r="V27" s="54">
        <f t="shared" si="16"/>
        <v>5.0217995722012212</v>
      </c>
      <c r="W27" s="54">
        <f t="shared" si="16"/>
        <v>5.7961446389523585</v>
      </c>
      <c r="X27" s="54">
        <f t="shared" si="16"/>
        <v>6.6272262515286124</v>
      </c>
      <c r="Y27" s="54">
        <f t="shared" si="16"/>
        <v>7.5056016374737471</v>
      </c>
    </row>
    <row r="28" spans="1:25">
      <c r="A28" t="s">
        <v>211</v>
      </c>
      <c r="B28" t="s">
        <v>162</v>
      </c>
      <c r="C28" t="s">
        <v>269</v>
      </c>
      <c r="D28" t="s">
        <v>25</v>
      </c>
      <c r="E28" t="s">
        <v>36</v>
      </c>
      <c r="F28">
        <v>2036</v>
      </c>
      <c r="G28" s="55">
        <f>10^6*IF($E28="charcoal",params!$P$13*INDEX(BAU_Fuel_cons!$E$2:$AS$34,MATCH(D28&amp;"_"&amp;E28,BAU_Fuel_cons!$AT$2:$AT$34,0),MATCH(F28,BAU_Fuel_cons!$E$1:$AS$1,0)),INDEX(BAU_Fuel_cons!$E$2:$AS$34,MATCH(D28&amp;"_"&amp;E28,BAU_Fuel_cons!$AT$2:$AT$34,0),MATCH(F28,BAU_Fuel_cons!$E$1:$AS$1,0)))</f>
        <v>1094361.8480888498</v>
      </c>
      <c r="H28" s="55">
        <f>G28+10^6*IF($E28="charcoal",params!$P$13*SUMIFS(nonresidential!$L:$L,nonresidential!$A:$A,$F28,nonresidential!$B:$B,$E28,nonresidential!$C:$C,$D28),SUMIFS(nonresidential!$L:$L,nonresidential!$A:$A,$F28,nonresidential!$B:$B,$E28,nonresidential!$C:$C,$D28))</f>
        <v>1442117.2907262449</v>
      </c>
      <c r="I28">
        <f>1</f>
        <v>1</v>
      </c>
    </row>
    <row r="29" spans="1:25">
      <c r="A29" t="s">
        <v>211</v>
      </c>
      <c r="B29" t="s">
        <v>162</v>
      </c>
      <c r="C29" t="s">
        <v>269</v>
      </c>
      <c r="D29" t="s">
        <v>25</v>
      </c>
      <c r="E29" t="s">
        <v>36</v>
      </c>
      <c r="F29">
        <v>2037</v>
      </c>
      <c r="G29" s="55">
        <f>10^6*IF($E29="charcoal",params!$P$13*INDEX(BAU_Fuel_cons!$E$2:$AS$34,MATCH(D29&amp;"_"&amp;E29,BAU_Fuel_cons!$AT$2:$AT$34,0),MATCH(F29,BAU_Fuel_cons!$E$1:$AS$1,0)),INDEX(BAU_Fuel_cons!$E$2:$AS$34,MATCH(D29&amp;"_"&amp;E29,BAU_Fuel_cons!$AT$2:$AT$34,0),MATCH(F29,BAU_Fuel_cons!$E$1:$AS$1,0)))</f>
        <v>1051767.0065924001</v>
      </c>
      <c r="H29" s="55">
        <f>G29+10^6*IF($E29="charcoal",params!$P$13*SUMIFS(nonresidential!$L:$L,nonresidential!$A:$A,$F29,nonresidential!$B:$B,$E29,nonresidential!$C:$C,$D29),SUMIFS(nonresidential!$L:$L,nonresidential!$A:$A,$F29,nonresidential!$B:$B,$E29,nonresidential!$C:$C,$D29))</f>
        <v>1403201.2788757151</v>
      </c>
      <c r="I29">
        <f>1</f>
        <v>1</v>
      </c>
    </row>
    <row r="30" spans="1:25">
      <c r="A30" t="s">
        <v>211</v>
      </c>
      <c r="B30" t="s">
        <v>162</v>
      </c>
      <c r="C30" t="s">
        <v>269</v>
      </c>
      <c r="D30" t="s">
        <v>25</v>
      </c>
      <c r="E30" t="s">
        <v>36</v>
      </c>
      <c r="F30">
        <v>2038</v>
      </c>
      <c r="G30" s="55">
        <f>10^6*IF($E30="charcoal",params!$P$13*INDEX(BAU_Fuel_cons!$E$2:$AS$34,MATCH(D30&amp;"_"&amp;E30,BAU_Fuel_cons!$AT$2:$AT$34,0),MATCH(F30,BAU_Fuel_cons!$E$1:$AS$1,0)),INDEX(BAU_Fuel_cons!$E$2:$AS$34,MATCH(D30&amp;"_"&amp;E30,BAU_Fuel_cons!$AT$2:$AT$34,0),MATCH(F30,BAU_Fuel_cons!$E$1:$AS$1,0)))</f>
        <v>1004390.4883709135</v>
      </c>
      <c r="H30" s="55">
        <f>G30+10^6*IF($E30="charcoal",params!$P$13*SUMIFS(nonresidential!$L:$L,nonresidential!$A:$A,$F30,nonresidential!$B:$B,$E30,nonresidential!$C:$C,$D30),SUMIFS(nonresidential!$L:$L,nonresidential!$A:$A,$F30,nonresidential!$B:$B,$E30,nonresidential!$C:$C,$D30))</f>
        <v>1359173.0982631301</v>
      </c>
      <c r="I30">
        <f>1</f>
        <v>1</v>
      </c>
      <c r="P30" s="212" t="s">
        <v>298</v>
      </c>
    </row>
    <row r="31" spans="1:25">
      <c r="A31" t="s">
        <v>211</v>
      </c>
      <c r="B31" t="s">
        <v>162</v>
      </c>
      <c r="C31" t="s">
        <v>269</v>
      </c>
      <c r="D31" t="s">
        <v>25</v>
      </c>
      <c r="E31" t="s">
        <v>36</v>
      </c>
      <c r="F31">
        <v>2039</v>
      </c>
      <c r="G31" s="55">
        <f>10^6*IF($E31="charcoal",params!$P$13*INDEX(BAU_Fuel_cons!$E$2:$AS$34,MATCH(D31&amp;"_"&amp;E31,BAU_Fuel_cons!$AT$2:$AT$34,0),MATCH(F31,BAU_Fuel_cons!$E$1:$AS$1,0)),INDEX(BAU_Fuel_cons!$E$2:$AS$34,MATCH(D31&amp;"_"&amp;E31,BAU_Fuel_cons!$AT$2:$AT$34,0),MATCH(F31,BAU_Fuel_cons!$E$1:$AS$1,0)))</f>
        <v>952065.20126781857</v>
      </c>
      <c r="H31" s="55">
        <f>G31+10^6*IF($E31="charcoal",params!$P$13*SUMIFS(nonresidential!$L:$L,nonresidential!$A:$A,$F31,nonresidential!$B:$B,$E31,nonresidential!$C:$C,$D31),SUMIFS(nonresidential!$L:$L,nonresidential!$A:$A,$F31,nonresidential!$B:$B,$E31,nonresidential!$C:$C,$D31))</f>
        <v>1309849.6594296666</v>
      </c>
      <c r="I31">
        <f>1</f>
        <v>1</v>
      </c>
      <c r="P31" t="str">
        <f>P2</f>
        <v>*</v>
      </c>
      <c r="Q31">
        <v>2010</v>
      </c>
      <c r="R31">
        <v>2015</v>
      </c>
      <c r="S31">
        <v>2020</v>
      </c>
      <c r="T31">
        <v>2025</v>
      </c>
      <c r="U31">
        <v>2030</v>
      </c>
      <c r="V31">
        <v>2035</v>
      </c>
      <c r="W31">
        <v>2040</v>
      </c>
      <c r="X31">
        <v>2045</v>
      </c>
      <c r="Y31">
        <v>2050</v>
      </c>
    </row>
    <row r="32" spans="1:25">
      <c r="A32" t="s">
        <v>211</v>
      </c>
      <c r="B32" t="s">
        <v>162</v>
      </c>
      <c r="C32" t="s">
        <v>269</v>
      </c>
      <c r="D32" t="s">
        <v>25</v>
      </c>
      <c r="E32" t="s">
        <v>36</v>
      </c>
      <c r="F32">
        <v>2040</v>
      </c>
      <c r="G32" s="55">
        <f>10^6*IF($E32="charcoal",params!$P$13*INDEX(BAU_Fuel_cons!$E$2:$AS$34,MATCH(D32&amp;"_"&amp;E32,BAU_Fuel_cons!$AT$2:$AT$34,0),MATCH(F32,BAU_Fuel_cons!$E$1:$AS$1,0)),INDEX(BAU_Fuel_cons!$E$2:$AS$34,MATCH(D32&amp;"_"&amp;E32,BAU_Fuel_cons!$AT$2:$AT$34,0),MATCH(F32,BAU_Fuel_cons!$E$1:$AS$1,0)))</f>
        <v>894620.02238612983</v>
      </c>
      <c r="H32" s="55">
        <f>G32+10^6*IF($E32="charcoal",params!$P$13*SUMIFS(nonresidential!$L:$L,nonresidential!$A:$A,$F32,nonresidential!$B:$B,$E32,nonresidential!$C:$C,$D32),SUMIFS(nonresidential!$L:$L,nonresidential!$A:$A,$F32,nonresidential!$B:$B,$E32,nonresidential!$C:$C,$D32))</f>
        <v>1255042.8372287257</v>
      </c>
      <c r="I32">
        <f>1</f>
        <v>1</v>
      </c>
      <c r="P32" t="s">
        <v>36</v>
      </c>
      <c r="Q32" s="54">
        <f>SUMIFS($H:$H,$A:$A,"MWI",$D:$D,$P$2,$E:$E,$P32,$F:$F,Q$2)/10^6</f>
        <v>9.8573992393287728</v>
      </c>
      <c r="R32" s="54">
        <f>SUMIFS($H:$H,$A:$A,"MWI",$D:$D,$P$2,$E:$E,$P32,$F:$F,R$2)/10^6</f>
        <v>10.676246777682627</v>
      </c>
      <c r="S32" s="54">
        <f>SUMIFS($H:$H,$A:$A,"MWI",$D:$D,$P$2,$E:$E,$P32,$F:$F,S$2)/10^6</f>
        <v>11.400528741957219</v>
      </c>
      <c r="T32" s="54">
        <f>SUMIFS($H:$H,$A:$A,"MWI",$D:$D,$P$2,$E:$E,$P32,$F:$F,T$2)/10^6</f>
        <v>11.864019556443059</v>
      </c>
      <c r="U32" s="54">
        <f>SUMIFS($H:$H,$A:$A,"MWI",$D:$D,$P$2,$E:$E,$P32,$F:$F,U$2)/10^6</f>
        <v>11.689891148255995</v>
      </c>
      <c r="V32" s="54">
        <f>SUMIFS($H:$H,$A:$A,"MWI",$D:$D,$P$2,$E:$E,$P32,$F:$F,V$2)/10^6</f>
        <v>11.11024605381321</v>
      </c>
      <c r="W32" s="54">
        <f>SUMIFS($H:$H,$A:$A,"MWI",$D:$D,$P$2,$E:$E,$P32,$F:$F,W$2)/10^6</f>
        <v>10.116268362674456</v>
      </c>
      <c r="X32" s="54">
        <f>SUMIFS($H:$H,$A:$A,"MWI",$D:$D,$P$2,$E:$E,$P32,$F:$F,X$2)/10^6</f>
        <v>8.6978010041781797</v>
      </c>
      <c r="Y32" s="54">
        <f>SUMIFS($H:$H,$A:$A,"MWI",$D:$D,$P$2,$E:$E,$P32,$F:$F,Y$2)/10^6</f>
        <v>6.8488727257099118</v>
      </c>
    </row>
    <row r="33" spans="1:25">
      <c r="A33" t="s">
        <v>211</v>
      </c>
      <c r="B33" t="s">
        <v>162</v>
      </c>
      <c r="C33" t="s">
        <v>269</v>
      </c>
      <c r="D33" t="s">
        <v>25</v>
      </c>
      <c r="E33" t="s">
        <v>36</v>
      </c>
      <c r="F33">
        <v>2041</v>
      </c>
      <c r="G33" s="55">
        <f>10^6*IF($E33="charcoal",params!$P$13*INDEX(BAU_Fuel_cons!$E$2:$AS$34,MATCH(D33&amp;"_"&amp;E33,BAU_Fuel_cons!$AT$2:$AT$34,0),MATCH(F33,BAU_Fuel_cons!$E$1:$AS$1,0)),INDEX(BAU_Fuel_cons!$E$2:$AS$34,MATCH(D33&amp;"_"&amp;E33,BAU_Fuel_cons!$AT$2:$AT$34,0),MATCH(F33,BAU_Fuel_cons!$E$1:$AS$1,0)))</f>
        <v>831877.78662400052</v>
      </c>
      <c r="H33" s="55">
        <f>G33+10^6*IF($E33="charcoal",params!$P$13*SUMIFS(nonresidential!$L:$L,nonresidential!$A:$A,$F33,nonresidential!$B:$B,$E33,nonresidential!$C:$C,$D33),SUMIFS(nonresidential!$L:$L,nonresidential!$A:$A,$F33,nonresidential!$B:$B,$E33,nonresidential!$C:$C,$D33))</f>
        <v>1194556.2592343616</v>
      </c>
      <c r="I33">
        <f>1</f>
        <v>1</v>
      </c>
      <c r="P33" t="s">
        <v>30</v>
      </c>
      <c r="Q33" s="54">
        <f>SUMIFS($H:$H,$A:$A,"MWI",$D:$D,$P$2,$E:$E,$P33,$F:$F,Q$2)/10^6</f>
        <v>4.5026648972219796</v>
      </c>
      <c r="R33" s="54">
        <f>SUMIFS($H:$H,$A:$A,"MWI",$D:$D,$P$2,$E:$E,$P33,$F:$F,R$2)/10^6</f>
        <v>7.3319028321906421</v>
      </c>
      <c r="S33" s="54">
        <f>SUMIFS($H:$H,$A:$A,"MWI",$D:$D,$P$2,$E:$E,$P33,$F:$F,S$2)/10^6</f>
        <v>11.008241244506968</v>
      </c>
      <c r="T33" s="54">
        <f>SUMIFS($H:$H,$A:$A,"MWI",$D:$D,$P$2,$E:$E,$P33,$F:$F,T$2)/10^6</f>
        <v>15.7324066413893</v>
      </c>
      <c r="U33" s="54">
        <f>SUMIFS($H:$H,$A:$A,"MWI",$D:$D,$P$2,$E:$E,$P33,$F:$F,U$2)/10^6</f>
        <v>21.822674466293165</v>
      </c>
      <c r="V33" s="54">
        <f>SUMIFS($H:$H,$A:$A,"MWI",$D:$D,$P$2,$E:$E,$P33,$F:$F,V$2)/10^6</f>
        <v>28.899251101271339</v>
      </c>
      <c r="W33" s="54">
        <f>SUMIFS($H:$H,$A:$A,"MWI",$D:$D,$P$2,$E:$E,$P33,$F:$F,W$2)/10^6</f>
        <v>36.975976596174526</v>
      </c>
      <c r="X33" s="54">
        <f>SUMIFS($H:$H,$A:$A,"MWI",$D:$D,$P$2,$E:$E,$P33,$F:$F,X$2)/10^6</f>
        <v>46.037507101831004</v>
      </c>
      <c r="Y33" s="54">
        <f>SUMIFS($H:$H,$A:$A,"MWI",$D:$D,$P$2,$E:$E,$P33,$F:$F,Y$2)/10^6</f>
        <v>55.997358257286777</v>
      </c>
    </row>
    <row r="34" spans="1:25">
      <c r="A34" t="s">
        <v>211</v>
      </c>
      <c r="B34" t="s">
        <v>162</v>
      </c>
      <c r="C34" t="s">
        <v>269</v>
      </c>
      <c r="D34" t="s">
        <v>25</v>
      </c>
      <c r="E34" t="s">
        <v>36</v>
      </c>
      <c r="F34">
        <v>2042</v>
      </c>
      <c r="G34" s="55">
        <f>10^6*IF($E34="charcoal",params!$P$13*INDEX(BAU_Fuel_cons!$E$2:$AS$34,MATCH(D34&amp;"_"&amp;E34,BAU_Fuel_cons!$AT$2:$AT$34,0),MATCH(F34,BAU_Fuel_cons!$E$1:$AS$1,0)),INDEX(BAU_Fuel_cons!$E$2:$AS$34,MATCH(D34&amp;"_"&amp;E34,BAU_Fuel_cons!$AT$2:$AT$34,0),MATCH(F34,BAU_Fuel_cons!$E$1:$AS$1,0)))</f>
        <v>763660.32900599297</v>
      </c>
      <c r="H34" s="55">
        <f>G34+10^6*IF($E34="charcoal",params!$P$13*SUMIFS(nonresidential!$L:$L,nonresidential!$A:$A,$F34,nonresidential!$B:$B,$E34,nonresidential!$C:$C,$D34),SUMIFS(nonresidential!$L:$L,nonresidential!$A:$A,$F34,nonresidential!$B:$B,$E34,nonresidential!$C:$C,$D34))</f>
        <v>1128191.7733655518</v>
      </c>
      <c r="I34">
        <f>1</f>
        <v>1</v>
      </c>
      <c r="P34" t="s">
        <v>37</v>
      </c>
      <c r="Q34" s="54">
        <f>SUMIFS($H:$H,$A:$A,"MWI",$D:$D,$P$2,$E:$E,$P34,$F:$F,Q$2)/10^6</f>
        <v>0</v>
      </c>
      <c r="R34" s="54">
        <f>SUMIFS($H:$H,$A:$A,"MWI",$D:$D,$P$2,$E:$E,$P34,$F:$F,R$2)/10^6</f>
        <v>7.1725358108698017E-3</v>
      </c>
      <c r="S34" s="54">
        <f>SUMIFS($H:$H,$A:$A,"MWI",$D:$D,$P$2,$E:$E,$P34,$F:$F,S$2)/10^6</f>
        <v>3.961453347891325E-2</v>
      </c>
      <c r="T34" s="54">
        <f>SUMIFS($H:$H,$A:$A,"MWI",$D:$D,$P$2,$E:$E,$P34,$F:$F,T$2)/10^6</f>
        <v>8.6339020043873907E-2</v>
      </c>
      <c r="U34" s="54">
        <f>SUMIFS($H:$H,$A:$A,"MWI",$D:$D,$P$2,$E:$E,$P34,$F:$F,U$2)/10^6</f>
        <v>0.1480635429933807</v>
      </c>
      <c r="V34" s="54">
        <f>SUMIFS($H:$H,$A:$A,"MWI",$D:$D,$P$2,$E:$E,$P34,$F:$F,V$2)/10^6</f>
        <v>0.22903838463658244</v>
      </c>
      <c r="W34" s="54">
        <f>SUMIFS($H:$H,$A:$A,"MWI",$D:$D,$P$2,$E:$E,$P34,$F:$F,W$2)/10^6</f>
        <v>0.33223752584702831</v>
      </c>
      <c r="X34" s="54">
        <f>SUMIFS($H:$H,$A:$A,"MWI",$D:$D,$P$2,$E:$E,$P34,$F:$F,X$2)/10^6</f>
        <v>0.46078762994646977</v>
      </c>
      <c r="Y34" s="54">
        <f>SUMIFS($H:$H,$A:$A,"MWI",$D:$D,$P$2,$E:$E,$P34,$F:$F,Y$2)/10^6</f>
        <v>0.61736838238571434</v>
      </c>
    </row>
    <row r="35" spans="1:25">
      <c r="A35" t="s">
        <v>211</v>
      </c>
      <c r="B35" t="s">
        <v>162</v>
      </c>
      <c r="C35" t="s">
        <v>269</v>
      </c>
      <c r="D35" t="s">
        <v>25</v>
      </c>
      <c r="E35" t="s">
        <v>36</v>
      </c>
      <c r="F35">
        <v>2043</v>
      </c>
      <c r="G35" s="55">
        <f>10^6*IF($E35="charcoal",params!$P$13*INDEX(BAU_Fuel_cons!$E$2:$AS$34,MATCH(D35&amp;"_"&amp;E35,BAU_Fuel_cons!$AT$2:$AT$34,0),MATCH(F35,BAU_Fuel_cons!$E$1:$AS$1,0)),INDEX(BAU_Fuel_cons!$E$2:$AS$34,MATCH(D35&amp;"_"&amp;E35,BAU_Fuel_cons!$AT$2:$AT$34,0),MATCH(F35,BAU_Fuel_cons!$E$1:$AS$1,0)))</f>
        <v>689792.3787220238</v>
      </c>
      <c r="H35" s="55">
        <f>G35+10^6*IF($E35="charcoal",params!$P$13*SUMIFS(nonresidential!$L:$L,nonresidential!$A:$A,$F35,nonresidential!$B:$B,$E35,nonresidential!$C:$C,$D35),SUMIFS(nonresidential!$L:$L,nonresidential!$A:$A,$F35,nonresidential!$B:$B,$E35,nonresidential!$C:$C,$D35))</f>
        <v>1055754.9258728633</v>
      </c>
      <c r="I35">
        <f>1</f>
        <v>1</v>
      </c>
      <c r="P35" t="s">
        <v>10</v>
      </c>
      <c r="Q35" s="54">
        <f>SUMIFS($H:$H,$A:$A,"MWI",$D:$D,$P$2,$E:$E,$P35,$F:$F,Q$2)/10^6</f>
        <v>0</v>
      </c>
      <c r="R35" s="54">
        <f>SUMIFS($H:$H,$A:$A,"MWI",$D:$D,$P$2,$E:$E,$P35,$F:$F,R$2)/10^6</f>
        <v>7.9694842342997794E-4</v>
      </c>
      <c r="S35" s="54">
        <f>SUMIFS($H:$H,$A:$A,"MWI",$D:$D,$P$2,$E:$E,$P35,$F:$F,S$2)/10^6</f>
        <v>4.4016148309900128E-3</v>
      </c>
      <c r="T35" s="54">
        <f>SUMIFS($H:$H,$A:$A,"MWI",$D:$D,$P$2,$E:$E,$P35,$F:$F,T$2)/10^6</f>
        <v>9.5932244493192181E-3</v>
      </c>
      <c r="U35" s="54">
        <f>SUMIFS($H:$H,$A:$A,"MWI",$D:$D,$P$2,$E:$E,$P35,$F:$F,U$2)/10^6</f>
        <v>1.6451504777042204E-2</v>
      </c>
      <c r="V35" s="54">
        <f>SUMIFS($H:$H,$A:$A,"MWI",$D:$D,$P$2,$E:$E,$P35,$F:$F,V$2)/10^6</f>
        <v>2.5448709404064632E-2</v>
      </c>
      <c r="W35" s="54">
        <f>SUMIFS($H:$H,$A:$A,"MWI",$D:$D,$P$2,$E:$E,$P35,$F:$F,W$2)/10^6</f>
        <v>3.6915280649669792E-2</v>
      </c>
      <c r="X35" s="54">
        <f>SUMIFS($H:$H,$A:$A,"MWI",$D:$D,$P$2,$E:$E,$P35,$F:$F,X$2)/10^6</f>
        <v>5.1198625549607781E-2</v>
      </c>
      <c r="Y35" s="54">
        <f>SUMIFS($H:$H,$A:$A,"MWI",$D:$D,$P$2,$E:$E,$P35,$F:$F,Y$2)/10^6</f>
        <v>6.859648693174604E-2</v>
      </c>
    </row>
    <row r="36" spans="1:25">
      <c r="A36" t="s">
        <v>211</v>
      </c>
      <c r="B36" t="s">
        <v>162</v>
      </c>
      <c r="C36" t="s">
        <v>269</v>
      </c>
      <c r="D36" t="s">
        <v>25</v>
      </c>
      <c r="E36" t="s">
        <v>36</v>
      </c>
      <c r="F36">
        <v>2044</v>
      </c>
      <c r="G36" s="55">
        <f>10^6*IF($E36="charcoal",params!$P$13*INDEX(BAU_Fuel_cons!$E$2:$AS$34,MATCH(D36&amp;"_"&amp;E36,BAU_Fuel_cons!$AT$2:$AT$34,0),MATCH(F36,BAU_Fuel_cons!$E$1:$AS$1,0)),INDEX(BAU_Fuel_cons!$E$2:$AS$34,MATCH(D36&amp;"_"&amp;E36,BAU_Fuel_cons!$AT$2:$AT$34,0),MATCH(F36,BAU_Fuel_cons!$E$1:$AS$1,0)))</f>
        <v>610099.40705568972</v>
      </c>
      <c r="H36" s="55">
        <f>G36+10^6*IF($E36="charcoal",params!$P$13*SUMIFS(nonresidential!$L:$L,nonresidential!$A:$A,$F36,nonresidential!$B:$B,$E36,nonresidential!$C:$C,$D36),SUMIFS(nonresidential!$L:$L,nonresidential!$A:$A,$F36,nonresidential!$B:$B,$E36,nonresidential!$C:$C,$D36))</f>
        <v>977051.93177327863</v>
      </c>
      <c r="I36">
        <f>1</f>
        <v>1</v>
      </c>
      <c r="P36" t="s">
        <v>40</v>
      </c>
      <c r="Q36" s="54">
        <f>SUMIFS($H:$H,$A:$A,"MWI",$D:$D,$P$2,$E:$E,$P36,$F:$F,Q$2)/10^6</f>
        <v>3.3293868194047898E-4</v>
      </c>
      <c r="R36" s="54">
        <f>SUMIFS($H:$H,$A:$A,"MWI",$D:$D,$P$2,$E:$E,$P36,$F:$F,R$2)/10^6</f>
        <v>2.6655958385035492E-4</v>
      </c>
      <c r="S36" s="54">
        <f>SUMIFS($H:$H,$A:$A,"MWI",$D:$D,$P$2,$E:$E,$P36,$F:$F,S$2)/10^6</f>
        <v>1.4109146447841009E-4</v>
      </c>
      <c r="T36" s="54">
        <f>SUMIFS($H:$H,$A:$A,"MWI",$D:$D,$P$2,$E:$E,$P36,$F:$F,T$2)/10^6</f>
        <v>0</v>
      </c>
      <c r="U36" s="54">
        <f>SUMIFS($H:$H,$A:$A,"MWI",$D:$D,$P$2,$E:$E,$P36,$F:$F,U$2)/10^6</f>
        <v>0</v>
      </c>
      <c r="V36" s="54">
        <f>SUMIFS($H:$H,$A:$A,"MWI",$D:$D,$P$2,$E:$E,$P36,$F:$F,V$2)/10^6</f>
        <v>0</v>
      </c>
      <c r="W36" s="54">
        <f>SUMIFS($H:$H,$A:$A,"MWI",$D:$D,$P$2,$E:$E,$P36,$F:$F,W$2)/10^6</f>
        <v>0</v>
      </c>
      <c r="X36" s="54">
        <f>SUMIFS($H:$H,$A:$A,"MWI",$D:$D,$P$2,$E:$E,$P36,$F:$F,X$2)/10^6</f>
        <v>0</v>
      </c>
      <c r="Y36" s="54">
        <f>SUMIFS($H:$H,$A:$A,"MWI",$D:$D,$P$2,$E:$E,$P36,$F:$F,Y$2)/10^6</f>
        <v>0</v>
      </c>
    </row>
    <row r="37" spans="1:25">
      <c r="A37" t="s">
        <v>211</v>
      </c>
      <c r="B37" t="s">
        <v>162</v>
      </c>
      <c r="C37" t="s">
        <v>269</v>
      </c>
      <c r="D37" t="s">
        <v>25</v>
      </c>
      <c r="E37" t="s">
        <v>36</v>
      </c>
      <c r="F37">
        <v>2045</v>
      </c>
      <c r="G37" s="55">
        <f>10^6*IF($E37="charcoal",params!$P$13*INDEX(BAU_Fuel_cons!$E$2:$AS$34,MATCH(D37&amp;"_"&amp;E37,BAU_Fuel_cons!$AT$2:$AT$34,0),MATCH(F37,BAU_Fuel_cons!$E$1:$AS$1,0)),INDEX(BAU_Fuel_cons!$E$2:$AS$34,MATCH(D37&amp;"_"&amp;E37,BAU_Fuel_cons!$AT$2:$AT$34,0),MATCH(F37,BAU_Fuel_cons!$E$1:$AS$1,0)))</f>
        <v>524407.35398133402</v>
      </c>
      <c r="H37" s="55">
        <f>G37+10^6*IF($E37="charcoal",params!$P$13*SUMIFS(nonresidential!$L:$L,nonresidential!$A:$A,$F37,nonresidential!$B:$B,$E37,nonresidential!$C:$C,$D37),SUMIFS(nonresidential!$L:$L,nonresidential!$A:$A,$F37,nonresidential!$B:$B,$E37,nonresidential!$C:$C,$D37))</f>
        <v>891889.05861135898</v>
      </c>
      <c r="I37">
        <f>1</f>
        <v>1</v>
      </c>
      <c r="P37" t="s">
        <v>43</v>
      </c>
      <c r="Q37" s="54">
        <f>SUMIFS($H:$H,$A:$A,"MWI",$D:$D,$P$2,$E:$E,$P37,$F:$F,Q$2)/10^6</f>
        <v>1.0031991454441227E-4</v>
      </c>
      <c r="R37" s="54">
        <f>SUMIFS($H:$H,$A:$A,"MWI",$D:$D,$P$2,$E:$E,$P37,$F:$F,R$2)/10^6</f>
        <v>7.0259249209371857E-4</v>
      </c>
      <c r="S37" s="54">
        <f>SUMIFS($H:$H,$A:$A,"MWI",$D:$D,$P$2,$E:$E,$P37,$F:$F,S$2)/10^6</f>
        <v>1.8381231236658088E-3</v>
      </c>
      <c r="T37" s="54">
        <f>SUMIFS($H:$H,$A:$A,"MWI",$D:$D,$P$2,$E:$E,$P37,$F:$F,T$2)/10^6</f>
        <v>3.1011586490112529E-3</v>
      </c>
      <c r="U37" s="54">
        <f>SUMIFS($H:$H,$A:$A,"MWI",$D:$D,$P$2,$E:$E,$P37,$F:$F,U$2)/10^6</f>
        <v>3.0188870794070799E-3</v>
      </c>
      <c r="V37" s="54">
        <f>SUMIFS($H:$H,$A:$A,"MWI",$D:$D,$P$2,$E:$E,$P37,$F:$F,V$2)/10^6</f>
        <v>2.7117982536723085E-3</v>
      </c>
      <c r="W37" s="54">
        <f>SUMIFS($H:$H,$A:$A,"MWI",$D:$D,$P$2,$E:$E,$P37,$F:$F,W$2)/10^6</f>
        <v>2.1381412420124406E-3</v>
      </c>
      <c r="X37" s="54">
        <f>SUMIFS($H:$H,$A:$A,"MWI",$D:$D,$P$2,$E:$E,$P37,$F:$F,X$2)/10^6</f>
        <v>1.250968951840356E-3</v>
      </c>
      <c r="Y37" s="54">
        <f>SUMIFS($H:$H,$A:$A,"MWI",$D:$D,$P$2,$E:$E,$P37,$F:$F,Y$2)/10^6</f>
        <v>0</v>
      </c>
    </row>
    <row r="38" spans="1:25">
      <c r="A38" t="s">
        <v>211</v>
      </c>
      <c r="B38" t="s">
        <v>162</v>
      </c>
      <c r="C38" t="s">
        <v>269</v>
      </c>
      <c r="D38" t="s">
        <v>25</v>
      </c>
      <c r="E38" t="s">
        <v>36</v>
      </c>
      <c r="F38">
        <v>2046</v>
      </c>
      <c r="G38" s="55">
        <f>10^6*IF($E38="charcoal",params!$P$13*INDEX(BAU_Fuel_cons!$E$2:$AS$34,MATCH(D38&amp;"_"&amp;E38,BAU_Fuel_cons!$AT$2:$AT$34,0),MATCH(F38,BAU_Fuel_cons!$E$1:$AS$1,0)),INDEX(BAU_Fuel_cons!$E$2:$AS$34,MATCH(D38&amp;"_"&amp;E38,BAU_Fuel_cons!$AT$2:$AT$34,0),MATCH(F38,BAU_Fuel_cons!$E$1:$AS$1,0)))</f>
        <v>432543.29995411343</v>
      </c>
      <c r="H38" s="55">
        <f>G38+10^6*IF($E38="charcoal",params!$P$13*SUMIFS(nonresidential!$L:$L,nonresidential!$A:$A,$F38,nonresidential!$B:$B,$E38,nonresidential!$C:$C,$D38),SUMIFS(nonresidential!$L:$L,nonresidential!$A:$A,$F38,nonresidential!$B:$B,$E38,nonresidential!$C:$C,$D38))</f>
        <v>800073.28734652186</v>
      </c>
      <c r="I38">
        <f>1</f>
        <v>1</v>
      </c>
      <c r="P38" t="s">
        <v>16</v>
      </c>
      <c r="Q38" s="54">
        <f>SUMIFS($H:$H,$A:$A,"MWI",$D:$D,$P$2,$E:$E,$P38,$F:$F,Q$2)/10^6</f>
        <v>0</v>
      </c>
      <c r="R38" s="54">
        <f>SUMIFS($H:$H,$A:$A,"MWI",$D:$D,$P$2,$E:$E,$P38,$F:$F,R$2)/10^6</f>
        <v>0</v>
      </c>
      <c r="S38" s="54">
        <f>SUMIFS($H:$H,$A:$A,"MWI",$D:$D,$P$2,$E:$E,$P38,$F:$F,S$2)/10^6</f>
        <v>0</v>
      </c>
      <c r="T38" s="54">
        <f>SUMIFS($H:$H,$A:$A,"MWI",$D:$D,$P$2,$E:$E,$P38,$F:$F,T$2)/10^6</f>
        <v>0</v>
      </c>
      <c r="U38" s="54">
        <f>SUMIFS($H:$H,$A:$A,"MWI",$D:$D,$P$2,$E:$E,$P38,$F:$F,U$2)/10^6</f>
        <v>0</v>
      </c>
      <c r="V38" s="54">
        <f>SUMIFS($H:$H,$A:$A,"MWI",$D:$D,$P$2,$E:$E,$P38,$F:$F,V$2)/10^6</f>
        <v>0</v>
      </c>
      <c r="W38" s="54">
        <f>SUMIFS($H:$H,$A:$A,"MWI",$D:$D,$P$2,$E:$E,$P38,$F:$F,W$2)/10^6</f>
        <v>0</v>
      </c>
      <c r="X38" s="54">
        <f>SUMIFS($H:$H,$A:$A,"MWI",$D:$D,$P$2,$E:$E,$P38,$F:$F,X$2)/10^6</f>
        <v>0</v>
      </c>
      <c r="Y38" s="54">
        <f>SUMIFS($H:$H,$A:$A,"MWI",$D:$D,$P$2,$E:$E,$P38,$F:$F,Y$2)/10^6</f>
        <v>0</v>
      </c>
    </row>
    <row r="39" spans="1:25">
      <c r="A39" t="s">
        <v>211</v>
      </c>
      <c r="B39" t="s">
        <v>162</v>
      </c>
      <c r="C39" t="s">
        <v>269</v>
      </c>
      <c r="D39" t="s">
        <v>25</v>
      </c>
      <c r="E39" t="s">
        <v>36</v>
      </c>
      <c r="F39">
        <v>2047</v>
      </c>
      <c r="G39" s="55">
        <f>10^6*IF($E39="charcoal",params!$P$13*INDEX(BAU_Fuel_cons!$E$2:$AS$34,MATCH(D39&amp;"_"&amp;E39,BAU_Fuel_cons!$AT$2:$AT$34,0),MATCH(F39,BAU_Fuel_cons!$E$1:$AS$1,0)),INDEX(BAU_Fuel_cons!$E$2:$AS$34,MATCH(D39&amp;"_"&amp;E39,BAU_Fuel_cons!$AT$2:$AT$34,0),MATCH(F39,BAU_Fuel_cons!$E$1:$AS$1,0)))</f>
        <v>334336.16113460553</v>
      </c>
      <c r="H39" s="55">
        <f>G39+10^6*IF($E39="charcoal",params!$P$13*SUMIFS(nonresidential!$L:$L,nonresidential!$A:$A,$F39,nonresidential!$B:$B,$E39,nonresidential!$C:$C,$D39),SUMIFS(nonresidential!$L:$L,nonresidential!$A:$A,$F39,nonresidential!$B:$B,$E39,nonresidential!$C:$C,$D39))</f>
        <v>701412.85952277645</v>
      </c>
      <c r="I39">
        <f>1</f>
        <v>1</v>
      </c>
      <c r="P39" t="s">
        <v>13</v>
      </c>
      <c r="Q39" s="54">
        <f>SUMIFS($H:$H,$A:$A,"MWI",$D:$D,$P$2,$E:$E,$P39,$F:$F,Q$2)/10^6</f>
        <v>0.29878206722327511</v>
      </c>
      <c r="R39" s="54">
        <f>SUMIFS($H:$H,$A:$A,"MWI",$D:$D,$P$2,$E:$E,$P39,$F:$F,R$2)/10^6</f>
        <v>0.3111611389016159</v>
      </c>
      <c r="S39" s="54">
        <f>SUMIFS($H:$H,$A:$A,"MWI",$D:$D,$P$2,$E:$E,$P39,$F:$F,S$2)/10^6</f>
        <v>0.30835622534843254</v>
      </c>
      <c r="T39" s="54">
        <f>SUMIFS($H:$H,$A:$A,"MWI",$D:$D,$P$2,$E:$E,$P39,$F:$F,T$2)/10^6</f>
        <v>0.29081508489027647</v>
      </c>
      <c r="U39" s="54">
        <f>SUMIFS($H:$H,$A:$A,"MWI",$D:$D,$P$2,$E:$E,$P39,$F:$F,U$2)/10^6</f>
        <v>0.28277445702309018</v>
      </c>
      <c r="V39" s="54">
        <f>SUMIFS($H:$H,$A:$A,"MWI",$D:$D,$P$2,$E:$E,$P39,$F:$F,V$2)/10^6</f>
        <v>0.25374542960818758</v>
      </c>
      <c r="W39" s="54">
        <f>SUMIFS($H:$H,$A:$A,"MWI",$D:$D,$P$2,$E:$E,$P39,$F:$F,W$2)/10^6</f>
        <v>0.19987618986869019</v>
      </c>
      <c r="X39" s="54">
        <f>SUMIFS($H:$H,$A:$A,"MWI",$D:$D,$P$2,$E:$E,$P39,$F:$F,X$2)/10^6</f>
        <v>0.11683770866120327</v>
      </c>
      <c r="Y39" s="54">
        <f>SUMIFS($H:$H,$A:$A,"MWI",$D:$D,$P$2,$E:$E,$P39,$F:$F,Y$2)/10^6</f>
        <v>0</v>
      </c>
    </row>
    <row r="40" spans="1:25">
      <c r="A40" t="s">
        <v>211</v>
      </c>
      <c r="B40" t="s">
        <v>162</v>
      </c>
      <c r="C40" t="s">
        <v>269</v>
      </c>
      <c r="D40" t="s">
        <v>25</v>
      </c>
      <c r="E40" t="s">
        <v>36</v>
      </c>
      <c r="F40">
        <v>2048</v>
      </c>
      <c r="G40" s="55">
        <f>10^6*IF($E40="charcoal",params!$P$13*INDEX(BAU_Fuel_cons!$E$2:$AS$34,MATCH(D40&amp;"_"&amp;E40,BAU_Fuel_cons!$AT$2:$AT$34,0),MATCH(F40,BAU_Fuel_cons!$E$1:$AS$1,0)),INDEX(BAU_Fuel_cons!$E$2:$AS$34,MATCH(D40&amp;"_"&amp;E40,BAU_Fuel_cons!$AT$2:$AT$34,0),MATCH(F40,BAU_Fuel_cons!$E$1:$AS$1,0)))</f>
        <v>229618.37667549236</v>
      </c>
      <c r="H40" s="55">
        <f>G40+10^6*IF($E40="charcoal",params!$P$13*SUMIFS(nonresidential!$L:$L,nonresidential!$A:$A,$F40,nonresidential!$B:$B,$E40,nonresidential!$C:$C,$D40),SUMIFS(nonresidential!$L:$L,nonresidential!$A:$A,$F40,nonresidential!$B:$B,$E40,nonresidential!$C:$C,$D40))</f>
        <v>595719.73507452116</v>
      </c>
      <c r="I40">
        <f>1</f>
        <v>1</v>
      </c>
      <c r="P40" t="s">
        <v>14</v>
      </c>
      <c r="Q40" s="54">
        <f>SUMIFS($H:$H,$A:$A,"MWI",$D:$D,$P$2,$E:$E,$P40,$F:$F,Q$2)/10^6</f>
        <v>0</v>
      </c>
      <c r="R40" s="54">
        <f>SUMIFS($H:$H,$A:$A,"MWI",$D:$D,$P$2,$E:$E,$P40,$F:$F,R$2)/10^6</f>
        <v>0</v>
      </c>
      <c r="S40" s="54">
        <f>SUMIFS($H:$H,$A:$A,"MWI",$D:$D,$P$2,$E:$E,$P40,$F:$F,S$2)/10^6</f>
        <v>0</v>
      </c>
      <c r="T40" s="54">
        <f>SUMIFS($H:$H,$A:$A,"MWI",$D:$D,$P$2,$E:$E,$P40,$F:$F,T$2)/10^6</f>
        <v>0</v>
      </c>
      <c r="U40" s="54">
        <f>SUMIFS($H:$H,$A:$A,"MWI",$D:$D,$P$2,$E:$E,$P40,$F:$F,U$2)/10^6</f>
        <v>0</v>
      </c>
      <c r="V40" s="54">
        <f>SUMIFS($H:$H,$A:$A,"MWI",$D:$D,$P$2,$E:$E,$P40,$F:$F,V$2)/10^6</f>
        <v>0</v>
      </c>
      <c r="W40" s="54">
        <f>SUMIFS($H:$H,$A:$A,"MWI",$D:$D,$P$2,$E:$E,$P40,$F:$F,W$2)/10^6</f>
        <v>0</v>
      </c>
      <c r="X40" s="54">
        <f>SUMIFS($H:$H,$A:$A,"MWI",$D:$D,$P$2,$E:$E,$P40,$F:$F,X$2)/10^6</f>
        <v>0</v>
      </c>
      <c r="Y40" s="54">
        <f>SUMIFS($H:$H,$A:$A,"MWI",$D:$D,$P$2,$E:$E,$P40,$F:$F,Y$2)/10^6</f>
        <v>0</v>
      </c>
    </row>
    <row r="41" spans="1:25">
      <c r="A41" t="s">
        <v>211</v>
      </c>
      <c r="B41" t="s">
        <v>162</v>
      </c>
      <c r="C41" t="s">
        <v>269</v>
      </c>
      <c r="D41" t="s">
        <v>25</v>
      </c>
      <c r="E41" t="s">
        <v>36</v>
      </c>
      <c r="F41">
        <v>2049</v>
      </c>
      <c r="G41" s="55">
        <f>10^6*IF($E41="charcoal",params!$P$13*INDEX(BAU_Fuel_cons!$E$2:$AS$34,MATCH(D41&amp;"_"&amp;E41,BAU_Fuel_cons!$AT$2:$AT$34,0),MATCH(F41,BAU_Fuel_cons!$E$1:$AS$1,0)),INDEX(BAU_Fuel_cons!$E$2:$AS$34,MATCH(D41&amp;"_"&amp;E41,BAU_Fuel_cons!$AT$2:$AT$34,0),MATCH(F41,BAU_Fuel_cons!$E$1:$AS$1,0)))</f>
        <v>118226.0024597099</v>
      </c>
      <c r="H41" s="55">
        <f>G41+10^6*IF($E41="charcoal",params!$P$13*SUMIFS(nonresidential!$L:$L,nonresidential!$A:$A,$F41,nonresidential!$B:$B,$E41,nonresidential!$C:$C,$D41),SUMIFS(nonresidential!$L:$L,nonresidential!$A:$A,$F41,nonresidential!$B:$B,$E41,nonresidential!$C:$C,$D41))</f>
        <v>482809.10255318705</v>
      </c>
      <c r="I41">
        <f>1</f>
        <v>1</v>
      </c>
      <c r="P41" t="s">
        <v>15</v>
      </c>
      <c r="Q41" s="54">
        <f>SUMIFS($H:$H,$A:$A,"MWI",$D:$D,$P$2,$E:$E,$P41,$F:$F,Q$2)/10^6</f>
        <v>0</v>
      </c>
      <c r="R41" s="54">
        <f>SUMIFS($H:$H,$A:$A,"MWI",$D:$D,$P$2,$E:$E,$P41,$F:$F,R$2)/10^6</f>
        <v>0</v>
      </c>
      <c r="S41" s="54">
        <f>SUMIFS($H:$H,$A:$A,"MWI",$D:$D,$P$2,$E:$E,$P41,$F:$F,S$2)/10^6</f>
        <v>0</v>
      </c>
      <c r="T41" s="54">
        <f>SUMIFS($H:$H,$A:$A,"MWI",$D:$D,$P$2,$E:$E,$P41,$F:$F,T$2)/10^6</f>
        <v>0</v>
      </c>
      <c r="U41" s="54">
        <f>SUMIFS($H:$H,$A:$A,"MWI",$D:$D,$P$2,$E:$E,$P41,$F:$F,U$2)/10^6</f>
        <v>0</v>
      </c>
      <c r="V41" s="54">
        <f>SUMIFS($H:$H,$A:$A,"MWI",$D:$D,$P$2,$E:$E,$P41,$F:$F,V$2)/10^6</f>
        <v>0</v>
      </c>
      <c r="W41" s="54">
        <f>SUMIFS($H:$H,$A:$A,"MWI",$D:$D,$P$2,$E:$E,$P41,$F:$F,W$2)/10^6</f>
        <v>0</v>
      </c>
      <c r="X41" s="54">
        <f>SUMIFS($H:$H,$A:$A,"MWI",$D:$D,$P$2,$E:$E,$P41,$F:$F,X$2)/10^6</f>
        <v>0</v>
      </c>
      <c r="Y41" s="54">
        <f>SUMIFS($H:$H,$A:$A,"MWI",$D:$D,$P$2,$E:$E,$P41,$F:$F,Y$2)/10^6</f>
        <v>0</v>
      </c>
    </row>
    <row r="42" spans="1:25">
      <c r="A42" t="s">
        <v>211</v>
      </c>
      <c r="B42" t="s">
        <v>162</v>
      </c>
      <c r="C42" t="s">
        <v>269</v>
      </c>
      <c r="D42" t="s">
        <v>25</v>
      </c>
      <c r="E42" t="s">
        <v>36</v>
      </c>
      <c r="F42">
        <v>2050</v>
      </c>
      <c r="G42" s="55">
        <f>10^6*IF($E42="charcoal",params!$P$13*INDEX(BAU_Fuel_cons!$E$2:$AS$34,MATCH(D42&amp;"_"&amp;E42,BAU_Fuel_cons!$AT$2:$AT$34,0),MATCH(F42,BAU_Fuel_cons!$E$1:$AS$1,0)),INDEX(BAU_Fuel_cons!$E$2:$AS$34,MATCH(D42&amp;"_"&amp;E42,BAU_Fuel_cons!$AT$2:$AT$34,0),MATCH(F42,BAU_Fuel_cons!$E$1:$AS$1,0)))</f>
        <v>0</v>
      </c>
      <c r="H42" s="55">
        <f>G42+10^6*IF($E42="charcoal",params!$P$13*SUMIFS(nonresidential!$L:$L,nonresidential!$A:$A,$F42,nonresidential!$B:$B,$E42,nonresidential!$C:$C,$D42),SUMIFS(nonresidential!$L:$L,nonresidential!$A:$A,$F42,nonresidential!$B:$B,$E42,nonresidential!$C:$C,$D42))</f>
        <v>362501.38508086163</v>
      </c>
      <c r="I42">
        <f>1</f>
        <v>1</v>
      </c>
      <c r="P42" t="s">
        <v>127</v>
      </c>
      <c r="Q42" s="54">
        <f>Q33+Q32</f>
        <v>14.360064136550752</v>
      </c>
      <c r="R42" s="54">
        <f t="shared" ref="R42:Y42" si="17">R33+R32</f>
        <v>18.008149609873268</v>
      </c>
      <c r="S42" s="54">
        <f t="shared" si="17"/>
        <v>22.408769986464186</v>
      </c>
      <c r="T42" s="54">
        <f t="shared" si="17"/>
        <v>27.596426197832358</v>
      </c>
      <c r="U42" s="54">
        <f t="shared" si="17"/>
        <v>33.51256561454916</v>
      </c>
      <c r="V42" s="54">
        <f t="shared" si="17"/>
        <v>40.009497155084546</v>
      </c>
      <c r="W42" s="54">
        <f t="shared" si="17"/>
        <v>47.09224495884898</v>
      </c>
      <c r="X42" s="54">
        <f t="shared" si="17"/>
        <v>54.735308106009185</v>
      </c>
      <c r="Y42" s="54">
        <f t="shared" si="17"/>
        <v>62.846230982996687</v>
      </c>
    </row>
    <row r="43" spans="1:25">
      <c r="A43" t="s">
        <v>211</v>
      </c>
      <c r="B43" t="s">
        <v>162</v>
      </c>
      <c r="C43" t="s">
        <v>269</v>
      </c>
      <c r="D43" t="s">
        <v>25</v>
      </c>
      <c r="E43" t="s">
        <v>8</v>
      </c>
      <c r="F43">
        <v>2010</v>
      </c>
      <c r="G43" s="55">
        <f>10^6*IF($E43="charcoal",params!$P$13*INDEX(BAU_Fuel_cons!$E$2:$AS$34,MATCH(D43&amp;"_"&amp;E43,BAU_Fuel_cons!$AT$2:$AT$34,0),MATCH(F43,BAU_Fuel_cons!$E$1:$AS$1,0)),INDEX(BAU_Fuel_cons!$E$2:$AS$34,MATCH(D43&amp;"_"&amp;E43,BAU_Fuel_cons!$AT$2:$AT$34,0),MATCH(F43,BAU_Fuel_cons!$E$1:$AS$1,0)))</f>
        <v>3972887.8412078139</v>
      </c>
      <c r="H43" s="55">
        <f>G43+10^6*IF($E43="charcoal",params!$P$13*SUMIFS(nonresidential!$L:$L,nonresidential!$A:$A,$F43,nonresidential!$B:$B,$E43,nonresidential!$C:$C,$D43),SUMIFS(nonresidential!$L:$L,nonresidential!$A:$A,$F43,nonresidential!$B:$B,$E43,nonresidential!$C:$C,$D43))</f>
        <v>4390041.0645346344</v>
      </c>
      <c r="I43">
        <f>1</f>
        <v>1</v>
      </c>
    </row>
    <row r="44" spans="1:25">
      <c r="A44" t="s">
        <v>211</v>
      </c>
      <c r="B44" t="s">
        <v>162</v>
      </c>
      <c r="C44" t="s">
        <v>269</v>
      </c>
      <c r="D44" t="s">
        <v>25</v>
      </c>
      <c r="E44" t="s">
        <v>8</v>
      </c>
      <c r="F44">
        <v>2011</v>
      </c>
      <c r="G44" s="55">
        <f>10^6*IF($E44="charcoal",params!$P$13*INDEX(BAU_Fuel_cons!$E$2:$AS$34,MATCH(D44&amp;"_"&amp;E44,BAU_Fuel_cons!$AT$2:$AT$34,0),MATCH(F44,BAU_Fuel_cons!$E$1:$AS$1,0)),INDEX(BAU_Fuel_cons!$E$2:$AS$34,MATCH(D44&amp;"_"&amp;E44,BAU_Fuel_cons!$AT$2:$AT$34,0),MATCH(F44,BAU_Fuel_cons!$E$1:$AS$1,0)))</f>
        <v>4263835.8331675576</v>
      </c>
      <c r="H44" s="55">
        <f>G44+10^6*IF($E44="charcoal",params!$P$13*SUMIFS(nonresidential!$L:$L,nonresidential!$A:$A,$F44,nonresidential!$B:$B,$E44,nonresidential!$C:$C,$D44),SUMIFS(nonresidential!$L:$L,nonresidential!$A:$A,$F44,nonresidential!$B:$B,$E44,nonresidential!$C:$C,$D44))</f>
        <v>4711538.5956501514</v>
      </c>
      <c r="I44">
        <f>1</f>
        <v>1</v>
      </c>
      <c r="O44" t="s">
        <v>299</v>
      </c>
      <c r="P44" t="s">
        <v>318</v>
      </c>
      <c r="Q44" s="21">
        <f>(Q42-Q13)/Q13</f>
        <v>0.17411689525700141</v>
      </c>
      <c r="R44" s="21">
        <f>(R42-R13)/R13</f>
        <v>0.16525186163525671</v>
      </c>
      <c r="S44" s="21">
        <f>(S42-S13)/S13</f>
        <v>0.15814492836415836</v>
      </c>
      <c r="T44" s="21">
        <f>(T42-T13)/T13</f>
        <v>0.15234752362346457</v>
      </c>
      <c r="U44" s="21">
        <f>(U42-U13)/U13</f>
        <v>0.1474437064558205</v>
      </c>
      <c r="V44" s="21">
        <f>(V42-V13)/V13</f>
        <v>0.14353043838637672</v>
      </c>
      <c r="W44" s="21">
        <f>(W42-W13)/W13</f>
        <v>0.14035573804918694</v>
      </c>
      <c r="X44" s="21">
        <f>(X42-X13)/X13</f>
        <v>0.13775702534919049</v>
      </c>
      <c r="Y44" s="21">
        <f>(Y42-Y13)/Y13</f>
        <v>0.13562552009685355</v>
      </c>
    </row>
    <row r="45" spans="1:25">
      <c r="A45" t="s">
        <v>211</v>
      </c>
      <c r="B45" t="s">
        <v>162</v>
      </c>
      <c r="C45" t="s">
        <v>269</v>
      </c>
      <c r="D45" t="s">
        <v>25</v>
      </c>
      <c r="E45" t="s">
        <v>8</v>
      </c>
      <c r="F45">
        <v>2012</v>
      </c>
      <c r="G45" s="55">
        <f>10^6*IF($E45="charcoal",params!$P$13*INDEX(BAU_Fuel_cons!$E$2:$AS$34,MATCH(D45&amp;"_"&amp;E45,BAU_Fuel_cons!$AT$2:$AT$34,0),MATCH(F45,BAU_Fuel_cons!$E$1:$AS$1,0)),INDEX(BAU_Fuel_cons!$E$2:$AS$34,MATCH(D45&amp;"_"&amp;E45,BAU_Fuel_cons!$AT$2:$AT$34,0),MATCH(F45,BAU_Fuel_cons!$E$1:$AS$1,0)))</f>
        <v>4571300.3960210094</v>
      </c>
      <c r="H45" s="55">
        <f>G45+10^6*IF($E45="charcoal",params!$P$13*SUMIFS(nonresidential!$L:$L,nonresidential!$A:$A,$F45,nonresidential!$B:$B,$E45,nonresidential!$C:$C,$D45),SUMIFS(nonresidential!$L:$L,nonresidential!$A:$A,$F45,nonresidential!$B:$B,$E45,nonresidential!$C:$C,$D45))</f>
        <v>5051286.9376032157</v>
      </c>
      <c r="I45">
        <f>1</f>
        <v>1</v>
      </c>
      <c r="P45" t="s">
        <v>319</v>
      </c>
      <c r="Q45" s="21">
        <f>Q27/Q42</f>
        <v>0.14829604782996425</v>
      </c>
      <c r="R45" s="21">
        <f t="shared" ref="R45:Y45" si="18">R27/R42</f>
        <v>0.14181643220320669</v>
      </c>
      <c r="S45" s="21">
        <f t="shared" si="18"/>
        <v>0.13655020584300531</v>
      </c>
      <c r="T45" s="21">
        <f t="shared" si="18"/>
        <v>0.13220623162743472</v>
      </c>
      <c r="U45" s="21">
        <f t="shared" si="18"/>
        <v>0.12849755123171916</v>
      </c>
      <c r="V45" s="21">
        <f t="shared" si="18"/>
        <v>0.125515188374794</v>
      </c>
      <c r="W45" s="21">
        <f t="shared" si="18"/>
        <v>0.12308066103064853</v>
      </c>
      <c r="X45" s="21">
        <f t="shared" si="18"/>
        <v>0.1210777189505038</v>
      </c>
      <c r="Y45" s="21">
        <f t="shared" si="18"/>
        <v>0.11942803124509438</v>
      </c>
    </row>
    <row r="46" spans="1:25">
      <c r="A46" t="s">
        <v>211</v>
      </c>
      <c r="B46" t="s">
        <v>162</v>
      </c>
      <c r="C46" t="s">
        <v>269</v>
      </c>
      <c r="D46" t="s">
        <v>25</v>
      </c>
      <c r="E46" t="s">
        <v>8</v>
      </c>
      <c r="F46">
        <v>2013</v>
      </c>
      <c r="G46" s="55">
        <f>10^6*IF($E46="charcoal",params!$P$13*INDEX(BAU_Fuel_cons!$E$2:$AS$34,MATCH(D46&amp;"_"&amp;E46,BAU_Fuel_cons!$AT$2:$AT$34,0),MATCH(F46,BAU_Fuel_cons!$E$1:$AS$1,0)),INDEX(BAU_Fuel_cons!$E$2:$AS$34,MATCH(D46&amp;"_"&amp;E46,BAU_Fuel_cons!$AT$2:$AT$34,0),MATCH(F46,BAU_Fuel_cons!$E$1:$AS$1,0)))</f>
        <v>4896264.2991145356</v>
      </c>
      <c r="H46" s="55">
        <f>G46+10^6*IF($E46="charcoal",params!$P$13*SUMIFS(nonresidential!$L:$L,nonresidential!$A:$A,$F46,nonresidential!$B:$B,$E46,nonresidential!$C:$C,$D46),SUMIFS(nonresidential!$L:$L,nonresidential!$A:$A,$F46,nonresidential!$B:$B,$E46,nonresidential!$C:$C,$D46))</f>
        <v>5410372.0505215619</v>
      </c>
      <c r="I46">
        <f>1</f>
        <v>1</v>
      </c>
    </row>
    <row r="47" spans="1:25">
      <c r="A47" t="s">
        <v>211</v>
      </c>
      <c r="B47" t="s">
        <v>162</v>
      </c>
      <c r="C47" t="s">
        <v>269</v>
      </c>
      <c r="D47" t="s">
        <v>25</v>
      </c>
      <c r="E47" t="s">
        <v>8</v>
      </c>
      <c r="F47">
        <v>2014</v>
      </c>
      <c r="G47" s="55">
        <f>10^6*IF($E47="charcoal",params!$P$13*INDEX(BAU_Fuel_cons!$E$2:$AS$34,MATCH(D47&amp;"_"&amp;E47,BAU_Fuel_cons!$AT$2:$AT$34,0),MATCH(F47,BAU_Fuel_cons!$E$1:$AS$1,0)),INDEX(BAU_Fuel_cons!$E$2:$AS$34,MATCH(D47&amp;"_"&amp;E47,BAU_Fuel_cons!$AT$2:$AT$34,0),MATCH(F47,BAU_Fuel_cons!$E$1:$AS$1,0)))</f>
        <v>5239883.0871146284</v>
      </c>
      <c r="H47" s="55">
        <f>G47+10^6*IF($E47="charcoal",params!$P$13*SUMIFS(nonresidential!$L:$L,nonresidential!$A:$A,$F47,nonresidential!$B:$B,$E47,nonresidential!$C:$C,$D47),SUMIFS(nonresidential!$L:$L,nonresidential!$A:$A,$F47,nonresidential!$B:$B,$E47,nonresidential!$C:$C,$D47))</f>
        <v>5790070.8112616641</v>
      </c>
      <c r="I47">
        <f>1</f>
        <v>1</v>
      </c>
    </row>
    <row r="48" spans="1:25">
      <c r="A48" t="s">
        <v>211</v>
      </c>
      <c r="B48" t="s">
        <v>162</v>
      </c>
      <c r="C48" t="s">
        <v>269</v>
      </c>
      <c r="D48" t="s">
        <v>25</v>
      </c>
      <c r="E48" t="s">
        <v>8</v>
      </c>
      <c r="F48">
        <v>2015</v>
      </c>
      <c r="G48" s="55">
        <f>10^6*IF($E48="charcoal",params!$P$13*INDEX(BAU_Fuel_cons!$E$2:$AS$34,MATCH(D48&amp;"_"&amp;E48,BAU_Fuel_cons!$AT$2:$AT$34,0),MATCH(F48,BAU_Fuel_cons!$E$1:$AS$1,0)),INDEX(BAU_Fuel_cons!$E$2:$AS$34,MATCH(D48&amp;"_"&amp;E48,BAU_Fuel_cons!$AT$2:$AT$34,0),MATCH(F48,BAU_Fuel_cons!$E$1:$AS$1,0)))</f>
        <v>5603263.2042928347</v>
      </c>
      <c r="H48" s="55">
        <f>G48+10^6*IF($E48="charcoal",params!$P$13*SUMIFS(nonresidential!$L:$L,nonresidential!$A:$A,$F48,nonresidential!$B:$B,$E48,nonresidential!$C:$C,$D48),SUMIFS(nonresidential!$L:$L,nonresidential!$A:$A,$F48,nonresidential!$B:$B,$E48,nonresidential!$C:$C,$D48))</f>
        <v>6191605.8407435827</v>
      </c>
      <c r="I48">
        <f>1</f>
        <v>1</v>
      </c>
    </row>
    <row r="49" spans="1:25">
      <c r="A49" t="s">
        <v>211</v>
      </c>
      <c r="B49" t="s">
        <v>162</v>
      </c>
      <c r="C49" t="s">
        <v>269</v>
      </c>
      <c r="D49" t="s">
        <v>25</v>
      </c>
      <c r="E49" t="s">
        <v>8</v>
      </c>
      <c r="F49">
        <v>2016</v>
      </c>
      <c r="G49" s="55">
        <f>10^6*IF($E49="charcoal",params!$P$13*INDEX(BAU_Fuel_cons!$E$2:$AS$34,MATCH(D49&amp;"_"&amp;E49,BAU_Fuel_cons!$AT$2:$AT$34,0),MATCH(F49,BAU_Fuel_cons!$E$1:$AS$1,0)),INDEX(BAU_Fuel_cons!$E$2:$AS$34,MATCH(D49&amp;"_"&amp;E49,BAU_Fuel_cons!$AT$2:$AT$34,0),MATCH(F49,BAU_Fuel_cons!$E$1:$AS$1,0)))</f>
        <v>5987334.539078394</v>
      </c>
      <c r="H49" s="55">
        <f>G49+10^6*IF($E49="charcoal",params!$P$13*SUMIFS(nonresidential!$L:$L,nonresidential!$A:$A,$F49,nonresidential!$B:$B,$E49,nonresidential!$C:$C,$D49),SUMIFS(nonresidential!$L:$L,nonresidential!$A:$A,$F49,nonresidential!$B:$B,$E49,nonresidential!$C:$C,$D49))</f>
        <v>6616004.6656816257</v>
      </c>
      <c r="I49">
        <f>1</f>
        <v>1</v>
      </c>
      <c r="O49" t="s">
        <v>303</v>
      </c>
      <c r="P49" t="str">
        <f>P32</f>
        <v>fuelwood</v>
      </c>
      <c r="Q49" s="54">
        <f>Q32</f>
        <v>9.8573992393287728</v>
      </c>
      <c r="R49" s="54">
        <f t="shared" ref="Q49:Y49" si="19">R32</f>
        <v>10.676246777682627</v>
      </c>
      <c r="S49" s="54">
        <f t="shared" si="19"/>
        <v>11.400528741957219</v>
      </c>
      <c r="T49" s="54">
        <f t="shared" si="19"/>
        <v>11.864019556443059</v>
      </c>
      <c r="U49" s="54">
        <f t="shared" si="19"/>
        <v>11.689891148255995</v>
      </c>
      <c r="V49" s="54">
        <f t="shared" si="19"/>
        <v>11.11024605381321</v>
      </c>
      <c r="W49" s="54">
        <f t="shared" si="19"/>
        <v>10.116268362674456</v>
      </c>
      <c r="X49" s="54">
        <f t="shared" si="19"/>
        <v>8.6978010041781797</v>
      </c>
      <c r="Y49" s="54">
        <f t="shared" si="19"/>
        <v>6.8488727257099118</v>
      </c>
    </row>
    <row r="50" spans="1:25">
      <c r="A50" t="s">
        <v>211</v>
      </c>
      <c r="B50" t="s">
        <v>162</v>
      </c>
      <c r="C50" t="s">
        <v>269</v>
      </c>
      <c r="D50" t="s">
        <v>25</v>
      </c>
      <c r="E50" t="s">
        <v>8</v>
      </c>
      <c r="F50">
        <v>2017</v>
      </c>
      <c r="G50" s="55">
        <f>10^6*IF($E50="charcoal",params!$P$13*INDEX(BAU_Fuel_cons!$E$2:$AS$34,MATCH(D50&amp;"_"&amp;E50,BAU_Fuel_cons!$AT$2:$AT$34,0),MATCH(F50,BAU_Fuel_cons!$E$1:$AS$1,0)),INDEX(BAU_Fuel_cons!$E$2:$AS$34,MATCH(D50&amp;"_"&amp;E50,BAU_Fuel_cons!$AT$2:$AT$34,0),MATCH(F50,BAU_Fuel_cons!$E$1:$AS$1,0)))</f>
        <v>6392846.1789511144</v>
      </c>
      <c r="H50" s="55">
        <f>G50+10^6*IF($E50="charcoal",params!$P$13*SUMIFS(nonresidential!$L:$L,nonresidential!$A:$A,$F50,nonresidential!$B:$B,$E50,nonresidential!$C:$C,$D50),SUMIFS(nonresidential!$L:$L,nonresidential!$A:$A,$F50,nonresidential!$B:$B,$E50,nonresidential!$C:$C,$D50))</f>
        <v>7064095.0277409814</v>
      </c>
      <c r="I50">
        <f>1</f>
        <v>1</v>
      </c>
      <c r="P50" t="str">
        <f t="shared" ref="P50:Y50" si="20">P33</f>
        <v>Charcoal</v>
      </c>
      <c r="Q50" s="54">
        <f t="shared" si="20"/>
        <v>4.5026648972219796</v>
      </c>
      <c r="R50" s="54">
        <f t="shared" si="20"/>
        <v>7.3319028321906421</v>
      </c>
      <c r="S50" s="54">
        <f t="shared" si="20"/>
        <v>11.008241244506968</v>
      </c>
      <c r="T50" s="54">
        <f t="shared" si="20"/>
        <v>15.7324066413893</v>
      </c>
      <c r="U50" s="54">
        <f t="shared" si="20"/>
        <v>21.822674466293165</v>
      </c>
      <c r="V50" s="54">
        <f t="shared" si="20"/>
        <v>28.899251101271339</v>
      </c>
      <c r="W50" s="54">
        <f t="shared" si="20"/>
        <v>36.975976596174526</v>
      </c>
      <c r="X50" s="54">
        <f t="shared" si="20"/>
        <v>46.037507101831004</v>
      </c>
      <c r="Y50" s="54">
        <f t="shared" si="20"/>
        <v>55.997358257286777</v>
      </c>
    </row>
    <row r="51" spans="1:25">
      <c r="A51" t="s">
        <v>211</v>
      </c>
      <c r="B51" t="s">
        <v>162</v>
      </c>
      <c r="C51" t="s">
        <v>269</v>
      </c>
      <c r="D51" t="s">
        <v>25</v>
      </c>
      <c r="E51" t="s">
        <v>8</v>
      </c>
      <c r="F51">
        <v>2018</v>
      </c>
      <c r="G51" s="55">
        <f>10^6*IF($E51="charcoal",params!$P$13*INDEX(BAU_Fuel_cons!$E$2:$AS$34,MATCH(D51&amp;"_"&amp;E51,BAU_Fuel_cons!$AT$2:$AT$34,0),MATCH(F51,BAU_Fuel_cons!$E$1:$AS$1,0)),INDEX(BAU_Fuel_cons!$E$2:$AS$34,MATCH(D51&amp;"_"&amp;E51,BAU_Fuel_cons!$AT$2:$AT$34,0),MATCH(F51,BAU_Fuel_cons!$E$1:$AS$1,0)))</f>
        <v>6820539.6711995155</v>
      </c>
      <c r="H51" s="55">
        <f>G51+10^6*IF($E51="charcoal",params!$P$13*SUMIFS(nonresidential!$L:$L,nonresidential!$A:$A,$F51,nonresidential!$B:$B,$E51,nonresidential!$C:$C,$D51),SUMIFS(nonresidential!$L:$L,nonresidential!$A:$A,$F51,nonresidential!$B:$B,$E51,nonresidential!$C:$C,$D51))</f>
        <v>7536696.3366754651</v>
      </c>
      <c r="I51">
        <f>1</f>
        <v>1</v>
      </c>
      <c r="P51" t="s">
        <v>37</v>
      </c>
      <c r="Q51" s="54">
        <f t="shared" ref="Q51:Y52" si="21">Q34</f>
        <v>0</v>
      </c>
      <c r="R51" s="54">
        <f t="shared" si="21"/>
        <v>7.1725358108698017E-3</v>
      </c>
      <c r="S51" s="54">
        <f t="shared" si="21"/>
        <v>3.961453347891325E-2</v>
      </c>
      <c r="T51" s="54">
        <f t="shared" si="21"/>
        <v>8.6339020043873907E-2</v>
      </c>
      <c r="U51" s="54">
        <f t="shared" si="21"/>
        <v>0.1480635429933807</v>
      </c>
      <c r="V51" s="54">
        <f t="shared" si="21"/>
        <v>0.22903838463658244</v>
      </c>
      <c r="W51" s="54">
        <f t="shared" si="21"/>
        <v>0.33223752584702831</v>
      </c>
      <c r="X51" s="54">
        <f t="shared" si="21"/>
        <v>0.46078762994646977</v>
      </c>
      <c r="Y51" s="54">
        <f t="shared" si="21"/>
        <v>0.61736838238571434</v>
      </c>
    </row>
    <row r="52" spans="1:25">
      <c r="A52" t="s">
        <v>211</v>
      </c>
      <c r="B52" t="s">
        <v>162</v>
      </c>
      <c r="C52" t="s">
        <v>269</v>
      </c>
      <c r="D52" t="s">
        <v>25</v>
      </c>
      <c r="E52" t="s">
        <v>8</v>
      </c>
      <c r="F52">
        <v>2019</v>
      </c>
      <c r="G52" s="55">
        <f>10^6*IF($E52="charcoal",params!$P$13*INDEX(BAU_Fuel_cons!$E$2:$AS$34,MATCH(D52&amp;"_"&amp;E52,BAU_Fuel_cons!$AT$2:$AT$34,0),MATCH(F52,BAU_Fuel_cons!$E$1:$AS$1,0)),INDEX(BAU_Fuel_cons!$E$2:$AS$34,MATCH(D52&amp;"_"&amp;E52,BAU_Fuel_cons!$AT$2:$AT$34,0),MATCH(F52,BAU_Fuel_cons!$E$1:$AS$1,0)))</f>
        <v>7271056.8671433544</v>
      </c>
      <c r="H52" s="55">
        <f>G52+10^6*IF($E52="charcoal",params!$P$13*SUMIFS(nonresidential!$L:$L,nonresidential!$A:$A,$F52,nonresidential!$B:$B,$E52,nonresidential!$C:$C,$D52),SUMIFS(nonresidential!$L:$L,nonresidential!$A:$A,$F52,nonresidential!$B:$B,$E52,nonresidential!$C:$C,$D52))</f>
        <v>8034517.8381934064</v>
      </c>
      <c r="I52">
        <f>1</f>
        <v>1</v>
      </c>
      <c r="P52" t="s">
        <v>10</v>
      </c>
      <c r="Q52" s="54">
        <f t="shared" ref="Q52:Y52" si="22">Q35</f>
        <v>0</v>
      </c>
      <c r="R52" s="54">
        <f t="shared" si="22"/>
        <v>7.9694842342997794E-4</v>
      </c>
      <c r="S52" s="54">
        <f t="shared" si="22"/>
        <v>4.4016148309900128E-3</v>
      </c>
      <c r="T52" s="54">
        <f t="shared" si="22"/>
        <v>9.5932244493192181E-3</v>
      </c>
      <c r="U52" s="54">
        <f t="shared" si="22"/>
        <v>1.6451504777042204E-2</v>
      </c>
      <c r="V52" s="54">
        <f t="shared" si="22"/>
        <v>2.5448709404064632E-2</v>
      </c>
      <c r="W52" s="54">
        <f t="shared" si="22"/>
        <v>3.6915280649669792E-2</v>
      </c>
      <c r="X52" s="54">
        <f t="shared" si="22"/>
        <v>5.1198625549607781E-2</v>
      </c>
      <c r="Y52" s="54">
        <f t="shared" si="22"/>
        <v>6.859648693174604E-2</v>
      </c>
    </row>
    <row r="53" spans="1:25">
      <c r="A53" t="s">
        <v>211</v>
      </c>
      <c r="B53" t="s">
        <v>162</v>
      </c>
      <c r="C53" t="s">
        <v>269</v>
      </c>
      <c r="D53" t="s">
        <v>25</v>
      </c>
      <c r="E53" t="s">
        <v>8</v>
      </c>
      <c r="F53">
        <v>2020</v>
      </c>
      <c r="G53" s="55">
        <f>10^6*IF($E53="charcoal",params!$P$13*INDEX(BAU_Fuel_cons!$E$2:$AS$34,MATCH(D53&amp;"_"&amp;E53,BAU_Fuel_cons!$AT$2:$AT$34,0),MATCH(F53,BAU_Fuel_cons!$E$1:$AS$1,0)),INDEX(BAU_Fuel_cons!$E$2:$AS$34,MATCH(D53&amp;"_"&amp;E53,BAU_Fuel_cons!$AT$2:$AT$34,0),MATCH(F53,BAU_Fuel_cons!$E$1:$AS$1,0)))</f>
        <v>7745033.9765691347</v>
      </c>
      <c r="H53" s="55">
        <f>G53+10^6*IF($E53="charcoal",params!$P$13*SUMIFS(nonresidential!$L:$L,nonresidential!$A:$A,$F53,nonresidential!$B:$B,$E53,nonresidential!$C:$C,$D53),SUMIFS(nonresidential!$L:$L,nonresidential!$A:$A,$F53,nonresidential!$B:$B,$E53,nonresidential!$C:$C,$D53))</f>
        <v>8558262.5441088937</v>
      </c>
      <c r="I53">
        <f>1</f>
        <v>1</v>
      </c>
      <c r="Q53" s="54">
        <f t="shared" ref="Q53:Y53" si="23">SUM(Q49:Q52)</f>
        <v>14.360064136550752</v>
      </c>
      <c r="R53" s="54">
        <f t="shared" si="23"/>
        <v>18.01611909410757</v>
      </c>
      <c r="S53" s="54">
        <f t="shared" si="23"/>
        <v>22.45278613477409</v>
      </c>
      <c r="T53" s="54">
        <f t="shared" si="23"/>
        <v>27.692358442325549</v>
      </c>
      <c r="U53" s="54">
        <f t="shared" si="23"/>
        <v>33.67708066231959</v>
      </c>
      <c r="V53" s="54">
        <f t="shared" si="23"/>
        <v>40.263984249125194</v>
      </c>
      <c r="W53" s="54">
        <f t="shared" si="23"/>
        <v>47.46139776534568</v>
      </c>
      <c r="X53" s="54">
        <f t="shared" si="23"/>
        <v>55.247294361505261</v>
      </c>
      <c r="Y53" s="54">
        <f t="shared" si="23"/>
        <v>63.532195852314146</v>
      </c>
    </row>
    <row r="54" spans="1:25">
      <c r="A54" t="s">
        <v>211</v>
      </c>
      <c r="B54" t="s">
        <v>162</v>
      </c>
      <c r="C54" t="s">
        <v>269</v>
      </c>
      <c r="D54" t="s">
        <v>25</v>
      </c>
      <c r="E54" t="s">
        <v>8</v>
      </c>
      <c r="F54">
        <v>2021</v>
      </c>
      <c r="G54" s="55">
        <f>10^6*IF($E54="charcoal",params!$P$13*INDEX(BAU_Fuel_cons!$E$2:$AS$34,MATCH(D54&amp;"_"&amp;E54,BAU_Fuel_cons!$AT$2:$AT$34,0),MATCH(F54,BAU_Fuel_cons!$E$1:$AS$1,0)),INDEX(BAU_Fuel_cons!$E$2:$AS$34,MATCH(D54&amp;"_"&amp;E54,BAU_Fuel_cons!$AT$2:$AT$34,0),MATCH(F54,BAU_Fuel_cons!$E$1:$AS$1,0)))</f>
        <v>8243204.5645640045</v>
      </c>
      <c r="H54" s="55">
        <f>G54+10^6*IF($E54="charcoal",params!$P$13*SUMIFS(nonresidential!$L:$L,nonresidential!$A:$A,$F54,nonresidential!$B:$B,$E54,nonresidential!$C:$C,$D54),SUMIFS(nonresidential!$L:$L,nonresidential!$A:$A,$F54,nonresidential!$B:$B,$E54,nonresidential!$C:$C,$D54))</f>
        <v>9108741.0438432246</v>
      </c>
      <c r="I54">
        <f>1</f>
        <v>1</v>
      </c>
    </row>
    <row r="55" spans="1:25">
      <c r="A55" t="s">
        <v>211</v>
      </c>
      <c r="B55" t="s">
        <v>162</v>
      </c>
      <c r="C55" t="s">
        <v>269</v>
      </c>
      <c r="D55" t="s">
        <v>25</v>
      </c>
      <c r="E55" t="s">
        <v>8</v>
      </c>
      <c r="F55">
        <v>2022</v>
      </c>
      <c r="G55" s="55">
        <f>10^6*IF($E55="charcoal",params!$P$13*INDEX(BAU_Fuel_cons!$E$2:$AS$34,MATCH(D55&amp;"_"&amp;E55,BAU_Fuel_cons!$AT$2:$AT$34,0),MATCH(F55,BAU_Fuel_cons!$E$1:$AS$1,0)),INDEX(BAU_Fuel_cons!$E$2:$AS$34,MATCH(D55&amp;"_"&amp;E55,BAU_Fuel_cons!$AT$2:$AT$34,0),MATCH(F55,BAU_Fuel_cons!$E$1:$AS$1,0)))</f>
        <v>8766298.6458887625</v>
      </c>
      <c r="H55" s="55">
        <f>G55+10^6*IF($E55="charcoal",params!$P$13*SUMIFS(nonresidential!$L:$L,nonresidential!$A:$A,$F55,nonresidential!$B:$B,$E55,nonresidential!$C:$C,$D55),SUMIFS(nonresidential!$L:$L,nonresidential!$A:$A,$F55,nonresidential!$B:$B,$E55,nonresidential!$C:$C,$D55))</f>
        <v>9686760.0037070829</v>
      </c>
      <c r="I55">
        <f>1</f>
        <v>1</v>
      </c>
    </row>
    <row r="56" spans="1:25">
      <c r="A56" t="s">
        <v>211</v>
      </c>
      <c r="B56" t="s">
        <v>162</v>
      </c>
      <c r="C56" t="s">
        <v>269</v>
      </c>
      <c r="D56" t="s">
        <v>25</v>
      </c>
      <c r="E56" t="s">
        <v>8</v>
      </c>
      <c r="F56">
        <v>2023</v>
      </c>
      <c r="G56" s="55">
        <f>10^6*IF($E56="charcoal",params!$P$13*INDEX(BAU_Fuel_cons!$E$2:$AS$34,MATCH(D56&amp;"_"&amp;E56,BAU_Fuel_cons!$AT$2:$AT$34,0),MATCH(F56,BAU_Fuel_cons!$E$1:$AS$1,0)),INDEX(BAU_Fuel_cons!$E$2:$AS$34,MATCH(D56&amp;"_"&amp;E56,BAU_Fuel_cons!$AT$2:$AT$34,0),MATCH(F56,BAU_Fuel_cons!$E$1:$AS$1,0)))</f>
        <v>9314874.4765137229</v>
      </c>
      <c r="H56" s="55">
        <f>G56+10^6*IF($E56="charcoal",params!$P$13*SUMIFS(nonresidential!$L:$L,nonresidential!$A:$A,$F56,nonresidential!$B:$B,$E56,nonresidential!$C:$C,$D56),SUMIFS(nonresidential!$L:$L,nonresidential!$A:$A,$F56,nonresidential!$B:$B,$E56,nonresidential!$C:$C,$D56))</f>
        <v>10292936.296547664</v>
      </c>
      <c r="I56">
        <f>1</f>
        <v>1</v>
      </c>
      <c r="O56" t="s">
        <v>304</v>
      </c>
      <c r="P56" t="s">
        <v>36</v>
      </c>
      <c r="Q56" s="54">
        <f>[2]BAU_for_CSV!Q17</f>
        <v>9.8573992393287728</v>
      </c>
      <c r="R56" s="54">
        <f>[2]BAU_for_CSV!R17</f>
        <v>10.676246777682627</v>
      </c>
      <c r="S56" s="54">
        <f>[2]BAU_for_CSV!S17</f>
        <v>11.400528741957219</v>
      </c>
      <c r="T56" s="54">
        <f>[2]BAU_for_CSV!T17</f>
        <v>11.864019556443059</v>
      </c>
      <c r="U56" s="54">
        <f>[2]BAU_for_CSV!U17</f>
        <v>11.689891148255995</v>
      </c>
      <c r="V56" s="54">
        <f>[2]BAU_for_CSV!V17</f>
        <v>11.11024605381321</v>
      </c>
      <c r="W56" s="54">
        <f>[2]BAU_for_CSV!W17</f>
        <v>10.116268362674456</v>
      </c>
      <c r="X56" s="54">
        <f>[2]BAU_for_CSV!X17</f>
        <v>8.6978010041781797</v>
      </c>
      <c r="Y56" s="54">
        <f>[2]BAU_for_CSV!Y17</f>
        <v>6.8488727257099118</v>
      </c>
    </row>
    <row r="57" spans="1:25">
      <c r="A57" t="s">
        <v>211</v>
      </c>
      <c r="B57" t="s">
        <v>162</v>
      </c>
      <c r="C57" t="s">
        <v>269</v>
      </c>
      <c r="D57" t="s">
        <v>25</v>
      </c>
      <c r="E57" t="s">
        <v>8</v>
      </c>
      <c r="F57">
        <v>2024</v>
      </c>
      <c r="G57" s="55">
        <f>10^6*IF($E57="charcoal",params!$P$13*INDEX(BAU_Fuel_cons!$E$2:$AS$34,MATCH(D57&amp;"_"&amp;E57,BAU_Fuel_cons!$AT$2:$AT$34,0),MATCH(F57,BAU_Fuel_cons!$E$1:$AS$1,0)),INDEX(BAU_Fuel_cons!$E$2:$AS$34,MATCH(D57&amp;"_"&amp;E57,BAU_Fuel_cons!$AT$2:$AT$34,0),MATCH(F57,BAU_Fuel_cons!$E$1:$AS$1,0)))</f>
        <v>9889400.1942674853</v>
      </c>
      <c r="H57" s="55">
        <f>G57+10^6*IF($E57="charcoal",params!$P$13*SUMIFS(nonresidential!$L:$L,nonresidential!$A:$A,$F57,nonresidential!$B:$B,$E57,nonresidential!$C:$C,$D57),SUMIFS(nonresidential!$L:$L,nonresidential!$A:$A,$F57,nonresidential!$B:$B,$E57,nonresidential!$C:$C,$D57))</f>
        <v>10927787.214665571</v>
      </c>
      <c r="I57">
        <f>1</f>
        <v>1</v>
      </c>
      <c r="P57" t="s">
        <v>30</v>
      </c>
      <c r="Q57" s="54">
        <f>[2]BAU_for_CSV!Q18</f>
        <v>3.270291682886417</v>
      </c>
      <c r="R57" s="54">
        <f>[2]BAU_for_CSV!R18</f>
        <v>5.3251710707225524</v>
      </c>
      <c r="S57" s="54">
        <f>[2]BAU_for_CSV!S18</f>
        <v>7.9953006956679076</v>
      </c>
      <c r="T57" s="54">
        <f>[2]BAU_for_CSV!T18</f>
        <v>11.426468494882981</v>
      </c>
      <c r="U57" s="54">
        <f>[2]BAU_for_CSV!U18</f>
        <v>15.849838358943279</v>
      </c>
      <c r="V57" s="54">
        <f>[2]BAU_for_CSV!V18</f>
        <v>20.9895656628685</v>
      </c>
      <c r="W57" s="54">
        <f>[2]BAU_for_CSV!W18</f>
        <v>26.85570245382419</v>
      </c>
      <c r="X57" s="54">
        <f>[2]BAU_for_CSV!X18</f>
        <v>33.437104473137943</v>
      </c>
      <c r="Y57" s="54">
        <f>[2]BAU_for_CSV!Y18</f>
        <v>40.670958010977181</v>
      </c>
    </row>
    <row r="58" spans="1:25">
      <c r="A58" t="s">
        <v>211</v>
      </c>
      <c r="B58" t="s">
        <v>162</v>
      </c>
      <c r="C58" t="s">
        <v>269</v>
      </c>
      <c r="D58" t="s">
        <v>25</v>
      </c>
      <c r="E58" t="s">
        <v>8</v>
      </c>
      <c r="F58">
        <v>2025</v>
      </c>
      <c r="G58" s="55">
        <f>10^6*IF($E58="charcoal",params!$P$13*INDEX(BAU_Fuel_cons!$E$2:$AS$34,MATCH(D58&amp;"_"&amp;E58,BAU_Fuel_cons!$AT$2:$AT$34,0),MATCH(F58,BAU_Fuel_cons!$E$1:$AS$1,0)),INDEX(BAU_Fuel_cons!$E$2:$AS$34,MATCH(D58&amp;"_"&amp;E58,BAU_Fuel_cons!$AT$2:$AT$34,0),MATCH(F58,BAU_Fuel_cons!$E$1:$AS$1,0)))</f>
        <v>10396834.870926987</v>
      </c>
      <c r="H58" s="55">
        <f>G58+10^6*IF($E58="charcoal",params!$P$13*SUMIFS(nonresidential!$L:$L,nonresidential!$A:$A,$F58,nonresidential!$B:$B,$E58,nonresidential!$C:$C,$D58),SUMIFS(nonresidential!$L:$L,nonresidential!$A:$A,$F58,nonresidential!$B:$B,$E58,nonresidential!$C:$C,$D58))</f>
        <v>11488502.532374321</v>
      </c>
      <c r="I58">
        <f>1</f>
        <v>1</v>
      </c>
      <c r="P58" t="s">
        <v>37</v>
      </c>
      <c r="Q58" s="54">
        <f>[2]BAU_for_CSV!Q19</f>
        <v>0</v>
      </c>
      <c r="R58" s="54">
        <f>[2]BAU_for_CSV!R19</f>
        <v>5.2094225848262387E-3</v>
      </c>
      <c r="S58" s="54">
        <f>[2]BAU_for_CSV!S19</f>
        <v>2.8772089932218803E-2</v>
      </c>
      <c r="T58" s="54">
        <f>[2]BAU_for_CSV!T19</f>
        <v>6.2708148530495583E-2</v>
      </c>
      <c r="U58" s="54">
        <f>[2]BAU_for_CSV!U19</f>
        <v>0.10753875410286323</v>
      </c>
      <c r="V58" s="54">
        <f>[2]BAU_for_CSV!V19</f>
        <v>0.166350892512761</v>
      </c>
      <c r="W58" s="54">
        <f>[2]BAU_for_CSV!W19</f>
        <v>0.24130457014259418</v>
      </c>
      <c r="X58" s="54">
        <f>[2]BAU_for_CSV!X19</f>
        <v>0.33467068684605122</v>
      </c>
      <c r="Y58" s="54">
        <f>[2]BAU_for_CSV!Y19</f>
        <v>0.4483955018368555</v>
      </c>
    </row>
    <row r="59" spans="1:25">
      <c r="A59" t="s">
        <v>211</v>
      </c>
      <c r="B59" t="s">
        <v>162</v>
      </c>
      <c r="C59" t="s">
        <v>269</v>
      </c>
      <c r="D59" t="s">
        <v>25</v>
      </c>
      <c r="E59" t="s">
        <v>8</v>
      </c>
      <c r="F59">
        <v>2026</v>
      </c>
      <c r="G59" s="55">
        <f>10^6*IF($E59="charcoal",params!$P$13*INDEX(BAU_Fuel_cons!$E$2:$AS$34,MATCH(D59&amp;"_"&amp;E59,BAU_Fuel_cons!$AT$2:$AT$34,0),MATCH(F59,BAU_Fuel_cons!$E$1:$AS$1,0)),INDEX(BAU_Fuel_cons!$E$2:$AS$34,MATCH(D59&amp;"_"&amp;E59,BAU_Fuel_cons!$AT$2:$AT$34,0),MATCH(F59,BAU_Fuel_cons!$E$1:$AS$1,0)))</f>
        <v>10923365.023288626</v>
      </c>
      <c r="H59" s="55">
        <f>G59+10^6*IF($E59="charcoal",params!$P$13*SUMIFS(nonresidential!$L:$L,nonresidential!$A:$A,$F59,nonresidential!$B:$B,$E59,nonresidential!$C:$C,$D59),SUMIFS(nonresidential!$L:$L,nonresidential!$A:$A,$F59,nonresidential!$B:$B,$E59,nonresidential!$C:$C,$D59))</f>
        <v>12070318.350733932</v>
      </c>
      <c r="I59">
        <f>1</f>
        <v>1</v>
      </c>
      <c r="P59" t="s">
        <v>10</v>
      </c>
      <c r="Q59" s="54">
        <f>[2]BAU_for_CSV!Q20</f>
        <v>0</v>
      </c>
      <c r="R59" s="54">
        <f>[2]BAU_for_CSV!R20</f>
        <v>5.7882473164735991E-4</v>
      </c>
      <c r="S59" s="54">
        <f>[2]BAU_for_CSV!S20</f>
        <v>3.1968988813573921E-3</v>
      </c>
      <c r="T59" s="54">
        <f>[2]BAU_for_CSV!T20</f>
        <v>6.9675720589438776E-3</v>
      </c>
      <c r="U59" s="54">
        <f>[2]BAU_for_CSV!U20</f>
        <v>1.1948750455873621E-2</v>
      </c>
      <c r="V59" s="54">
        <f>[2]BAU_for_CSV!V20</f>
        <v>1.8483432501417832E-2</v>
      </c>
      <c r="W59" s="54">
        <f>[2]BAU_for_CSV!W20</f>
        <v>2.6811618904732666E-2</v>
      </c>
      <c r="X59" s="54">
        <f>[2]BAU_for_CSV!X20</f>
        <v>3.7185631871783482E-2</v>
      </c>
      <c r="Y59" s="54">
        <f>[2]BAU_for_CSV!Y20</f>
        <v>4.9821722426317279E-2</v>
      </c>
    </row>
    <row r="60" spans="1:25">
      <c r="A60" t="s">
        <v>211</v>
      </c>
      <c r="B60" t="s">
        <v>162</v>
      </c>
      <c r="C60" t="s">
        <v>269</v>
      </c>
      <c r="D60" t="s">
        <v>25</v>
      </c>
      <c r="E60" t="s">
        <v>8</v>
      </c>
      <c r="F60">
        <v>2027</v>
      </c>
      <c r="G60" s="55">
        <f>10^6*IF($E60="charcoal",params!$P$13*INDEX(BAU_Fuel_cons!$E$2:$AS$34,MATCH(D60&amp;"_"&amp;E60,BAU_Fuel_cons!$AT$2:$AT$34,0),MATCH(F60,BAU_Fuel_cons!$E$1:$AS$1,0)),INDEX(BAU_Fuel_cons!$E$2:$AS$34,MATCH(D60&amp;"_"&amp;E60,BAU_Fuel_cons!$AT$2:$AT$34,0),MATCH(F60,BAU_Fuel_cons!$E$1:$AS$1,0)))</f>
        <v>11469127.534072204</v>
      </c>
      <c r="H60" s="55">
        <f>G60+10^6*IF($E60="charcoal",params!$P$13*SUMIFS(nonresidential!$L:$L,nonresidential!$A:$A,$F60,nonresidential!$B:$B,$E60,nonresidential!$C:$C,$D60),SUMIFS(nonresidential!$L:$L,nonresidential!$A:$A,$F60,nonresidential!$B:$B,$E60,nonresidential!$C:$C,$D60))</f>
        <v>12673385.925149785</v>
      </c>
      <c r="I60">
        <f>1</f>
        <v>1</v>
      </c>
      <c r="Q60" s="54">
        <f>SUM(Q56:Q59)</f>
        <v>13.127690922215191</v>
      </c>
      <c r="R60" s="54">
        <f t="shared" ref="R60:Y60" si="24">SUM(R56:R59)</f>
        <v>16.007206095721653</v>
      </c>
      <c r="S60" s="54">
        <f t="shared" si="24"/>
        <v>19.427798426438699</v>
      </c>
      <c r="T60" s="54">
        <f t="shared" si="24"/>
        <v>23.360163771915481</v>
      </c>
      <c r="U60" s="54">
        <f t="shared" si="24"/>
        <v>27.65921701175801</v>
      </c>
      <c r="V60" s="54">
        <f t="shared" si="24"/>
        <v>32.284646041695893</v>
      </c>
      <c r="W60" s="54">
        <f t="shared" si="24"/>
        <v>37.240087005545973</v>
      </c>
      <c r="X60" s="54">
        <f t="shared" si="24"/>
        <v>42.506761796033963</v>
      </c>
      <c r="Y60" s="54">
        <f t="shared" si="24"/>
        <v>48.018047960950263</v>
      </c>
    </row>
    <row r="61" spans="1:25">
      <c r="A61" t="s">
        <v>211</v>
      </c>
      <c r="B61" t="s">
        <v>162</v>
      </c>
      <c r="C61" t="s">
        <v>269</v>
      </c>
      <c r="D61" t="s">
        <v>25</v>
      </c>
      <c r="E61" t="s">
        <v>8</v>
      </c>
      <c r="F61">
        <v>2028</v>
      </c>
      <c r="G61" s="55">
        <f>10^6*IF($E61="charcoal",params!$P$13*INDEX(BAU_Fuel_cons!$E$2:$AS$34,MATCH(D61&amp;"_"&amp;E61,BAU_Fuel_cons!$AT$2:$AT$34,0),MATCH(F61,BAU_Fuel_cons!$E$1:$AS$1,0)),INDEX(BAU_Fuel_cons!$E$2:$AS$34,MATCH(D61&amp;"_"&amp;E61,BAU_Fuel_cons!$AT$2:$AT$34,0),MATCH(F61,BAU_Fuel_cons!$E$1:$AS$1,0)))</f>
        <v>12034096.293119283</v>
      </c>
      <c r="H61" s="55">
        <f>G61+10^6*IF($E61="charcoal",params!$P$13*SUMIFS(nonresidential!$L:$L,nonresidential!$A:$A,$F61,nonresidential!$B:$B,$E61,nonresidential!$C:$C,$D61),SUMIFS(nonresidential!$L:$L,nonresidential!$A:$A,$F61,nonresidential!$B:$B,$E61,nonresidential!$C:$C,$D61))</f>
        <v>13297676.403896809</v>
      </c>
      <c r="I61">
        <f>1</f>
        <v>1</v>
      </c>
    </row>
    <row r="62" spans="1:25">
      <c r="A62" t="s">
        <v>211</v>
      </c>
      <c r="B62" t="s">
        <v>162</v>
      </c>
      <c r="C62" t="s">
        <v>269</v>
      </c>
      <c r="D62" t="s">
        <v>25</v>
      </c>
      <c r="E62" t="s">
        <v>8</v>
      </c>
      <c r="F62">
        <v>2029</v>
      </c>
      <c r="G62" s="55">
        <f>10^6*IF($E62="charcoal",params!$P$13*INDEX(BAU_Fuel_cons!$E$2:$AS$34,MATCH(D62&amp;"_"&amp;E62,BAU_Fuel_cons!$AT$2:$AT$34,0),MATCH(F62,BAU_Fuel_cons!$E$1:$AS$1,0)),INDEX(BAU_Fuel_cons!$E$2:$AS$34,MATCH(D62&amp;"_"&amp;E62,BAU_Fuel_cons!$AT$2:$AT$34,0),MATCH(F62,BAU_Fuel_cons!$E$1:$AS$1,0)))</f>
        <v>12618142.45412432</v>
      </c>
      <c r="H62" s="55">
        <f>G62+10^6*IF($E62="charcoal",params!$P$13*SUMIFS(nonresidential!$L:$L,nonresidential!$A:$A,$F62,nonresidential!$B:$B,$E62,nonresidential!$C:$C,$D62),SUMIFS(nonresidential!$L:$L,nonresidential!$A:$A,$F62,nonresidential!$B:$B,$E62,nonresidential!$C:$C,$D62))</f>
        <v>13943047.411807373</v>
      </c>
      <c r="I62">
        <f>1</f>
        <v>1</v>
      </c>
    </row>
    <row r="63" spans="1:25">
      <c r="A63" t="s">
        <v>211</v>
      </c>
      <c r="B63" t="s">
        <v>162</v>
      </c>
      <c r="C63" t="s">
        <v>269</v>
      </c>
      <c r="D63" t="s">
        <v>25</v>
      </c>
      <c r="E63" t="s">
        <v>8</v>
      </c>
      <c r="F63">
        <v>2030</v>
      </c>
      <c r="G63" s="55">
        <f>10^6*IF($E63="charcoal",params!$P$13*INDEX(BAU_Fuel_cons!$E$2:$AS$34,MATCH(D63&amp;"_"&amp;E63,BAU_Fuel_cons!$AT$2:$AT$34,0),MATCH(F63,BAU_Fuel_cons!$E$1:$AS$1,0)),INDEX(BAU_Fuel_cons!$E$2:$AS$34,MATCH(D63&amp;"_"&amp;E63,BAU_Fuel_cons!$AT$2:$AT$34,0),MATCH(F63,BAU_Fuel_cons!$E$1:$AS$1,0)))</f>
        <v>13221130.007014481</v>
      </c>
      <c r="H63" s="55">
        <f>G63+10^6*IF($E63="charcoal",params!$P$13*SUMIFS(nonresidential!$L:$L,nonresidential!$A:$A,$F63,nonresidential!$B:$B,$E63,nonresidential!$C:$C,$D63),SUMIFS(nonresidential!$L:$L,nonresidential!$A:$A,$F63,nonresidential!$B:$B,$E63,nonresidential!$C:$C,$D63))</f>
        <v>14609348.657751001</v>
      </c>
      <c r="I63">
        <f>1</f>
        <v>1</v>
      </c>
    </row>
    <row r="64" spans="1:25">
      <c r="A64" t="s">
        <v>211</v>
      </c>
      <c r="B64" t="s">
        <v>162</v>
      </c>
      <c r="C64" t="s">
        <v>269</v>
      </c>
      <c r="D64" t="s">
        <v>25</v>
      </c>
      <c r="E64" t="s">
        <v>8</v>
      </c>
      <c r="F64">
        <v>2031</v>
      </c>
      <c r="G64" s="55">
        <f>10^6*IF($E64="charcoal",params!$P$13*INDEX(BAU_Fuel_cons!$E$2:$AS$34,MATCH(D64&amp;"_"&amp;E64,BAU_Fuel_cons!$AT$2:$AT$34,0),MATCH(F64,BAU_Fuel_cons!$E$1:$AS$1,0)),INDEX(BAU_Fuel_cons!$E$2:$AS$34,MATCH(D64&amp;"_"&amp;E64,BAU_Fuel_cons!$AT$2:$AT$34,0),MATCH(F64,BAU_Fuel_cons!$E$1:$AS$1,0)))</f>
        <v>13842913.562254025</v>
      </c>
      <c r="H64" s="55">
        <f>G64+10^6*IF($E64="charcoal",params!$P$13*SUMIFS(nonresidential!$L:$L,nonresidential!$A:$A,$F64,nonresidential!$B:$B,$E64,nonresidential!$C:$C,$D64),SUMIFS(nonresidential!$L:$L,nonresidential!$A:$A,$F64,nonresidential!$B:$B,$E64,nonresidential!$C:$C,$D64))</f>
        <v>15296419.486290697</v>
      </c>
      <c r="I64">
        <f>1</f>
        <v>1</v>
      </c>
    </row>
    <row r="65" spans="1:9">
      <c r="A65" t="s">
        <v>211</v>
      </c>
      <c r="B65" t="s">
        <v>162</v>
      </c>
      <c r="C65" t="s">
        <v>269</v>
      </c>
      <c r="D65" t="s">
        <v>25</v>
      </c>
      <c r="E65" t="s">
        <v>8</v>
      </c>
      <c r="F65">
        <v>2032</v>
      </c>
      <c r="G65" s="55">
        <f>10^6*IF($E65="charcoal",params!$P$13*INDEX(BAU_Fuel_cons!$E$2:$AS$34,MATCH(D65&amp;"_"&amp;E65,BAU_Fuel_cons!$AT$2:$AT$34,0),MATCH(F65,BAU_Fuel_cons!$E$1:$AS$1,0)),INDEX(BAU_Fuel_cons!$E$2:$AS$34,MATCH(D65&amp;"_"&amp;E65,BAU_Fuel_cons!$AT$2:$AT$34,0),MATCH(F65,BAU_Fuel_cons!$E$1:$AS$1,0)))</f>
        <v>14483337.683663635</v>
      </c>
      <c r="H65" s="55">
        <f>G65+10^6*IF($E65="charcoal",params!$P$13*SUMIFS(nonresidential!$L:$L,nonresidential!$A:$A,$F65,nonresidential!$B:$B,$E65,nonresidential!$C:$C,$D65),SUMIFS(nonresidential!$L:$L,nonresidential!$A:$A,$F65,nonresidential!$B:$B,$E65,nonresidential!$C:$C,$D65))</f>
        <v>16004088.140448317</v>
      </c>
      <c r="I65">
        <f>1</f>
        <v>1</v>
      </c>
    </row>
    <row r="66" spans="1:9">
      <c r="A66" t="s">
        <v>211</v>
      </c>
      <c r="B66" t="s">
        <v>162</v>
      </c>
      <c r="C66" t="s">
        <v>269</v>
      </c>
      <c r="D66" t="s">
        <v>25</v>
      </c>
      <c r="E66" t="s">
        <v>8</v>
      </c>
      <c r="F66">
        <v>2033</v>
      </c>
      <c r="G66" s="55">
        <f>10^6*IF($E66="charcoal",params!$P$13*INDEX(BAU_Fuel_cons!$E$2:$AS$34,MATCH(D66&amp;"_"&amp;E66,BAU_Fuel_cons!$AT$2:$AT$34,0),MATCH(F66,BAU_Fuel_cons!$E$1:$AS$1,0)),INDEX(BAU_Fuel_cons!$E$2:$AS$34,MATCH(D66&amp;"_"&amp;E66,BAU_Fuel_cons!$AT$2:$AT$34,0),MATCH(F66,BAU_Fuel_cons!$E$1:$AS$1,0)))</f>
        <v>15142062.897916749</v>
      </c>
      <c r="H66" s="55">
        <f>G66+10^6*IF($E66="charcoal",params!$P$13*SUMIFS(nonresidential!$L:$L,nonresidential!$A:$A,$F66,nonresidential!$B:$B,$E66,nonresidential!$C:$C,$D66),SUMIFS(nonresidential!$L:$L,nonresidential!$A:$A,$F66,nonresidential!$B:$B,$E66,nonresidential!$C:$C,$D66))</f>
        <v>16731979.502198007</v>
      </c>
      <c r="I66">
        <f>1</f>
        <v>1</v>
      </c>
    </row>
    <row r="67" spans="1:9">
      <c r="A67" t="s">
        <v>211</v>
      </c>
      <c r="B67" t="s">
        <v>162</v>
      </c>
      <c r="C67" t="s">
        <v>269</v>
      </c>
      <c r="D67" t="s">
        <v>25</v>
      </c>
      <c r="E67" t="s">
        <v>8</v>
      </c>
      <c r="F67">
        <v>2034</v>
      </c>
      <c r="G67" s="55">
        <f>10^6*IF($E67="charcoal",params!$P$13*INDEX(BAU_Fuel_cons!$E$2:$AS$34,MATCH(D67&amp;"_"&amp;E67,BAU_Fuel_cons!$AT$2:$AT$34,0),MATCH(F67,BAU_Fuel_cons!$E$1:$AS$1,0)),INDEX(BAU_Fuel_cons!$E$2:$AS$34,MATCH(D67&amp;"_"&amp;E67,BAU_Fuel_cons!$AT$2:$AT$34,0),MATCH(F67,BAU_Fuel_cons!$E$1:$AS$1,0)))</f>
        <v>15818347.781546989</v>
      </c>
      <c r="H67" s="55">
        <f>G67+10^6*IF($E67="charcoal",params!$P$13*SUMIFS(nonresidential!$L:$L,nonresidential!$A:$A,$F67,nonresidential!$B:$B,$E67,nonresidential!$C:$C,$D67),SUMIFS(nonresidential!$L:$L,nonresidential!$A:$A,$F67,nonresidential!$B:$B,$E67,nonresidential!$C:$C,$D67))</f>
        <v>17479274.298609424</v>
      </c>
      <c r="I67">
        <f>1</f>
        <v>1</v>
      </c>
    </row>
    <row r="68" spans="1:9">
      <c r="A68" t="s">
        <v>211</v>
      </c>
      <c r="B68" t="s">
        <v>162</v>
      </c>
      <c r="C68" t="s">
        <v>269</v>
      </c>
      <c r="D68" t="s">
        <v>25</v>
      </c>
      <c r="E68" t="s">
        <v>8</v>
      </c>
      <c r="F68">
        <v>2035</v>
      </c>
      <c r="G68" s="55">
        <f>10^6*IF($E68="charcoal",params!$P$13*INDEX(BAU_Fuel_cons!$E$2:$AS$34,MATCH(D68&amp;"_"&amp;E68,BAU_Fuel_cons!$AT$2:$AT$34,0),MATCH(F68,BAU_Fuel_cons!$E$1:$AS$1,0)),INDEX(BAU_Fuel_cons!$E$2:$AS$34,MATCH(D68&amp;"_"&amp;E68,BAU_Fuel_cons!$AT$2:$AT$34,0),MATCH(F68,BAU_Fuel_cons!$E$1:$AS$1,0)))</f>
        <v>16516826.078121945</v>
      </c>
      <c r="H68" s="55">
        <f>G68+10^6*IF($E68="charcoal",params!$P$13*SUMIFS(nonresidential!$L:$L,nonresidential!$A:$A,$F68,nonresidential!$B:$B,$E68,nonresidential!$C:$C,$D68),SUMIFS(nonresidential!$L:$L,nonresidential!$A:$A,$F68,nonresidential!$B:$B,$E68,nonresidential!$C:$C,$D68))</f>
        <v>18251092.816324748</v>
      </c>
      <c r="I68">
        <f>1</f>
        <v>1</v>
      </c>
    </row>
    <row r="69" spans="1:9">
      <c r="A69" t="s">
        <v>211</v>
      </c>
      <c r="B69" t="s">
        <v>162</v>
      </c>
      <c r="C69" t="s">
        <v>269</v>
      </c>
      <c r="D69" t="s">
        <v>25</v>
      </c>
      <c r="E69" t="s">
        <v>8</v>
      </c>
      <c r="F69">
        <v>2036</v>
      </c>
      <c r="G69" s="55">
        <f>10^6*IF($E69="charcoal",params!$P$13*INDEX(BAU_Fuel_cons!$E$2:$AS$34,MATCH(D69&amp;"_"&amp;E69,BAU_Fuel_cons!$AT$2:$AT$34,0),MATCH(F69,BAU_Fuel_cons!$E$1:$AS$1,0)),INDEX(BAU_Fuel_cons!$E$2:$AS$34,MATCH(D69&amp;"_"&amp;E69,BAU_Fuel_cons!$AT$2:$AT$34,0),MATCH(F69,BAU_Fuel_cons!$E$1:$AS$1,0)))</f>
        <v>17236961.271614272</v>
      </c>
      <c r="H69" s="55">
        <f>G69+10^6*IF($E69="charcoal",params!$P$13*SUMIFS(nonresidential!$L:$L,nonresidential!$A:$A,$F69,nonresidential!$B:$B,$E69,nonresidential!$C:$C,$D69),SUMIFS(nonresidential!$L:$L,nonresidential!$A:$A,$F69,nonresidential!$B:$B,$E69,nonresidential!$C:$C,$D69))</f>
        <v>19046842.20513377</v>
      </c>
      <c r="I69">
        <f>1</f>
        <v>1</v>
      </c>
    </row>
    <row r="70" spans="1:9">
      <c r="A70" t="s">
        <v>211</v>
      </c>
      <c r="B70" t="s">
        <v>162</v>
      </c>
      <c r="C70" t="s">
        <v>269</v>
      </c>
      <c r="D70" t="s">
        <v>25</v>
      </c>
      <c r="E70" t="s">
        <v>8</v>
      </c>
      <c r="F70">
        <v>2037</v>
      </c>
      <c r="G70" s="55">
        <f>10^6*IF($E70="charcoal",params!$P$13*INDEX(BAU_Fuel_cons!$E$2:$AS$34,MATCH(D70&amp;"_"&amp;E70,BAU_Fuel_cons!$AT$2:$AT$34,0),MATCH(F70,BAU_Fuel_cons!$E$1:$AS$1,0)),INDEX(BAU_Fuel_cons!$E$2:$AS$34,MATCH(D70&amp;"_"&amp;E70,BAU_Fuel_cons!$AT$2:$AT$34,0),MATCH(F70,BAU_Fuel_cons!$E$1:$AS$1,0)))</f>
        <v>17979001.904165115</v>
      </c>
      <c r="H70" s="55">
        <f>G70+10^6*IF($E70="charcoal",params!$P$13*SUMIFS(nonresidential!$L:$L,nonresidential!$A:$A,$F70,nonresidential!$B:$B,$E70,nonresidential!$C:$C,$D70),SUMIFS(nonresidential!$L:$L,nonresidential!$A:$A,$F70,nonresidential!$B:$B,$E70,nonresidential!$C:$C,$D70))</f>
        <v>19866797.104102451</v>
      </c>
      <c r="I70">
        <f>1</f>
        <v>1</v>
      </c>
    </row>
    <row r="71" spans="1:9">
      <c r="A71" t="s">
        <v>211</v>
      </c>
      <c r="B71" t="s">
        <v>162</v>
      </c>
      <c r="C71" t="s">
        <v>269</v>
      </c>
      <c r="D71" t="s">
        <v>25</v>
      </c>
      <c r="E71" t="s">
        <v>8</v>
      </c>
      <c r="F71">
        <v>2038</v>
      </c>
      <c r="G71" s="55">
        <f>10^6*IF($E71="charcoal",params!$P$13*INDEX(BAU_Fuel_cons!$E$2:$AS$34,MATCH(D71&amp;"_"&amp;E71,BAU_Fuel_cons!$AT$2:$AT$34,0),MATCH(F71,BAU_Fuel_cons!$E$1:$AS$1,0)),INDEX(BAU_Fuel_cons!$E$2:$AS$34,MATCH(D71&amp;"_"&amp;E71,BAU_Fuel_cons!$AT$2:$AT$34,0),MATCH(F71,BAU_Fuel_cons!$E$1:$AS$1,0)))</f>
        <v>18743319.271532331</v>
      </c>
      <c r="H71" s="55">
        <f>G71+10^6*IF($E71="charcoal",params!$P$13*SUMIFS(nonresidential!$L:$L,nonresidential!$A:$A,$F71,nonresidential!$B:$B,$E71,nonresidential!$C:$C,$D71),SUMIFS(nonresidential!$L:$L,nonresidential!$A:$A,$F71,nonresidential!$B:$B,$E71,nonresidential!$C:$C,$D71))</f>
        <v>20711367.795043226</v>
      </c>
      <c r="I71">
        <f>1</f>
        <v>1</v>
      </c>
    </row>
    <row r="72" spans="1:9">
      <c r="A72" t="s">
        <v>211</v>
      </c>
      <c r="B72" t="s">
        <v>162</v>
      </c>
      <c r="C72" t="s">
        <v>269</v>
      </c>
      <c r="D72" t="s">
        <v>25</v>
      </c>
      <c r="E72" t="s">
        <v>8</v>
      </c>
      <c r="F72">
        <v>2039</v>
      </c>
      <c r="G72" s="55">
        <f>10^6*IF($E72="charcoal",params!$P$13*INDEX(BAU_Fuel_cons!$E$2:$AS$34,MATCH(D72&amp;"_"&amp;E72,BAU_Fuel_cons!$AT$2:$AT$34,0),MATCH(F72,BAU_Fuel_cons!$E$1:$AS$1,0)),INDEX(BAU_Fuel_cons!$E$2:$AS$34,MATCH(D72&amp;"_"&amp;E72,BAU_Fuel_cons!$AT$2:$AT$34,0),MATCH(F72,BAU_Fuel_cons!$E$1:$AS$1,0)))</f>
        <v>19530326.685202677</v>
      </c>
      <c r="H72" s="55">
        <f>G72+10^6*IF($E72="charcoal",params!$P$13*SUMIFS(nonresidential!$L:$L,nonresidential!$A:$A,$F72,nonresidential!$B:$B,$E72,nonresidential!$C:$C,$D72),SUMIFS(nonresidential!$L:$L,nonresidential!$A:$A,$F72,nonresidential!$B:$B,$E72,nonresidential!$C:$C,$D72))</f>
        <v>21581010.987148959</v>
      </c>
      <c r="I72">
        <f>1</f>
        <v>1</v>
      </c>
    </row>
    <row r="73" spans="1:9">
      <c r="A73" t="s">
        <v>211</v>
      </c>
      <c r="B73" t="s">
        <v>162</v>
      </c>
      <c r="C73" t="s">
        <v>269</v>
      </c>
      <c r="D73" t="s">
        <v>25</v>
      </c>
      <c r="E73" t="s">
        <v>8</v>
      </c>
      <c r="F73">
        <v>2040</v>
      </c>
      <c r="G73" s="55">
        <f>10^6*IF($E73="charcoal",params!$P$13*INDEX(BAU_Fuel_cons!$E$2:$AS$34,MATCH(D73&amp;"_"&amp;E73,BAU_Fuel_cons!$AT$2:$AT$34,0),MATCH(F73,BAU_Fuel_cons!$E$1:$AS$1,0)),INDEX(BAU_Fuel_cons!$E$2:$AS$34,MATCH(D73&amp;"_"&amp;E73,BAU_Fuel_cons!$AT$2:$AT$34,0),MATCH(F73,BAU_Fuel_cons!$E$1:$AS$1,0)))</f>
        <v>20340396.615639482</v>
      </c>
      <c r="H73" s="55">
        <f>G73+10^6*IF($E73="charcoal",params!$P$13*SUMIFS(nonresidential!$L:$L,nonresidential!$A:$A,$F73,nonresidential!$B:$B,$E73,nonresidential!$C:$C,$D73),SUMIFS(nonresidential!$L:$L,nonresidential!$A:$A,$F73,nonresidential!$B:$B,$E73,nonresidential!$C:$C,$D73))</f>
        <v>22476138.260281626</v>
      </c>
      <c r="I73">
        <f>1</f>
        <v>1</v>
      </c>
    </row>
    <row r="74" spans="1:9">
      <c r="A74" t="s">
        <v>211</v>
      </c>
      <c r="B74" t="s">
        <v>162</v>
      </c>
      <c r="C74" t="s">
        <v>269</v>
      </c>
      <c r="D74" t="s">
        <v>25</v>
      </c>
      <c r="E74" t="s">
        <v>8</v>
      </c>
      <c r="F74">
        <v>2041</v>
      </c>
      <c r="G74" s="55">
        <f>10^6*IF($E74="charcoal",params!$P$13*INDEX(BAU_Fuel_cons!$E$2:$AS$34,MATCH(D74&amp;"_"&amp;E74,BAU_Fuel_cons!$AT$2:$AT$34,0),MATCH(F74,BAU_Fuel_cons!$E$1:$AS$1,0)),INDEX(BAU_Fuel_cons!$E$2:$AS$34,MATCH(D74&amp;"_"&amp;E74,BAU_Fuel_cons!$AT$2:$AT$34,0),MATCH(F74,BAU_Fuel_cons!$E$1:$AS$1,0)))</f>
        <v>21173782.968108688</v>
      </c>
      <c r="H74" s="55">
        <f>G74+10^6*IF($E74="charcoal",params!$P$13*SUMIFS(nonresidential!$L:$L,nonresidential!$A:$A,$F74,nonresidential!$B:$B,$E74,nonresidential!$C:$C,$D74),SUMIFS(nonresidential!$L:$L,nonresidential!$A:$A,$F74,nonresidential!$B:$B,$E74,nonresidential!$C:$C,$D74))</f>
        <v>23397030.179760098</v>
      </c>
      <c r="I74">
        <f>1</f>
        <v>1</v>
      </c>
    </row>
    <row r="75" spans="1:9">
      <c r="A75" t="s">
        <v>211</v>
      </c>
      <c r="B75" t="s">
        <v>162</v>
      </c>
      <c r="C75" t="s">
        <v>269</v>
      </c>
      <c r="D75" t="s">
        <v>25</v>
      </c>
      <c r="E75" t="s">
        <v>8</v>
      </c>
      <c r="F75">
        <v>2042</v>
      </c>
      <c r="G75" s="55">
        <f>10^6*IF($E75="charcoal",params!$P$13*INDEX(BAU_Fuel_cons!$E$2:$AS$34,MATCH(D75&amp;"_"&amp;E75,BAU_Fuel_cons!$AT$2:$AT$34,0),MATCH(F75,BAU_Fuel_cons!$E$1:$AS$1,0)),INDEX(BAU_Fuel_cons!$E$2:$AS$34,MATCH(D75&amp;"_"&amp;E75,BAU_Fuel_cons!$AT$2:$AT$34,0),MATCH(F75,BAU_Fuel_cons!$E$1:$AS$1,0)))</f>
        <v>22030685.974033531</v>
      </c>
      <c r="H75" s="55">
        <f>G75+10^6*IF($E75="charcoal",params!$P$13*SUMIFS(nonresidential!$L:$L,nonresidential!$A:$A,$F75,nonresidential!$B:$B,$E75,nonresidential!$C:$C,$D75),SUMIFS(nonresidential!$L:$L,nonresidential!$A:$A,$F75,nonresidential!$B:$B,$E75,nonresidential!$C:$C,$D75))</f>
        <v>24343908.001307052</v>
      </c>
      <c r="I75">
        <f>1</f>
        <v>1</v>
      </c>
    </row>
    <row r="76" spans="1:9">
      <c r="A76" t="s">
        <v>211</v>
      </c>
      <c r="B76" t="s">
        <v>162</v>
      </c>
      <c r="C76" t="s">
        <v>269</v>
      </c>
      <c r="D76" t="s">
        <v>25</v>
      </c>
      <c r="E76" t="s">
        <v>8</v>
      </c>
      <c r="F76">
        <v>2043</v>
      </c>
      <c r="G76" s="55">
        <f>10^6*IF($E76="charcoal",params!$P$13*INDEX(BAU_Fuel_cons!$E$2:$AS$34,MATCH(D76&amp;"_"&amp;E76,BAU_Fuel_cons!$AT$2:$AT$34,0),MATCH(F76,BAU_Fuel_cons!$E$1:$AS$1,0)),INDEX(BAU_Fuel_cons!$E$2:$AS$34,MATCH(D76&amp;"_"&amp;E76,BAU_Fuel_cons!$AT$2:$AT$34,0),MATCH(F76,BAU_Fuel_cons!$E$1:$AS$1,0)))</f>
        <v>22911341.968672894</v>
      </c>
      <c r="H76" s="55">
        <f>G76+10^6*IF($E76="charcoal",params!$P$13*SUMIFS(nonresidential!$L:$L,nonresidential!$A:$A,$F76,nonresidential!$B:$B,$E76,nonresidential!$C:$C,$D76),SUMIFS(nonresidential!$L:$L,nonresidential!$A:$A,$F76,nonresidential!$B:$B,$E76,nonresidential!$C:$C,$D76))</f>
        <v>25317032.875383548</v>
      </c>
      <c r="I76">
        <f>1</f>
        <v>1</v>
      </c>
    </row>
    <row r="77" spans="1:9">
      <c r="A77" t="s">
        <v>211</v>
      </c>
      <c r="B77" t="s">
        <v>162</v>
      </c>
      <c r="C77" t="s">
        <v>269</v>
      </c>
      <c r="D77" t="s">
        <v>25</v>
      </c>
      <c r="E77" t="s">
        <v>8</v>
      </c>
      <c r="F77">
        <v>2044</v>
      </c>
      <c r="G77" s="55">
        <f>10^6*IF($E77="charcoal",params!$P$13*INDEX(BAU_Fuel_cons!$E$2:$AS$34,MATCH(D77&amp;"_"&amp;E77,BAU_Fuel_cons!$AT$2:$AT$34,0),MATCH(F77,BAU_Fuel_cons!$E$1:$AS$1,0)),INDEX(BAU_Fuel_cons!$E$2:$AS$34,MATCH(D77&amp;"_"&amp;E77,BAU_Fuel_cons!$AT$2:$AT$34,0),MATCH(F77,BAU_Fuel_cons!$E$1:$AS$1,0)))</f>
        <v>23815973.601405516</v>
      </c>
      <c r="H77" s="55">
        <f>G77+10^6*IF($E77="charcoal",params!$P$13*SUMIFS(nonresidential!$L:$L,nonresidential!$A:$A,$F77,nonresidential!$B:$B,$E77,nonresidential!$C:$C,$D77),SUMIFS(nonresidential!$L:$L,nonresidential!$A:$A,$F77,nonresidential!$B:$B,$E77,nonresidential!$C:$C,$D77))</f>
        <v>26316650.829553094</v>
      </c>
      <c r="I77">
        <f>1</f>
        <v>1</v>
      </c>
    </row>
    <row r="78" spans="1:9">
      <c r="A78" t="s">
        <v>211</v>
      </c>
      <c r="B78" t="s">
        <v>162</v>
      </c>
      <c r="C78" t="s">
        <v>269</v>
      </c>
      <c r="D78" t="s">
        <v>25</v>
      </c>
      <c r="E78" t="s">
        <v>8</v>
      </c>
      <c r="F78">
        <v>2045</v>
      </c>
      <c r="G78" s="55">
        <f>10^6*IF($E78="charcoal",params!$P$13*INDEX(BAU_Fuel_cons!$E$2:$AS$34,MATCH(D78&amp;"_"&amp;E78,BAU_Fuel_cons!$AT$2:$AT$34,0),MATCH(F78,BAU_Fuel_cons!$E$1:$AS$1,0)),INDEX(BAU_Fuel_cons!$E$2:$AS$34,MATCH(D78&amp;"_"&amp;E78,BAU_Fuel_cons!$AT$2:$AT$34,0),MATCH(F78,BAU_Fuel_cons!$E$1:$AS$1,0)))</f>
        <v>24744764.520554386</v>
      </c>
      <c r="H78" s="55">
        <f>G78+10^6*IF($E78="charcoal",params!$P$13*SUMIFS(nonresidential!$L:$L,nonresidential!$A:$A,$F78,nonresidential!$B:$B,$E78,nonresidential!$C:$C,$D78),SUMIFS(nonresidential!$L:$L,nonresidential!$A:$A,$F78,nonresidential!$B:$B,$E78,nonresidential!$C:$C,$D78))</f>
        <v>27342964.795212597</v>
      </c>
      <c r="I78">
        <f>1</f>
        <v>1</v>
      </c>
    </row>
    <row r="79" spans="1:9">
      <c r="A79" t="s">
        <v>211</v>
      </c>
      <c r="B79" t="s">
        <v>162</v>
      </c>
      <c r="C79" t="s">
        <v>269</v>
      </c>
      <c r="D79" t="s">
        <v>25</v>
      </c>
      <c r="E79" t="s">
        <v>8</v>
      </c>
      <c r="F79">
        <v>2046</v>
      </c>
      <c r="G79" s="55">
        <f>10^6*IF($E79="charcoal",params!$P$13*INDEX(BAU_Fuel_cons!$E$2:$AS$34,MATCH(D79&amp;"_"&amp;E79,BAU_Fuel_cons!$AT$2:$AT$34,0),MATCH(F79,BAU_Fuel_cons!$E$1:$AS$1,0)),INDEX(BAU_Fuel_cons!$E$2:$AS$34,MATCH(D79&amp;"_"&amp;E79,BAU_Fuel_cons!$AT$2:$AT$34,0),MATCH(F79,BAU_Fuel_cons!$E$1:$AS$1,0)))</f>
        <v>25697851.53766495</v>
      </c>
      <c r="H79" s="55">
        <f>G79+10^6*IF($E79="charcoal",params!$P$13*SUMIFS(nonresidential!$L:$L,nonresidential!$A:$A,$F79,nonresidential!$B:$B,$E79,nonresidential!$C:$C,$D79),SUMIFS(nonresidential!$L:$L,nonresidential!$A:$A,$F79,nonresidential!$B:$B,$E79,nonresidential!$C:$C,$D79))</f>
        <v>28396125.949119769</v>
      </c>
      <c r="I79">
        <f>1</f>
        <v>1</v>
      </c>
    </row>
    <row r="80" spans="1:9">
      <c r="A80" t="s">
        <v>211</v>
      </c>
      <c r="B80" t="s">
        <v>162</v>
      </c>
      <c r="C80" t="s">
        <v>269</v>
      </c>
      <c r="D80" t="s">
        <v>25</v>
      </c>
      <c r="E80" t="s">
        <v>8</v>
      </c>
      <c r="F80">
        <v>2047</v>
      </c>
      <c r="G80" s="55">
        <f>10^6*IF($E80="charcoal",params!$P$13*INDEX(BAU_Fuel_cons!$E$2:$AS$34,MATCH(D80&amp;"_"&amp;E80,BAU_Fuel_cons!$AT$2:$AT$34,0),MATCH(F80,BAU_Fuel_cons!$E$1:$AS$1,0)),INDEX(BAU_Fuel_cons!$E$2:$AS$34,MATCH(D80&amp;"_"&amp;E80,BAU_Fuel_cons!$AT$2:$AT$34,0),MATCH(F80,BAU_Fuel_cons!$E$1:$AS$1,0)))</f>
        <v>26675305.292235568</v>
      </c>
      <c r="H80" s="55">
        <f>G80+10^6*IF($E80="charcoal",params!$P$13*SUMIFS(nonresidential!$L:$L,nonresidential!$A:$A,$F80,nonresidential!$B:$B,$E80,nonresidential!$C:$C,$D80),SUMIFS(nonresidential!$L:$L,nonresidential!$A:$A,$F80,nonresidential!$B:$B,$E80,nonresidential!$C:$C,$D80))</f>
        <v>29476212.347920302</v>
      </c>
      <c r="I80">
        <f>1</f>
        <v>1</v>
      </c>
    </row>
    <row r="81" spans="1:9">
      <c r="A81" t="s">
        <v>211</v>
      </c>
      <c r="B81" t="s">
        <v>162</v>
      </c>
      <c r="C81" t="s">
        <v>269</v>
      </c>
      <c r="D81" t="s">
        <v>25</v>
      </c>
      <c r="E81" t="s">
        <v>8</v>
      </c>
      <c r="F81">
        <v>2048</v>
      </c>
      <c r="G81" s="55">
        <f>10^6*IF($E81="charcoal",params!$P$13*INDEX(BAU_Fuel_cons!$E$2:$AS$34,MATCH(D81&amp;"_"&amp;E81,BAU_Fuel_cons!$AT$2:$AT$34,0),MATCH(F81,BAU_Fuel_cons!$E$1:$AS$1,0)),INDEX(BAU_Fuel_cons!$E$2:$AS$34,MATCH(D81&amp;"_"&amp;E81,BAU_Fuel_cons!$AT$2:$AT$34,0),MATCH(F81,BAU_Fuel_cons!$E$1:$AS$1,0)))</f>
        <v>27677176.063069239</v>
      </c>
      <c r="H81" s="55">
        <f>G81+10^6*IF($E81="charcoal",params!$P$13*SUMIFS(nonresidential!$L:$L,nonresidential!$A:$A,$F81,nonresidential!$B:$B,$E81,nonresidential!$C:$C,$D81),SUMIFS(nonresidential!$L:$L,nonresidential!$A:$A,$F81,nonresidential!$B:$B,$E81,nonresidential!$C:$C,$D81))</f>
        <v>30583279.549691509</v>
      </c>
      <c r="I81">
        <f>1</f>
        <v>1</v>
      </c>
    </row>
    <row r="82" spans="1:9">
      <c r="A82" t="s">
        <v>211</v>
      </c>
      <c r="B82" t="s">
        <v>162</v>
      </c>
      <c r="C82" t="s">
        <v>269</v>
      </c>
      <c r="D82" t="s">
        <v>25</v>
      </c>
      <c r="E82" t="s">
        <v>8</v>
      </c>
      <c r="F82">
        <v>2049</v>
      </c>
      <c r="G82" s="55">
        <f>10^6*IF($E82="charcoal",params!$P$13*INDEX(BAU_Fuel_cons!$E$2:$AS$34,MATCH(D82&amp;"_"&amp;E82,BAU_Fuel_cons!$AT$2:$AT$34,0),MATCH(F82,BAU_Fuel_cons!$E$1:$AS$1,0)),INDEX(BAU_Fuel_cons!$E$2:$AS$34,MATCH(D82&amp;"_"&amp;E82,BAU_Fuel_cons!$AT$2:$AT$34,0),MATCH(F82,BAU_Fuel_cons!$E$1:$AS$1,0)))</f>
        <v>28703444.90523399</v>
      </c>
      <c r="H82" s="55">
        <f>G82+10^6*IF($E82="charcoal",params!$P$13*SUMIFS(nonresidential!$L:$L,nonresidential!$A:$A,$F82,nonresidential!$B:$B,$E82,nonresidential!$C:$C,$D82),SUMIFS(nonresidential!$L:$L,nonresidential!$A:$A,$F82,nonresidential!$B:$B,$E82,nonresidential!$C:$C,$D82))</f>
        <v>31717306.620283559</v>
      </c>
      <c r="I82">
        <f>1</f>
        <v>1</v>
      </c>
    </row>
    <row r="83" spans="1:9">
      <c r="A83" t="s">
        <v>211</v>
      </c>
      <c r="B83" t="s">
        <v>162</v>
      </c>
      <c r="C83" t="s">
        <v>269</v>
      </c>
      <c r="D83" t="s">
        <v>25</v>
      </c>
      <c r="E83" t="s">
        <v>8</v>
      </c>
      <c r="F83">
        <v>2050</v>
      </c>
      <c r="G83" s="55">
        <f>10^6*IF($E83="charcoal",params!$P$13*INDEX(BAU_Fuel_cons!$E$2:$AS$34,MATCH(D83&amp;"_"&amp;E83,BAU_Fuel_cons!$AT$2:$AT$34,0),MATCH(F83,BAU_Fuel_cons!$E$1:$AS$1,0)),INDEX(BAU_Fuel_cons!$E$2:$AS$34,MATCH(D83&amp;"_"&amp;E83,BAU_Fuel_cons!$AT$2:$AT$34,0),MATCH(F83,BAU_Fuel_cons!$E$1:$AS$1,0)))</f>
        <v>29754069.189079497</v>
      </c>
      <c r="H83" s="55">
        <f>G83+10^6*IF($E83="charcoal",params!$P$13*SUMIFS(nonresidential!$L:$L,nonresidential!$A:$A,$F83,nonresidential!$B:$B,$E83,nonresidential!$C:$C,$D83),SUMIFS(nonresidential!$L:$L,nonresidential!$A:$A,$F83,nonresidential!$B:$B,$E83,nonresidential!$C:$C,$D83))</f>
        <v>32878246.453932844</v>
      </c>
      <c r="I83">
        <f>1</f>
        <v>1</v>
      </c>
    </row>
    <row r="84" spans="1:9">
      <c r="A84" t="s">
        <v>211</v>
      </c>
      <c r="B84" t="s">
        <v>162</v>
      </c>
      <c r="C84" t="s">
        <v>269</v>
      </c>
      <c r="D84" t="s">
        <v>25</v>
      </c>
      <c r="E84" t="s">
        <v>37</v>
      </c>
      <c r="F84">
        <v>2010</v>
      </c>
      <c r="G84" s="55">
        <f>10^6*IF($E84="charcoal",params!$P$13*INDEX(BAU_Fuel_cons!$E$2:$AS$34,MATCH(D84&amp;"_"&amp;E84,BAU_Fuel_cons!$AT$2:$AT$34,0),MATCH(F84,BAU_Fuel_cons!$E$1:$AS$1,0)),INDEX(BAU_Fuel_cons!$E$2:$AS$34,MATCH(D84&amp;"_"&amp;E84,BAU_Fuel_cons!$AT$2:$AT$34,0),MATCH(F84,BAU_Fuel_cons!$E$1:$AS$1,0)))</f>
        <v>0</v>
      </c>
      <c r="H84" s="55">
        <f>G84+10^6*IF($E84="charcoal",params!$P$13*SUMIFS(nonresidential!$L:$L,nonresidential!$A:$A,$F84,nonresidential!$B:$B,$E84,nonresidential!$C:$C,$D84),SUMIFS(nonresidential!$L:$L,nonresidential!$A:$A,$F84,nonresidential!$B:$B,$E84,nonresidential!$C:$C,$D84))</f>
        <v>0</v>
      </c>
      <c r="I84">
        <f>1</f>
        <v>1</v>
      </c>
    </row>
    <row r="85" spans="1:9">
      <c r="A85" t="s">
        <v>211</v>
      </c>
      <c r="B85" t="s">
        <v>162</v>
      </c>
      <c r="C85" t="s">
        <v>269</v>
      </c>
      <c r="D85" t="s">
        <v>25</v>
      </c>
      <c r="E85" t="s">
        <v>37</v>
      </c>
      <c r="F85">
        <v>2011</v>
      </c>
      <c r="G85" s="55">
        <f>10^6*IF($E85="charcoal",params!$P$13*INDEX(BAU_Fuel_cons!$E$2:$AS$34,MATCH(D85&amp;"_"&amp;E85,BAU_Fuel_cons!$AT$2:$AT$34,0),MATCH(F85,BAU_Fuel_cons!$E$1:$AS$1,0)),INDEX(BAU_Fuel_cons!$E$2:$AS$34,MATCH(D85&amp;"_"&amp;E85,BAU_Fuel_cons!$AT$2:$AT$34,0),MATCH(F85,BAU_Fuel_cons!$E$1:$AS$1,0)))</f>
        <v>0</v>
      </c>
      <c r="H85" s="55">
        <f>G85+10^6*IF($E85="charcoal",params!$P$13*SUMIFS(nonresidential!$L:$L,nonresidential!$A:$A,$F85,nonresidential!$B:$B,$E85,nonresidential!$C:$C,$D85),SUMIFS(nonresidential!$L:$L,nonresidential!$A:$A,$F85,nonresidential!$B:$B,$E85,nonresidential!$C:$C,$D85))</f>
        <v>0</v>
      </c>
      <c r="I85">
        <f>1</f>
        <v>1</v>
      </c>
    </row>
    <row r="86" spans="1:9">
      <c r="A86" t="s">
        <v>211</v>
      </c>
      <c r="B86" t="s">
        <v>162</v>
      </c>
      <c r="C86" t="s">
        <v>269</v>
      </c>
      <c r="D86" t="s">
        <v>25</v>
      </c>
      <c r="E86" t="s">
        <v>37</v>
      </c>
      <c r="F86">
        <v>2012</v>
      </c>
      <c r="G86" s="55">
        <f>10^6*IF($E86="charcoal",params!$P$13*INDEX(BAU_Fuel_cons!$E$2:$AS$34,MATCH(D86&amp;"_"&amp;E86,BAU_Fuel_cons!$AT$2:$AT$34,0),MATCH(F86,BAU_Fuel_cons!$E$1:$AS$1,0)),INDEX(BAU_Fuel_cons!$E$2:$AS$34,MATCH(D86&amp;"_"&amp;E86,BAU_Fuel_cons!$AT$2:$AT$34,0),MATCH(F86,BAU_Fuel_cons!$E$1:$AS$1,0)))</f>
        <v>0</v>
      </c>
      <c r="H86" s="55">
        <f>G86+10^6*IF($E86="charcoal",params!$P$13*SUMIFS(nonresidential!$L:$L,nonresidential!$A:$A,$F86,nonresidential!$B:$B,$E86,nonresidential!$C:$C,$D86),SUMIFS(nonresidential!$L:$L,nonresidential!$A:$A,$F86,nonresidential!$B:$B,$E86,nonresidential!$C:$C,$D86))</f>
        <v>0</v>
      </c>
      <c r="I86">
        <f>1</f>
        <v>1</v>
      </c>
    </row>
    <row r="87" spans="1:9">
      <c r="A87" t="s">
        <v>211</v>
      </c>
      <c r="B87" t="s">
        <v>162</v>
      </c>
      <c r="C87" t="s">
        <v>269</v>
      </c>
      <c r="D87" t="s">
        <v>25</v>
      </c>
      <c r="E87" t="s">
        <v>37</v>
      </c>
      <c r="F87">
        <v>2013</v>
      </c>
      <c r="G87" s="55">
        <f>10^6*IF($E87="charcoal",params!$P$13*INDEX(BAU_Fuel_cons!$E$2:$AS$34,MATCH(D87&amp;"_"&amp;E87,BAU_Fuel_cons!$AT$2:$AT$34,0),MATCH(F87,BAU_Fuel_cons!$E$1:$AS$1,0)),INDEX(BAU_Fuel_cons!$E$2:$AS$34,MATCH(D87&amp;"_"&amp;E87,BAU_Fuel_cons!$AT$2:$AT$34,0),MATCH(F87,BAU_Fuel_cons!$E$1:$AS$1,0)))</f>
        <v>0</v>
      </c>
      <c r="H87" s="55">
        <f>G87+10^6*IF($E87="charcoal",params!$P$13*SUMIFS(nonresidential!$L:$L,nonresidential!$A:$A,$F87,nonresidential!$B:$B,$E87,nonresidential!$C:$C,$D87),SUMIFS(nonresidential!$L:$L,nonresidential!$A:$A,$F87,nonresidential!$B:$B,$E87,nonresidential!$C:$C,$D87))</f>
        <v>0</v>
      </c>
      <c r="I87">
        <f>1</f>
        <v>1</v>
      </c>
    </row>
    <row r="88" spans="1:9">
      <c r="A88" t="s">
        <v>211</v>
      </c>
      <c r="B88" t="s">
        <v>162</v>
      </c>
      <c r="C88" t="s">
        <v>269</v>
      </c>
      <c r="D88" t="s">
        <v>25</v>
      </c>
      <c r="E88" t="s">
        <v>37</v>
      </c>
      <c r="F88">
        <v>2014</v>
      </c>
      <c r="G88" s="55">
        <f>10^6*IF($E88="charcoal",params!$P$13*INDEX(BAU_Fuel_cons!$E$2:$AS$34,MATCH(D88&amp;"_"&amp;E88,BAU_Fuel_cons!$AT$2:$AT$34,0),MATCH(F88,BAU_Fuel_cons!$E$1:$AS$1,0)),INDEX(BAU_Fuel_cons!$E$2:$AS$34,MATCH(D88&amp;"_"&amp;E88,BAU_Fuel_cons!$AT$2:$AT$34,0),MATCH(F88,BAU_Fuel_cons!$E$1:$AS$1,0)))</f>
        <v>2172.2757921620955</v>
      </c>
      <c r="H88" s="55">
        <f>G88+10^6*IF($E88="charcoal",params!$P$13*SUMIFS(nonresidential!$L:$L,nonresidential!$A:$A,$F88,nonresidential!$B:$B,$E88,nonresidential!$C:$C,$D88),SUMIFS(nonresidential!$L:$L,nonresidential!$A:$A,$F88,nonresidential!$B:$B,$E88,nonresidential!$C:$C,$D88))</f>
        <v>2172.2757921620955</v>
      </c>
      <c r="I88">
        <f>1</f>
        <v>1</v>
      </c>
    </row>
    <row r="89" spans="1:9">
      <c r="A89" t="s">
        <v>211</v>
      </c>
      <c r="B89" t="s">
        <v>162</v>
      </c>
      <c r="C89" t="s">
        <v>269</v>
      </c>
      <c r="D89" t="s">
        <v>25</v>
      </c>
      <c r="E89" t="s">
        <v>37</v>
      </c>
      <c r="F89">
        <v>2015</v>
      </c>
      <c r="G89" s="55">
        <f>10^6*IF($E89="charcoal",params!$P$13*INDEX(BAU_Fuel_cons!$E$2:$AS$34,MATCH(D89&amp;"_"&amp;E89,BAU_Fuel_cons!$AT$2:$AT$34,0),MATCH(F89,BAU_Fuel_cons!$E$1:$AS$1,0)),INDEX(BAU_Fuel_cons!$E$2:$AS$34,MATCH(D89&amp;"_"&amp;E89,BAU_Fuel_cons!$AT$2:$AT$34,0),MATCH(F89,BAU_Fuel_cons!$E$1:$AS$1,0)))</f>
        <v>7172.5358108698019</v>
      </c>
      <c r="H89" s="55">
        <f>G89+10^6*IF($E89="charcoal",params!$P$13*SUMIFS(nonresidential!$L:$L,nonresidential!$A:$A,$F89,nonresidential!$B:$B,$E89,nonresidential!$C:$C,$D89),SUMIFS(nonresidential!$L:$L,nonresidential!$A:$A,$F89,nonresidential!$B:$B,$E89,nonresidential!$C:$C,$D89))</f>
        <v>7172.5358108698019</v>
      </c>
      <c r="I89">
        <f>1</f>
        <v>1</v>
      </c>
    </row>
    <row r="90" spans="1:9">
      <c r="A90" t="s">
        <v>211</v>
      </c>
      <c r="B90" t="s">
        <v>162</v>
      </c>
      <c r="C90" t="s">
        <v>269</v>
      </c>
      <c r="D90" t="s">
        <v>25</v>
      </c>
      <c r="E90" t="s">
        <v>37</v>
      </c>
      <c r="F90">
        <v>2016</v>
      </c>
      <c r="G90" s="55">
        <f>10^6*IF($E90="charcoal",params!$P$13*INDEX(BAU_Fuel_cons!$E$2:$AS$34,MATCH(D90&amp;"_"&amp;E90,BAU_Fuel_cons!$AT$2:$AT$34,0),MATCH(F90,BAU_Fuel_cons!$E$1:$AS$1,0)),INDEX(BAU_Fuel_cons!$E$2:$AS$34,MATCH(D90&amp;"_"&amp;E90,BAU_Fuel_cons!$AT$2:$AT$34,0),MATCH(F90,BAU_Fuel_cons!$E$1:$AS$1,0)))</f>
        <v>12633.370614286192</v>
      </c>
      <c r="H90" s="55">
        <f>G90+10^6*IF($E90="charcoal",params!$P$13*SUMIFS(nonresidential!$L:$L,nonresidential!$A:$A,$F90,nonresidential!$B:$B,$E90,nonresidential!$C:$C,$D90),SUMIFS(nonresidential!$L:$L,nonresidential!$A:$A,$F90,nonresidential!$B:$B,$E90,nonresidential!$C:$C,$D90))</f>
        <v>12633.370614286192</v>
      </c>
      <c r="I90">
        <f>1</f>
        <v>1</v>
      </c>
    </row>
    <row r="91" spans="1:9">
      <c r="A91" t="s">
        <v>211</v>
      </c>
      <c r="B91" t="s">
        <v>162</v>
      </c>
      <c r="C91" t="s">
        <v>269</v>
      </c>
      <c r="D91" t="s">
        <v>25</v>
      </c>
      <c r="E91" t="s">
        <v>37</v>
      </c>
      <c r="F91">
        <v>2017</v>
      </c>
      <c r="G91" s="55">
        <f>10^6*IF($E91="charcoal",params!$P$13*INDEX(BAU_Fuel_cons!$E$2:$AS$34,MATCH(D91&amp;"_"&amp;E91,BAU_Fuel_cons!$AT$2:$AT$34,0),MATCH(F91,BAU_Fuel_cons!$E$1:$AS$1,0)),INDEX(BAU_Fuel_cons!$E$2:$AS$34,MATCH(D91&amp;"_"&amp;E91,BAU_Fuel_cons!$AT$2:$AT$34,0),MATCH(F91,BAU_Fuel_cons!$E$1:$AS$1,0)))</f>
        <v>18581.234612171702</v>
      </c>
      <c r="H91" s="55">
        <f>G91+10^6*IF($E91="charcoal",params!$P$13*SUMIFS(nonresidential!$L:$L,nonresidential!$A:$A,$F91,nonresidential!$B:$B,$E91,nonresidential!$C:$C,$D91),SUMIFS(nonresidential!$L:$L,nonresidential!$A:$A,$F91,nonresidential!$B:$B,$E91,nonresidential!$C:$C,$D91))</f>
        <v>18581.234612171702</v>
      </c>
      <c r="I91">
        <f>1</f>
        <v>1</v>
      </c>
    </row>
    <row r="92" spans="1:9">
      <c r="A92" t="s">
        <v>211</v>
      </c>
      <c r="B92" t="s">
        <v>162</v>
      </c>
      <c r="C92" t="s">
        <v>269</v>
      </c>
      <c r="D92" t="s">
        <v>25</v>
      </c>
      <c r="E92" t="s">
        <v>37</v>
      </c>
      <c r="F92">
        <v>2018</v>
      </c>
      <c r="G92" s="55">
        <f>10^6*IF($E92="charcoal",params!$P$13*INDEX(BAU_Fuel_cons!$E$2:$AS$34,MATCH(D92&amp;"_"&amp;E92,BAU_Fuel_cons!$AT$2:$AT$34,0),MATCH(F92,BAU_Fuel_cons!$E$1:$AS$1,0)),INDEX(BAU_Fuel_cons!$E$2:$AS$34,MATCH(D92&amp;"_"&amp;E92,BAU_Fuel_cons!$AT$2:$AT$34,0),MATCH(F92,BAU_Fuel_cons!$E$1:$AS$1,0)))</f>
        <v>25042.931630805531</v>
      </c>
      <c r="H92" s="55">
        <f>G92+10^6*IF($E92="charcoal",params!$P$13*SUMIFS(nonresidential!$L:$L,nonresidential!$A:$A,$F92,nonresidential!$B:$B,$E92,nonresidential!$C:$C,$D92),SUMIFS(nonresidential!$L:$L,nonresidential!$A:$A,$F92,nonresidential!$B:$B,$E92,nonresidential!$C:$C,$D92))</f>
        <v>25042.931630805531</v>
      </c>
      <c r="I92">
        <f>1</f>
        <v>1</v>
      </c>
    </row>
    <row r="93" spans="1:9">
      <c r="A93" t="s">
        <v>211</v>
      </c>
      <c r="B93" t="s">
        <v>162</v>
      </c>
      <c r="C93" t="s">
        <v>269</v>
      </c>
      <c r="D93" t="s">
        <v>25</v>
      </c>
      <c r="E93" t="s">
        <v>37</v>
      </c>
      <c r="F93">
        <v>2019</v>
      </c>
      <c r="G93" s="55">
        <f>10^6*IF($E93="charcoal",params!$P$13*INDEX(BAU_Fuel_cons!$E$2:$AS$34,MATCH(D93&amp;"_"&amp;E93,BAU_Fuel_cons!$AT$2:$AT$34,0),MATCH(F93,BAU_Fuel_cons!$E$1:$AS$1,0)),INDEX(BAU_Fuel_cons!$E$2:$AS$34,MATCH(D93&amp;"_"&amp;E93,BAU_Fuel_cons!$AT$2:$AT$34,0),MATCH(F93,BAU_Fuel_cons!$E$1:$AS$1,0)))</f>
        <v>32045.144559584307</v>
      </c>
      <c r="H93" s="55">
        <f>G93+10^6*IF($E93="charcoal",params!$P$13*SUMIFS(nonresidential!$L:$L,nonresidential!$A:$A,$F93,nonresidential!$B:$B,$E93,nonresidential!$C:$C,$D93),SUMIFS(nonresidential!$L:$L,nonresidential!$A:$A,$F93,nonresidential!$B:$B,$E93,nonresidential!$C:$C,$D93))</f>
        <v>32045.144559584307</v>
      </c>
      <c r="I93">
        <f>1</f>
        <v>1</v>
      </c>
    </row>
    <row r="94" spans="1:9">
      <c r="A94" t="s">
        <v>211</v>
      </c>
      <c r="B94" t="s">
        <v>162</v>
      </c>
      <c r="C94" t="s">
        <v>269</v>
      </c>
      <c r="D94" t="s">
        <v>25</v>
      </c>
      <c r="E94" t="s">
        <v>37</v>
      </c>
      <c r="F94">
        <v>2020</v>
      </c>
      <c r="G94" s="55">
        <f>10^6*IF($E94="charcoal",params!$P$13*INDEX(BAU_Fuel_cons!$E$2:$AS$34,MATCH(D94&amp;"_"&amp;E94,BAU_Fuel_cons!$AT$2:$AT$34,0),MATCH(F94,BAU_Fuel_cons!$E$1:$AS$1,0)),INDEX(BAU_Fuel_cons!$E$2:$AS$34,MATCH(D94&amp;"_"&amp;E94,BAU_Fuel_cons!$AT$2:$AT$34,0),MATCH(F94,BAU_Fuel_cons!$E$1:$AS$1,0)))</f>
        <v>39614.533478913247</v>
      </c>
      <c r="H94" s="55">
        <f>G94+10^6*IF($E94="charcoal",params!$P$13*SUMIFS(nonresidential!$L:$L,nonresidential!$A:$A,$F94,nonresidential!$B:$B,$E94,nonresidential!$C:$C,$D94),SUMIFS(nonresidential!$L:$L,nonresidential!$A:$A,$F94,nonresidential!$B:$B,$E94,nonresidential!$C:$C,$D94))</f>
        <v>39614.533478913247</v>
      </c>
      <c r="I94">
        <f>1</f>
        <v>1</v>
      </c>
    </row>
    <row r="95" spans="1:9">
      <c r="A95" t="s">
        <v>211</v>
      </c>
      <c r="B95" t="s">
        <v>162</v>
      </c>
      <c r="C95" t="s">
        <v>269</v>
      </c>
      <c r="D95" t="s">
        <v>25</v>
      </c>
      <c r="E95" t="s">
        <v>37</v>
      </c>
      <c r="F95">
        <v>2021</v>
      </c>
      <c r="G95" s="55">
        <f>10^6*IF($E95="charcoal",params!$P$13*INDEX(BAU_Fuel_cons!$E$2:$AS$34,MATCH(D95&amp;"_"&amp;E95,BAU_Fuel_cons!$AT$2:$AT$34,0),MATCH(F95,BAU_Fuel_cons!$E$1:$AS$1,0)),INDEX(BAU_Fuel_cons!$E$2:$AS$34,MATCH(D95&amp;"_"&amp;E95,BAU_Fuel_cons!$AT$2:$AT$34,0),MATCH(F95,BAU_Fuel_cons!$E$1:$AS$1,0)))</f>
        <v>47778.312858962257</v>
      </c>
      <c r="H95" s="55">
        <f>G95+10^6*IF($E95="charcoal",params!$P$13*SUMIFS(nonresidential!$L:$L,nonresidential!$A:$A,$F95,nonresidential!$B:$B,$E95,nonresidential!$C:$C,$D95),SUMIFS(nonresidential!$L:$L,nonresidential!$A:$A,$F95,nonresidential!$B:$B,$E95,nonresidential!$C:$C,$D95))</f>
        <v>47778.312858962257</v>
      </c>
      <c r="I95">
        <f>1</f>
        <v>1</v>
      </c>
    </row>
    <row r="96" spans="1:9">
      <c r="A96" t="s">
        <v>211</v>
      </c>
      <c r="B96" t="s">
        <v>162</v>
      </c>
      <c r="C96" t="s">
        <v>269</v>
      </c>
      <c r="D96" t="s">
        <v>25</v>
      </c>
      <c r="E96" t="s">
        <v>37</v>
      </c>
      <c r="F96">
        <v>2022</v>
      </c>
      <c r="G96" s="55">
        <f>10^6*IF($E96="charcoal",params!$P$13*INDEX(BAU_Fuel_cons!$E$2:$AS$34,MATCH(D96&amp;"_"&amp;E96,BAU_Fuel_cons!$AT$2:$AT$34,0),MATCH(F96,BAU_Fuel_cons!$E$1:$AS$1,0)),INDEX(BAU_Fuel_cons!$E$2:$AS$34,MATCH(D96&amp;"_"&amp;E96,BAU_Fuel_cons!$AT$2:$AT$34,0),MATCH(F96,BAU_Fuel_cons!$E$1:$AS$1,0)))</f>
        <v>56563.92087032018</v>
      </c>
      <c r="H96" s="55">
        <f>G96+10^6*IF($E96="charcoal",params!$P$13*SUMIFS(nonresidential!$L:$L,nonresidential!$A:$A,$F96,nonresidential!$B:$B,$E96,nonresidential!$C:$C,$D96),SUMIFS(nonresidential!$L:$L,nonresidential!$A:$A,$F96,nonresidential!$B:$B,$E96,nonresidential!$C:$C,$D96))</f>
        <v>56563.92087032018</v>
      </c>
      <c r="I96">
        <f>1</f>
        <v>1</v>
      </c>
    </row>
    <row r="97" spans="1:9">
      <c r="A97" t="s">
        <v>211</v>
      </c>
      <c r="B97" t="s">
        <v>162</v>
      </c>
      <c r="C97" t="s">
        <v>269</v>
      </c>
      <c r="D97" t="s">
        <v>25</v>
      </c>
      <c r="E97" t="s">
        <v>37</v>
      </c>
      <c r="F97">
        <v>2023</v>
      </c>
      <c r="G97" s="55">
        <f>10^6*IF($E97="charcoal",params!$P$13*INDEX(BAU_Fuel_cons!$E$2:$AS$34,MATCH(D97&amp;"_"&amp;E97,BAU_Fuel_cons!$AT$2:$AT$34,0),MATCH(F97,BAU_Fuel_cons!$E$1:$AS$1,0)),INDEX(BAU_Fuel_cons!$E$2:$AS$34,MATCH(D97&amp;"_"&amp;E97,BAU_Fuel_cons!$AT$2:$AT$34,0),MATCH(F97,BAU_Fuel_cons!$E$1:$AS$1,0)))</f>
        <v>65997.794221163465</v>
      </c>
      <c r="H97" s="55">
        <f>G97+10^6*IF($E97="charcoal",params!$P$13*SUMIFS(nonresidential!$L:$L,nonresidential!$A:$A,$F97,nonresidential!$B:$B,$E97,nonresidential!$C:$C,$D97),SUMIFS(nonresidential!$L:$L,nonresidential!$A:$A,$F97,nonresidential!$B:$B,$E97,nonresidential!$C:$C,$D97))</f>
        <v>65997.794221163465</v>
      </c>
      <c r="I97">
        <f>1</f>
        <v>1</v>
      </c>
    </row>
    <row r="98" spans="1:9">
      <c r="A98" t="s">
        <v>211</v>
      </c>
      <c r="B98" t="s">
        <v>162</v>
      </c>
      <c r="C98" t="s">
        <v>269</v>
      </c>
      <c r="D98" t="s">
        <v>25</v>
      </c>
      <c r="E98" t="s">
        <v>37</v>
      </c>
      <c r="F98">
        <v>2024</v>
      </c>
      <c r="G98" s="55">
        <f>10^6*IF($E98="charcoal",params!$P$13*INDEX(BAU_Fuel_cons!$E$2:$AS$34,MATCH(D98&amp;"_"&amp;E98,BAU_Fuel_cons!$AT$2:$AT$34,0),MATCH(F98,BAU_Fuel_cons!$E$1:$AS$1,0)),INDEX(BAU_Fuel_cons!$E$2:$AS$34,MATCH(D98&amp;"_"&amp;E98,BAU_Fuel_cons!$AT$2:$AT$34,0),MATCH(F98,BAU_Fuel_cons!$E$1:$AS$1,0)))</f>
        <v>76105.4531781884</v>
      </c>
      <c r="H98" s="55">
        <f>G98+10^6*IF($E98="charcoal",params!$P$13*SUMIFS(nonresidential!$L:$L,nonresidential!$A:$A,$F98,nonresidential!$B:$B,$E98,nonresidential!$C:$C,$D98),SUMIFS(nonresidential!$L:$L,nonresidential!$A:$A,$F98,nonresidential!$B:$B,$E98,nonresidential!$C:$C,$D98))</f>
        <v>76105.4531781884</v>
      </c>
      <c r="I98">
        <f>1</f>
        <v>1</v>
      </c>
    </row>
    <row r="99" spans="1:9">
      <c r="A99" t="s">
        <v>211</v>
      </c>
      <c r="B99" t="s">
        <v>162</v>
      </c>
      <c r="C99" t="s">
        <v>269</v>
      </c>
      <c r="D99" t="s">
        <v>25</v>
      </c>
      <c r="E99" t="s">
        <v>37</v>
      </c>
      <c r="F99">
        <v>2025</v>
      </c>
      <c r="G99" s="55">
        <f>10^6*IF($E99="charcoal",params!$P$13*INDEX(BAU_Fuel_cons!$E$2:$AS$34,MATCH(D99&amp;"_"&amp;E99,BAU_Fuel_cons!$AT$2:$AT$34,0),MATCH(F99,BAU_Fuel_cons!$E$1:$AS$1,0)),INDEX(BAU_Fuel_cons!$E$2:$AS$34,MATCH(D99&amp;"_"&amp;E99,BAU_Fuel_cons!$AT$2:$AT$34,0),MATCH(F99,BAU_Fuel_cons!$E$1:$AS$1,0)))</f>
        <v>86339.020043873912</v>
      </c>
      <c r="H99" s="55">
        <f>G99+10^6*IF($E99="charcoal",params!$P$13*SUMIFS(nonresidential!$L:$L,nonresidential!$A:$A,$F99,nonresidential!$B:$B,$E99,nonresidential!$C:$C,$D99),SUMIFS(nonresidential!$L:$L,nonresidential!$A:$A,$F99,nonresidential!$B:$B,$E99,nonresidential!$C:$C,$D99))</f>
        <v>86339.020043873912</v>
      </c>
      <c r="I99">
        <f>1</f>
        <v>1</v>
      </c>
    </row>
    <row r="100" spans="1:9">
      <c r="A100" t="s">
        <v>211</v>
      </c>
      <c r="B100" t="s">
        <v>162</v>
      </c>
      <c r="C100" t="s">
        <v>269</v>
      </c>
      <c r="D100" t="s">
        <v>25</v>
      </c>
      <c r="E100" t="s">
        <v>37</v>
      </c>
      <c r="F100">
        <v>2026</v>
      </c>
      <c r="G100" s="55">
        <f>10^6*IF($E100="charcoal",params!$P$13*INDEX(BAU_Fuel_cons!$E$2:$AS$34,MATCH(D100&amp;"_"&amp;E100,BAU_Fuel_cons!$AT$2:$AT$34,0),MATCH(F100,BAU_Fuel_cons!$E$1:$AS$1,0)),INDEX(BAU_Fuel_cons!$E$2:$AS$34,MATCH(D100&amp;"_"&amp;E100,BAU_Fuel_cons!$AT$2:$AT$34,0),MATCH(F100,BAU_Fuel_cons!$E$1:$AS$1,0)))</f>
        <v>97248.497358843873</v>
      </c>
      <c r="H100" s="55">
        <f>G100+10^6*IF($E100="charcoal",params!$P$13*SUMIFS(nonresidential!$L:$L,nonresidential!$A:$A,$F100,nonresidential!$B:$B,$E100,nonresidential!$C:$C,$D100),SUMIFS(nonresidential!$L:$L,nonresidential!$A:$A,$F100,nonresidential!$B:$B,$E100,nonresidential!$C:$C,$D100))</f>
        <v>97248.497358843873</v>
      </c>
      <c r="I100">
        <f>1</f>
        <v>1</v>
      </c>
    </row>
    <row r="101" spans="1:9">
      <c r="A101" t="s">
        <v>211</v>
      </c>
      <c r="B101" t="s">
        <v>162</v>
      </c>
      <c r="C101" t="s">
        <v>269</v>
      </c>
      <c r="D101" t="s">
        <v>25</v>
      </c>
      <c r="E101" t="s">
        <v>37</v>
      </c>
      <c r="F101">
        <v>2027</v>
      </c>
      <c r="G101" s="55">
        <f>10^6*IF($E101="charcoal",params!$P$13*INDEX(BAU_Fuel_cons!$E$2:$AS$34,MATCH(D101&amp;"_"&amp;E101,BAU_Fuel_cons!$AT$2:$AT$34,0),MATCH(F101,BAU_Fuel_cons!$E$1:$AS$1,0)),INDEX(BAU_Fuel_cons!$E$2:$AS$34,MATCH(D101&amp;"_"&amp;E101,BAU_Fuel_cons!$AT$2:$AT$34,0),MATCH(F101,BAU_Fuel_cons!$E$1:$AS$1,0)))</f>
        <v>108856.21395022387</v>
      </c>
      <c r="H101" s="55">
        <f>G101+10^6*IF($E101="charcoal",params!$P$13*SUMIFS(nonresidential!$L:$L,nonresidential!$A:$A,$F101,nonresidential!$B:$B,$E101,nonresidential!$C:$C,$D101),SUMIFS(nonresidential!$L:$L,nonresidential!$A:$A,$F101,nonresidential!$B:$B,$E101,nonresidential!$C:$C,$D101))</f>
        <v>108856.21395022387</v>
      </c>
      <c r="I101">
        <f>1</f>
        <v>1</v>
      </c>
    </row>
    <row r="102" spans="1:9">
      <c r="A102" t="s">
        <v>211</v>
      </c>
      <c r="B102" t="s">
        <v>162</v>
      </c>
      <c r="C102" t="s">
        <v>269</v>
      </c>
      <c r="D102" t="s">
        <v>25</v>
      </c>
      <c r="E102" t="s">
        <v>37</v>
      </c>
      <c r="F102">
        <v>2028</v>
      </c>
      <c r="G102" s="55">
        <f>10^6*IF($E102="charcoal",params!$P$13*INDEX(BAU_Fuel_cons!$E$2:$AS$34,MATCH(D102&amp;"_"&amp;E102,BAU_Fuel_cons!$AT$2:$AT$34,0),MATCH(F102,BAU_Fuel_cons!$E$1:$AS$1,0)),INDEX(BAU_Fuel_cons!$E$2:$AS$34,MATCH(D102&amp;"_"&amp;E102,BAU_Fuel_cons!$AT$2:$AT$34,0),MATCH(F102,BAU_Fuel_cons!$E$1:$AS$1,0)))</f>
        <v>121182.4772108972</v>
      </c>
      <c r="H102" s="55">
        <f>G102+10^6*IF($E102="charcoal",params!$P$13*SUMIFS(nonresidential!$L:$L,nonresidential!$A:$A,$F102,nonresidential!$B:$B,$E102,nonresidential!$C:$C,$D102),SUMIFS(nonresidential!$L:$L,nonresidential!$A:$A,$F102,nonresidential!$B:$B,$E102,nonresidential!$C:$C,$D102))</f>
        <v>121182.4772108972</v>
      </c>
      <c r="I102">
        <f>1</f>
        <v>1</v>
      </c>
    </row>
    <row r="103" spans="1:9">
      <c r="A103" t="s">
        <v>211</v>
      </c>
      <c r="B103" t="s">
        <v>162</v>
      </c>
      <c r="C103" t="s">
        <v>269</v>
      </c>
      <c r="D103" t="s">
        <v>25</v>
      </c>
      <c r="E103" t="s">
        <v>37</v>
      </c>
      <c r="F103">
        <v>2029</v>
      </c>
      <c r="G103" s="55">
        <f>10^6*IF($E103="charcoal",params!$P$13*INDEX(BAU_Fuel_cons!$E$2:$AS$34,MATCH(D103&amp;"_"&amp;E103,BAU_Fuel_cons!$AT$2:$AT$34,0),MATCH(F103,BAU_Fuel_cons!$E$1:$AS$1,0)),INDEX(BAU_Fuel_cons!$E$2:$AS$34,MATCH(D103&amp;"_"&amp;E103,BAU_Fuel_cons!$AT$2:$AT$34,0),MATCH(F103,BAU_Fuel_cons!$E$1:$AS$1,0)))</f>
        <v>134245.7659337807</v>
      </c>
      <c r="H103" s="55">
        <f>G103+10^6*IF($E103="charcoal",params!$P$13*SUMIFS(nonresidential!$L:$L,nonresidential!$A:$A,$F103,nonresidential!$B:$B,$E103,nonresidential!$C:$C,$D103),SUMIFS(nonresidential!$L:$L,nonresidential!$A:$A,$F103,nonresidential!$B:$B,$E103,nonresidential!$C:$C,$D103))</f>
        <v>134245.7659337807</v>
      </c>
      <c r="I103">
        <f>1</f>
        <v>1</v>
      </c>
    </row>
    <row r="104" spans="1:9">
      <c r="A104" t="s">
        <v>211</v>
      </c>
      <c r="B104" t="s">
        <v>162</v>
      </c>
      <c r="C104" t="s">
        <v>269</v>
      </c>
      <c r="D104" t="s">
        <v>25</v>
      </c>
      <c r="E104" t="s">
        <v>37</v>
      </c>
      <c r="F104">
        <v>2030</v>
      </c>
      <c r="G104" s="55">
        <f>10^6*IF($E104="charcoal",params!$P$13*INDEX(BAU_Fuel_cons!$E$2:$AS$34,MATCH(D104&amp;"_"&amp;E104,BAU_Fuel_cons!$AT$2:$AT$34,0),MATCH(F104,BAU_Fuel_cons!$E$1:$AS$1,0)),INDEX(BAU_Fuel_cons!$E$2:$AS$34,MATCH(D104&amp;"_"&amp;E104,BAU_Fuel_cons!$AT$2:$AT$34,0),MATCH(F104,BAU_Fuel_cons!$E$1:$AS$1,0)))</f>
        <v>148063.54299338072</v>
      </c>
      <c r="H104" s="55">
        <f>G104+10^6*IF($E104="charcoal",params!$P$13*SUMIFS(nonresidential!$L:$L,nonresidential!$A:$A,$F104,nonresidential!$B:$B,$E104,nonresidential!$C:$C,$D104),SUMIFS(nonresidential!$L:$L,nonresidential!$A:$A,$F104,nonresidential!$B:$B,$E104,nonresidential!$C:$C,$D104))</f>
        <v>148063.54299338072</v>
      </c>
      <c r="I104">
        <f>1</f>
        <v>1</v>
      </c>
    </row>
    <row r="105" spans="1:9">
      <c r="A105" t="s">
        <v>211</v>
      </c>
      <c r="B105" t="s">
        <v>162</v>
      </c>
      <c r="C105" t="s">
        <v>269</v>
      </c>
      <c r="D105" t="s">
        <v>25</v>
      </c>
      <c r="E105" t="s">
        <v>37</v>
      </c>
      <c r="F105">
        <v>2031</v>
      </c>
      <c r="G105" s="55">
        <f>10^6*IF($E105="charcoal",params!$P$13*INDEX(BAU_Fuel_cons!$E$2:$AS$34,MATCH(D105&amp;"_"&amp;E105,BAU_Fuel_cons!$AT$2:$AT$34,0),MATCH(F105,BAU_Fuel_cons!$E$1:$AS$1,0)),INDEX(BAU_Fuel_cons!$E$2:$AS$34,MATCH(D105&amp;"_"&amp;E105,BAU_Fuel_cons!$AT$2:$AT$34,0),MATCH(F105,BAU_Fuel_cons!$E$1:$AS$1,0)))</f>
        <v>162652.24740382709</v>
      </c>
      <c r="H105" s="55">
        <f>G105+10^6*IF($E105="charcoal",params!$P$13*SUMIFS(nonresidential!$L:$L,nonresidential!$A:$A,$F105,nonresidential!$B:$B,$E105,nonresidential!$C:$C,$D105),SUMIFS(nonresidential!$L:$L,nonresidential!$A:$A,$F105,nonresidential!$B:$B,$E105,nonresidential!$C:$C,$D105))</f>
        <v>162652.24740382709</v>
      </c>
      <c r="I105">
        <f>1</f>
        <v>1</v>
      </c>
    </row>
    <row r="106" spans="1:9">
      <c r="A106" t="s">
        <v>211</v>
      </c>
      <c r="B106" t="s">
        <v>162</v>
      </c>
      <c r="C106" t="s">
        <v>269</v>
      </c>
      <c r="D106" t="s">
        <v>25</v>
      </c>
      <c r="E106" t="s">
        <v>37</v>
      </c>
      <c r="F106">
        <v>2032</v>
      </c>
      <c r="G106" s="55">
        <f>10^6*IF($E106="charcoal",params!$P$13*INDEX(BAU_Fuel_cons!$E$2:$AS$34,MATCH(D106&amp;"_"&amp;E106,BAU_Fuel_cons!$AT$2:$AT$34,0),MATCH(F106,BAU_Fuel_cons!$E$1:$AS$1,0)),INDEX(BAU_Fuel_cons!$E$2:$AS$34,MATCH(D106&amp;"_"&amp;E106,BAU_Fuel_cons!$AT$2:$AT$34,0),MATCH(F106,BAU_Fuel_cons!$E$1:$AS$1,0)))</f>
        <v>178027.29733487958</v>
      </c>
      <c r="H106" s="55">
        <f>G106+10^6*IF($E106="charcoal",params!$P$13*SUMIFS(nonresidential!$L:$L,nonresidential!$A:$A,$F106,nonresidential!$B:$B,$E106,nonresidential!$C:$C,$D106),SUMIFS(nonresidential!$L:$L,nonresidential!$A:$A,$F106,nonresidential!$B:$B,$E106,nonresidential!$C:$C,$D106))</f>
        <v>178027.29733487958</v>
      </c>
      <c r="I106">
        <f>1</f>
        <v>1</v>
      </c>
    </row>
    <row r="107" spans="1:9">
      <c r="A107" t="s">
        <v>211</v>
      </c>
      <c r="B107" t="s">
        <v>162</v>
      </c>
      <c r="C107" t="s">
        <v>269</v>
      </c>
      <c r="D107" t="s">
        <v>25</v>
      </c>
      <c r="E107" t="s">
        <v>37</v>
      </c>
      <c r="F107">
        <v>2033</v>
      </c>
      <c r="G107" s="55">
        <f>10^6*IF($E107="charcoal",params!$P$13*INDEX(BAU_Fuel_cons!$E$2:$AS$34,MATCH(D107&amp;"_"&amp;E107,BAU_Fuel_cons!$AT$2:$AT$34,0),MATCH(F107,BAU_Fuel_cons!$E$1:$AS$1,0)),INDEX(BAU_Fuel_cons!$E$2:$AS$34,MATCH(D107&amp;"_"&amp;E107,BAU_Fuel_cons!$AT$2:$AT$34,0),MATCH(F107,BAU_Fuel_cons!$E$1:$AS$1,0)))</f>
        <v>194200.86754091154</v>
      </c>
      <c r="H107" s="55">
        <f>G107+10^6*IF($E107="charcoal",params!$P$13*SUMIFS(nonresidential!$L:$L,nonresidential!$A:$A,$F107,nonresidential!$B:$B,$E107,nonresidential!$C:$C,$D107),SUMIFS(nonresidential!$L:$L,nonresidential!$A:$A,$F107,nonresidential!$B:$B,$E107,nonresidential!$C:$C,$D107))</f>
        <v>194200.86754091154</v>
      </c>
      <c r="I107">
        <f>1</f>
        <v>1</v>
      </c>
    </row>
    <row r="108" spans="1:9">
      <c r="A108" t="s">
        <v>211</v>
      </c>
      <c r="B108" t="s">
        <v>162</v>
      </c>
      <c r="C108" t="s">
        <v>269</v>
      </c>
      <c r="D108" t="s">
        <v>25</v>
      </c>
      <c r="E108" t="s">
        <v>37</v>
      </c>
      <c r="F108">
        <v>2034</v>
      </c>
      <c r="G108" s="55">
        <f>10^6*IF($E108="charcoal",params!$P$13*INDEX(BAU_Fuel_cons!$E$2:$AS$34,MATCH(D108&amp;"_"&amp;E108,BAU_Fuel_cons!$AT$2:$AT$34,0),MATCH(F108,BAU_Fuel_cons!$E$1:$AS$1,0)),INDEX(BAU_Fuel_cons!$E$2:$AS$34,MATCH(D108&amp;"_"&amp;E108,BAU_Fuel_cons!$AT$2:$AT$34,0),MATCH(F108,BAU_Fuel_cons!$E$1:$AS$1,0)))</f>
        <v>211178.53195579044</v>
      </c>
      <c r="H108" s="55">
        <f>G108+10^6*IF($E108="charcoal",params!$P$13*SUMIFS(nonresidential!$L:$L,nonresidential!$A:$A,$F108,nonresidential!$B:$B,$E108,nonresidential!$C:$C,$D108),SUMIFS(nonresidential!$L:$L,nonresidential!$A:$A,$F108,nonresidential!$B:$B,$E108,nonresidential!$C:$C,$D108))</f>
        <v>211178.53195579044</v>
      </c>
      <c r="I108">
        <f>1</f>
        <v>1</v>
      </c>
    </row>
    <row r="109" spans="1:9">
      <c r="A109" t="s">
        <v>211</v>
      </c>
      <c r="B109" t="s">
        <v>162</v>
      </c>
      <c r="C109" t="s">
        <v>269</v>
      </c>
      <c r="D109" t="s">
        <v>25</v>
      </c>
      <c r="E109" t="s">
        <v>37</v>
      </c>
      <c r="F109">
        <v>2035</v>
      </c>
      <c r="G109" s="55">
        <f>10^6*IF($E109="charcoal",params!$P$13*INDEX(BAU_Fuel_cons!$E$2:$AS$34,MATCH(D109&amp;"_"&amp;E109,BAU_Fuel_cons!$AT$2:$AT$34,0),MATCH(F109,BAU_Fuel_cons!$E$1:$AS$1,0)),INDEX(BAU_Fuel_cons!$E$2:$AS$34,MATCH(D109&amp;"_"&amp;E109,BAU_Fuel_cons!$AT$2:$AT$34,0),MATCH(F109,BAU_Fuel_cons!$E$1:$AS$1,0)))</f>
        <v>229038.38463658243</v>
      </c>
      <c r="H109" s="55">
        <f>G109+10^6*IF($E109="charcoal",params!$P$13*SUMIFS(nonresidential!$L:$L,nonresidential!$A:$A,$F109,nonresidential!$B:$B,$E109,nonresidential!$C:$C,$D109),SUMIFS(nonresidential!$L:$L,nonresidential!$A:$A,$F109,nonresidential!$B:$B,$E109,nonresidential!$C:$C,$D109))</f>
        <v>229038.38463658243</v>
      </c>
      <c r="I109">
        <f>1</f>
        <v>1</v>
      </c>
    </row>
    <row r="110" spans="1:9">
      <c r="A110" t="s">
        <v>211</v>
      </c>
      <c r="B110" t="s">
        <v>162</v>
      </c>
      <c r="C110" t="s">
        <v>269</v>
      </c>
      <c r="D110" t="s">
        <v>25</v>
      </c>
      <c r="E110" t="s">
        <v>37</v>
      </c>
      <c r="F110">
        <v>2036</v>
      </c>
      <c r="G110" s="55">
        <f>10^6*IF($E110="charcoal",params!$P$13*INDEX(BAU_Fuel_cons!$E$2:$AS$34,MATCH(D110&amp;"_"&amp;E110,BAU_Fuel_cons!$AT$2:$AT$34,0),MATCH(F110,BAU_Fuel_cons!$E$1:$AS$1,0)),INDEX(BAU_Fuel_cons!$E$2:$AS$34,MATCH(D110&amp;"_"&amp;E110,BAU_Fuel_cons!$AT$2:$AT$34,0),MATCH(F110,BAU_Fuel_cons!$E$1:$AS$1,0)))</f>
        <v>247793.19252099181</v>
      </c>
      <c r="H110" s="55">
        <f>G110+10^6*IF($E110="charcoal",params!$P$13*SUMIFS(nonresidential!$L:$L,nonresidential!$A:$A,$F110,nonresidential!$B:$B,$E110,nonresidential!$C:$C,$D110),SUMIFS(nonresidential!$L:$L,nonresidential!$A:$A,$F110,nonresidential!$B:$B,$E110,nonresidential!$C:$C,$D110))</f>
        <v>247793.19252099181</v>
      </c>
      <c r="I110">
        <f>1</f>
        <v>1</v>
      </c>
    </row>
    <row r="111" spans="1:9">
      <c r="A111" t="s">
        <v>211</v>
      </c>
      <c r="B111" t="s">
        <v>162</v>
      </c>
      <c r="C111" t="s">
        <v>269</v>
      </c>
      <c r="D111" t="s">
        <v>25</v>
      </c>
      <c r="E111" t="s">
        <v>37</v>
      </c>
      <c r="F111">
        <v>2037</v>
      </c>
      <c r="G111" s="55">
        <f>10^6*IF($E111="charcoal",params!$P$13*INDEX(BAU_Fuel_cons!$E$2:$AS$34,MATCH(D111&amp;"_"&amp;E111,BAU_Fuel_cons!$AT$2:$AT$34,0),MATCH(F111,BAU_Fuel_cons!$E$1:$AS$1,0)),INDEX(BAU_Fuel_cons!$E$2:$AS$34,MATCH(D111&amp;"_"&amp;E111,BAU_Fuel_cons!$AT$2:$AT$34,0),MATCH(F111,BAU_Fuel_cons!$E$1:$AS$1,0)))</f>
        <v>267465.69497747824</v>
      </c>
      <c r="H111" s="55">
        <f>G111+10^6*IF($E111="charcoal",params!$P$13*SUMIFS(nonresidential!$L:$L,nonresidential!$A:$A,$F111,nonresidential!$B:$B,$E111,nonresidential!$C:$C,$D111),SUMIFS(nonresidential!$L:$L,nonresidential!$A:$A,$F111,nonresidential!$B:$B,$E111,nonresidential!$C:$C,$D111))</f>
        <v>267465.69497747824</v>
      </c>
      <c r="I111">
        <f>1</f>
        <v>1</v>
      </c>
    </row>
    <row r="112" spans="1:9">
      <c r="A112" t="s">
        <v>211</v>
      </c>
      <c r="B112" t="s">
        <v>162</v>
      </c>
      <c r="C112" t="s">
        <v>269</v>
      </c>
      <c r="D112" t="s">
        <v>25</v>
      </c>
      <c r="E112" t="s">
        <v>37</v>
      </c>
      <c r="F112">
        <v>2038</v>
      </c>
      <c r="G112" s="55">
        <f>10^6*IF($E112="charcoal",params!$P$13*INDEX(BAU_Fuel_cons!$E$2:$AS$34,MATCH(D112&amp;"_"&amp;E112,BAU_Fuel_cons!$AT$2:$AT$34,0),MATCH(F112,BAU_Fuel_cons!$E$1:$AS$1,0)),INDEX(BAU_Fuel_cons!$E$2:$AS$34,MATCH(D112&amp;"_"&amp;E112,BAU_Fuel_cons!$AT$2:$AT$34,0),MATCH(F112,BAU_Fuel_cons!$E$1:$AS$1,0)))</f>
        <v>288080.42560398713</v>
      </c>
      <c r="H112" s="55">
        <f>G112+10^6*IF($E112="charcoal",params!$P$13*SUMIFS(nonresidential!$L:$L,nonresidential!$A:$A,$F112,nonresidential!$B:$B,$E112,nonresidential!$C:$C,$D112),SUMIFS(nonresidential!$L:$L,nonresidential!$A:$A,$F112,nonresidential!$B:$B,$E112,nonresidential!$C:$C,$D112))</f>
        <v>288080.42560398713</v>
      </c>
      <c r="I112">
        <f>1</f>
        <v>1</v>
      </c>
    </row>
    <row r="113" spans="1:9">
      <c r="A113" t="s">
        <v>211</v>
      </c>
      <c r="B113" t="s">
        <v>162</v>
      </c>
      <c r="C113" t="s">
        <v>269</v>
      </c>
      <c r="D113" t="s">
        <v>25</v>
      </c>
      <c r="E113" t="s">
        <v>37</v>
      </c>
      <c r="F113">
        <v>2039</v>
      </c>
      <c r="G113" s="55">
        <f>10^6*IF($E113="charcoal",params!$P$13*INDEX(BAU_Fuel_cons!$E$2:$AS$34,MATCH(D113&amp;"_"&amp;E113,BAU_Fuel_cons!$AT$2:$AT$34,0),MATCH(F113,BAU_Fuel_cons!$E$1:$AS$1,0)),INDEX(BAU_Fuel_cons!$E$2:$AS$34,MATCH(D113&amp;"_"&amp;E113,BAU_Fuel_cons!$AT$2:$AT$34,0),MATCH(F113,BAU_Fuel_cons!$E$1:$AS$1,0)))</f>
        <v>309662.73371732689</v>
      </c>
      <c r="H113" s="55">
        <f>G113+10^6*IF($E113="charcoal",params!$P$13*SUMIFS(nonresidential!$L:$L,nonresidential!$A:$A,$F113,nonresidential!$B:$B,$E113,nonresidential!$C:$C,$D113),SUMIFS(nonresidential!$L:$L,nonresidential!$A:$A,$F113,nonresidential!$B:$B,$E113,nonresidential!$C:$C,$D113))</f>
        <v>309662.73371732689</v>
      </c>
      <c r="I113">
        <f>1</f>
        <v>1</v>
      </c>
    </row>
    <row r="114" spans="1:9">
      <c r="A114" t="s">
        <v>211</v>
      </c>
      <c r="B114" t="s">
        <v>162</v>
      </c>
      <c r="C114" t="s">
        <v>269</v>
      </c>
      <c r="D114" t="s">
        <v>25</v>
      </c>
      <c r="E114" t="s">
        <v>37</v>
      </c>
      <c r="F114">
        <v>2040</v>
      </c>
      <c r="G114" s="55">
        <f>10^6*IF($E114="charcoal",params!$P$13*INDEX(BAU_Fuel_cons!$E$2:$AS$34,MATCH(D114&amp;"_"&amp;E114,BAU_Fuel_cons!$AT$2:$AT$34,0),MATCH(F114,BAU_Fuel_cons!$E$1:$AS$1,0)),INDEX(BAU_Fuel_cons!$E$2:$AS$34,MATCH(D114&amp;"_"&amp;E114,BAU_Fuel_cons!$AT$2:$AT$34,0),MATCH(F114,BAU_Fuel_cons!$E$1:$AS$1,0)))</f>
        <v>332237.5258470283</v>
      </c>
      <c r="H114" s="55">
        <f>G114+10^6*IF($E114="charcoal",params!$P$13*SUMIFS(nonresidential!$L:$L,nonresidential!$A:$A,$F114,nonresidential!$B:$B,$E114,nonresidential!$C:$C,$D114),SUMIFS(nonresidential!$L:$L,nonresidential!$A:$A,$F114,nonresidential!$B:$B,$E114,nonresidential!$C:$C,$D114))</f>
        <v>332237.5258470283</v>
      </c>
      <c r="I114">
        <f>1</f>
        <v>1</v>
      </c>
    </row>
    <row r="115" spans="1:9">
      <c r="A115" t="s">
        <v>211</v>
      </c>
      <c r="B115" t="s">
        <v>162</v>
      </c>
      <c r="C115" t="s">
        <v>269</v>
      </c>
      <c r="D115" t="s">
        <v>25</v>
      </c>
      <c r="E115" t="s">
        <v>37</v>
      </c>
      <c r="F115">
        <v>2041</v>
      </c>
      <c r="G115" s="55">
        <f>10^6*IF($E115="charcoal",params!$P$13*INDEX(BAU_Fuel_cons!$E$2:$AS$34,MATCH(D115&amp;"_"&amp;E115,BAU_Fuel_cons!$AT$2:$AT$34,0),MATCH(F115,BAU_Fuel_cons!$E$1:$AS$1,0)),INDEX(BAU_Fuel_cons!$E$2:$AS$34,MATCH(D115&amp;"_"&amp;E115,BAU_Fuel_cons!$AT$2:$AT$34,0),MATCH(F115,BAU_Fuel_cons!$E$1:$AS$1,0)))</f>
        <v>355827.85495362687</v>
      </c>
      <c r="H115" s="55">
        <f>G115+10^6*IF($E115="charcoal",params!$P$13*SUMIFS(nonresidential!$L:$L,nonresidential!$A:$A,$F115,nonresidential!$B:$B,$E115,nonresidential!$C:$C,$D115),SUMIFS(nonresidential!$L:$L,nonresidential!$A:$A,$F115,nonresidential!$B:$B,$E115,nonresidential!$C:$C,$D115))</f>
        <v>355827.85495362687</v>
      </c>
      <c r="I115">
        <f>1</f>
        <v>1</v>
      </c>
    </row>
    <row r="116" spans="1:9">
      <c r="A116" t="s">
        <v>211</v>
      </c>
      <c r="B116" t="s">
        <v>162</v>
      </c>
      <c r="C116" t="s">
        <v>269</v>
      </c>
      <c r="D116" t="s">
        <v>25</v>
      </c>
      <c r="E116" t="s">
        <v>37</v>
      </c>
      <c r="F116">
        <v>2042</v>
      </c>
      <c r="G116" s="55">
        <f>10^6*IF($E116="charcoal",params!$P$13*INDEX(BAU_Fuel_cons!$E$2:$AS$34,MATCH(D116&amp;"_"&amp;E116,BAU_Fuel_cons!$AT$2:$AT$34,0),MATCH(F116,BAU_Fuel_cons!$E$1:$AS$1,0)),INDEX(BAU_Fuel_cons!$E$2:$AS$34,MATCH(D116&amp;"_"&amp;E116,BAU_Fuel_cons!$AT$2:$AT$34,0),MATCH(F116,BAU_Fuel_cons!$E$1:$AS$1,0)))</f>
        <v>380455.76068896387</v>
      </c>
      <c r="H116" s="55">
        <f>G116+10^6*IF($E116="charcoal",params!$P$13*SUMIFS(nonresidential!$L:$L,nonresidential!$A:$A,$F116,nonresidential!$B:$B,$E116,nonresidential!$C:$C,$D116),SUMIFS(nonresidential!$L:$L,nonresidential!$A:$A,$F116,nonresidential!$B:$B,$E116,nonresidential!$C:$C,$D116))</f>
        <v>380455.76068896387</v>
      </c>
      <c r="I116">
        <f>1</f>
        <v>1</v>
      </c>
    </row>
    <row r="117" spans="1:9">
      <c r="A117" t="s">
        <v>211</v>
      </c>
      <c r="B117" t="s">
        <v>162</v>
      </c>
      <c r="C117" t="s">
        <v>269</v>
      </c>
      <c r="D117" t="s">
        <v>25</v>
      </c>
      <c r="E117" t="s">
        <v>37</v>
      </c>
      <c r="F117">
        <v>2043</v>
      </c>
      <c r="G117" s="55">
        <f>10^6*IF($E117="charcoal",params!$P$13*INDEX(BAU_Fuel_cons!$E$2:$AS$34,MATCH(D117&amp;"_"&amp;E117,BAU_Fuel_cons!$AT$2:$AT$34,0),MATCH(F117,BAU_Fuel_cons!$E$1:$AS$1,0)),INDEX(BAU_Fuel_cons!$E$2:$AS$34,MATCH(D117&amp;"_"&amp;E117,BAU_Fuel_cons!$AT$2:$AT$34,0),MATCH(F117,BAU_Fuel_cons!$E$1:$AS$1,0)))</f>
        <v>406143.74129483255</v>
      </c>
      <c r="H117" s="55">
        <f>G117+10^6*IF($E117="charcoal",params!$P$13*SUMIFS(nonresidential!$L:$L,nonresidential!$A:$A,$F117,nonresidential!$B:$B,$E117,nonresidential!$C:$C,$D117),SUMIFS(nonresidential!$L:$L,nonresidential!$A:$A,$F117,nonresidential!$B:$B,$E117,nonresidential!$C:$C,$D117))</f>
        <v>406143.74129483255</v>
      </c>
      <c r="I117">
        <f>1</f>
        <v>1</v>
      </c>
    </row>
    <row r="118" spans="1:9">
      <c r="A118" t="s">
        <v>211</v>
      </c>
      <c r="B118" t="s">
        <v>162</v>
      </c>
      <c r="C118" t="s">
        <v>269</v>
      </c>
      <c r="D118" t="s">
        <v>25</v>
      </c>
      <c r="E118" t="s">
        <v>37</v>
      </c>
      <c r="F118">
        <v>2044</v>
      </c>
      <c r="G118" s="55">
        <f>10^6*IF($E118="charcoal",params!$P$13*INDEX(BAU_Fuel_cons!$E$2:$AS$34,MATCH(D118&amp;"_"&amp;E118,BAU_Fuel_cons!$AT$2:$AT$34,0),MATCH(F118,BAU_Fuel_cons!$E$1:$AS$1,0)),INDEX(BAU_Fuel_cons!$E$2:$AS$34,MATCH(D118&amp;"_"&amp;E118,BAU_Fuel_cons!$AT$2:$AT$34,0),MATCH(F118,BAU_Fuel_cons!$E$1:$AS$1,0)))</f>
        <v>432913.93654927693</v>
      </c>
      <c r="H118" s="55">
        <f>G118+10^6*IF($E118="charcoal",params!$P$13*SUMIFS(nonresidential!$L:$L,nonresidential!$A:$A,$F118,nonresidential!$B:$B,$E118,nonresidential!$C:$C,$D118),SUMIFS(nonresidential!$L:$L,nonresidential!$A:$A,$F118,nonresidential!$B:$B,$E118,nonresidential!$C:$C,$D118))</f>
        <v>432913.93654927693</v>
      </c>
      <c r="I118">
        <f>1</f>
        <v>1</v>
      </c>
    </row>
    <row r="119" spans="1:9">
      <c r="A119" t="s">
        <v>211</v>
      </c>
      <c r="B119" t="s">
        <v>162</v>
      </c>
      <c r="C119" t="s">
        <v>269</v>
      </c>
      <c r="D119" t="s">
        <v>25</v>
      </c>
      <c r="E119" t="s">
        <v>37</v>
      </c>
      <c r="F119">
        <v>2045</v>
      </c>
      <c r="G119" s="55">
        <f>10^6*IF($E119="charcoal",params!$P$13*INDEX(BAU_Fuel_cons!$E$2:$AS$34,MATCH(D119&amp;"_"&amp;E119,BAU_Fuel_cons!$AT$2:$AT$34,0),MATCH(F119,BAU_Fuel_cons!$E$1:$AS$1,0)),INDEX(BAU_Fuel_cons!$E$2:$AS$34,MATCH(D119&amp;"_"&amp;E119,BAU_Fuel_cons!$AT$2:$AT$34,0),MATCH(F119,BAU_Fuel_cons!$E$1:$AS$1,0)))</f>
        <v>460787.62994646979</v>
      </c>
      <c r="H119" s="55">
        <f>G119+10^6*IF($E119="charcoal",params!$P$13*SUMIFS(nonresidential!$L:$L,nonresidential!$A:$A,$F119,nonresidential!$B:$B,$E119,nonresidential!$C:$C,$D119),SUMIFS(nonresidential!$L:$L,nonresidential!$A:$A,$F119,nonresidential!$B:$B,$E119,nonresidential!$C:$C,$D119))</f>
        <v>460787.62994646979</v>
      </c>
      <c r="I119">
        <f>1</f>
        <v>1</v>
      </c>
    </row>
    <row r="120" spans="1:9">
      <c r="A120" t="s">
        <v>211</v>
      </c>
      <c r="B120" t="s">
        <v>162</v>
      </c>
      <c r="C120" t="s">
        <v>269</v>
      </c>
      <c r="D120" t="s">
        <v>25</v>
      </c>
      <c r="E120" t="s">
        <v>37</v>
      </c>
      <c r="F120">
        <v>2046</v>
      </c>
      <c r="G120" s="55">
        <f>10^6*IF($E120="charcoal",params!$P$13*INDEX(BAU_Fuel_cons!$E$2:$AS$34,MATCH(D120&amp;"_"&amp;E120,BAU_Fuel_cons!$AT$2:$AT$34,0),MATCH(F120,BAU_Fuel_cons!$E$1:$AS$1,0)),INDEX(BAU_Fuel_cons!$E$2:$AS$34,MATCH(D120&amp;"_"&amp;E120,BAU_Fuel_cons!$AT$2:$AT$34,0),MATCH(F120,BAU_Fuel_cons!$E$1:$AS$1,0)))</f>
        <v>489785.01867554453</v>
      </c>
      <c r="H120" s="55">
        <f>G120+10^6*IF($E120="charcoal",params!$P$13*SUMIFS(nonresidential!$L:$L,nonresidential!$A:$A,$F120,nonresidential!$B:$B,$E120,nonresidential!$C:$C,$D120),SUMIFS(nonresidential!$L:$L,nonresidential!$A:$A,$F120,nonresidential!$B:$B,$E120,nonresidential!$C:$C,$D120))</f>
        <v>489785.01867554453</v>
      </c>
      <c r="I120">
        <f>1</f>
        <v>1</v>
      </c>
    </row>
    <row r="121" spans="1:9">
      <c r="A121" t="s">
        <v>211</v>
      </c>
      <c r="B121" t="s">
        <v>162</v>
      </c>
      <c r="C121" t="s">
        <v>269</v>
      </c>
      <c r="D121" t="s">
        <v>25</v>
      </c>
      <c r="E121" t="s">
        <v>37</v>
      </c>
      <c r="F121">
        <v>2047</v>
      </c>
      <c r="G121" s="55">
        <f>10^6*IF($E121="charcoal",params!$P$13*INDEX(BAU_Fuel_cons!$E$2:$AS$34,MATCH(D121&amp;"_"&amp;E121,BAU_Fuel_cons!$AT$2:$AT$34,0),MATCH(F121,BAU_Fuel_cons!$E$1:$AS$1,0)),INDEX(BAU_Fuel_cons!$E$2:$AS$34,MATCH(D121&amp;"_"&amp;E121,BAU_Fuel_cons!$AT$2:$AT$34,0),MATCH(F121,BAU_Fuel_cons!$E$1:$AS$1,0)))</f>
        <v>519924.74264237599</v>
      </c>
      <c r="H121" s="55">
        <f>G121+10^6*IF($E121="charcoal",params!$P$13*SUMIFS(nonresidential!$L:$L,nonresidential!$A:$A,$F121,nonresidential!$B:$B,$E121,nonresidential!$C:$C,$D121),SUMIFS(nonresidential!$L:$L,nonresidential!$A:$A,$F121,nonresidential!$B:$B,$E121,nonresidential!$C:$C,$D121))</f>
        <v>519924.74264237599</v>
      </c>
      <c r="I121">
        <f>1</f>
        <v>1</v>
      </c>
    </row>
    <row r="122" spans="1:9">
      <c r="A122" t="s">
        <v>211</v>
      </c>
      <c r="B122" t="s">
        <v>162</v>
      </c>
      <c r="C122" t="s">
        <v>269</v>
      </c>
      <c r="D122" t="s">
        <v>25</v>
      </c>
      <c r="E122" t="s">
        <v>37</v>
      </c>
      <c r="F122">
        <v>2048</v>
      </c>
      <c r="G122" s="55">
        <f>10^6*IF($E122="charcoal",params!$P$13*INDEX(BAU_Fuel_cons!$E$2:$AS$34,MATCH(D122&amp;"_"&amp;E122,BAU_Fuel_cons!$AT$2:$AT$34,0),MATCH(F122,BAU_Fuel_cons!$E$1:$AS$1,0)),INDEX(BAU_Fuel_cons!$E$2:$AS$34,MATCH(D122&amp;"_"&amp;E122,BAU_Fuel_cons!$AT$2:$AT$34,0),MATCH(F122,BAU_Fuel_cons!$E$1:$AS$1,0)))</f>
        <v>551224.66563335818</v>
      </c>
      <c r="H122" s="55">
        <f>G122+10^6*IF($E122="charcoal",params!$P$13*SUMIFS(nonresidential!$L:$L,nonresidential!$A:$A,$F122,nonresidential!$B:$B,$E122,nonresidential!$C:$C,$D122),SUMIFS(nonresidential!$L:$L,nonresidential!$A:$A,$F122,nonresidential!$B:$B,$E122,nonresidential!$C:$C,$D122))</f>
        <v>551224.66563335818</v>
      </c>
      <c r="I122">
        <f>1</f>
        <v>1</v>
      </c>
    </row>
    <row r="123" spans="1:9">
      <c r="A123" t="s">
        <v>211</v>
      </c>
      <c r="B123" t="s">
        <v>162</v>
      </c>
      <c r="C123" t="s">
        <v>269</v>
      </c>
      <c r="D123" t="s">
        <v>25</v>
      </c>
      <c r="E123" t="s">
        <v>37</v>
      </c>
      <c r="F123">
        <v>2049</v>
      </c>
      <c r="G123" s="55">
        <f>10^6*IF($E123="charcoal",params!$P$13*INDEX(BAU_Fuel_cons!$E$2:$AS$34,MATCH(D123&amp;"_"&amp;E123,BAU_Fuel_cons!$AT$2:$AT$34,0),MATCH(F123,BAU_Fuel_cons!$E$1:$AS$1,0)),INDEX(BAU_Fuel_cons!$E$2:$AS$34,MATCH(D123&amp;"_"&amp;E123,BAU_Fuel_cons!$AT$2:$AT$34,0),MATCH(F123,BAU_Fuel_cons!$E$1:$AS$1,0)))</f>
        <v>583700.85204434418</v>
      </c>
      <c r="H123" s="55">
        <f>G123+10^6*IF($E123="charcoal",params!$P$13*SUMIFS(nonresidential!$L:$L,nonresidential!$A:$A,$F123,nonresidential!$B:$B,$E123,nonresidential!$C:$C,$D123),SUMIFS(nonresidential!$L:$L,nonresidential!$A:$A,$F123,nonresidential!$B:$B,$E123,nonresidential!$C:$C,$D123))</f>
        <v>583700.85204434418</v>
      </c>
      <c r="I123">
        <f>1</f>
        <v>1</v>
      </c>
    </row>
    <row r="124" spans="1:9">
      <c r="A124" t="s">
        <v>211</v>
      </c>
      <c r="B124" t="s">
        <v>162</v>
      </c>
      <c r="C124" t="s">
        <v>269</v>
      </c>
      <c r="D124" t="s">
        <v>25</v>
      </c>
      <c r="E124" t="s">
        <v>37</v>
      </c>
      <c r="F124">
        <v>2050</v>
      </c>
      <c r="G124" s="55">
        <f>10^6*IF($E124="charcoal",params!$P$13*INDEX(BAU_Fuel_cons!$E$2:$AS$34,MATCH(D124&amp;"_"&amp;E124,BAU_Fuel_cons!$AT$2:$AT$34,0),MATCH(F124,BAU_Fuel_cons!$E$1:$AS$1,0)),INDEX(BAU_Fuel_cons!$E$2:$AS$34,MATCH(D124&amp;"_"&amp;E124,BAU_Fuel_cons!$AT$2:$AT$34,0),MATCH(F124,BAU_Fuel_cons!$E$1:$AS$1,0)))</f>
        <v>617368.38238571433</v>
      </c>
      <c r="H124" s="55">
        <f>G124+10^6*IF($E124="charcoal",params!$P$13*SUMIFS(nonresidential!$L:$L,nonresidential!$A:$A,$F124,nonresidential!$B:$B,$E124,nonresidential!$C:$C,$D124),SUMIFS(nonresidential!$L:$L,nonresidential!$A:$A,$F124,nonresidential!$B:$B,$E124,nonresidential!$C:$C,$D124))</f>
        <v>617368.38238571433</v>
      </c>
      <c r="I124">
        <f>1</f>
        <v>1</v>
      </c>
    </row>
    <row r="125" spans="1:9">
      <c r="A125" t="s">
        <v>211</v>
      </c>
      <c r="B125" t="s">
        <v>162</v>
      </c>
      <c r="C125" t="s">
        <v>269</v>
      </c>
      <c r="D125" t="s">
        <v>25</v>
      </c>
      <c r="E125" t="s">
        <v>10</v>
      </c>
      <c r="F125">
        <v>2010</v>
      </c>
      <c r="G125" s="55">
        <f>10^6*IF($E125="charcoal",params!$P$13*INDEX(BAU_Fuel_cons!$E$2:$AS$34,MATCH(D125&amp;"_"&amp;E125,BAU_Fuel_cons!$AT$2:$AT$34,0),MATCH(F125,BAU_Fuel_cons!$E$1:$AS$1,0)),INDEX(BAU_Fuel_cons!$E$2:$AS$34,MATCH(D125&amp;"_"&amp;E125,BAU_Fuel_cons!$AT$2:$AT$34,0),MATCH(F125,BAU_Fuel_cons!$E$1:$AS$1,0)))</f>
        <v>0</v>
      </c>
      <c r="H125" s="55">
        <f>G125+10^6*IF($E125="charcoal",params!$P$13*SUMIFS(nonresidential!$L:$L,nonresidential!$A:$A,$F125,nonresidential!$B:$B,$E125,nonresidential!$C:$C,$D125),SUMIFS(nonresidential!$L:$L,nonresidential!$A:$A,$F125,nonresidential!$B:$B,$E125,nonresidential!$C:$C,$D125))</f>
        <v>0</v>
      </c>
      <c r="I125">
        <f>1</f>
        <v>1</v>
      </c>
    </row>
    <row r="126" spans="1:9">
      <c r="A126" t="s">
        <v>211</v>
      </c>
      <c r="B126" t="s">
        <v>162</v>
      </c>
      <c r="C126" t="s">
        <v>269</v>
      </c>
      <c r="D126" t="s">
        <v>25</v>
      </c>
      <c r="E126" t="s">
        <v>10</v>
      </c>
      <c r="F126">
        <v>2011</v>
      </c>
      <c r="G126" s="55">
        <f>10^6*IF($E126="charcoal",params!$P$13*INDEX(BAU_Fuel_cons!$E$2:$AS$34,MATCH(D126&amp;"_"&amp;E126,BAU_Fuel_cons!$AT$2:$AT$34,0),MATCH(F126,BAU_Fuel_cons!$E$1:$AS$1,0)),INDEX(BAU_Fuel_cons!$E$2:$AS$34,MATCH(D126&amp;"_"&amp;E126,BAU_Fuel_cons!$AT$2:$AT$34,0),MATCH(F126,BAU_Fuel_cons!$E$1:$AS$1,0)))</f>
        <v>0</v>
      </c>
      <c r="H126" s="55">
        <f>G126+10^6*IF($E126="charcoal",params!$P$13*SUMIFS(nonresidential!$L:$L,nonresidential!$A:$A,$F126,nonresidential!$B:$B,$E126,nonresidential!$C:$C,$D126),SUMIFS(nonresidential!$L:$L,nonresidential!$A:$A,$F126,nonresidential!$B:$B,$E126,nonresidential!$C:$C,$D126))</f>
        <v>0</v>
      </c>
      <c r="I126">
        <f>1</f>
        <v>1</v>
      </c>
    </row>
    <row r="127" spans="1:9">
      <c r="A127" t="s">
        <v>211</v>
      </c>
      <c r="B127" t="s">
        <v>162</v>
      </c>
      <c r="C127" t="s">
        <v>269</v>
      </c>
      <c r="D127" t="s">
        <v>25</v>
      </c>
      <c r="E127" t="s">
        <v>10</v>
      </c>
      <c r="F127">
        <v>2012</v>
      </c>
      <c r="G127" s="55">
        <f>10^6*IF($E127="charcoal",params!$P$13*INDEX(BAU_Fuel_cons!$E$2:$AS$34,MATCH(D127&amp;"_"&amp;E127,BAU_Fuel_cons!$AT$2:$AT$34,0),MATCH(F127,BAU_Fuel_cons!$E$1:$AS$1,0)),INDEX(BAU_Fuel_cons!$E$2:$AS$34,MATCH(D127&amp;"_"&amp;E127,BAU_Fuel_cons!$AT$2:$AT$34,0),MATCH(F127,BAU_Fuel_cons!$E$1:$AS$1,0)))</f>
        <v>0</v>
      </c>
      <c r="H127" s="55">
        <f>G127+10^6*IF($E127="charcoal",params!$P$13*SUMIFS(nonresidential!$L:$L,nonresidential!$A:$A,$F127,nonresidential!$B:$B,$E127,nonresidential!$C:$C,$D127),SUMIFS(nonresidential!$L:$L,nonresidential!$A:$A,$F127,nonresidential!$B:$B,$E127,nonresidential!$C:$C,$D127))</f>
        <v>0</v>
      </c>
      <c r="I127">
        <f>1</f>
        <v>1</v>
      </c>
    </row>
    <row r="128" spans="1:9">
      <c r="A128" t="s">
        <v>211</v>
      </c>
      <c r="B128" t="s">
        <v>162</v>
      </c>
      <c r="C128" t="s">
        <v>269</v>
      </c>
      <c r="D128" t="s">
        <v>25</v>
      </c>
      <c r="E128" t="s">
        <v>10</v>
      </c>
      <c r="F128">
        <v>2013</v>
      </c>
      <c r="G128" s="55">
        <f>10^6*IF($E128="charcoal",params!$P$13*INDEX(BAU_Fuel_cons!$E$2:$AS$34,MATCH(D128&amp;"_"&amp;E128,BAU_Fuel_cons!$AT$2:$AT$34,0),MATCH(F128,BAU_Fuel_cons!$E$1:$AS$1,0)),INDEX(BAU_Fuel_cons!$E$2:$AS$34,MATCH(D128&amp;"_"&amp;E128,BAU_Fuel_cons!$AT$2:$AT$34,0),MATCH(F128,BAU_Fuel_cons!$E$1:$AS$1,0)))</f>
        <v>0</v>
      </c>
      <c r="H128" s="55">
        <f>G128+10^6*IF($E128="charcoal",params!$P$13*SUMIFS(nonresidential!$L:$L,nonresidential!$A:$A,$F128,nonresidential!$B:$B,$E128,nonresidential!$C:$C,$D128),SUMIFS(nonresidential!$L:$L,nonresidential!$A:$A,$F128,nonresidential!$B:$B,$E128,nonresidential!$C:$C,$D128))</f>
        <v>0</v>
      </c>
      <c r="I128">
        <f>1</f>
        <v>1</v>
      </c>
    </row>
    <row r="129" spans="1:9">
      <c r="A129" t="s">
        <v>211</v>
      </c>
      <c r="B129" t="s">
        <v>162</v>
      </c>
      <c r="C129" t="s">
        <v>269</v>
      </c>
      <c r="D129" t="s">
        <v>25</v>
      </c>
      <c r="E129" t="s">
        <v>10</v>
      </c>
      <c r="F129">
        <v>2014</v>
      </c>
      <c r="G129" s="55">
        <f>10^6*IF($E129="charcoal",params!$P$13*INDEX(BAU_Fuel_cons!$E$2:$AS$34,MATCH(D129&amp;"_"&amp;E129,BAU_Fuel_cons!$AT$2:$AT$34,0),MATCH(F129,BAU_Fuel_cons!$E$1:$AS$1,0)),INDEX(BAU_Fuel_cons!$E$2:$AS$34,MATCH(D129&amp;"_"&amp;E129,BAU_Fuel_cons!$AT$2:$AT$34,0),MATCH(F129,BAU_Fuel_cons!$E$1:$AS$1,0)))</f>
        <v>241.3639769068331</v>
      </c>
      <c r="H129" s="55">
        <f>G129+10^6*IF($E129="charcoal",params!$P$13*SUMIFS(nonresidential!$L:$L,nonresidential!$A:$A,$F129,nonresidential!$B:$B,$E129,nonresidential!$C:$C,$D129),SUMIFS(nonresidential!$L:$L,nonresidential!$A:$A,$F129,nonresidential!$B:$B,$E129,nonresidential!$C:$C,$D129))</f>
        <v>241.3639769068331</v>
      </c>
      <c r="I129">
        <f>1</f>
        <v>1</v>
      </c>
    </row>
    <row r="130" spans="1:9">
      <c r="A130" t="s">
        <v>211</v>
      </c>
      <c r="B130" t="s">
        <v>162</v>
      </c>
      <c r="C130" t="s">
        <v>269</v>
      </c>
      <c r="D130" t="s">
        <v>25</v>
      </c>
      <c r="E130" t="s">
        <v>10</v>
      </c>
      <c r="F130">
        <v>2015</v>
      </c>
      <c r="G130" s="55">
        <f>10^6*IF($E130="charcoal",params!$P$13*INDEX(BAU_Fuel_cons!$E$2:$AS$34,MATCH(D130&amp;"_"&amp;E130,BAU_Fuel_cons!$AT$2:$AT$34,0),MATCH(F130,BAU_Fuel_cons!$E$1:$AS$1,0)),INDEX(BAU_Fuel_cons!$E$2:$AS$34,MATCH(D130&amp;"_"&amp;E130,BAU_Fuel_cons!$AT$2:$AT$34,0),MATCH(F130,BAU_Fuel_cons!$E$1:$AS$1,0)))</f>
        <v>796.94842342997799</v>
      </c>
      <c r="H130" s="55">
        <f>G130+10^6*IF($E130="charcoal",params!$P$13*SUMIFS(nonresidential!$L:$L,nonresidential!$A:$A,$F130,nonresidential!$B:$B,$E130,nonresidential!$C:$C,$D130),SUMIFS(nonresidential!$L:$L,nonresidential!$A:$A,$F130,nonresidential!$B:$B,$E130,nonresidential!$C:$C,$D130))</f>
        <v>796.94842342997799</v>
      </c>
      <c r="I130">
        <f>1</f>
        <v>1</v>
      </c>
    </row>
    <row r="131" spans="1:9">
      <c r="A131" t="s">
        <v>211</v>
      </c>
      <c r="B131" t="s">
        <v>162</v>
      </c>
      <c r="C131" t="s">
        <v>269</v>
      </c>
      <c r="D131" t="s">
        <v>25</v>
      </c>
      <c r="E131" t="s">
        <v>10</v>
      </c>
      <c r="F131">
        <v>2016</v>
      </c>
      <c r="G131" s="55">
        <f>10^6*IF($E131="charcoal",params!$P$13*INDEX(BAU_Fuel_cons!$E$2:$AS$34,MATCH(D131&amp;"_"&amp;E131,BAU_Fuel_cons!$AT$2:$AT$34,0),MATCH(F131,BAU_Fuel_cons!$E$1:$AS$1,0)),INDEX(BAU_Fuel_cons!$E$2:$AS$34,MATCH(D131&amp;"_"&amp;E131,BAU_Fuel_cons!$AT$2:$AT$34,0),MATCH(F131,BAU_Fuel_cons!$E$1:$AS$1,0)))</f>
        <v>1403.7078460316536</v>
      </c>
      <c r="H131" s="55">
        <f>G131+10^6*IF($E131="charcoal",params!$P$13*SUMIFS(nonresidential!$L:$L,nonresidential!$A:$A,$F131,nonresidential!$B:$B,$E131,nonresidential!$C:$C,$D131),SUMIFS(nonresidential!$L:$L,nonresidential!$A:$A,$F131,nonresidential!$B:$B,$E131,nonresidential!$C:$C,$D131))</f>
        <v>1403.7078460316536</v>
      </c>
      <c r="I131">
        <f>1</f>
        <v>1</v>
      </c>
    </row>
    <row r="132" spans="1:9">
      <c r="A132" t="s">
        <v>211</v>
      </c>
      <c r="B132" t="s">
        <v>162</v>
      </c>
      <c r="C132" t="s">
        <v>269</v>
      </c>
      <c r="D132" t="s">
        <v>25</v>
      </c>
      <c r="E132" t="s">
        <v>10</v>
      </c>
      <c r="F132">
        <v>2017</v>
      </c>
      <c r="G132" s="55">
        <f>10^6*IF($E132="charcoal",params!$P$13*INDEX(BAU_Fuel_cons!$E$2:$AS$34,MATCH(D132&amp;"_"&amp;E132,BAU_Fuel_cons!$AT$2:$AT$34,0),MATCH(F132,BAU_Fuel_cons!$E$1:$AS$1,0)),INDEX(BAU_Fuel_cons!$E$2:$AS$34,MATCH(D132&amp;"_"&amp;E132,BAU_Fuel_cons!$AT$2:$AT$34,0),MATCH(F132,BAU_Fuel_cons!$E$1:$AS$1,0)))</f>
        <v>2064.5816235745574</v>
      </c>
      <c r="H132" s="55">
        <f>G132+10^6*IF($E132="charcoal",params!$P$13*SUMIFS(nonresidential!$L:$L,nonresidential!$A:$A,$F132,nonresidential!$B:$B,$E132,nonresidential!$C:$C,$D132),SUMIFS(nonresidential!$L:$L,nonresidential!$A:$A,$F132,nonresidential!$B:$B,$E132,nonresidential!$C:$C,$D132))</f>
        <v>2064.5816235745574</v>
      </c>
      <c r="I132">
        <f>1</f>
        <v>1</v>
      </c>
    </row>
    <row r="133" spans="1:9">
      <c r="A133" t="s">
        <v>211</v>
      </c>
      <c r="B133" t="s">
        <v>162</v>
      </c>
      <c r="C133" t="s">
        <v>269</v>
      </c>
      <c r="D133" t="s">
        <v>25</v>
      </c>
      <c r="E133" t="s">
        <v>10</v>
      </c>
      <c r="F133">
        <v>2018</v>
      </c>
      <c r="G133" s="55">
        <f>10^6*IF($E133="charcoal",params!$P$13*INDEX(BAU_Fuel_cons!$E$2:$AS$34,MATCH(D133&amp;"_"&amp;E133,BAU_Fuel_cons!$AT$2:$AT$34,0),MATCH(F133,BAU_Fuel_cons!$E$1:$AS$1,0)),INDEX(BAU_Fuel_cons!$E$2:$AS$34,MATCH(D133&amp;"_"&amp;E133,BAU_Fuel_cons!$AT$2:$AT$34,0),MATCH(F133,BAU_Fuel_cons!$E$1:$AS$1,0)))</f>
        <v>2782.547958978153</v>
      </c>
      <c r="H133" s="55">
        <f>G133+10^6*IF($E133="charcoal",params!$P$13*SUMIFS(nonresidential!$L:$L,nonresidential!$A:$A,$F133,nonresidential!$B:$B,$E133,nonresidential!$C:$C,$D133),SUMIFS(nonresidential!$L:$L,nonresidential!$A:$A,$F133,nonresidential!$B:$B,$E133,nonresidential!$C:$C,$D133))</f>
        <v>2782.547958978153</v>
      </c>
      <c r="I133">
        <f>1</f>
        <v>1</v>
      </c>
    </row>
    <row r="134" spans="1:9">
      <c r="A134" t="s">
        <v>211</v>
      </c>
      <c r="B134" t="s">
        <v>162</v>
      </c>
      <c r="C134" t="s">
        <v>269</v>
      </c>
      <c r="D134" t="s">
        <v>25</v>
      </c>
      <c r="E134" t="s">
        <v>10</v>
      </c>
      <c r="F134">
        <v>2019</v>
      </c>
      <c r="G134" s="55">
        <f>10^6*IF($E134="charcoal",params!$P$13*INDEX(BAU_Fuel_cons!$E$2:$AS$34,MATCH(D134&amp;"_"&amp;E134,BAU_Fuel_cons!$AT$2:$AT$34,0),MATCH(F134,BAU_Fuel_cons!$E$1:$AS$1,0)),INDEX(BAU_Fuel_cons!$E$2:$AS$34,MATCH(D134&amp;"_"&amp;E134,BAU_Fuel_cons!$AT$2:$AT$34,0),MATCH(F134,BAU_Fuel_cons!$E$1:$AS$1,0)))</f>
        <v>3560.5716177314234</v>
      </c>
      <c r="H134" s="55">
        <f>G134+10^6*IF($E134="charcoal",params!$P$13*SUMIFS(nonresidential!$L:$L,nonresidential!$A:$A,$F134,nonresidential!$B:$B,$E134,nonresidential!$C:$C,$D134),SUMIFS(nonresidential!$L:$L,nonresidential!$A:$A,$F134,nonresidential!$B:$B,$E134,nonresidential!$C:$C,$D134))</f>
        <v>3560.5716177314234</v>
      </c>
      <c r="I134">
        <f>1</f>
        <v>1</v>
      </c>
    </row>
    <row r="135" spans="1:9">
      <c r="A135" t="s">
        <v>211</v>
      </c>
      <c r="B135" t="s">
        <v>162</v>
      </c>
      <c r="C135" t="s">
        <v>269</v>
      </c>
      <c r="D135" t="s">
        <v>25</v>
      </c>
      <c r="E135" t="s">
        <v>10</v>
      </c>
      <c r="F135">
        <v>2020</v>
      </c>
      <c r="G135" s="55">
        <f>10^6*IF($E135="charcoal",params!$P$13*INDEX(BAU_Fuel_cons!$E$2:$AS$34,MATCH(D135&amp;"_"&amp;E135,BAU_Fuel_cons!$AT$2:$AT$34,0),MATCH(F135,BAU_Fuel_cons!$E$1:$AS$1,0)),INDEX(BAU_Fuel_cons!$E$2:$AS$34,MATCH(D135&amp;"_"&amp;E135,BAU_Fuel_cons!$AT$2:$AT$34,0),MATCH(F135,BAU_Fuel_cons!$E$1:$AS$1,0)))</f>
        <v>4401.6148309900127</v>
      </c>
      <c r="H135" s="55">
        <f>G135+10^6*IF($E135="charcoal",params!$P$13*SUMIFS(nonresidential!$L:$L,nonresidential!$A:$A,$F135,nonresidential!$B:$B,$E135,nonresidential!$C:$C,$D135),SUMIFS(nonresidential!$L:$L,nonresidential!$A:$A,$F135,nonresidential!$B:$B,$E135,nonresidential!$C:$C,$D135))</f>
        <v>4401.6148309900127</v>
      </c>
      <c r="I135">
        <f>1</f>
        <v>1</v>
      </c>
    </row>
    <row r="136" spans="1:9">
      <c r="A136" t="s">
        <v>211</v>
      </c>
      <c r="B136" t="s">
        <v>162</v>
      </c>
      <c r="C136" t="s">
        <v>269</v>
      </c>
      <c r="D136" t="s">
        <v>25</v>
      </c>
      <c r="E136" t="s">
        <v>10</v>
      </c>
      <c r="F136">
        <v>2021</v>
      </c>
      <c r="G136" s="55">
        <f>10^6*IF($E136="charcoal",params!$P$13*INDEX(BAU_Fuel_cons!$E$2:$AS$34,MATCH(D136&amp;"_"&amp;E136,BAU_Fuel_cons!$AT$2:$AT$34,0),MATCH(F136,BAU_Fuel_cons!$E$1:$AS$1,0)),INDEX(BAU_Fuel_cons!$E$2:$AS$34,MATCH(D136&amp;"_"&amp;E136,BAU_Fuel_cons!$AT$2:$AT$34,0),MATCH(F136,BAU_Fuel_cons!$E$1:$AS$1,0)))</f>
        <v>5308.7014287734928</v>
      </c>
      <c r="H136" s="55">
        <f>G136+10^6*IF($E136="charcoal",params!$P$13*SUMIFS(nonresidential!$L:$L,nonresidential!$A:$A,$F136,nonresidential!$B:$B,$E136,nonresidential!$C:$C,$D136),SUMIFS(nonresidential!$L:$L,nonresidential!$A:$A,$F136,nonresidential!$B:$B,$E136,nonresidential!$C:$C,$D136))</f>
        <v>5308.7014287734928</v>
      </c>
      <c r="I136">
        <f>1</f>
        <v>1</v>
      </c>
    </row>
    <row r="137" spans="1:9">
      <c r="A137" t="s">
        <v>211</v>
      </c>
      <c r="B137" t="s">
        <v>162</v>
      </c>
      <c r="C137" t="s">
        <v>269</v>
      </c>
      <c r="D137" t="s">
        <v>25</v>
      </c>
      <c r="E137" t="s">
        <v>10</v>
      </c>
      <c r="F137">
        <v>2022</v>
      </c>
      <c r="G137" s="55">
        <f>10^6*IF($E137="charcoal",params!$P$13*INDEX(BAU_Fuel_cons!$E$2:$AS$34,MATCH(D137&amp;"_"&amp;E137,BAU_Fuel_cons!$AT$2:$AT$34,0),MATCH(F137,BAU_Fuel_cons!$E$1:$AS$1,0)),INDEX(BAU_Fuel_cons!$E$2:$AS$34,MATCH(D137&amp;"_"&amp;E137,BAU_Fuel_cons!$AT$2:$AT$34,0),MATCH(F137,BAU_Fuel_cons!$E$1:$AS$1,0)))</f>
        <v>6284.880096701957</v>
      </c>
      <c r="H137" s="55">
        <f>G137+10^6*IF($E137="charcoal",params!$P$13*SUMIFS(nonresidential!$L:$L,nonresidential!$A:$A,$F137,nonresidential!$B:$B,$E137,nonresidential!$C:$C,$D137),SUMIFS(nonresidential!$L:$L,nonresidential!$A:$A,$F137,nonresidential!$B:$B,$E137,nonresidential!$C:$C,$D137))</f>
        <v>6284.880096701957</v>
      </c>
      <c r="I137">
        <f>1</f>
        <v>1</v>
      </c>
    </row>
    <row r="138" spans="1:9">
      <c r="A138" t="s">
        <v>211</v>
      </c>
      <c r="B138" t="s">
        <v>162</v>
      </c>
      <c r="C138" t="s">
        <v>269</v>
      </c>
      <c r="D138" t="s">
        <v>25</v>
      </c>
      <c r="E138" t="s">
        <v>10</v>
      </c>
      <c r="F138">
        <v>2023</v>
      </c>
      <c r="G138" s="55">
        <f>10^6*IF($E138="charcoal",params!$P$13*INDEX(BAU_Fuel_cons!$E$2:$AS$34,MATCH(D138&amp;"_"&amp;E138,BAU_Fuel_cons!$AT$2:$AT$34,0),MATCH(F138,BAU_Fuel_cons!$E$1:$AS$1,0)),INDEX(BAU_Fuel_cons!$E$2:$AS$34,MATCH(D138&amp;"_"&amp;E138,BAU_Fuel_cons!$AT$2:$AT$34,0),MATCH(F138,BAU_Fuel_cons!$E$1:$AS$1,0)))</f>
        <v>7333.0882467957417</v>
      </c>
      <c r="H138" s="55">
        <f>G138+10^6*IF($E138="charcoal",params!$P$13*SUMIFS(nonresidential!$L:$L,nonresidential!$A:$A,$F138,nonresidential!$B:$B,$E138,nonresidential!$C:$C,$D138),SUMIFS(nonresidential!$L:$L,nonresidential!$A:$A,$F138,nonresidential!$B:$B,$E138,nonresidential!$C:$C,$D138))</f>
        <v>7333.0882467957417</v>
      </c>
      <c r="I138">
        <f>1</f>
        <v>1</v>
      </c>
    </row>
    <row r="139" spans="1:9">
      <c r="A139" t="s">
        <v>211</v>
      </c>
      <c r="B139" t="s">
        <v>162</v>
      </c>
      <c r="C139" t="s">
        <v>269</v>
      </c>
      <c r="D139" t="s">
        <v>25</v>
      </c>
      <c r="E139" t="s">
        <v>10</v>
      </c>
      <c r="F139">
        <v>2024</v>
      </c>
      <c r="G139" s="55">
        <f>10^6*IF($E139="charcoal",params!$P$13*INDEX(BAU_Fuel_cons!$E$2:$AS$34,MATCH(D139&amp;"_"&amp;E139,BAU_Fuel_cons!$AT$2:$AT$34,0),MATCH(F139,BAU_Fuel_cons!$E$1:$AS$1,0)),INDEX(BAU_Fuel_cons!$E$2:$AS$34,MATCH(D139&amp;"_"&amp;E139,BAU_Fuel_cons!$AT$2:$AT$34,0),MATCH(F139,BAU_Fuel_cons!$E$1:$AS$1,0)))</f>
        <v>8456.1614642430504</v>
      </c>
      <c r="H139" s="55">
        <f>G139+10^6*IF($E139="charcoal",params!$P$13*SUMIFS(nonresidential!$L:$L,nonresidential!$A:$A,$F139,nonresidential!$B:$B,$E139,nonresidential!$C:$C,$D139),SUMIFS(nonresidential!$L:$L,nonresidential!$A:$A,$F139,nonresidential!$B:$B,$E139,nonresidential!$C:$C,$D139))</f>
        <v>8456.1614642430504</v>
      </c>
      <c r="I139">
        <f>1</f>
        <v>1</v>
      </c>
    </row>
    <row r="140" spans="1:9">
      <c r="A140" t="s">
        <v>211</v>
      </c>
      <c r="B140" t="s">
        <v>162</v>
      </c>
      <c r="C140" t="s">
        <v>269</v>
      </c>
      <c r="D140" t="s">
        <v>25</v>
      </c>
      <c r="E140" t="s">
        <v>10</v>
      </c>
      <c r="F140">
        <v>2025</v>
      </c>
      <c r="G140" s="55">
        <f>10^6*IF($E140="charcoal",params!$P$13*INDEX(BAU_Fuel_cons!$E$2:$AS$34,MATCH(D140&amp;"_"&amp;E140,BAU_Fuel_cons!$AT$2:$AT$34,0),MATCH(F140,BAU_Fuel_cons!$E$1:$AS$1,0)),INDEX(BAU_Fuel_cons!$E$2:$AS$34,MATCH(D140&amp;"_"&amp;E140,BAU_Fuel_cons!$AT$2:$AT$34,0),MATCH(F140,BAU_Fuel_cons!$E$1:$AS$1,0)))</f>
        <v>9593.2244493192175</v>
      </c>
      <c r="H140" s="55">
        <f>G140+10^6*IF($E140="charcoal",params!$P$13*SUMIFS(nonresidential!$L:$L,nonresidential!$A:$A,$F140,nonresidential!$B:$B,$E140,nonresidential!$C:$C,$D140),SUMIFS(nonresidential!$L:$L,nonresidential!$A:$A,$F140,nonresidential!$B:$B,$E140,nonresidential!$C:$C,$D140))</f>
        <v>9593.2244493192175</v>
      </c>
      <c r="I140">
        <f>1</f>
        <v>1</v>
      </c>
    </row>
    <row r="141" spans="1:9">
      <c r="A141" t="s">
        <v>211</v>
      </c>
      <c r="B141" t="s">
        <v>162</v>
      </c>
      <c r="C141" t="s">
        <v>269</v>
      </c>
      <c r="D141" t="s">
        <v>25</v>
      </c>
      <c r="E141" t="s">
        <v>10</v>
      </c>
      <c r="F141">
        <v>2026</v>
      </c>
      <c r="G141" s="55">
        <f>10^6*IF($E141="charcoal",params!$P$13*INDEX(BAU_Fuel_cons!$E$2:$AS$34,MATCH(D141&amp;"_"&amp;E141,BAU_Fuel_cons!$AT$2:$AT$34,0),MATCH(F141,BAU_Fuel_cons!$E$1:$AS$1,0)),INDEX(BAU_Fuel_cons!$E$2:$AS$34,MATCH(D141&amp;"_"&amp;E141,BAU_Fuel_cons!$AT$2:$AT$34,0),MATCH(F141,BAU_Fuel_cons!$E$1:$AS$1,0)))</f>
        <v>10805.388595426992</v>
      </c>
      <c r="H141" s="55">
        <f>G141+10^6*IF($E141="charcoal",params!$P$13*SUMIFS(nonresidential!$L:$L,nonresidential!$A:$A,$F141,nonresidential!$B:$B,$E141,nonresidential!$C:$C,$D141),SUMIFS(nonresidential!$L:$L,nonresidential!$A:$A,$F141,nonresidential!$B:$B,$E141,nonresidential!$C:$C,$D141))</f>
        <v>10805.388595426992</v>
      </c>
      <c r="I141">
        <f>1</f>
        <v>1</v>
      </c>
    </row>
    <row r="142" spans="1:9">
      <c r="A142" t="s">
        <v>211</v>
      </c>
      <c r="B142" t="s">
        <v>162</v>
      </c>
      <c r="C142" t="s">
        <v>269</v>
      </c>
      <c r="D142" t="s">
        <v>25</v>
      </c>
      <c r="E142" t="s">
        <v>10</v>
      </c>
      <c r="F142">
        <v>2027</v>
      </c>
      <c r="G142" s="55">
        <f>10^6*IF($E142="charcoal",params!$P$13*INDEX(BAU_Fuel_cons!$E$2:$AS$34,MATCH(D142&amp;"_"&amp;E142,BAU_Fuel_cons!$AT$2:$AT$34,0),MATCH(F142,BAU_Fuel_cons!$E$1:$AS$1,0)),INDEX(BAU_Fuel_cons!$E$2:$AS$34,MATCH(D142&amp;"_"&amp;E142,BAU_Fuel_cons!$AT$2:$AT$34,0),MATCH(F142,BAU_Fuel_cons!$E$1:$AS$1,0)))</f>
        <v>12095.134883358103</v>
      </c>
      <c r="H142" s="55">
        <f>G142+10^6*IF($E142="charcoal",params!$P$13*SUMIFS(nonresidential!$L:$L,nonresidential!$A:$A,$F142,nonresidential!$B:$B,$E142,nonresidential!$C:$C,$D142),SUMIFS(nonresidential!$L:$L,nonresidential!$A:$A,$F142,nonresidential!$B:$B,$E142,nonresidential!$C:$C,$D142))</f>
        <v>12095.134883358103</v>
      </c>
      <c r="I142">
        <f>1</f>
        <v>1</v>
      </c>
    </row>
    <row r="143" spans="1:9">
      <c r="A143" t="s">
        <v>211</v>
      </c>
      <c r="B143" t="s">
        <v>162</v>
      </c>
      <c r="C143" t="s">
        <v>269</v>
      </c>
      <c r="D143" t="s">
        <v>25</v>
      </c>
      <c r="E143" t="s">
        <v>10</v>
      </c>
      <c r="F143">
        <v>2028</v>
      </c>
      <c r="G143" s="55">
        <f>10^6*IF($E143="charcoal",params!$P$13*INDEX(BAU_Fuel_cons!$E$2:$AS$34,MATCH(D143&amp;"_"&amp;E143,BAU_Fuel_cons!$AT$2:$AT$34,0),MATCH(F143,BAU_Fuel_cons!$E$1:$AS$1,0)),INDEX(BAU_Fuel_cons!$E$2:$AS$34,MATCH(D143&amp;"_"&amp;E143,BAU_Fuel_cons!$AT$2:$AT$34,0),MATCH(F143,BAU_Fuel_cons!$E$1:$AS$1,0)))</f>
        <v>13464.719690099584</v>
      </c>
      <c r="H143" s="55">
        <f>G143+10^6*IF($E143="charcoal",params!$P$13*SUMIFS(nonresidential!$L:$L,nonresidential!$A:$A,$F143,nonresidential!$B:$B,$E143,nonresidential!$C:$C,$D143),SUMIFS(nonresidential!$L:$L,nonresidential!$A:$A,$F143,nonresidential!$B:$B,$E143,nonresidential!$C:$C,$D143))</f>
        <v>13464.719690099584</v>
      </c>
      <c r="I143">
        <f>1</f>
        <v>1</v>
      </c>
    </row>
    <row r="144" spans="1:9">
      <c r="A144" t="s">
        <v>211</v>
      </c>
      <c r="B144" t="s">
        <v>162</v>
      </c>
      <c r="C144" t="s">
        <v>269</v>
      </c>
      <c r="D144" t="s">
        <v>25</v>
      </c>
      <c r="E144" t="s">
        <v>10</v>
      </c>
      <c r="F144">
        <v>2029</v>
      </c>
      <c r="G144" s="55">
        <f>10^6*IF($E144="charcoal",params!$P$13*INDEX(BAU_Fuel_cons!$E$2:$AS$34,MATCH(D144&amp;"_"&amp;E144,BAU_Fuel_cons!$AT$2:$AT$34,0),MATCH(F144,BAU_Fuel_cons!$E$1:$AS$1,0)),INDEX(BAU_Fuel_cons!$E$2:$AS$34,MATCH(D144&amp;"_"&amp;E144,BAU_Fuel_cons!$AT$2:$AT$34,0),MATCH(F144,BAU_Fuel_cons!$E$1:$AS$1,0)))</f>
        <v>14916.19621486442</v>
      </c>
      <c r="H144" s="55">
        <f>G144+10^6*IF($E144="charcoal",params!$P$13*SUMIFS(nonresidential!$L:$L,nonresidential!$A:$A,$F144,nonresidential!$B:$B,$E144,nonresidential!$C:$C,$D144),SUMIFS(nonresidential!$L:$L,nonresidential!$A:$A,$F144,nonresidential!$B:$B,$E144,nonresidential!$C:$C,$D144))</f>
        <v>14916.19621486442</v>
      </c>
      <c r="I144">
        <f>1</f>
        <v>1</v>
      </c>
    </row>
    <row r="145" spans="1:9">
      <c r="A145" t="s">
        <v>211</v>
      </c>
      <c r="B145" t="s">
        <v>162</v>
      </c>
      <c r="C145" t="s">
        <v>269</v>
      </c>
      <c r="D145" t="s">
        <v>25</v>
      </c>
      <c r="E145" t="s">
        <v>10</v>
      </c>
      <c r="F145">
        <v>2030</v>
      </c>
      <c r="G145" s="55">
        <f>10^6*IF($E145="charcoal",params!$P$13*INDEX(BAU_Fuel_cons!$E$2:$AS$34,MATCH(D145&amp;"_"&amp;E145,BAU_Fuel_cons!$AT$2:$AT$34,0),MATCH(F145,BAU_Fuel_cons!$E$1:$AS$1,0)),INDEX(BAU_Fuel_cons!$E$2:$AS$34,MATCH(D145&amp;"_"&amp;E145,BAU_Fuel_cons!$AT$2:$AT$34,0),MATCH(F145,BAU_Fuel_cons!$E$1:$AS$1,0)))</f>
        <v>16451.504777042202</v>
      </c>
      <c r="H145" s="55">
        <f>G145+10^6*IF($E145="charcoal",params!$P$13*SUMIFS(nonresidential!$L:$L,nonresidential!$A:$A,$F145,nonresidential!$B:$B,$E145,nonresidential!$C:$C,$D145),SUMIFS(nonresidential!$L:$L,nonresidential!$A:$A,$F145,nonresidential!$B:$B,$E145,nonresidential!$C:$C,$D145))</f>
        <v>16451.504777042202</v>
      </c>
      <c r="I145">
        <f>1</f>
        <v>1</v>
      </c>
    </row>
    <row r="146" spans="1:9">
      <c r="A146" t="s">
        <v>211</v>
      </c>
      <c r="B146" t="s">
        <v>162</v>
      </c>
      <c r="C146" t="s">
        <v>269</v>
      </c>
      <c r="D146" t="s">
        <v>25</v>
      </c>
      <c r="E146" t="s">
        <v>10</v>
      </c>
      <c r="F146">
        <v>2031</v>
      </c>
      <c r="G146" s="55">
        <f>10^6*IF($E146="charcoal",params!$P$13*INDEX(BAU_Fuel_cons!$E$2:$AS$34,MATCH(D146&amp;"_"&amp;E146,BAU_Fuel_cons!$AT$2:$AT$34,0),MATCH(F146,BAU_Fuel_cons!$E$1:$AS$1,0)),INDEX(BAU_Fuel_cons!$E$2:$AS$34,MATCH(D146&amp;"_"&amp;E146,BAU_Fuel_cons!$AT$2:$AT$34,0),MATCH(F146,BAU_Fuel_cons!$E$1:$AS$1,0)))</f>
        <v>18072.471933758461</v>
      </c>
      <c r="H146" s="55">
        <f>G146+10^6*IF($E146="charcoal",params!$P$13*SUMIFS(nonresidential!$L:$L,nonresidential!$A:$A,$F146,nonresidential!$B:$B,$E146,nonresidential!$C:$C,$D146),SUMIFS(nonresidential!$L:$L,nonresidential!$A:$A,$F146,nonresidential!$B:$B,$E146,nonresidential!$C:$C,$D146))</f>
        <v>18072.471933758461</v>
      </c>
      <c r="I146">
        <f>1</f>
        <v>1</v>
      </c>
    </row>
    <row r="147" spans="1:9">
      <c r="A147" t="s">
        <v>211</v>
      </c>
      <c r="B147" t="s">
        <v>162</v>
      </c>
      <c r="C147" t="s">
        <v>269</v>
      </c>
      <c r="D147" t="s">
        <v>25</v>
      </c>
      <c r="E147" t="s">
        <v>10</v>
      </c>
      <c r="F147">
        <v>2032</v>
      </c>
      <c r="G147" s="55">
        <f>10^6*IF($E147="charcoal",params!$P$13*INDEX(BAU_Fuel_cons!$E$2:$AS$34,MATCH(D147&amp;"_"&amp;E147,BAU_Fuel_cons!$AT$2:$AT$34,0),MATCH(F147,BAU_Fuel_cons!$E$1:$AS$1,0)),INDEX(BAU_Fuel_cons!$E$2:$AS$34,MATCH(D147&amp;"_"&amp;E147,BAU_Fuel_cons!$AT$2:$AT$34,0),MATCH(F147,BAU_Fuel_cons!$E$1:$AS$1,0)))</f>
        <v>19780.810814986522</v>
      </c>
      <c r="H147" s="55">
        <f>G147+10^6*IF($E147="charcoal",params!$P$13*SUMIFS(nonresidential!$L:$L,nonresidential!$A:$A,$F147,nonresidential!$B:$B,$E147,nonresidential!$C:$C,$D147),SUMIFS(nonresidential!$L:$L,nonresidential!$A:$A,$F147,nonresidential!$B:$B,$E147,nonresidential!$C:$C,$D147))</f>
        <v>19780.810814986522</v>
      </c>
      <c r="I147">
        <f>1</f>
        <v>1</v>
      </c>
    </row>
    <row r="148" spans="1:9">
      <c r="A148" t="s">
        <v>211</v>
      </c>
      <c r="B148" t="s">
        <v>162</v>
      </c>
      <c r="C148" t="s">
        <v>269</v>
      </c>
      <c r="D148" t="s">
        <v>25</v>
      </c>
      <c r="E148" t="s">
        <v>10</v>
      </c>
      <c r="F148">
        <v>2033</v>
      </c>
      <c r="G148" s="55">
        <f>10^6*IF($E148="charcoal",params!$P$13*INDEX(BAU_Fuel_cons!$E$2:$AS$34,MATCH(D148&amp;"_"&amp;E148,BAU_Fuel_cons!$AT$2:$AT$34,0),MATCH(F148,BAU_Fuel_cons!$E$1:$AS$1,0)),INDEX(BAU_Fuel_cons!$E$2:$AS$34,MATCH(D148&amp;"_"&amp;E148,BAU_Fuel_cons!$AT$2:$AT$34,0),MATCH(F148,BAU_Fuel_cons!$E$1:$AS$1,0)))</f>
        <v>21577.874171212305</v>
      </c>
      <c r="H148" s="55">
        <f>G148+10^6*IF($E148="charcoal",params!$P$13*SUMIFS(nonresidential!$L:$L,nonresidential!$A:$A,$F148,nonresidential!$B:$B,$E148,nonresidential!$C:$C,$D148),SUMIFS(nonresidential!$L:$L,nonresidential!$A:$A,$F148,nonresidential!$B:$B,$E148,nonresidential!$C:$C,$D148))</f>
        <v>21577.874171212305</v>
      </c>
      <c r="I148">
        <f>1</f>
        <v>1</v>
      </c>
    </row>
    <row r="149" spans="1:9">
      <c r="A149" t="s">
        <v>211</v>
      </c>
      <c r="B149" t="s">
        <v>162</v>
      </c>
      <c r="C149" t="s">
        <v>269</v>
      </c>
      <c r="D149" t="s">
        <v>25</v>
      </c>
      <c r="E149" t="s">
        <v>10</v>
      </c>
      <c r="F149">
        <v>2034</v>
      </c>
      <c r="G149" s="55">
        <f>10^6*IF($E149="charcoal",params!$P$13*INDEX(BAU_Fuel_cons!$E$2:$AS$34,MATCH(D149&amp;"_"&amp;E149,BAU_Fuel_cons!$AT$2:$AT$34,0),MATCH(F149,BAU_Fuel_cons!$E$1:$AS$1,0)),INDEX(BAU_Fuel_cons!$E$2:$AS$34,MATCH(D149&amp;"_"&amp;E149,BAU_Fuel_cons!$AT$2:$AT$34,0),MATCH(F149,BAU_Fuel_cons!$E$1:$AS$1,0)))</f>
        <v>23464.281328421075</v>
      </c>
      <c r="H149" s="55">
        <f>G149+10^6*IF($E149="charcoal",params!$P$13*SUMIFS(nonresidential!$L:$L,nonresidential!$A:$A,$F149,nonresidential!$B:$B,$E149,nonresidential!$C:$C,$D149),SUMIFS(nonresidential!$L:$L,nonresidential!$A:$A,$F149,nonresidential!$B:$B,$E149,nonresidential!$C:$C,$D149))</f>
        <v>23464.281328421075</v>
      </c>
      <c r="I149">
        <f>1</f>
        <v>1</v>
      </c>
    </row>
    <row r="150" spans="1:9">
      <c r="A150" t="s">
        <v>211</v>
      </c>
      <c r="B150" t="s">
        <v>162</v>
      </c>
      <c r="C150" t="s">
        <v>269</v>
      </c>
      <c r="D150" t="s">
        <v>25</v>
      </c>
      <c r="E150" t="s">
        <v>10</v>
      </c>
      <c r="F150">
        <v>2035</v>
      </c>
      <c r="G150" s="55">
        <f>10^6*IF($E150="charcoal",params!$P$13*INDEX(BAU_Fuel_cons!$E$2:$AS$34,MATCH(D150&amp;"_"&amp;E150,BAU_Fuel_cons!$AT$2:$AT$34,0),MATCH(F150,BAU_Fuel_cons!$E$1:$AS$1,0)),INDEX(BAU_Fuel_cons!$E$2:$AS$34,MATCH(D150&amp;"_"&amp;E150,BAU_Fuel_cons!$AT$2:$AT$34,0),MATCH(F150,BAU_Fuel_cons!$E$1:$AS$1,0)))</f>
        <v>25448.709404064633</v>
      </c>
      <c r="H150" s="55">
        <f>G150+10^6*IF($E150="charcoal",params!$P$13*SUMIFS(nonresidential!$L:$L,nonresidential!$A:$A,$F150,nonresidential!$B:$B,$E150,nonresidential!$C:$C,$D150),SUMIFS(nonresidential!$L:$L,nonresidential!$A:$A,$F150,nonresidential!$B:$B,$E150,nonresidential!$C:$C,$D150))</f>
        <v>25448.709404064633</v>
      </c>
      <c r="I150">
        <f>1</f>
        <v>1</v>
      </c>
    </row>
    <row r="151" spans="1:9">
      <c r="A151" t="s">
        <v>211</v>
      </c>
      <c r="B151" t="s">
        <v>162</v>
      </c>
      <c r="C151" t="s">
        <v>269</v>
      </c>
      <c r="D151" t="s">
        <v>25</v>
      </c>
      <c r="E151" t="s">
        <v>10</v>
      </c>
      <c r="F151">
        <v>2036</v>
      </c>
      <c r="G151" s="55">
        <f>10^6*IF($E151="charcoal",params!$P$13*INDEX(BAU_Fuel_cons!$E$2:$AS$34,MATCH(D151&amp;"_"&amp;E151,BAU_Fuel_cons!$AT$2:$AT$34,0),MATCH(F151,BAU_Fuel_cons!$E$1:$AS$1,0)),INDEX(BAU_Fuel_cons!$E$2:$AS$34,MATCH(D151&amp;"_"&amp;E151,BAU_Fuel_cons!$AT$2:$AT$34,0),MATCH(F151,BAU_Fuel_cons!$E$1:$AS$1,0)))</f>
        <v>27532.576946776797</v>
      </c>
      <c r="H151" s="55">
        <f>G151+10^6*IF($E151="charcoal",params!$P$13*SUMIFS(nonresidential!$L:$L,nonresidential!$A:$A,$F151,nonresidential!$B:$B,$E151,nonresidential!$C:$C,$D151),SUMIFS(nonresidential!$L:$L,nonresidential!$A:$A,$F151,nonresidential!$B:$B,$E151,nonresidential!$C:$C,$D151))</f>
        <v>27532.576946776797</v>
      </c>
      <c r="I151">
        <f>1</f>
        <v>1</v>
      </c>
    </row>
    <row r="152" spans="1:9">
      <c r="A152" t="s">
        <v>211</v>
      </c>
      <c r="B152" t="s">
        <v>162</v>
      </c>
      <c r="C152" t="s">
        <v>269</v>
      </c>
      <c r="D152" t="s">
        <v>25</v>
      </c>
      <c r="E152" t="s">
        <v>10</v>
      </c>
      <c r="F152">
        <v>2037</v>
      </c>
      <c r="G152" s="55">
        <f>10^6*IF($E152="charcoal",params!$P$13*INDEX(BAU_Fuel_cons!$E$2:$AS$34,MATCH(D152&amp;"_"&amp;E152,BAU_Fuel_cons!$AT$2:$AT$34,0),MATCH(F152,BAU_Fuel_cons!$E$1:$AS$1,0)),INDEX(BAU_Fuel_cons!$E$2:$AS$34,MATCH(D152&amp;"_"&amp;E152,BAU_Fuel_cons!$AT$2:$AT$34,0),MATCH(F152,BAU_Fuel_cons!$E$1:$AS$1,0)))</f>
        <v>29718.410553053069</v>
      </c>
      <c r="H152" s="55">
        <f>G152+10^6*IF($E152="charcoal",params!$P$13*SUMIFS(nonresidential!$L:$L,nonresidential!$A:$A,$F152,nonresidential!$B:$B,$E152,nonresidential!$C:$C,$D152),SUMIFS(nonresidential!$L:$L,nonresidential!$A:$A,$F152,nonresidential!$B:$B,$E152,nonresidential!$C:$C,$D152))</f>
        <v>29718.410553053069</v>
      </c>
      <c r="I152">
        <f>1</f>
        <v>1</v>
      </c>
    </row>
    <row r="153" spans="1:9">
      <c r="A153" t="s">
        <v>211</v>
      </c>
      <c r="B153" t="s">
        <v>162</v>
      </c>
      <c r="C153" t="s">
        <v>269</v>
      </c>
      <c r="D153" t="s">
        <v>25</v>
      </c>
      <c r="E153" t="s">
        <v>10</v>
      </c>
      <c r="F153">
        <v>2038</v>
      </c>
      <c r="G153" s="55">
        <f>10^6*IF($E153="charcoal",params!$P$13*INDEX(BAU_Fuel_cons!$E$2:$AS$34,MATCH(D153&amp;"_"&amp;E153,BAU_Fuel_cons!$AT$2:$AT$34,0),MATCH(F153,BAU_Fuel_cons!$E$1:$AS$1,0)),INDEX(BAU_Fuel_cons!$E$2:$AS$34,MATCH(D153&amp;"_"&amp;E153,BAU_Fuel_cons!$AT$2:$AT$34,0),MATCH(F153,BAU_Fuel_cons!$E$1:$AS$1,0)))</f>
        <v>32008.936178220731</v>
      </c>
      <c r="H153" s="55">
        <f>G153+10^6*IF($E153="charcoal",params!$P$13*SUMIFS(nonresidential!$L:$L,nonresidential!$A:$A,$F153,nonresidential!$B:$B,$E153,nonresidential!$C:$C,$D153),SUMIFS(nonresidential!$L:$L,nonresidential!$A:$A,$F153,nonresidential!$B:$B,$E153,nonresidential!$C:$C,$D153))</f>
        <v>32008.936178220731</v>
      </c>
      <c r="I153">
        <f>1</f>
        <v>1</v>
      </c>
    </row>
    <row r="154" spans="1:9">
      <c r="A154" t="s">
        <v>211</v>
      </c>
      <c r="B154" t="s">
        <v>162</v>
      </c>
      <c r="C154" t="s">
        <v>269</v>
      </c>
      <c r="D154" t="s">
        <v>25</v>
      </c>
      <c r="E154" t="s">
        <v>10</v>
      </c>
      <c r="F154">
        <v>2039</v>
      </c>
      <c r="G154" s="55">
        <f>10^6*IF($E154="charcoal",params!$P$13*INDEX(BAU_Fuel_cons!$E$2:$AS$34,MATCH(D154&amp;"_"&amp;E154,BAU_Fuel_cons!$AT$2:$AT$34,0),MATCH(F154,BAU_Fuel_cons!$E$1:$AS$1,0)),INDEX(BAU_Fuel_cons!$E$2:$AS$34,MATCH(D154&amp;"_"&amp;E154,BAU_Fuel_cons!$AT$2:$AT$34,0),MATCH(F154,BAU_Fuel_cons!$E$1:$AS$1,0)))</f>
        <v>34406.970413036273</v>
      </c>
      <c r="H154" s="55">
        <f>G154+10^6*IF($E154="charcoal",params!$P$13*SUMIFS(nonresidential!$L:$L,nonresidential!$A:$A,$F154,nonresidential!$B:$B,$E154,nonresidential!$C:$C,$D154),SUMIFS(nonresidential!$L:$L,nonresidential!$A:$A,$F154,nonresidential!$B:$B,$E154,nonresidential!$C:$C,$D154))</f>
        <v>34406.970413036273</v>
      </c>
      <c r="I154">
        <f>1</f>
        <v>1</v>
      </c>
    </row>
    <row r="155" spans="1:9">
      <c r="A155" t="s">
        <v>211</v>
      </c>
      <c r="B155" t="s">
        <v>162</v>
      </c>
      <c r="C155" t="s">
        <v>269</v>
      </c>
      <c r="D155" t="s">
        <v>25</v>
      </c>
      <c r="E155" t="s">
        <v>10</v>
      </c>
      <c r="F155">
        <v>2040</v>
      </c>
      <c r="G155" s="55">
        <f>10^6*IF($E155="charcoal",params!$P$13*INDEX(BAU_Fuel_cons!$E$2:$AS$34,MATCH(D155&amp;"_"&amp;E155,BAU_Fuel_cons!$AT$2:$AT$34,0),MATCH(F155,BAU_Fuel_cons!$E$1:$AS$1,0)),INDEX(BAU_Fuel_cons!$E$2:$AS$34,MATCH(D155&amp;"_"&amp;E155,BAU_Fuel_cons!$AT$2:$AT$34,0),MATCH(F155,BAU_Fuel_cons!$E$1:$AS$1,0)))</f>
        <v>36915.280649669789</v>
      </c>
      <c r="H155" s="55">
        <f>G155+10^6*IF($E155="charcoal",params!$P$13*SUMIFS(nonresidential!$L:$L,nonresidential!$A:$A,$F155,nonresidential!$B:$B,$E155,nonresidential!$C:$C,$D155),SUMIFS(nonresidential!$L:$L,nonresidential!$A:$A,$F155,nonresidential!$B:$B,$E155,nonresidential!$C:$C,$D155))</f>
        <v>36915.280649669789</v>
      </c>
      <c r="I155">
        <f>1</f>
        <v>1</v>
      </c>
    </row>
    <row r="156" spans="1:9">
      <c r="A156" t="s">
        <v>211</v>
      </c>
      <c r="B156" t="s">
        <v>162</v>
      </c>
      <c r="C156" t="s">
        <v>269</v>
      </c>
      <c r="D156" t="s">
        <v>25</v>
      </c>
      <c r="E156" t="s">
        <v>10</v>
      </c>
      <c r="F156">
        <v>2041</v>
      </c>
      <c r="G156" s="55">
        <f>10^6*IF($E156="charcoal",params!$P$13*INDEX(BAU_Fuel_cons!$E$2:$AS$34,MATCH(D156&amp;"_"&amp;E156,BAU_Fuel_cons!$AT$2:$AT$34,0),MATCH(F156,BAU_Fuel_cons!$E$1:$AS$1,0)),INDEX(BAU_Fuel_cons!$E$2:$AS$34,MATCH(D156&amp;"_"&amp;E156,BAU_Fuel_cons!$AT$2:$AT$34,0),MATCH(F156,BAU_Fuel_cons!$E$1:$AS$1,0)))</f>
        <v>39536.428328180729</v>
      </c>
      <c r="H156" s="55">
        <f>G156+10^6*IF($E156="charcoal",params!$P$13*SUMIFS(nonresidential!$L:$L,nonresidential!$A:$A,$F156,nonresidential!$B:$B,$E156,nonresidential!$C:$C,$D156),SUMIFS(nonresidential!$L:$L,nonresidential!$A:$A,$F156,nonresidential!$B:$B,$E156,nonresidential!$C:$C,$D156))</f>
        <v>39536.428328180729</v>
      </c>
      <c r="I156">
        <f>1</f>
        <v>1</v>
      </c>
    </row>
    <row r="157" spans="1:9">
      <c r="A157" t="s">
        <v>211</v>
      </c>
      <c r="B157" t="s">
        <v>162</v>
      </c>
      <c r="C157" t="s">
        <v>269</v>
      </c>
      <c r="D157" t="s">
        <v>25</v>
      </c>
      <c r="E157" t="s">
        <v>10</v>
      </c>
      <c r="F157">
        <v>2042</v>
      </c>
      <c r="G157" s="55">
        <f>10^6*IF($E157="charcoal",params!$P$13*INDEX(BAU_Fuel_cons!$E$2:$AS$34,MATCH(D157&amp;"_"&amp;E157,BAU_Fuel_cons!$AT$2:$AT$34,0),MATCH(F157,BAU_Fuel_cons!$E$1:$AS$1,0)),INDEX(BAU_Fuel_cons!$E$2:$AS$34,MATCH(D157&amp;"_"&amp;E157,BAU_Fuel_cons!$AT$2:$AT$34,0),MATCH(F157,BAU_Fuel_cons!$E$1:$AS$1,0)))</f>
        <v>42272.862298773747</v>
      </c>
      <c r="H157" s="55">
        <f>G157+10^6*IF($E157="charcoal",params!$P$13*SUMIFS(nonresidential!$L:$L,nonresidential!$A:$A,$F157,nonresidential!$B:$B,$E157,nonresidential!$C:$C,$D157),SUMIFS(nonresidential!$L:$L,nonresidential!$A:$A,$F157,nonresidential!$B:$B,$E157,nonresidential!$C:$C,$D157))</f>
        <v>42272.862298773747</v>
      </c>
      <c r="I157">
        <f>1</f>
        <v>1</v>
      </c>
    </row>
    <row r="158" spans="1:9">
      <c r="A158" t="s">
        <v>211</v>
      </c>
      <c r="B158" t="s">
        <v>162</v>
      </c>
      <c r="C158" t="s">
        <v>269</v>
      </c>
      <c r="D158" t="s">
        <v>25</v>
      </c>
      <c r="E158" t="s">
        <v>10</v>
      </c>
      <c r="F158">
        <v>2043</v>
      </c>
      <c r="G158" s="55">
        <f>10^6*IF($E158="charcoal",params!$P$13*INDEX(BAU_Fuel_cons!$E$2:$AS$34,MATCH(D158&amp;"_"&amp;E158,BAU_Fuel_cons!$AT$2:$AT$34,0),MATCH(F158,BAU_Fuel_cons!$E$1:$AS$1,0)),INDEX(BAU_Fuel_cons!$E$2:$AS$34,MATCH(D158&amp;"_"&amp;E158,BAU_Fuel_cons!$AT$2:$AT$34,0),MATCH(F158,BAU_Fuel_cons!$E$1:$AS$1,0)))</f>
        <v>45127.082366092502</v>
      </c>
      <c r="H158" s="55">
        <f>G158+10^6*IF($E158="charcoal",params!$P$13*SUMIFS(nonresidential!$L:$L,nonresidential!$A:$A,$F158,nonresidential!$B:$B,$E158,nonresidential!$C:$C,$D158),SUMIFS(nonresidential!$L:$L,nonresidential!$A:$A,$F158,nonresidential!$B:$B,$E158,nonresidential!$C:$C,$D158))</f>
        <v>45127.082366092502</v>
      </c>
      <c r="I158">
        <f>1</f>
        <v>1</v>
      </c>
    </row>
    <row r="159" spans="1:9">
      <c r="A159" t="s">
        <v>211</v>
      </c>
      <c r="B159" t="s">
        <v>162</v>
      </c>
      <c r="C159" t="s">
        <v>269</v>
      </c>
      <c r="D159" t="s">
        <v>25</v>
      </c>
      <c r="E159" t="s">
        <v>10</v>
      </c>
      <c r="F159">
        <v>2044</v>
      </c>
      <c r="G159" s="55">
        <f>10^6*IF($E159="charcoal",params!$P$13*INDEX(BAU_Fuel_cons!$E$2:$AS$34,MATCH(D159&amp;"_"&amp;E159,BAU_Fuel_cons!$AT$2:$AT$34,0),MATCH(F159,BAU_Fuel_cons!$E$1:$AS$1,0)),INDEX(BAU_Fuel_cons!$E$2:$AS$34,MATCH(D159&amp;"_"&amp;E159,BAU_Fuel_cons!$AT$2:$AT$34,0),MATCH(F159,BAU_Fuel_cons!$E$1:$AS$1,0)))</f>
        <v>48101.548505475228</v>
      </c>
      <c r="H159" s="55">
        <f>G159+10^6*IF($E159="charcoal",params!$P$13*SUMIFS(nonresidential!$L:$L,nonresidential!$A:$A,$F159,nonresidential!$B:$B,$E159,nonresidential!$C:$C,$D159),SUMIFS(nonresidential!$L:$L,nonresidential!$A:$A,$F159,nonresidential!$B:$B,$E159,nonresidential!$C:$C,$D159))</f>
        <v>48101.548505475228</v>
      </c>
      <c r="I159">
        <f>1</f>
        <v>1</v>
      </c>
    </row>
    <row r="160" spans="1:9">
      <c r="A160" t="s">
        <v>211</v>
      </c>
      <c r="B160" t="s">
        <v>162</v>
      </c>
      <c r="C160" t="s">
        <v>269</v>
      </c>
      <c r="D160" t="s">
        <v>25</v>
      </c>
      <c r="E160" t="s">
        <v>10</v>
      </c>
      <c r="F160">
        <v>2045</v>
      </c>
      <c r="G160" s="55">
        <f>10^6*IF($E160="charcoal",params!$P$13*INDEX(BAU_Fuel_cons!$E$2:$AS$34,MATCH(D160&amp;"_"&amp;E160,BAU_Fuel_cons!$AT$2:$AT$34,0),MATCH(F160,BAU_Fuel_cons!$E$1:$AS$1,0)),INDEX(BAU_Fuel_cons!$E$2:$AS$34,MATCH(D160&amp;"_"&amp;E160,BAU_Fuel_cons!$AT$2:$AT$34,0),MATCH(F160,BAU_Fuel_cons!$E$1:$AS$1,0)))</f>
        <v>51198.625549607779</v>
      </c>
      <c r="H160" s="55">
        <f>G160+10^6*IF($E160="charcoal",params!$P$13*SUMIFS(nonresidential!$L:$L,nonresidential!$A:$A,$F160,nonresidential!$B:$B,$E160,nonresidential!$C:$C,$D160),SUMIFS(nonresidential!$L:$L,nonresidential!$A:$A,$F160,nonresidential!$B:$B,$E160,nonresidential!$C:$C,$D160))</f>
        <v>51198.625549607779</v>
      </c>
      <c r="I160">
        <f>1</f>
        <v>1</v>
      </c>
    </row>
    <row r="161" spans="1:9">
      <c r="A161" t="s">
        <v>211</v>
      </c>
      <c r="B161" t="s">
        <v>162</v>
      </c>
      <c r="C161" t="s">
        <v>269</v>
      </c>
      <c r="D161" t="s">
        <v>25</v>
      </c>
      <c r="E161" t="s">
        <v>10</v>
      </c>
      <c r="F161">
        <v>2046</v>
      </c>
      <c r="G161" s="55">
        <f>10^6*IF($E161="charcoal",params!$P$13*INDEX(BAU_Fuel_cons!$E$2:$AS$34,MATCH(D161&amp;"_"&amp;E161,BAU_Fuel_cons!$AT$2:$AT$34,0),MATCH(F161,BAU_Fuel_cons!$E$1:$AS$1,0)),INDEX(BAU_Fuel_cons!$E$2:$AS$34,MATCH(D161&amp;"_"&amp;E161,BAU_Fuel_cons!$AT$2:$AT$34,0),MATCH(F161,BAU_Fuel_cons!$E$1:$AS$1,0)))</f>
        <v>54420.557630616095</v>
      </c>
      <c r="H161" s="55">
        <f>G161+10^6*IF($E161="charcoal",params!$P$13*SUMIFS(nonresidential!$L:$L,nonresidential!$A:$A,$F161,nonresidential!$B:$B,$E161,nonresidential!$C:$C,$D161),SUMIFS(nonresidential!$L:$L,nonresidential!$A:$A,$F161,nonresidential!$B:$B,$E161,nonresidential!$C:$C,$D161))</f>
        <v>54420.557630616095</v>
      </c>
      <c r="I161">
        <f>1</f>
        <v>1</v>
      </c>
    </row>
    <row r="162" spans="1:9">
      <c r="A162" t="s">
        <v>211</v>
      </c>
      <c r="B162" t="s">
        <v>162</v>
      </c>
      <c r="C162" t="s">
        <v>269</v>
      </c>
      <c r="D162" t="s">
        <v>25</v>
      </c>
      <c r="E162" t="s">
        <v>10</v>
      </c>
      <c r="F162">
        <v>2047</v>
      </c>
      <c r="G162" s="55">
        <f>10^6*IF($E162="charcoal",params!$P$13*INDEX(BAU_Fuel_cons!$E$2:$AS$34,MATCH(D162&amp;"_"&amp;E162,BAU_Fuel_cons!$AT$2:$AT$34,0),MATCH(F162,BAU_Fuel_cons!$E$1:$AS$1,0)),INDEX(BAU_Fuel_cons!$E$2:$AS$34,MATCH(D162&amp;"_"&amp;E162,BAU_Fuel_cons!$AT$2:$AT$34,0),MATCH(F162,BAU_Fuel_cons!$E$1:$AS$1,0)))</f>
        <v>57769.415849152938</v>
      </c>
      <c r="H162" s="55">
        <f>G162+10^6*IF($E162="charcoal",params!$P$13*SUMIFS(nonresidential!$L:$L,nonresidential!$A:$A,$F162,nonresidential!$B:$B,$E162,nonresidential!$C:$C,$D162),SUMIFS(nonresidential!$L:$L,nonresidential!$A:$A,$F162,nonresidential!$B:$B,$E162,nonresidential!$C:$C,$D162))</f>
        <v>57769.415849152938</v>
      </c>
      <c r="I162">
        <f>1</f>
        <v>1</v>
      </c>
    </row>
    <row r="163" spans="1:9">
      <c r="A163" t="s">
        <v>211</v>
      </c>
      <c r="B163" t="s">
        <v>162</v>
      </c>
      <c r="C163" t="s">
        <v>269</v>
      </c>
      <c r="D163" t="s">
        <v>25</v>
      </c>
      <c r="E163" t="s">
        <v>10</v>
      </c>
      <c r="F163">
        <v>2048</v>
      </c>
      <c r="G163" s="55">
        <f>10^6*IF($E163="charcoal",params!$P$13*INDEX(BAU_Fuel_cons!$E$2:$AS$34,MATCH(D163&amp;"_"&amp;E163,BAU_Fuel_cons!$AT$2:$AT$34,0),MATCH(F163,BAU_Fuel_cons!$E$1:$AS$1,0)),INDEX(BAU_Fuel_cons!$E$2:$AS$34,MATCH(D163&amp;"_"&amp;E163,BAU_Fuel_cons!$AT$2:$AT$34,0),MATCH(F163,BAU_Fuel_cons!$E$1:$AS$1,0)))</f>
        <v>61247.185070373205</v>
      </c>
      <c r="H163" s="55">
        <f>G163+10^6*IF($E163="charcoal",params!$P$13*SUMIFS(nonresidential!$L:$L,nonresidential!$A:$A,$F163,nonresidential!$B:$B,$E163,nonresidential!$C:$C,$D163),SUMIFS(nonresidential!$L:$L,nonresidential!$A:$A,$F163,nonresidential!$B:$B,$E163,nonresidential!$C:$C,$D163))</f>
        <v>61247.185070373205</v>
      </c>
      <c r="I163">
        <f>1</f>
        <v>1</v>
      </c>
    </row>
    <row r="164" spans="1:9">
      <c r="A164" t="s">
        <v>211</v>
      </c>
      <c r="B164" t="s">
        <v>162</v>
      </c>
      <c r="C164" t="s">
        <v>269</v>
      </c>
      <c r="D164" t="s">
        <v>25</v>
      </c>
      <c r="E164" t="s">
        <v>10</v>
      </c>
      <c r="F164">
        <v>2049</v>
      </c>
      <c r="G164" s="55">
        <f>10^6*IF($E164="charcoal",params!$P$13*INDEX(BAU_Fuel_cons!$E$2:$AS$34,MATCH(D164&amp;"_"&amp;E164,BAU_Fuel_cons!$AT$2:$AT$34,0),MATCH(F164,BAU_Fuel_cons!$E$1:$AS$1,0)),INDEX(BAU_Fuel_cons!$E$2:$AS$34,MATCH(D164&amp;"_"&amp;E164,BAU_Fuel_cons!$AT$2:$AT$34,0),MATCH(F164,BAU_Fuel_cons!$E$1:$AS$1,0)))</f>
        <v>64855.650227149439</v>
      </c>
      <c r="H164" s="55">
        <f>G164+10^6*IF($E164="charcoal",params!$P$13*SUMIFS(nonresidential!$L:$L,nonresidential!$A:$A,$F164,nonresidential!$B:$B,$E164,nonresidential!$C:$C,$D164),SUMIFS(nonresidential!$L:$L,nonresidential!$A:$A,$F164,nonresidential!$B:$B,$E164,nonresidential!$C:$C,$D164))</f>
        <v>64855.650227149439</v>
      </c>
      <c r="I164">
        <f>1</f>
        <v>1</v>
      </c>
    </row>
    <row r="165" spans="1:9">
      <c r="A165" t="s">
        <v>211</v>
      </c>
      <c r="B165" t="s">
        <v>162</v>
      </c>
      <c r="C165" t="s">
        <v>269</v>
      </c>
      <c r="D165" t="s">
        <v>25</v>
      </c>
      <c r="E165" t="s">
        <v>10</v>
      </c>
      <c r="F165">
        <v>2050</v>
      </c>
      <c r="G165" s="55">
        <f>10^6*IF($E165="charcoal",params!$P$13*INDEX(BAU_Fuel_cons!$E$2:$AS$34,MATCH(D165&amp;"_"&amp;E165,BAU_Fuel_cons!$AT$2:$AT$34,0),MATCH(F165,BAU_Fuel_cons!$E$1:$AS$1,0)),INDEX(BAU_Fuel_cons!$E$2:$AS$34,MATCH(D165&amp;"_"&amp;E165,BAU_Fuel_cons!$AT$2:$AT$34,0),MATCH(F165,BAU_Fuel_cons!$E$1:$AS$1,0)))</f>
        <v>68596.48693174604</v>
      </c>
      <c r="H165" s="55">
        <f>G165+10^6*IF($E165="charcoal",params!$P$13*SUMIFS(nonresidential!$L:$L,nonresidential!$A:$A,$F165,nonresidential!$B:$B,$E165,nonresidential!$C:$C,$D165),SUMIFS(nonresidential!$L:$L,nonresidential!$A:$A,$F165,nonresidential!$B:$B,$E165,nonresidential!$C:$C,$D165))</f>
        <v>68596.48693174604</v>
      </c>
      <c r="I165">
        <f>1</f>
        <v>1</v>
      </c>
    </row>
    <row r="166" spans="1:9">
      <c r="A166" t="s">
        <v>211</v>
      </c>
      <c r="B166" t="s">
        <v>162</v>
      </c>
      <c r="C166" t="s">
        <v>269</v>
      </c>
      <c r="D166" t="s">
        <v>25</v>
      </c>
      <c r="E166" t="s">
        <v>43</v>
      </c>
      <c r="F166">
        <v>2010</v>
      </c>
      <c r="G166" s="55">
        <f>10^6*IF($E166="charcoal",params!$P$13*INDEX(BAU_Fuel_cons!$E$2:$AS$34,MATCH(D166&amp;"_"&amp;E166,BAU_Fuel_cons!$AT$2:$AT$34,0),MATCH(F166,BAU_Fuel_cons!$E$1:$AS$1,0)),INDEX(BAU_Fuel_cons!$E$2:$AS$34,MATCH(D166&amp;"_"&amp;E166,BAU_Fuel_cons!$AT$2:$AT$34,0),MATCH(F166,BAU_Fuel_cons!$E$1:$AS$1,0)))</f>
        <v>0</v>
      </c>
      <c r="H166" s="55">
        <f>G166+10^6*IF($E166="charcoal",params!$P$13*SUMIFS(nonresidential!$L:$L,nonresidential!$A:$A,$F166,nonresidential!$B:$B,$E166,nonresidential!$C:$C,$D166),SUMIFS(nonresidential!$L:$L,nonresidential!$A:$A,$F166,nonresidential!$B:$B,$E166,nonresidential!$C:$C,$D166))</f>
        <v>0</v>
      </c>
      <c r="I166">
        <f>1</f>
        <v>1</v>
      </c>
    </row>
    <row r="167" spans="1:9">
      <c r="A167" t="s">
        <v>211</v>
      </c>
      <c r="B167" t="s">
        <v>162</v>
      </c>
      <c r="C167" t="s">
        <v>269</v>
      </c>
      <c r="D167" t="s">
        <v>25</v>
      </c>
      <c r="E167" t="s">
        <v>43</v>
      </c>
      <c r="F167">
        <v>2011</v>
      </c>
      <c r="G167" s="55">
        <f>10^6*IF($E167="charcoal",params!$P$13*INDEX(BAU_Fuel_cons!$E$2:$AS$34,MATCH(D167&amp;"_"&amp;E167,BAU_Fuel_cons!$AT$2:$AT$34,0),MATCH(F167,BAU_Fuel_cons!$E$1:$AS$1,0)),INDEX(BAU_Fuel_cons!$E$2:$AS$34,MATCH(D167&amp;"_"&amp;E167,BAU_Fuel_cons!$AT$2:$AT$34,0),MATCH(F167,BAU_Fuel_cons!$E$1:$AS$1,0)))</f>
        <v>0</v>
      </c>
      <c r="H167" s="55">
        <f>G167+10^6*IF($E167="charcoal",params!$P$13*SUMIFS(nonresidential!$L:$L,nonresidential!$A:$A,$F167,nonresidential!$B:$B,$E167,nonresidential!$C:$C,$D167),SUMIFS(nonresidential!$L:$L,nonresidential!$A:$A,$F167,nonresidential!$B:$B,$E167,nonresidential!$C:$C,$D167))</f>
        <v>0</v>
      </c>
      <c r="I167">
        <f>1</f>
        <v>1</v>
      </c>
    </row>
    <row r="168" spans="1:9">
      <c r="A168" t="s">
        <v>211</v>
      </c>
      <c r="B168" t="s">
        <v>162</v>
      </c>
      <c r="C168" t="s">
        <v>269</v>
      </c>
      <c r="D168" t="s">
        <v>25</v>
      </c>
      <c r="E168" t="s">
        <v>43</v>
      </c>
      <c r="F168">
        <v>2012</v>
      </c>
      <c r="G168" s="55">
        <f>10^6*IF($E168="charcoal",params!$P$13*INDEX(BAU_Fuel_cons!$E$2:$AS$34,MATCH(D168&amp;"_"&amp;E168,BAU_Fuel_cons!$AT$2:$AT$34,0),MATCH(F168,BAU_Fuel_cons!$E$1:$AS$1,0)),INDEX(BAU_Fuel_cons!$E$2:$AS$34,MATCH(D168&amp;"_"&amp;E168,BAU_Fuel_cons!$AT$2:$AT$34,0),MATCH(F168,BAU_Fuel_cons!$E$1:$AS$1,0)))</f>
        <v>112.48644947981602</v>
      </c>
      <c r="H168" s="55">
        <f>G168+10^6*IF($E168="charcoal",params!$P$13*SUMIFS(nonresidential!$L:$L,nonresidential!$A:$A,$F168,nonresidential!$B:$B,$E168,nonresidential!$C:$C,$D168),SUMIFS(nonresidential!$L:$L,nonresidential!$A:$A,$F168,nonresidential!$B:$B,$E168,nonresidential!$C:$C,$D168))</f>
        <v>112.48644947981602</v>
      </c>
      <c r="I168">
        <f>1</f>
        <v>1</v>
      </c>
    </row>
    <row r="169" spans="1:9">
      <c r="A169" t="s">
        <v>211</v>
      </c>
      <c r="B169" t="s">
        <v>162</v>
      </c>
      <c r="C169" t="s">
        <v>269</v>
      </c>
      <c r="D169" t="s">
        <v>25</v>
      </c>
      <c r="E169" t="s">
        <v>43</v>
      </c>
      <c r="F169">
        <v>2013</v>
      </c>
      <c r="G169" s="55">
        <f>10^6*IF($E169="charcoal",params!$P$13*INDEX(BAU_Fuel_cons!$E$2:$AS$34,MATCH(D169&amp;"_"&amp;E169,BAU_Fuel_cons!$AT$2:$AT$34,0),MATCH(F169,BAU_Fuel_cons!$E$1:$AS$1,0)),INDEX(BAU_Fuel_cons!$E$2:$AS$34,MATCH(D169&amp;"_"&amp;E169,BAU_Fuel_cons!$AT$2:$AT$34,0),MATCH(F169,BAU_Fuel_cons!$E$1:$AS$1,0)))</f>
        <v>261.92579425536178</v>
      </c>
      <c r="H169" s="55">
        <f>G169+10^6*IF($E169="charcoal",params!$P$13*SUMIFS(nonresidential!$L:$L,nonresidential!$A:$A,$F169,nonresidential!$B:$B,$E169,nonresidential!$C:$C,$D169),SUMIFS(nonresidential!$L:$L,nonresidential!$A:$A,$F169,nonresidential!$B:$B,$E169,nonresidential!$C:$C,$D169))</f>
        <v>261.92579425536178</v>
      </c>
      <c r="I169">
        <f>1</f>
        <v>1</v>
      </c>
    </row>
    <row r="170" spans="1:9">
      <c r="A170" t="s">
        <v>211</v>
      </c>
      <c r="B170" t="s">
        <v>162</v>
      </c>
      <c r="C170" t="s">
        <v>269</v>
      </c>
      <c r="D170" t="s">
        <v>25</v>
      </c>
      <c r="E170" t="s">
        <v>43</v>
      </c>
      <c r="F170">
        <v>2014</v>
      </c>
      <c r="G170" s="55">
        <f>10^6*IF($E170="charcoal",params!$P$13*INDEX(BAU_Fuel_cons!$E$2:$AS$34,MATCH(D170&amp;"_"&amp;E170,BAU_Fuel_cons!$AT$2:$AT$34,0),MATCH(F170,BAU_Fuel_cons!$E$1:$AS$1,0)),INDEX(BAU_Fuel_cons!$E$2:$AS$34,MATCH(D170&amp;"_"&amp;E170,BAU_Fuel_cons!$AT$2:$AT$34,0),MATCH(F170,BAU_Fuel_cons!$E$1:$AS$1,0)))</f>
        <v>425.19394616500659</v>
      </c>
      <c r="H170" s="55">
        <f>G170+10^6*IF($E170="charcoal",params!$P$13*SUMIFS(nonresidential!$L:$L,nonresidential!$A:$A,$F170,nonresidential!$B:$B,$E170,nonresidential!$C:$C,$D170),SUMIFS(nonresidential!$L:$L,nonresidential!$A:$A,$F170,nonresidential!$B:$B,$E170,nonresidential!$C:$C,$D170))</f>
        <v>425.19394616500659</v>
      </c>
      <c r="I170">
        <f>1</f>
        <v>1</v>
      </c>
    </row>
    <row r="171" spans="1:9">
      <c r="A171" t="s">
        <v>211</v>
      </c>
      <c r="B171" t="s">
        <v>162</v>
      </c>
      <c r="C171" t="s">
        <v>269</v>
      </c>
      <c r="D171" t="s">
        <v>25</v>
      </c>
      <c r="E171" t="s">
        <v>43</v>
      </c>
      <c r="F171">
        <v>2015</v>
      </c>
      <c r="G171" s="55">
        <f>10^6*IF($E171="charcoal",params!$P$13*INDEX(BAU_Fuel_cons!$E$2:$AS$34,MATCH(D171&amp;"_"&amp;E171,BAU_Fuel_cons!$AT$2:$AT$34,0),MATCH(F171,BAU_Fuel_cons!$E$1:$AS$1,0)),INDEX(BAU_Fuel_cons!$E$2:$AS$34,MATCH(D171&amp;"_"&amp;E171,BAU_Fuel_cons!$AT$2:$AT$34,0),MATCH(F171,BAU_Fuel_cons!$E$1:$AS$1,0)))</f>
        <v>603.11798494526613</v>
      </c>
      <c r="H171" s="55">
        <f>G171+10^6*IF($E171="charcoal",params!$P$13*SUMIFS(nonresidential!$L:$L,nonresidential!$A:$A,$F171,nonresidential!$B:$B,$E171,nonresidential!$C:$C,$D171),SUMIFS(nonresidential!$L:$L,nonresidential!$A:$A,$F171,nonresidential!$B:$B,$E171,nonresidential!$C:$C,$D171))</f>
        <v>603.11798494526613</v>
      </c>
      <c r="I171">
        <f>1</f>
        <v>1</v>
      </c>
    </row>
    <row r="172" spans="1:9">
      <c r="A172" t="s">
        <v>211</v>
      </c>
      <c r="B172" t="s">
        <v>162</v>
      </c>
      <c r="C172" t="s">
        <v>269</v>
      </c>
      <c r="D172" t="s">
        <v>25</v>
      </c>
      <c r="E172" t="s">
        <v>43</v>
      </c>
      <c r="F172">
        <v>2016</v>
      </c>
      <c r="G172" s="55">
        <f>10^6*IF($E172="charcoal",params!$P$13*INDEX(BAU_Fuel_cons!$E$2:$AS$34,MATCH(D172&amp;"_"&amp;E172,BAU_Fuel_cons!$AT$2:$AT$34,0),MATCH(F172,BAU_Fuel_cons!$E$1:$AS$1,0)),INDEX(BAU_Fuel_cons!$E$2:$AS$34,MATCH(D172&amp;"_"&amp;E172,BAU_Fuel_cons!$AT$2:$AT$34,0),MATCH(F172,BAU_Fuel_cons!$E$1:$AS$1,0)))</f>
        <v>796.55577542114736</v>
      </c>
      <c r="H172" s="55">
        <f>G172+10^6*IF($E172="charcoal",params!$P$13*SUMIFS(nonresidential!$L:$L,nonresidential!$A:$A,$F172,nonresidential!$B:$B,$E172,nonresidential!$C:$C,$D172),SUMIFS(nonresidential!$L:$L,nonresidential!$A:$A,$F172,nonresidential!$B:$B,$E172,nonresidential!$C:$C,$D172))</f>
        <v>796.55577542114736</v>
      </c>
      <c r="I172">
        <f>1</f>
        <v>1</v>
      </c>
    </row>
    <row r="173" spans="1:9">
      <c r="A173" t="s">
        <v>211</v>
      </c>
      <c r="B173" t="s">
        <v>162</v>
      </c>
      <c r="C173" t="s">
        <v>269</v>
      </c>
      <c r="D173" t="s">
        <v>25</v>
      </c>
      <c r="E173" t="s">
        <v>43</v>
      </c>
      <c r="F173">
        <v>2017</v>
      </c>
      <c r="G173" s="55">
        <f>10^6*IF($E173="charcoal",params!$P$13*INDEX(BAU_Fuel_cons!$E$2:$AS$34,MATCH(D173&amp;"_"&amp;E173,BAU_Fuel_cons!$AT$2:$AT$34,0),MATCH(F173,BAU_Fuel_cons!$E$1:$AS$1,0)),INDEX(BAU_Fuel_cons!$E$2:$AS$34,MATCH(D173&amp;"_"&amp;E173,BAU_Fuel_cons!$AT$2:$AT$34,0),MATCH(F173,BAU_Fuel_cons!$E$1:$AS$1,0)))</f>
        <v>1006.3683157545224</v>
      </c>
      <c r="H173" s="55">
        <f>G173+10^6*IF($E173="charcoal",params!$P$13*SUMIFS(nonresidential!$L:$L,nonresidential!$A:$A,$F173,nonresidential!$B:$B,$E173,nonresidential!$C:$C,$D173),SUMIFS(nonresidential!$L:$L,nonresidential!$A:$A,$F173,nonresidential!$B:$B,$E173,nonresidential!$C:$C,$D173))</f>
        <v>1006.3683157545224</v>
      </c>
      <c r="I173">
        <f>1</f>
        <v>1</v>
      </c>
    </row>
    <row r="174" spans="1:9">
      <c r="A174" t="s">
        <v>211</v>
      </c>
      <c r="B174" t="s">
        <v>162</v>
      </c>
      <c r="C174" t="s">
        <v>269</v>
      </c>
      <c r="D174" t="s">
        <v>25</v>
      </c>
      <c r="E174" t="s">
        <v>43</v>
      </c>
      <c r="F174">
        <v>2018</v>
      </c>
      <c r="G174" s="55">
        <f>10^6*IF($E174="charcoal",params!$P$13*INDEX(BAU_Fuel_cons!$E$2:$AS$34,MATCH(D174&amp;"_"&amp;E174,BAU_Fuel_cons!$AT$2:$AT$34,0),MATCH(F174,BAU_Fuel_cons!$E$1:$AS$1,0)),INDEX(BAU_Fuel_cons!$E$2:$AS$34,MATCH(D174&amp;"_"&amp;E174,BAU_Fuel_cons!$AT$2:$AT$34,0),MATCH(F174,BAU_Fuel_cons!$E$1:$AS$1,0)))</f>
        <v>1233.4267828925292</v>
      </c>
      <c r="H174" s="55">
        <f>G174+10^6*IF($E174="charcoal",params!$P$13*SUMIFS(nonresidential!$L:$L,nonresidential!$A:$A,$F174,nonresidential!$B:$B,$E174,nonresidential!$C:$C,$D174),SUMIFS(nonresidential!$L:$L,nonresidential!$A:$A,$F174,nonresidential!$B:$B,$E174,nonresidential!$C:$C,$D174))</f>
        <v>1233.4267828925292</v>
      </c>
      <c r="I174">
        <f>1</f>
        <v>1</v>
      </c>
    </row>
    <row r="175" spans="1:9">
      <c r="A175" t="s">
        <v>211</v>
      </c>
      <c r="B175" t="s">
        <v>162</v>
      </c>
      <c r="C175" t="s">
        <v>269</v>
      </c>
      <c r="D175" t="s">
        <v>25</v>
      </c>
      <c r="E175" t="s">
        <v>43</v>
      </c>
      <c r="F175">
        <v>2019</v>
      </c>
      <c r="G175" s="55">
        <f>10^6*IF($E175="charcoal",params!$P$13*INDEX(BAU_Fuel_cons!$E$2:$AS$34,MATCH(D175&amp;"_"&amp;E175,BAU_Fuel_cons!$AT$2:$AT$34,0),MATCH(F175,BAU_Fuel_cons!$E$1:$AS$1,0)),INDEX(BAU_Fuel_cons!$E$2:$AS$34,MATCH(D175&amp;"_"&amp;E175,BAU_Fuel_cons!$AT$2:$AT$34,0),MATCH(F175,BAU_Fuel_cons!$E$1:$AS$1,0)))</f>
        <v>1478.5918272879569</v>
      </c>
      <c r="H175" s="55">
        <f>G175+10^6*IF($E175="charcoal",params!$P$13*SUMIFS(nonresidential!$L:$L,nonresidential!$A:$A,$F175,nonresidential!$B:$B,$E175,nonresidential!$C:$C,$D175),SUMIFS(nonresidential!$L:$L,nonresidential!$A:$A,$F175,nonresidential!$B:$B,$E175,nonresidential!$C:$C,$D175))</f>
        <v>1478.5918272879569</v>
      </c>
      <c r="I175">
        <f>1</f>
        <v>1</v>
      </c>
    </row>
    <row r="176" spans="1:9">
      <c r="A176" t="s">
        <v>211</v>
      </c>
      <c r="B176" t="s">
        <v>162</v>
      </c>
      <c r="C176" t="s">
        <v>269</v>
      </c>
      <c r="D176" t="s">
        <v>25</v>
      </c>
      <c r="E176" t="s">
        <v>43</v>
      </c>
      <c r="F176">
        <v>2020</v>
      </c>
      <c r="G176" s="55">
        <f>10^6*IF($E176="charcoal",params!$P$13*INDEX(BAU_Fuel_cons!$E$2:$AS$34,MATCH(D176&amp;"_"&amp;E176,BAU_Fuel_cons!$AT$2:$AT$34,0),MATCH(F176,BAU_Fuel_cons!$E$1:$AS$1,0)),INDEX(BAU_Fuel_cons!$E$2:$AS$34,MATCH(D176&amp;"_"&amp;E176,BAU_Fuel_cons!$AT$2:$AT$34,0),MATCH(F176,BAU_Fuel_cons!$E$1:$AS$1,0)))</f>
        <v>1742.7230150540797</v>
      </c>
      <c r="H176" s="55">
        <f>G176+10^6*IF($E176="charcoal",params!$P$13*SUMIFS(nonresidential!$L:$L,nonresidential!$A:$A,$F176,nonresidential!$B:$B,$E176,nonresidential!$C:$C,$D176),SUMIFS(nonresidential!$L:$L,nonresidential!$A:$A,$F176,nonresidential!$B:$B,$E176,nonresidential!$C:$C,$D176))</f>
        <v>1742.7230150540797</v>
      </c>
      <c r="I176">
        <f>1</f>
        <v>1</v>
      </c>
    </row>
    <row r="177" spans="1:9">
      <c r="A177" t="s">
        <v>211</v>
      </c>
      <c r="B177" t="s">
        <v>162</v>
      </c>
      <c r="C177" t="s">
        <v>269</v>
      </c>
      <c r="D177" t="s">
        <v>25</v>
      </c>
      <c r="E177" t="s">
        <v>43</v>
      </c>
      <c r="F177">
        <v>2021</v>
      </c>
      <c r="G177" s="55">
        <f>10^6*IF($E177="charcoal",params!$P$13*INDEX(BAU_Fuel_cons!$E$2:$AS$34,MATCH(D177&amp;"_"&amp;E177,BAU_Fuel_cons!$AT$2:$AT$34,0),MATCH(F177,BAU_Fuel_cons!$E$1:$AS$1,0)),INDEX(BAU_Fuel_cons!$E$2:$AS$34,MATCH(D177&amp;"_"&amp;E177,BAU_Fuel_cons!$AT$2:$AT$34,0),MATCH(F177,BAU_Fuel_cons!$E$1:$AS$1,0)))</f>
        <v>2026.7035457160703</v>
      </c>
      <c r="H177" s="55">
        <f>G177+10^6*IF($E177="charcoal",params!$P$13*SUMIFS(nonresidential!$L:$L,nonresidential!$A:$A,$F177,nonresidential!$B:$B,$E177,nonresidential!$C:$C,$D177),SUMIFS(nonresidential!$L:$L,nonresidential!$A:$A,$F177,nonresidential!$B:$B,$E177,nonresidential!$C:$C,$D177))</f>
        <v>2026.7035457160703</v>
      </c>
      <c r="I177">
        <f>1</f>
        <v>1</v>
      </c>
    </row>
    <row r="178" spans="1:9">
      <c r="A178" t="s">
        <v>211</v>
      </c>
      <c r="B178" t="s">
        <v>162</v>
      </c>
      <c r="C178" t="s">
        <v>269</v>
      </c>
      <c r="D178" t="s">
        <v>25</v>
      </c>
      <c r="E178" t="s">
        <v>43</v>
      </c>
      <c r="F178">
        <v>2022</v>
      </c>
      <c r="G178" s="55">
        <f>10^6*IF($E178="charcoal",params!$P$13*INDEX(BAU_Fuel_cons!$E$2:$AS$34,MATCH(D178&amp;"_"&amp;E178,BAU_Fuel_cons!$AT$2:$AT$34,0),MATCH(F178,BAU_Fuel_cons!$E$1:$AS$1,0)),INDEX(BAU_Fuel_cons!$E$2:$AS$34,MATCH(D178&amp;"_"&amp;E178,BAU_Fuel_cons!$AT$2:$AT$34,0),MATCH(F178,BAU_Fuel_cons!$E$1:$AS$1,0)))</f>
        <v>2331.423222791419</v>
      </c>
      <c r="H178" s="55">
        <f>G178+10^6*IF($E178="charcoal",params!$P$13*SUMIFS(nonresidential!$L:$L,nonresidential!$A:$A,$F178,nonresidential!$B:$B,$E178,nonresidential!$C:$C,$D178),SUMIFS(nonresidential!$L:$L,nonresidential!$A:$A,$F178,nonresidential!$B:$B,$E178,nonresidential!$C:$C,$D178))</f>
        <v>2331.423222791419</v>
      </c>
      <c r="I178">
        <f>1</f>
        <v>1</v>
      </c>
    </row>
    <row r="179" spans="1:9">
      <c r="A179" t="s">
        <v>211</v>
      </c>
      <c r="B179" t="s">
        <v>162</v>
      </c>
      <c r="C179" t="s">
        <v>269</v>
      </c>
      <c r="D179" t="s">
        <v>25</v>
      </c>
      <c r="E179" t="s">
        <v>43</v>
      </c>
      <c r="F179">
        <v>2023</v>
      </c>
      <c r="G179" s="55">
        <f>10^6*IF($E179="charcoal",params!$P$13*INDEX(BAU_Fuel_cons!$E$2:$AS$34,MATCH(D179&amp;"_"&amp;E179,BAU_Fuel_cons!$AT$2:$AT$34,0),MATCH(F179,BAU_Fuel_cons!$E$1:$AS$1,0)),INDEX(BAU_Fuel_cons!$E$2:$AS$34,MATCH(D179&amp;"_"&amp;E179,BAU_Fuel_cons!$AT$2:$AT$34,0),MATCH(F179,BAU_Fuel_cons!$E$1:$AS$1,0)))</f>
        <v>2657.7294389464937</v>
      </c>
      <c r="H179" s="55">
        <f>G179+10^6*IF($E179="charcoal",params!$P$13*SUMIFS(nonresidential!$L:$L,nonresidential!$A:$A,$F179,nonresidential!$B:$B,$E179,nonresidential!$C:$C,$D179),SUMIFS(nonresidential!$L:$L,nonresidential!$A:$A,$F179,nonresidential!$B:$B,$E179,nonresidential!$C:$C,$D179))</f>
        <v>2657.7294389464937</v>
      </c>
      <c r="I179">
        <f>1</f>
        <v>1</v>
      </c>
    </row>
    <row r="180" spans="1:9">
      <c r="A180" t="s">
        <v>211</v>
      </c>
      <c r="B180" t="s">
        <v>162</v>
      </c>
      <c r="C180" t="s">
        <v>269</v>
      </c>
      <c r="D180" t="s">
        <v>25</v>
      </c>
      <c r="E180" t="s">
        <v>43</v>
      </c>
      <c r="F180">
        <v>2024</v>
      </c>
      <c r="G180" s="55">
        <f>10^6*IF($E180="charcoal",params!$P$13*INDEX(BAU_Fuel_cons!$E$2:$AS$34,MATCH(D180&amp;"_"&amp;E180,BAU_Fuel_cons!$AT$2:$AT$34,0),MATCH(F180,BAU_Fuel_cons!$E$1:$AS$1,0)),INDEX(BAU_Fuel_cons!$E$2:$AS$34,MATCH(D180&amp;"_"&amp;E180,BAU_Fuel_cons!$AT$2:$AT$34,0),MATCH(F180,BAU_Fuel_cons!$E$1:$AS$1,0)))</f>
        <v>3006.4353671668982</v>
      </c>
      <c r="H180" s="55">
        <f>G180+10^6*IF($E180="charcoal",params!$P$13*SUMIFS(nonresidential!$L:$L,nonresidential!$A:$A,$F180,nonresidential!$B:$B,$E180,nonresidential!$C:$C,$D180),SUMIFS(nonresidential!$L:$L,nonresidential!$A:$A,$F180,nonresidential!$B:$B,$E180,nonresidential!$C:$C,$D180))</f>
        <v>3006.4353671668982</v>
      </c>
      <c r="I180">
        <f>1</f>
        <v>1</v>
      </c>
    </row>
    <row r="181" spans="1:9">
      <c r="A181" t="s">
        <v>211</v>
      </c>
      <c r="B181" t="s">
        <v>162</v>
      </c>
      <c r="C181" t="s">
        <v>269</v>
      </c>
      <c r="D181" t="s">
        <v>25</v>
      </c>
      <c r="E181" t="s">
        <v>43</v>
      </c>
      <c r="F181">
        <v>2025</v>
      </c>
      <c r="G181" s="55">
        <f>10^6*IF($E181="charcoal",params!$P$13*INDEX(BAU_Fuel_cons!$E$2:$AS$34,MATCH(D181&amp;"_"&amp;E181,BAU_Fuel_cons!$AT$2:$AT$34,0),MATCH(F181,BAU_Fuel_cons!$E$1:$AS$1,0)),INDEX(BAU_Fuel_cons!$E$2:$AS$34,MATCH(D181&amp;"_"&amp;E181,BAU_Fuel_cons!$AT$2:$AT$34,0),MATCH(F181,BAU_Fuel_cons!$E$1:$AS$1,0)))</f>
        <v>3013.3107736106685</v>
      </c>
      <c r="H181" s="55">
        <f>G181+10^6*IF($E181="charcoal",params!$P$13*SUMIFS(nonresidential!$L:$L,nonresidential!$A:$A,$F181,nonresidential!$B:$B,$E181,nonresidential!$C:$C,$D181),SUMIFS(nonresidential!$L:$L,nonresidential!$A:$A,$F181,nonresidential!$B:$B,$E181,nonresidential!$C:$C,$D181))</f>
        <v>3013.3107736106685</v>
      </c>
      <c r="I181">
        <f>1</f>
        <v>1</v>
      </c>
    </row>
    <row r="182" spans="1:9">
      <c r="A182" t="s">
        <v>211</v>
      </c>
      <c r="B182" t="s">
        <v>162</v>
      </c>
      <c r="C182" t="s">
        <v>269</v>
      </c>
      <c r="D182" t="s">
        <v>25</v>
      </c>
      <c r="E182" t="s">
        <v>43</v>
      </c>
      <c r="F182">
        <v>2026</v>
      </c>
      <c r="G182" s="55">
        <f>10^6*IF($E182="charcoal",params!$P$13*INDEX(BAU_Fuel_cons!$E$2:$AS$34,MATCH(D182&amp;"_"&amp;E182,BAU_Fuel_cons!$AT$2:$AT$34,0),MATCH(F182,BAU_Fuel_cons!$E$1:$AS$1,0)),INDEX(BAU_Fuel_cons!$E$2:$AS$34,MATCH(D182&amp;"_"&amp;E182,BAU_Fuel_cons!$AT$2:$AT$34,0),MATCH(F182,BAU_Fuel_cons!$E$1:$AS$1,0)))</f>
        <v>3013.6721805437064</v>
      </c>
      <c r="H182" s="55">
        <f>G182+10^6*IF($E182="charcoal",params!$P$13*SUMIFS(nonresidential!$L:$L,nonresidential!$A:$A,$F182,nonresidential!$B:$B,$E182,nonresidential!$C:$C,$D182),SUMIFS(nonresidential!$L:$L,nonresidential!$A:$A,$F182,nonresidential!$B:$B,$E182,nonresidential!$C:$C,$D182))</f>
        <v>3013.6721805437064</v>
      </c>
      <c r="I182">
        <f>1</f>
        <v>1</v>
      </c>
    </row>
    <row r="183" spans="1:9">
      <c r="A183" t="s">
        <v>211</v>
      </c>
      <c r="B183" t="s">
        <v>162</v>
      </c>
      <c r="C183" t="s">
        <v>269</v>
      </c>
      <c r="D183" t="s">
        <v>25</v>
      </c>
      <c r="E183" t="s">
        <v>43</v>
      </c>
      <c r="F183">
        <v>2027</v>
      </c>
      <c r="G183" s="55">
        <f>10^6*IF($E183="charcoal",params!$P$13*INDEX(BAU_Fuel_cons!$E$2:$AS$34,MATCH(D183&amp;"_"&amp;E183,BAU_Fuel_cons!$AT$2:$AT$34,0),MATCH(F183,BAU_Fuel_cons!$E$1:$AS$1,0)),INDEX(BAU_Fuel_cons!$E$2:$AS$34,MATCH(D183&amp;"_"&amp;E183,BAU_Fuel_cons!$AT$2:$AT$34,0),MATCH(F183,BAU_Fuel_cons!$E$1:$AS$1,0)))</f>
        <v>3007.0657085599232</v>
      </c>
      <c r="H183" s="55">
        <f>G183+10^6*IF($E183="charcoal",params!$P$13*SUMIFS(nonresidential!$L:$L,nonresidential!$A:$A,$F183,nonresidential!$B:$B,$E183,nonresidential!$C:$C,$D183),SUMIFS(nonresidential!$L:$L,nonresidential!$A:$A,$F183,nonresidential!$B:$B,$E183,nonresidential!$C:$C,$D183))</f>
        <v>3007.0657085599232</v>
      </c>
      <c r="I183">
        <f>1</f>
        <v>1</v>
      </c>
    </row>
    <row r="184" spans="1:9">
      <c r="A184" t="s">
        <v>211</v>
      </c>
      <c r="B184" t="s">
        <v>162</v>
      </c>
      <c r="C184" t="s">
        <v>269</v>
      </c>
      <c r="D184" t="s">
        <v>25</v>
      </c>
      <c r="E184" t="s">
        <v>43</v>
      </c>
      <c r="F184">
        <v>2028</v>
      </c>
      <c r="G184" s="55">
        <f>10^6*IF($E184="charcoal",params!$P$13*INDEX(BAU_Fuel_cons!$E$2:$AS$34,MATCH(D184&amp;"_"&amp;E184,BAU_Fuel_cons!$AT$2:$AT$34,0),MATCH(F184,BAU_Fuel_cons!$E$1:$AS$1,0)),INDEX(BAU_Fuel_cons!$E$2:$AS$34,MATCH(D184&amp;"_"&amp;E184,BAU_Fuel_cons!$AT$2:$AT$34,0),MATCH(F184,BAU_Fuel_cons!$E$1:$AS$1,0)))</f>
        <v>2993.0057927114626</v>
      </c>
      <c r="H184" s="55">
        <f>G184+10^6*IF($E184="charcoal",params!$P$13*SUMIFS(nonresidential!$L:$L,nonresidential!$A:$A,$F184,nonresidential!$B:$B,$E184,nonresidential!$C:$C,$D184),SUMIFS(nonresidential!$L:$L,nonresidential!$A:$A,$F184,nonresidential!$B:$B,$E184,nonresidential!$C:$C,$D184))</f>
        <v>2993.0057927114626</v>
      </c>
      <c r="I184">
        <f>1</f>
        <v>1</v>
      </c>
    </row>
    <row r="185" spans="1:9">
      <c r="A185" t="s">
        <v>211</v>
      </c>
      <c r="B185" t="s">
        <v>162</v>
      </c>
      <c r="C185" t="s">
        <v>269</v>
      </c>
      <c r="D185" t="s">
        <v>25</v>
      </c>
      <c r="E185" t="s">
        <v>43</v>
      </c>
      <c r="F185">
        <v>2029</v>
      </c>
      <c r="G185" s="55">
        <f>10^6*IF($E185="charcoal",params!$P$13*INDEX(BAU_Fuel_cons!$E$2:$AS$34,MATCH(D185&amp;"_"&amp;E185,BAU_Fuel_cons!$AT$2:$AT$34,0),MATCH(F185,BAU_Fuel_cons!$E$1:$AS$1,0)),INDEX(BAU_Fuel_cons!$E$2:$AS$34,MATCH(D185&amp;"_"&amp;E185,BAU_Fuel_cons!$AT$2:$AT$34,0),MATCH(F185,BAU_Fuel_cons!$E$1:$AS$1,0)))</f>
        <v>2970.9998095709889</v>
      </c>
      <c r="H185" s="55">
        <f>G185+10^6*IF($E185="charcoal",params!$P$13*SUMIFS(nonresidential!$L:$L,nonresidential!$A:$A,$F185,nonresidential!$B:$B,$E185,nonresidential!$C:$C,$D185),SUMIFS(nonresidential!$L:$L,nonresidential!$A:$A,$F185,nonresidential!$B:$B,$E185,nonresidential!$C:$C,$D185))</f>
        <v>2970.9998095709889</v>
      </c>
      <c r="I185">
        <f>1</f>
        <v>1</v>
      </c>
    </row>
    <row r="186" spans="1:9">
      <c r="A186" t="s">
        <v>211</v>
      </c>
      <c r="B186" t="s">
        <v>162</v>
      </c>
      <c r="C186" t="s">
        <v>269</v>
      </c>
      <c r="D186" t="s">
        <v>25</v>
      </c>
      <c r="E186" t="s">
        <v>43</v>
      </c>
      <c r="F186">
        <v>2030</v>
      </c>
      <c r="G186" s="55">
        <f>10^6*IF($E186="charcoal",params!$P$13*INDEX(BAU_Fuel_cons!$E$2:$AS$34,MATCH(D186&amp;"_"&amp;E186,BAU_Fuel_cons!$AT$2:$AT$34,0),MATCH(F186,BAU_Fuel_cons!$E$1:$AS$1,0)),INDEX(BAU_Fuel_cons!$E$2:$AS$34,MATCH(D186&amp;"_"&amp;E186,BAU_Fuel_cons!$AT$2:$AT$34,0),MATCH(F186,BAU_Fuel_cons!$E$1:$AS$1,0)))</f>
        <v>2940.5753341026352</v>
      </c>
      <c r="H186" s="55">
        <f>G186+10^6*IF($E186="charcoal",params!$P$13*SUMIFS(nonresidential!$L:$L,nonresidential!$A:$A,$F186,nonresidential!$B:$B,$E186,nonresidential!$C:$C,$D186),SUMIFS(nonresidential!$L:$L,nonresidential!$A:$A,$F186,nonresidential!$B:$B,$E186,nonresidential!$C:$C,$D186))</f>
        <v>2940.5753341026352</v>
      </c>
      <c r="I186">
        <f>1</f>
        <v>1</v>
      </c>
    </row>
    <row r="187" spans="1:9">
      <c r="A187" t="s">
        <v>211</v>
      </c>
      <c r="B187" t="s">
        <v>162</v>
      </c>
      <c r="C187" t="s">
        <v>269</v>
      </c>
      <c r="D187" t="s">
        <v>25</v>
      </c>
      <c r="E187" t="s">
        <v>43</v>
      </c>
      <c r="F187">
        <v>2031</v>
      </c>
      <c r="G187" s="55">
        <f>10^6*IF($E187="charcoal",params!$P$13*INDEX(BAU_Fuel_cons!$E$2:$AS$34,MATCH(D187&amp;"_"&amp;E187,BAU_Fuel_cons!$AT$2:$AT$34,0),MATCH(F187,BAU_Fuel_cons!$E$1:$AS$1,0)),INDEX(BAU_Fuel_cons!$E$2:$AS$34,MATCH(D187&amp;"_"&amp;E187,BAU_Fuel_cons!$AT$2:$AT$34,0),MATCH(F187,BAU_Fuel_cons!$E$1:$AS$1,0)))</f>
        <v>2901.2792539278366</v>
      </c>
      <c r="H187" s="55">
        <f>G187+10^6*IF($E187="charcoal",params!$P$13*SUMIFS(nonresidential!$L:$L,nonresidential!$A:$A,$F187,nonresidential!$B:$B,$E187,nonresidential!$C:$C,$D187),SUMIFS(nonresidential!$L:$L,nonresidential!$A:$A,$F187,nonresidential!$B:$B,$E187,nonresidential!$C:$C,$D187))</f>
        <v>2901.2792539278366</v>
      </c>
      <c r="I187">
        <f>1</f>
        <v>1</v>
      </c>
    </row>
    <row r="188" spans="1:9">
      <c r="A188" t="s">
        <v>211</v>
      </c>
      <c r="B188" t="s">
        <v>162</v>
      </c>
      <c r="C188" t="s">
        <v>269</v>
      </c>
      <c r="D188" t="s">
        <v>25</v>
      </c>
      <c r="E188" t="s">
        <v>43</v>
      </c>
      <c r="F188">
        <v>2032</v>
      </c>
      <c r="G188" s="55">
        <f>10^6*IF($E188="charcoal",params!$P$13*INDEX(BAU_Fuel_cons!$E$2:$AS$34,MATCH(D188&amp;"_"&amp;E188,BAU_Fuel_cons!$AT$2:$AT$34,0),MATCH(F188,BAU_Fuel_cons!$E$1:$AS$1,0)),INDEX(BAU_Fuel_cons!$E$2:$AS$34,MATCH(D188&amp;"_"&amp;E188,BAU_Fuel_cons!$AT$2:$AT$34,0),MATCH(F188,BAU_Fuel_cons!$E$1:$AS$1,0)))</f>
        <v>2852.6773766802908</v>
      </c>
      <c r="H188" s="55">
        <f>G188+10^6*IF($E188="charcoal",params!$P$13*SUMIFS(nonresidential!$L:$L,nonresidential!$A:$A,$F188,nonresidential!$B:$B,$E188,nonresidential!$C:$C,$D188),SUMIFS(nonresidential!$L:$L,nonresidential!$A:$A,$F188,nonresidential!$B:$B,$E188,nonresidential!$C:$C,$D188))</f>
        <v>2852.6773766802908</v>
      </c>
      <c r="I188">
        <f>1</f>
        <v>1</v>
      </c>
    </row>
    <row r="189" spans="1:9">
      <c r="A189" t="s">
        <v>211</v>
      </c>
      <c r="B189" t="s">
        <v>162</v>
      </c>
      <c r="C189" t="s">
        <v>269</v>
      </c>
      <c r="D189" t="s">
        <v>25</v>
      </c>
      <c r="E189" t="s">
        <v>43</v>
      </c>
      <c r="F189">
        <v>2033</v>
      </c>
      <c r="G189" s="55">
        <f>10^6*IF($E189="charcoal",params!$P$13*INDEX(BAU_Fuel_cons!$E$2:$AS$34,MATCH(D189&amp;"_"&amp;E189,BAU_Fuel_cons!$AT$2:$AT$34,0),MATCH(F189,BAU_Fuel_cons!$E$1:$AS$1,0)),INDEX(BAU_Fuel_cons!$E$2:$AS$34,MATCH(D189&amp;"_"&amp;E189,BAU_Fuel_cons!$AT$2:$AT$34,0),MATCH(F189,BAU_Fuel_cons!$E$1:$AS$1,0)))</f>
        <v>2794.3221144058589</v>
      </c>
      <c r="H189" s="55">
        <f>G189+10^6*IF($E189="charcoal",params!$P$13*SUMIFS(nonresidential!$L:$L,nonresidential!$A:$A,$F189,nonresidential!$B:$B,$E189,nonresidential!$C:$C,$D189),SUMIFS(nonresidential!$L:$L,nonresidential!$A:$A,$F189,nonresidential!$B:$B,$E189,nonresidential!$C:$C,$D189))</f>
        <v>2794.3221144058589</v>
      </c>
      <c r="I189">
        <f>1</f>
        <v>1</v>
      </c>
    </row>
    <row r="190" spans="1:9">
      <c r="A190" t="s">
        <v>211</v>
      </c>
      <c r="B190" t="s">
        <v>162</v>
      </c>
      <c r="C190" t="s">
        <v>269</v>
      </c>
      <c r="D190" t="s">
        <v>25</v>
      </c>
      <c r="E190" t="s">
        <v>43</v>
      </c>
      <c r="F190">
        <v>2034</v>
      </c>
      <c r="G190" s="55">
        <f>10^6*IF($E190="charcoal",params!$P$13*INDEX(BAU_Fuel_cons!$E$2:$AS$34,MATCH(D190&amp;"_"&amp;E190,BAU_Fuel_cons!$AT$2:$AT$34,0),MATCH(F190,BAU_Fuel_cons!$E$1:$AS$1,0)),INDEX(BAU_Fuel_cons!$E$2:$AS$34,MATCH(D190&amp;"_"&amp;E190,BAU_Fuel_cons!$AT$2:$AT$34,0),MATCH(F190,BAU_Fuel_cons!$E$1:$AS$1,0)))</f>
        <v>2725.7253727921129</v>
      </c>
      <c r="H190" s="55">
        <f>G190+10^6*IF($E190="charcoal",params!$P$13*SUMIFS(nonresidential!$L:$L,nonresidential!$A:$A,$F190,nonresidential!$B:$B,$E190,nonresidential!$C:$C,$D190),SUMIFS(nonresidential!$L:$L,nonresidential!$A:$A,$F190,nonresidential!$B:$B,$E190,nonresidential!$C:$C,$D190))</f>
        <v>2725.7253727921129</v>
      </c>
      <c r="I190">
        <f>1</f>
        <v>1</v>
      </c>
    </row>
    <row r="191" spans="1:9">
      <c r="A191" t="s">
        <v>211</v>
      </c>
      <c r="B191" t="s">
        <v>162</v>
      </c>
      <c r="C191" t="s">
        <v>269</v>
      </c>
      <c r="D191" t="s">
        <v>25</v>
      </c>
      <c r="E191" t="s">
        <v>43</v>
      </c>
      <c r="F191">
        <v>2035</v>
      </c>
      <c r="G191" s="55">
        <f>10^6*IF($E191="charcoal",params!$P$13*INDEX(BAU_Fuel_cons!$E$2:$AS$34,MATCH(D191&amp;"_"&amp;E191,BAU_Fuel_cons!$AT$2:$AT$34,0),MATCH(F191,BAU_Fuel_cons!$E$1:$AS$1,0)),INDEX(BAU_Fuel_cons!$E$2:$AS$34,MATCH(D191&amp;"_"&amp;E191,BAU_Fuel_cons!$AT$2:$AT$34,0),MATCH(F191,BAU_Fuel_cons!$E$1:$AS$1,0)))</f>
        <v>2647.3075651037625</v>
      </c>
      <c r="H191" s="55">
        <f>G191+10^6*IF($E191="charcoal",params!$P$13*SUMIFS(nonresidential!$L:$L,nonresidential!$A:$A,$F191,nonresidential!$B:$B,$E191,nonresidential!$C:$C,$D191),SUMIFS(nonresidential!$L:$L,nonresidential!$A:$A,$F191,nonresidential!$B:$B,$E191,nonresidential!$C:$C,$D191))</f>
        <v>2647.3075651037625</v>
      </c>
      <c r="I191">
        <f>1</f>
        <v>1</v>
      </c>
    </row>
    <row r="192" spans="1:9">
      <c r="A192" t="s">
        <v>211</v>
      </c>
      <c r="B192" t="s">
        <v>162</v>
      </c>
      <c r="C192" t="s">
        <v>269</v>
      </c>
      <c r="D192" t="s">
        <v>25</v>
      </c>
      <c r="E192" t="s">
        <v>43</v>
      </c>
      <c r="F192">
        <v>2036</v>
      </c>
      <c r="G192" s="55">
        <f>10^6*IF($E192="charcoal",params!$P$13*INDEX(BAU_Fuel_cons!$E$2:$AS$34,MATCH(D192&amp;"_"&amp;E192,BAU_Fuel_cons!$AT$2:$AT$34,0),MATCH(F192,BAU_Fuel_cons!$E$1:$AS$1,0)),INDEX(BAU_Fuel_cons!$E$2:$AS$34,MATCH(D192&amp;"_"&amp;E192,BAU_Fuel_cons!$AT$2:$AT$34,0),MATCH(F192,BAU_Fuel_cons!$E$1:$AS$1,0)))</f>
        <v>2558.5120941654545</v>
      </c>
      <c r="H192" s="55">
        <f>G192+10^6*IF($E192="charcoal",params!$P$13*SUMIFS(nonresidential!$L:$L,nonresidential!$A:$A,$F192,nonresidential!$B:$B,$E192,nonresidential!$C:$C,$D192),SUMIFS(nonresidential!$L:$L,nonresidential!$A:$A,$F192,nonresidential!$B:$B,$E192,nonresidential!$C:$C,$D192))</f>
        <v>2558.5120941654545</v>
      </c>
      <c r="I192">
        <f>1</f>
        <v>1</v>
      </c>
    </row>
    <row r="193" spans="1:9">
      <c r="A193" t="s">
        <v>211</v>
      </c>
      <c r="B193" t="s">
        <v>162</v>
      </c>
      <c r="C193" t="s">
        <v>269</v>
      </c>
      <c r="D193" t="s">
        <v>25</v>
      </c>
      <c r="E193" t="s">
        <v>43</v>
      </c>
      <c r="F193">
        <v>2037</v>
      </c>
      <c r="G193" s="55">
        <f>10^6*IF($E193="charcoal",params!$P$13*INDEX(BAU_Fuel_cons!$E$2:$AS$34,MATCH(D193&amp;"_"&amp;E193,BAU_Fuel_cons!$AT$2:$AT$34,0),MATCH(F193,BAU_Fuel_cons!$E$1:$AS$1,0)),INDEX(BAU_Fuel_cons!$E$2:$AS$34,MATCH(D193&amp;"_"&amp;E193,BAU_Fuel_cons!$AT$2:$AT$34,0),MATCH(F193,BAU_Fuel_cons!$E$1:$AS$1,0)))</f>
        <v>2458.9294768546956</v>
      </c>
      <c r="H193" s="55">
        <f>G193+10^6*IF($E193="charcoal",params!$P$13*SUMIFS(nonresidential!$L:$L,nonresidential!$A:$A,$F193,nonresidential!$B:$B,$E193,nonresidential!$C:$C,$D193),SUMIFS(nonresidential!$L:$L,nonresidential!$A:$A,$F193,nonresidential!$B:$B,$E193,nonresidential!$C:$C,$D193))</f>
        <v>2458.9294768546956</v>
      </c>
      <c r="I193">
        <f>1</f>
        <v>1</v>
      </c>
    </row>
    <row r="194" spans="1:9">
      <c r="A194" t="s">
        <v>211</v>
      </c>
      <c r="B194" t="s">
        <v>162</v>
      </c>
      <c r="C194" t="s">
        <v>269</v>
      </c>
      <c r="D194" t="s">
        <v>25</v>
      </c>
      <c r="E194" t="s">
        <v>43</v>
      </c>
      <c r="F194">
        <v>2038</v>
      </c>
      <c r="G194" s="55">
        <f>10^6*IF($E194="charcoal",params!$P$13*INDEX(BAU_Fuel_cons!$E$2:$AS$34,MATCH(D194&amp;"_"&amp;E194,BAU_Fuel_cons!$AT$2:$AT$34,0),MATCH(F194,BAU_Fuel_cons!$E$1:$AS$1,0)),INDEX(BAU_Fuel_cons!$E$2:$AS$34,MATCH(D194&amp;"_"&amp;E194,BAU_Fuel_cons!$AT$2:$AT$34,0),MATCH(F194,BAU_Fuel_cons!$E$1:$AS$1,0)))</f>
        <v>2348.1677621066856</v>
      </c>
      <c r="H194" s="55">
        <f>G194+10^6*IF($E194="charcoal",params!$P$13*SUMIFS(nonresidential!$L:$L,nonresidential!$A:$A,$F194,nonresidential!$B:$B,$E194,nonresidential!$C:$C,$D194),SUMIFS(nonresidential!$L:$L,nonresidential!$A:$A,$F194,nonresidential!$B:$B,$E194,nonresidential!$C:$C,$D194))</f>
        <v>2348.1677621066856</v>
      </c>
      <c r="I194">
        <f>1</f>
        <v>1</v>
      </c>
    </row>
    <row r="195" spans="1:9">
      <c r="A195" t="s">
        <v>211</v>
      </c>
      <c r="B195" t="s">
        <v>162</v>
      </c>
      <c r="C195" t="s">
        <v>269</v>
      </c>
      <c r="D195" t="s">
        <v>25</v>
      </c>
      <c r="E195" t="s">
        <v>43</v>
      </c>
      <c r="F195">
        <v>2039</v>
      </c>
      <c r="G195" s="55">
        <f>10^6*IF($E195="charcoal",params!$P$13*INDEX(BAU_Fuel_cons!$E$2:$AS$34,MATCH(D195&amp;"_"&amp;E195,BAU_Fuel_cons!$AT$2:$AT$34,0),MATCH(F195,BAU_Fuel_cons!$E$1:$AS$1,0)),INDEX(BAU_Fuel_cons!$E$2:$AS$34,MATCH(D195&amp;"_"&amp;E195,BAU_Fuel_cons!$AT$2:$AT$34,0),MATCH(F195,BAU_Fuel_cons!$E$1:$AS$1,0)))</f>
        <v>2225.8363046296704</v>
      </c>
      <c r="H195" s="55">
        <f>G195+10^6*IF($E195="charcoal",params!$P$13*SUMIFS(nonresidential!$L:$L,nonresidential!$A:$A,$F195,nonresidential!$B:$B,$E195,nonresidential!$C:$C,$D195),SUMIFS(nonresidential!$L:$L,nonresidential!$A:$A,$F195,nonresidential!$B:$B,$E195,nonresidential!$C:$C,$D195))</f>
        <v>2225.8363046296704</v>
      </c>
      <c r="I195">
        <f>1</f>
        <v>1</v>
      </c>
    </row>
    <row r="196" spans="1:9">
      <c r="A196" t="s">
        <v>211</v>
      </c>
      <c r="B196" t="s">
        <v>162</v>
      </c>
      <c r="C196" t="s">
        <v>269</v>
      </c>
      <c r="D196" t="s">
        <v>25</v>
      </c>
      <c r="E196" t="s">
        <v>43</v>
      </c>
      <c r="F196">
        <v>2040</v>
      </c>
      <c r="G196" s="55">
        <f>10^6*IF($E196="charcoal",params!$P$13*INDEX(BAU_Fuel_cons!$E$2:$AS$34,MATCH(D196&amp;"_"&amp;E196,BAU_Fuel_cons!$AT$2:$AT$34,0),MATCH(F196,BAU_Fuel_cons!$E$1:$AS$1,0)),INDEX(BAU_Fuel_cons!$E$2:$AS$34,MATCH(D196&amp;"_"&amp;E196,BAU_Fuel_cons!$AT$2:$AT$34,0),MATCH(F196,BAU_Fuel_cons!$E$1:$AS$1,0)))</f>
        <v>2091.5350356508884</v>
      </c>
      <c r="H196" s="55">
        <f>G196+10^6*IF($E196="charcoal",params!$P$13*SUMIFS(nonresidential!$L:$L,nonresidential!$A:$A,$F196,nonresidential!$B:$B,$E196,nonresidential!$C:$C,$D196),SUMIFS(nonresidential!$L:$L,nonresidential!$A:$A,$F196,nonresidential!$B:$B,$E196,nonresidential!$C:$C,$D196))</f>
        <v>2091.5350356508884</v>
      </c>
      <c r="I196">
        <f>1</f>
        <v>1</v>
      </c>
    </row>
    <row r="197" spans="1:9">
      <c r="A197" t="s">
        <v>211</v>
      </c>
      <c r="B197" t="s">
        <v>162</v>
      </c>
      <c r="C197" t="s">
        <v>269</v>
      </c>
      <c r="D197" t="s">
        <v>25</v>
      </c>
      <c r="E197" t="s">
        <v>43</v>
      </c>
      <c r="F197">
        <v>2041</v>
      </c>
      <c r="G197" s="55">
        <f>10^6*IF($E197="charcoal",params!$P$13*INDEX(BAU_Fuel_cons!$E$2:$AS$34,MATCH(D197&amp;"_"&amp;E197,BAU_Fuel_cons!$AT$2:$AT$34,0),MATCH(F197,BAU_Fuel_cons!$E$1:$AS$1,0)),INDEX(BAU_Fuel_cons!$E$2:$AS$34,MATCH(D197&amp;"_"&amp;E197,BAU_Fuel_cons!$AT$2:$AT$34,0),MATCH(F197,BAU_Fuel_cons!$E$1:$AS$1,0)))</f>
        <v>1944.8497603073395</v>
      </c>
      <c r="H197" s="55">
        <f>G197+10^6*IF($E197="charcoal",params!$P$13*SUMIFS(nonresidential!$L:$L,nonresidential!$A:$A,$F197,nonresidential!$B:$B,$E197,nonresidential!$C:$C,$D197),SUMIFS(nonresidential!$L:$L,nonresidential!$A:$A,$F197,nonresidential!$B:$B,$E197,nonresidential!$C:$C,$D197))</f>
        <v>1944.8497603073395</v>
      </c>
      <c r="I197">
        <f>1</f>
        <v>1</v>
      </c>
    </row>
    <row r="198" spans="1:9">
      <c r="A198" t="s">
        <v>211</v>
      </c>
      <c r="B198" t="s">
        <v>162</v>
      </c>
      <c r="C198" t="s">
        <v>269</v>
      </c>
      <c r="D198" t="s">
        <v>25</v>
      </c>
      <c r="E198" t="s">
        <v>43</v>
      </c>
      <c r="F198">
        <v>2042</v>
      </c>
      <c r="G198" s="55">
        <f>10^6*IF($E198="charcoal",params!$P$13*INDEX(BAU_Fuel_cons!$E$2:$AS$34,MATCH(D198&amp;"_"&amp;E198,BAU_Fuel_cons!$AT$2:$AT$34,0),MATCH(F198,BAU_Fuel_cons!$E$1:$AS$1,0)),INDEX(BAU_Fuel_cons!$E$2:$AS$34,MATCH(D198&amp;"_"&amp;E198,BAU_Fuel_cons!$AT$2:$AT$34,0),MATCH(F198,BAU_Fuel_cons!$E$1:$AS$1,0)))</f>
        <v>1785.3639461283335</v>
      </c>
      <c r="H198" s="55">
        <f>G198+10^6*IF($E198="charcoal",params!$P$13*SUMIFS(nonresidential!$L:$L,nonresidential!$A:$A,$F198,nonresidential!$B:$B,$E198,nonresidential!$C:$C,$D198),SUMIFS(nonresidential!$L:$L,nonresidential!$A:$A,$F198,nonresidential!$B:$B,$E198,nonresidential!$C:$C,$D198))</f>
        <v>1785.3639461283335</v>
      </c>
      <c r="I198">
        <f>1</f>
        <v>1</v>
      </c>
    </row>
    <row r="199" spans="1:9">
      <c r="A199" t="s">
        <v>211</v>
      </c>
      <c r="B199" t="s">
        <v>162</v>
      </c>
      <c r="C199" t="s">
        <v>269</v>
      </c>
      <c r="D199" t="s">
        <v>25</v>
      </c>
      <c r="E199" t="s">
        <v>43</v>
      </c>
      <c r="F199">
        <v>2043</v>
      </c>
      <c r="G199" s="55">
        <f>10^6*IF($E199="charcoal",params!$P$13*INDEX(BAU_Fuel_cons!$E$2:$AS$34,MATCH(D199&amp;"_"&amp;E199,BAU_Fuel_cons!$AT$2:$AT$34,0),MATCH(F199,BAU_Fuel_cons!$E$1:$AS$1,0)),INDEX(BAU_Fuel_cons!$E$2:$AS$34,MATCH(D199&amp;"_"&amp;E199,BAU_Fuel_cons!$AT$2:$AT$34,0),MATCH(F199,BAU_Fuel_cons!$E$1:$AS$1,0)))</f>
        <v>1612.6678269216964</v>
      </c>
      <c r="H199" s="55">
        <f>G199+10^6*IF($E199="charcoal",params!$P$13*SUMIFS(nonresidential!$L:$L,nonresidential!$A:$A,$F199,nonresidential!$B:$B,$E199,nonresidential!$C:$C,$D199),SUMIFS(nonresidential!$L:$L,nonresidential!$A:$A,$F199,nonresidential!$B:$B,$E199,nonresidential!$C:$C,$D199))</f>
        <v>1612.6678269216964</v>
      </c>
      <c r="I199">
        <f>1</f>
        <v>1</v>
      </c>
    </row>
    <row r="200" spans="1:9">
      <c r="A200" t="s">
        <v>211</v>
      </c>
      <c r="B200" t="s">
        <v>162</v>
      </c>
      <c r="C200" t="s">
        <v>269</v>
      </c>
      <c r="D200" t="s">
        <v>25</v>
      </c>
      <c r="E200" t="s">
        <v>43</v>
      </c>
      <c r="F200">
        <v>2044</v>
      </c>
      <c r="G200" s="55">
        <f>10^6*IF($E200="charcoal",params!$P$13*INDEX(BAU_Fuel_cons!$E$2:$AS$34,MATCH(D200&amp;"_"&amp;E200,BAU_Fuel_cons!$AT$2:$AT$34,0),MATCH(F200,BAU_Fuel_cons!$E$1:$AS$1,0)),INDEX(BAU_Fuel_cons!$E$2:$AS$34,MATCH(D200&amp;"_"&amp;E200,BAU_Fuel_cons!$AT$2:$AT$34,0),MATCH(F200,BAU_Fuel_cons!$E$1:$AS$1,0)))</f>
        <v>1426.3533714384623</v>
      </c>
      <c r="H200" s="55">
        <f>G200+10^6*IF($E200="charcoal",params!$P$13*SUMIFS(nonresidential!$L:$L,nonresidential!$A:$A,$F200,nonresidential!$B:$B,$E200,nonresidential!$C:$C,$D200),SUMIFS(nonresidential!$L:$L,nonresidential!$A:$A,$F200,nonresidential!$B:$B,$E200,nonresidential!$C:$C,$D200))</f>
        <v>1426.3533714384623</v>
      </c>
      <c r="I200">
        <f>1</f>
        <v>1</v>
      </c>
    </row>
    <row r="201" spans="1:9">
      <c r="A201" t="s">
        <v>211</v>
      </c>
      <c r="B201" t="s">
        <v>162</v>
      </c>
      <c r="C201" t="s">
        <v>269</v>
      </c>
      <c r="D201" t="s">
        <v>25</v>
      </c>
      <c r="E201" t="s">
        <v>43</v>
      </c>
      <c r="F201">
        <v>2045</v>
      </c>
      <c r="G201" s="55">
        <f>10^6*IF($E201="charcoal",params!$P$13*INDEX(BAU_Fuel_cons!$E$2:$AS$34,MATCH(D201&amp;"_"&amp;E201,BAU_Fuel_cons!$AT$2:$AT$34,0),MATCH(F201,BAU_Fuel_cons!$E$1:$AS$1,0)),INDEX(BAU_Fuel_cons!$E$2:$AS$34,MATCH(D201&amp;"_"&amp;E201,BAU_Fuel_cons!$AT$2:$AT$34,0),MATCH(F201,BAU_Fuel_cons!$E$1:$AS$1,0)))</f>
        <v>1226.013644183271</v>
      </c>
      <c r="H201" s="55">
        <f>G201+10^6*IF($E201="charcoal",params!$P$13*SUMIFS(nonresidential!$L:$L,nonresidential!$A:$A,$F201,nonresidential!$B:$B,$E201,nonresidential!$C:$C,$D201),SUMIFS(nonresidential!$L:$L,nonresidential!$A:$A,$F201,nonresidential!$B:$B,$E201,nonresidential!$C:$C,$D201))</f>
        <v>1226.013644183271</v>
      </c>
      <c r="I201">
        <f>1</f>
        <v>1</v>
      </c>
    </row>
    <row r="202" spans="1:9">
      <c r="A202" t="s">
        <v>211</v>
      </c>
      <c r="B202" t="s">
        <v>162</v>
      </c>
      <c r="C202" t="s">
        <v>269</v>
      </c>
      <c r="D202" t="s">
        <v>25</v>
      </c>
      <c r="E202" t="s">
        <v>43</v>
      </c>
      <c r="F202">
        <v>2046</v>
      </c>
      <c r="G202" s="55">
        <f>10^6*IF($E202="charcoal",params!$P$13*INDEX(BAU_Fuel_cons!$E$2:$AS$34,MATCH(D202&amp;"_"&amp;E202,BAU_Fuel_cons!$AT$2:$AT$34,0),MATCH(F202,BAU_Fuel_cons!$E$1:$AS$1,0)),INDEX(BAU_Fuel_cons!$E$2:$AS$34,MATCH(D202&amp;"_"&amp;E202,BAU_Fuel_cons!$AT$2:$AT$34,0),MATCH(F202,BAU_Fuel_cons!$E$1:$AS$1,0)))</f>
        <v>1011.2443759945371</v>
      </c>
      <c r="H202" s="55">
        <f>G202+10^6*IF($E202="charcoal",params!$P$13*SUMIFS(nonresidential!$L:$L,nonresidential!$A:$A,$F202,nonresidential!$B:$B,$E202,nonresidential!$C:$C,$D202),SUMIFS(nonresidential!$L:$L,nonresidential!$A:$A,$F202,nonresidential!$B:$B,$E202,nonresidential!$C:$C,$D202))</f>
        <v>1011.2443759945371</v>
      </c>
      <c r="I202">
        <f>1</f>
        <v>1</v>
      </c>
    </row>
    <row r="203" spans="1:9">
      <c r="A203" t="s">
        <v>211</v>
      </c>
      <c r="B203" t="s">
        <v>162</v>
      </c>
      <c r="C203" t="s">
        <v>269</v>
      </c>
      <c r="D203" t="s">
        <v>25</v>
      </c>
      <c r="E203" t="s">
        <v>43</v>
      </c>
      <c r="F203">
        <v>2047</v>
      </c>
      <c r="G203" s="55">
        <f>10^6*IF($E203="charcoal",params!$P$13*INDEX(BAU_Fuel_cons!$E$2:$AS$34,MATCH(D203&amp;"_"&amp;E203,BAU_Fuel_cons!$AT$2:$AT$34,0),MATCH(F203,BAU_Fuel_cons!$E$1:$AS$1,0)),INDEX(BAU_Fuel_cons!$E$2:$AS$34,MATCH(D203&amp;"_"&amp;E203,BAU_Fuel_cons!$AT$2:$AT$34,0),MATCH(F203,BAU_Fuel_cons!$E$1:$AS$1,0)))</f>
        <v>781.64558941229791</v>
      </c>
      <c r="H203" s="55">
        <f>G203+10^6*IF($E203="charcoal",params!$P$13*SUMIFS(nonresidential!$L:$L,nonresidential!$A:$A,$F203,nonresidential!$B:$B,$E203,nonresidential!$C:$C,$D203),SUMIFS(nonresidential!$L:$L,nonresidential!$A:$A,$F203,nonresidential!$B:$B,$E203,nonresidential!$C:$C,$D203))</f>
        <v>781.64558941229791</v>
      </c>
      <c r="I203">
        <f>1</f>
        <v>1</v>
      </c>
    </row>
    <row r="204" spans="1:9">
      <c r="A204" t="s">
        <v>211</v>
      </c>
      <c r="B204" t="s">
        <v>162</v>
      </c>
      <c r="C204" t="s">
        <v>269</v>
      </c>
      <c r="D204" t="s">
        <v>25</v>
      </c>
      <c r="E204" t="s">
        <v>43</v>
      </c>
      <c r="F204">
        <v>2048</v>
      </c>
      <c r="G204" s="55">
        <f>10^6*IF($E204="charcoal",params!$P$13*INDEX(BAU_Fuel_cons!$E$2:$AS$34,MATCH(D204&amp;"_"&amp;E204,BAU_Fuel_cons!$AT$2:$AT$34,0),MATCH(F204,BAU_Fuel_cons!$E$1:$AS$1,0)),INDEX(BAU_Fuel_cons!$E$2:$AS$34,MATCH(D204&amp;"_"&amp;E204,BAU_Fuel_cons!$AT$2:$AT$34,0),MATCH(F204,BAU_Fuel_cons!$E$1:$AS$1,0)))</f>
        <v>536.82554339119429</v>
      </c>
      <c r="H204" s="55">
        <f>G204+10^6*IF($E204="charcoal",params!$P$13*SUMIFS(nonresidential!$L:$L,nonresidential!$A:$A,$F204,nonresidential!$B:$B,$E204,nonresidential!$C:$C,$D204),SUMIFS(nonresidential!$L:$L,nonresidential!$A:$A,$F204,nonresidential!$B:$B,$E204,nonresidential!$C:$C,$D204))</f>
        <v>536.82554339119429</v>
      </c>
      <c r="I204">
        <f>1</f>
        <v>1</v>
      </c>
    </row>
    <row r="205" spans="1:9">
      <c r="A205" t="s">
        <v>211</v>
      </c>
      <c r="B205" t="s">
        <v>162</v>
      </c>
      <c r="C205" t="s">
        <v>269</v>
      </c>
      <c r="D205" t="s">
        <v>25</v>
      </c>
      <c r="E205" t="s">
        <v>43</v>
      </c>
      <c r="F205">
        <v>2049</v>
      </c>
      <c r="G205" s="55">
        <f>10^6*IF($E205="charcoal",params!$P$13*INDEX(BAU_Fuel_cons!$E$2:$AS$34,MATCH(D205&amp;"_"&amp;E205,BAU_Fuel_cons!$AT$2:$AT$34,0),MATCH(F205,BAU_Fuel_cons!$E$1:$AS$1,0)),INDEX(BAU_Fuel_cons!$E$2:$AS$34,MATCH(D205&amp;"_"&amp;E205,BAU_Fuel_cons!$AT$2:$AT$34,0),MATCH(F205,BAU_Fuel_cons!$E$1:$AS$1,0)))</f>
        <v>276.40095245119198</v>
      </c>
      <c r="H205" s="55">
        <f>G205+10^6*IF($E205="charcoal",params!$P$13*SUMIFS(nonresidential!$L:$L,nonresidential!$A:$A,$F205,nonresidential!$B:$B,$E205,nonresidential!$C:$C,$D205),SUMIFS(nonresidential!$L:$L,nonresidential!$A:$A,$F205,nonresidential!$B:$B,$E205,nonresidential!$C:$C,$D205))</f>
        <v>276.40095245119198</v>
      </c>
      <c r="I205">
        <f>1</f>
        <v>1</v>
      </c>
    </row>
    <row r="206" spans="1:9">
      <c r="A206" t="s">
        <v>211</v>
      </c>
      <c r="B206" t="s">
        <v>162</v>
      </c>
      <c r="C206" t="s">
        <v>269</v>
      </c>
      <c r="D206" t="s">
        <v>25</v>
      </c>
      <c r="E206" t="s">
        <v>43</v>
      </c>
      <c r="F206">
        <v>2050</v>
      </c>
      <c r="G206" s="55">
        <f>10^6*IF($E206="charcoal",params!$P$13*INDEX(BAU_Fuel_cons!$E$2:$AS$34,MATCH(D206&amp;"_"&amp;E206,BAU_Fuel_cons!$AT$2:$AT$34,0),MATCH(F206,BAU_Fuel_cons!$E$1:$AS$1,0)),INDEX(BAU_Fuel_cons!$E$2:$AS$34,MATCH(D206&amp;"_"&amp;E206,BAU_Fuel_cons!$AT$2:$AT$34,0),MATCH(F206,BAU_Fuel_cons!$E$1:$AS$1,0)))</f>
        <v>0</v>
      </c>
      <c r="H206" s="55">
        <f>G206+10^6*IF($E206="charcoal",params!$P$13*SUMIFS(nonresidential!$L:$L,nonresidential!$A:$A,$F206,nonresidential!$B:$B,$E206,nonresidential!$C:$C,$D206),SUMIFS(nonresidential!$L:$L,nonresidential!$A:$A,$F206,nonresidential!$B:$B,$E206,nonresidential!$C:$C,$D206))</f>
        <v>0</v>
      </c>
      <c r="I206">
        <f>1</f>
        <v>1</v>
      </c>
    </row>
    <row r="207" spans="1:9">
      <c r="A207" t="s">
        <v>211</v>
      </c>
      <c r="B207" t="s">
        <v>162</v>
      </c>
      <c r="C207" t="s">
        <v>269</v>
      </c>
      <c r="D207" t="s">
        <v>25</v>
      </c>
      <c r="E207" t="s">
        <v>12</v>
      </c>
      <c r="F207">
        <v>2010</v>
      </c>
      <c r="G207" s="55">
        <f>10^6*IF($E207="charcoal",params!$P$13*INDEX(BAU_Fuel_cons!$E$2:$AS$34,MATCH(D207&amp;"_"&amp;E207,BAU_Fuel_cons!$AT$2:$AT$34,0),MATCH(F207,BAU_Fuel_cons!$E$1:$AS$1,0)),INDEX(BAU_Fuel_cons!$E$2:$AS$34,MATCH(D207&amp;"_"&amp;E207,BAU_Fuel_cons!$AT$2:$AT$34,0),MATCH(F207,BAU_Fuel_cons!$E$1:$AS$1,0)))</f>
        <v>332.938681940479</v>
      </c>
      <c r="H207" s="55">
        <f>G207+10^6*IF($E207="charcoal",params!$P$13*SUMIFS(nonresidential!$L:$L,nonresidential!$A:$A,$F207,nonresidential!$B:$B,$E207,nonresidential!$C:$C,$D207),SUMIFS(nonresidential!$L:$L,nonresidential!$A:$A,$F207,nonresidential!$B:$B,$E207,nonresidential!$C:$C,$D207))</f>
        <v>332.938681940479</v>
      </c>
      <c r="I207">
        <f>1</f>
        <v>1</v>
      </c>
    </row>
    <row r="208" spans="1:9">
      <c r="A208" t="s">
        <v>211</v>
      </c>
      <c r="B208" t="s">
        <v>162</v>
      </c>
      <c r="C208" t="s">
        <v>269</v>
      </c>
      <c r="D208" t="s">
        <v>25</v>
      </c>
      <c r="E208" t="s">
        <v>12</v>
      </c>
      <c r="F208">
        <v>2011</v>
      </c>
      <c r="G208" s="55">
        <f>10^6*IF($E208="charcoal",params!$P$13*INDEX(BAU_Fuel_cons!$E$2:$AS$34,MATCH(D208&amp;"_"&amp;E208,BAU_Fuel_cons!$AT$2:$AT$34,0),MATCH(F208,BAU_Fuel_cons!$E$1:$AS$1,0)),INDEX(BAU_Fuel_cons!$E$2:$AS$34,MATCH(D208&amp;"_"&amp;E208,BAU_Fuel_cons!$AT$2:$AT$34,0),MATCH(F208,BAU_Fuel_cons!$E$1:$AS$1,0)))</f>
        <v>323.59649225190628</v>
      </c>
      <c r="H208" s="55">
        <f>G208+10^6*IF($E208="charcoal",params!$P$13*SUMIFS(nonresidential!$L:$L,nonresidential!$A:$A,$F208,nonresidential!$B:$B,$E208,nonresidential!$C:$C,$D208),SUMIFS(nonresidential!$L:$L,nonresidential!$A:$A,$F208,nonresidential!$B:$B,$E208,nonresidential!$C:$C,$D208))</f>
        <v>323.59649225190628</v>
      </c>
      <c r="I208">
        <f>1</f>
        <v>1</v>
      </c>
    </row>
    <row r="209" spans="1:9">
      <c r="A209" t="s">
        <v>211</v>
      </c>
      <c r="B209" t="s">
        <v>162</v>
      </c>
      <c r="C209" t="s">
        <v>269</v>
      </c>
      <c r="D209" t="s">
        <v>25</v>
      </c>
      <c r="E209" t="s">
        <v>12</v>
      </c>
      <c r="F209">
        <v>2012</v>
      </c>
      <c r="G209" s="55">
        <f>10^6*IF($E209="charcoal",params!$P$13*INDEX(BAU_Fuel_cons!$E$2:$AS$34,MATCH(D209&amp;"_"&amp;E209,BAU_Fuel_cons!$AT$2:$AT$34,0),MATCH(F209,BAU_Fuel_cons!$E$1:$AS$1,0)),INDEX(BAU_Fuel_cons!$E$2:$AS$34,MATCH(D209&amp;"_"&amp;E209,BAU_Fuel_cons!$AT$2:$AT$34,0),MATCH(F209,BAU_Fuel_cons!$E$1:$AS$1,0)))</f>
        <v>312.39256550049976</v>
      </c>
      <c r="H209" s="55">
        <f>G209+10^6*IF($E209="charcoal",params!$P$13*SUMIFS(nonresidential!$L:$L,nonresidential!$A:$A,$F209,nonresidential!$B:$B,$E209,nonresidential!$C:$C,$D209),SUMIFS(nonresidential!$L:$L,nonresidential!$A:$A,$F209,nonresidential!$B:$B,$E209,nonresidential!$C:$C,$D209))</f>
        <v>312.39256550049976</v>
      </c>
      <c r="I209">
        <f>1</f>
        <v>1</v>
      </c>
    </row>
    <row r="210" spans="1:9">
      <c r="A210" t="s">
        <v>211</v>
      </c>
      <c r="B210" t="s">
        <v>162</v>
      </c>
      <c r="C210" t="s">
        <v>269</v>
      </c>
      <c r="D210" t="s">
        <v>25</v>
      </c>
      <c r="E210" t="s">
        <v>12</v>
      </c>
      <c r="F210">
        <v>2013</v>
      </c>
      <c r="G210" s="55">
        <f>10^6*IF($E210="charcoal",params!$P$13*INDEX(BAU_Fuel_cons!$E$2:$AS$34,MATCH(D210&amp;"_"&amp;E210,BAU_Fuel_cons!$AT$2:$AT$34,0),MATCH(F210,BAU_Fuel_cons!$E$1:$AS$1,0)),INDEX(BAU_Fuel_cons!$E$2:$AS$34,MATCH(D210&amp;"_"&amp;E210,BAU_Fuel_cons!$AT$2:$AT$34,0),MATCH(F210,BAU_Fuel_cons!$E$1:$AS$1,0)))</f>
        <v>299.22529827646599</v>
      </c>
      <c r="H210" s="55">
        <f>G210+10^6*IF($E210="charcoal",params!$P$13*SUMIFS(nonresidential!$L:$L,nonresidential!$A:$A,$F210,nonresidential!$B:$B,$E210,nonresidential!$C:$C,$D210),SUMIFS(nonresidential!$L:$L,nonresidential!$A:$A,$F210,nonresidential!$B:$B,$E210,nonresidential!$C:$C,$D210))</f>
        <v>299.22529827646599</v>
      </c>
      <c r="I210">
        <f>1</f>
        <v>1</v>
      </c>
    </row>
    <row r="211" spans="1:9">
      <c r="A211" t="s">
        <v>211</v>
      </c>
      <c r="B211" t="s">
        <v>162</v>
      </c>
      <c r="C211" t="s">
        <v>269</v>
      </c>
      <c r="D211" t="s">
        <v>25</v>
      </c>
      <c r="E211" t="s">
        <v>12</v>
      </c>
      <c r="F211">
        <v>2014</v>
      </c>
      <c r="G211" s="55">
        <f>10^6*IF($E211="charcoal",params!$P$13*INDEX(BAU_Fuel_cons!$E$2:$AS$34,MATCH(D211&amp;"_"&amp;E211,BAU_Fuel_cons!$AT$2:$AT$34,0),MATCH(F211,BAU_Fuel_cons!$E$1:$AS$1,0)),INDEX(BAU_Fuel_cons!$E$2:$AS$34,MATCH(D211&amp;"_"&amp;E211,BAU_Fuel_cons!$AT$2:$AT$34,0),MATCH(F211,BAU_Fuel_cons!$E$1:$AS$1,0)))</f>
        <v>283.9891142955351</v>
      </c>
      <c r="H211" s="55">
        <f>G211+10^6*IF($E211="charcoal",params!$P$13*SUMIFS(nonresidential!$L:$L,nonresidential!$A:$A,$F211,nonresidential!$B:$B,$E211,nonresidential!$C:$C,$D211),SUMIFS(nonresidential!$L:$L,nonresidential!$A:$A,$F211,nonresidential!$B:$B,$E211,nonresidential!$C:$C,$D211))</f>
        <v>283.9891142955351</v>
      </c>
      <c r="I211">
        <f>1</f>
        <v>1</v>
      </c>
    </row>
    <row r="212" spans="1:9">
      <c r="A212" t="s">
        <v>211</v>
      </c>
      <c r="B212" t="s">
        <v>162</v>
      </c>
      <c r="C212" t="s">
        <v>269</v>
      </c>
      <c r="D212" t="s">
        <v>25</v>
      </c>
      <c r="E212" t="s">
        <v>12</v>
      </c>
      <c r="F212">
        <v>2015</v>
      </c>
      <c r="G212" s="55">
        <f>10^6*IF($E212="charcoal",params!$P$13*INDEX(BAU_Fuel_cons!$E$2:$AS$34,MATCH(D212&amp;"_"&amp;E212,BAU_Fuel_cons!$AT$2:$AT$34,0),MATCH(F212,BAU_Fuel_cons!$E$1:$AS$1,0)),INDEX(BAU_Fuel_cons!$E$2:$AS$34,MATCH(D212&amp;"_"&amp;E212,BAU_Fuel_cons!$AT$2:$AT$34,0),MATCH(F212,BAU_Fuel_cons!$E$1:$AS$1,0)))</f>
        <v>266.5595838503549</v>
      </c>
      <c r="H212" s="55">
        <f>G212+10^6*IF($E212="charcoal",params!$P$13*SUMIFS(nonresidential!$L:$L,nonresidential!$A:$A,$F212,nonresidential!$B:$B,$E212,nonresidential!$C:$C,$D212),SUMIFS(nonresidential!$L:$L,nonresidential!$A:$A,$F212,nonresidential!$B:$B,$E212,nonresidential!$C:$C,$D212))</f>
        <v>266.5595838503549</v>
      </c>
      <c r="I212">
        <f>1</f>
        <v>1</v>
      </c>
    </row>
    <row r="213" spans="1:9">
      <c r="A213" t="s">
        <v>211</v>
      </c>
      <c r="B213" t="s">
        <v>162</v>
      </c>
      <c r="C213" t="s">
        <v>269</v>
      </c>
      <c r="D213" t="s">
        <v>25</v>
      </c>
      <c r="E213" t="s">
        <v>12</v>
      </c>
      <c r="F213">
        <v>2016</v>
      </c>
      <c r="G213" s="55">
        <f>10^6*IF($E213="charcoal",params!$P$13*INDEX(BAU_Fuel_cons!$E$2:$AS$34,MATCH(D213&amp;"_"&amp;E213,BAU_Fuel_cons!$AT$2:$AT$34,0),MATCH(F213,BAU_Fuel_cons!$E$1:$AS$1,0)),INDEX(BAU_Fuel_cons!$E$2:$AS$34,MATCH(D213&amp;"_"&amp;E213,BAU_Fuel_cons!$AT$2:$AT$34,0),MATCH(F213,BAU_Fuel_cons!$E$1:$AS$1,0)))</f>
        <v>246.79142595349199</v>
      </c>
      <c r="H213" s="55">
        <f>G213+10^6*IF($E213="charcoal",params!$P$13*SUMIFS(nonresidential!$L:$L,nonresidential!$A:$A,$F213,nonresidential!$B:$B,$E213,nonresidential!$C:$C,$D213),SUMIFS(nonresidential!$L:$L,nonresidential!$A:$A,$F213,nonresidential!$B:$B,$E213,nonresidential!$C:$C,$D213))</f>
        <v>246.79142595349199</v>
      </c>
      <c r="I213">
        <f>1</f>
        <v>1</v>
      </c>
    </row>
    <row r="214" spans="1:9">
      <c r="A214" t="s">
        <v>211</v>
      </c>
      <c r="B214" t="s">
        <v>162</v>
      </c>
      <c r="C214" t="s">
        <v>269</v>
      </c>
      <c r="D214" t="s">
        <v>25</v>
      </c>
      <c r="E214" t="s">
        <v>12</v>
      </c>
      <c r="F214">
        <v>2017</v>
      </c>
      <c r="G214" s="55">
        <f>10^6*IF($E214="charcoal",params!$P$13*INDEX(BAU_Fuel_cons!$E$2:$AS$34,MATCH(D214&amp;"_"&amp;E214,BAU_Fuel_cons!$AT$2:$AT$34,0),MATCH(F214,BAU_Fuel_cons!$E$1:$AS$1,0)),INDEX(BAU_Fuel_cons!$E$2:$AS$34,MATCH(D214&amp;"_"&amp;E214,BAU_Fuel_cons!$AT$2:$AT$34,0),MATCH(F214,BAU_Fuel_cons!$E$1:$AS$1,0)))</f>
        <v>224.5251077567487</v>
      </c>
      <c r="H214" s="55">
        <f>G214+10^6*IF($E214="charcoal",params!$P$13*SUMIFS(nonresidential!$L:$L,nonresidential!$A:$A,$F214,nonresidential!$B:$B,$E214,nonresidential!$C:$C,$D214),SUMIFS(nonresidential!$L:$L,nonresidential!$A:$A,$F214,nonresidential!$B:$B,$E214,nonresidential!$C:$C,$D214))</f>
        <v>224.5251077567487</v>
      </c>
      <c r="I214">
        <f>1</f>
        <v>1</v>
      </c>
    </row>
    <row r="215" spans="1:9">
      <c r="A215" t="s">
        <v>211</v>
      </c>
      <c r="B215" t="s">
        <v>162</v>
      </c>
      <c r="C215" t="s">
        <v>269</v>
      </c>
      <c r="D215" t="s">
        <v>25</v>
      </c>
      <c r="E215" t="s">
        <v>12</v>
      </c>
      <c r="F215">
        <v>2018</v>
      </c>
      <c r="G215" s="55">
        <f>10^6*IF($E215="charcoal",params!$P$13*INDEX(BAU_Fuel_cons!$E$2:$AS$34,MATCH(D215&amp;"_"&amp;E215,BAU_Fuel_cons!$AT$2:$AT$34,0),MATCH(F215,BAU_Fuel_cons!$E$1:$AS$1,0)),INDEX(BAU_Fuel_cons!$E$2:$AS$34,MATCH(D215&amp;"_"&amp;E215,BAU_Fuel_cons!$AT$2:$AT$34,0),MATCH(F215,BAU_Fuel_cons!$E$1:$AS$1,0)))</f>
        <v>199.59798903509892</v>
      </c>
      <c r="H215" s="55">
        <f>G215+10^6*IF($E215="charcoal",params!$P$13*SUMIFS(nonresidential!$L:$L,nonresidential!$A:$A,$F215,nonresidential!$B:$B,$E215,nonresidential!$C:$C,$D215),SUMIFS(nonresidential!$L:$L,nonresidential!$A:$A,$F215,nonresidential!$B:$B,$E215,nonresidential!$C:$C,$D215))</f>
        <v>199.59798903509892</v>
      </c>
      <c r="I215">
        <f>1</f>
        <v>1</v>
      </c>
    </row>
    <row r="216" spans="1:9">
      <c r="A216" t="s">
        <v>211</v>
      </c>
      <c r="B216" t="s">
        <v>162</v>
      </c>
      <c r="C216" t="s">
        <v>269</v>
      </c>
      <c r="D216" t="s">
        <v>25</v>
      </c>
      <c r="E216" t="s">
        <v>12</v>
      </c>
      <c r="F216">
        <v>2019</v>
      </c>
      <c r="G216" s="55">
        <f>10^6*IF($E216="charcoal",params!$P$13*INDEX(BAU_Fuel_cons!$E$2:$AS$34,MATCH(D216&amp;"_"&amp;E216,BAU_Fuel_cons!$AT$2:$AT$34,0),MATCH(F216,BAU_Fuel_cons!$E$1:$AS$1,0)),INDEX(BAU_Fuel_cons!$E$2:$AS$34,MATCH(D216&amp;"_"&amp;E216,BAU_Fuel_cons!$AT$2:$AT$34,0),MATCH(F216,BAU_Fuel_cons!$E$1:$AS$1,0)))</f>
        <v>171.84263566835338</v>
      </c>
      <c r="H216" s="55">
        <f>G216+10^6*IF($E216="charcoal",params!$P$13*SUMIFS(nonresidential!$L:$L,nonresidential!$A:$A,$F216,nonresidential!$B:$B,$E216,nonresidential!$C:$C,$D216),SUMIFS(nonresidential!$L:$L,nonresidential!$A:$A,$F216,nonresidential!$B:$B,$E216,nonresidential!$C:$C,$D216))</f>
        <v>171.84263566835338</v>
      </c>
      <c r="I216">
        <f>1</f>
        <v>1</v>
      </c>
    </row>
    <row r="217" spans="1:9">
      <c r="A217" t="s">
        <v>211</v>
      </c>
      <c r="B217" t="s">
        <v>162</v>
      </c>
      <c r="C217" t="s">
        <v>269</v>
      </c>
      <c r="D217" t="s">
        <v>25</v>
      </c>
      <c r="E217" t="s">
        <v>12</v>
      </c>
      <c r="F217">
        <v>2020</v>
      </c>
      <c r="G217" s="55">
        <f>10^6*IF($E217="charcoal",params!$P$13*INDEX(BAU_Fuel_cons!$E$2:$AS$34,MATCH(D217&amp;"_"&amp;E217,BAU_Fuel_cons!$AT$2:$AT$34,0),MATCH(F217,BAU_Fuel_cons!$E$1:$AS$1,0)),INDEX(BAU_Fuel_cons!$E$2:$AS$34,MATCH(D217&amp;"_"&amp;E217,BAU_Fuel_cons!$AT$2:$AT$34,0),MATCH(F217,BAU_Fuel_cons!$E$1:$AS$1,0)))</f>
        <v>141.09146447841007</v>
      </c>
      <c r="H217" s="55">
        <f>G217+10^6*IF($E217="charcoal",params!$P$13*SUMIFS(nonresidential!$L:$L,nonresidential!$A:$A,$F217,nonresidential!$B:$B,$E217,nonresidential!$C:$C,$D217),SUMIFS(nonresidential!$L:$L,nonresidential!$A:$A,$F217,nonresidential!$B:$B,$E217,nonresidential!$C:$C,$D217))</f>
        <v>141.09146447841007</v>
      </c>
      <c r="I217">
        <f>1</f>
        <v>1</v>
      </c>
    </row>
    <row r="218" spans="1:9">
      <c r="A218" t="s">
        <v>211</v>
      </c>
      <c r="B218" t="s">
        <v>162</v>
      </c>
      <c r="C218" t="s">
        <v>269</v>
      </c>
      <c r="D218" t="s">
        <v>25</v>
      </c>
      <c r="E218" t="s">
        <v>12</v>
      </c>
      <c r="F218">
        <v>2021</v>
      </c>
      <c r="G218" s="55">
        <f>10^6*IF($E218="charcoal",params!$P$13*INDEX(BAU_Fuel_cons!$E$2:$AS$34,MATCH(D218&amp;"_"&amp;E218,BAU_Fuel_cons!$AT$2:$AT$34,0),MATCH(F218,BAU_Fuel_cons!$E$1:$AS$1,0)),INDEX(BAU_Fuel_cons!$E$2:$AS$34,MATCH(D218&amp;"_"&amp;E218,BAU_Fuel_cons!$AT$2:$AT$34,0),MATCH(F218,BAU_Fuel_cons!$E$1:$AS$1,0)))</f>
        <v>107.17823380847281</v>
      </c>
      <c r="H218" s="55">
        <f>G218+10^6*IF($E218="charcoal",params!$P$13*SUMIFS(nonresidential!$L:$L,nonresidential!$A:$A,$F218,nonresidential!$B:$B,$E218,nonresidential!$C:$C,$D218),SUMIFS(nonresidential!$L:$L,nonresidential!$A:$A,$F218,nonresidential!$B:$B,$E218,nonresidential!$C:$C,$D218))</f>
        <v>107.17823380847281</v>
      </c>
      <c r="I218">
        <f>1</f>
        <v>1</v>
      </c>
    </row>
    <row r="219" spans="1:9">
      <c r="A219" t="s">
        <v>211</v>
      </c>
      <c r="B219" t="s">
        <v>162</v>
      </c>
      <c r="C219" t="s">
        <v>269</v>
      </c>
      <c r="D219" t="s">
        <v>25</v>
      </c>
      <c r="E219" t="s">
        <v>12</v>
      </c>
      <c r="F219">
        <v>2022</v>
      </c>
      <c r="G219" s="55">
        <f>10^6*IF($E219="charcoal",params!$P$13*INDEX(BAU_Fuel_cons!$E$2:$AS$34,MATCH(D219&amp;"_"&amp;E219,BAU_Fuel_cons!$AT$2:$AT$34,0),MATCH(F219,BAU_Fuel_cons!$E$1:$AS$1,0)),INDEX(BAU_Fuel_cons!$E$2:$AS$34,MATCH(D219&amp;"_"&amp;E219,BAU_Fuel_cons!$AT$2:$AT$34,0),MATCH(F219,BAU_Fuel_cons!$E$1:$AS$1,0)))</f>
        <v>69.934785886188635</v>
      </c>
      <c r="H219" s="55">
        <f>G219+10^6*IF($E219="charcoal",params!$P$13*SUMIFS(nonresidential!$L:$L,nonresidential!$A:$A,$F219,nonresidential!$B:$B,$E219,nonresidential!$C:$C,$D219),SUMIFS(nonresidential!$L:$L,nonresidential!$A:$A,$F219,nonresidential!$B:$B,$E219,nonresidential!$C:$C,$D219))</f>
        <v>69.934785886188635</v>
      </c>
      <c r="I219">
        <f>1</f>
        <v>1</v>
      </c>
    </row>
    <row r="220" spans="1:9">
      <c r="A220" t="s">
        <v>211</v>
      </c>
      <c r="B220" t="s">
        <v>162</v>
      </c>
      <c r="C220" t="s">
        <v>269</v>
      </c>
      <c r="D220" t="s">
        <v>25</v>
      </c>
      <c r="E220" t="s">
        <v>12</v>
      </c>
      <c r="F220">
        <v>2023</v>
      </c>
      <c r="G220" s="55">
        <f>10^6*IF($E220="charcoal",params!$P$13*INDEX(BAU_Fuel_cons!$E$2:$AS$34,MATCH(D220&amp;"_"&amp;E220,BAU_Fuel_cons!$AT$2:$AT$34,0),MATCH(F220,BAU_Fuel_cons!$E$1:$AS$1,0)),INDEX(BAU_Fuel_cons!$E$2:$AS$34,MATCH(D220&amp;"_"&amp;E220,BAU_Fuel_cons!$AT$2:$AT$34,0),MATCH(F220,BAU_Fuel_cons!$E$1:$AS$1,0)))</f>
        <v>29.190775153562381</v>
      </c>
      <c r="H220" s="55">
        <f>G220+10^6*IF($E220="charcoal",params!$P$13*SUMIFS(nonresidential!$L:$L,nonresidential!$A:$A,$F220,nonresidential!$B:$B,$E220,nonresidential!$C:$C,$D220),SUMIFS(nonresidential!$L:$L,nonresidential!$A:$A,$F220,nonresidential!$B:$B,$E220,nonresidential!$C:$C,$D220))</f>
        <v>29.190775153562381</v>
      </c>
      <c r="I220">
        <f>1</f>
        <v>1</v>
      </c>
    </row>
    <row r="221" spans="1:9">
      <c r="A221" t="s">
        <v>211</v>
      </c>
      <c r="B221" t="s">
        <v>162</v>
      </c>
      <c r="C221" t="s">
        <v>269</v>
      </c>
      <c r="D221" t="s">
        <v>25</v>
      </c>
      <c r="E221" t="s">
        <v>12</v>
      </c>
      <c r="F221">
        <v>2024</v>
      </c>
      <c r="G221" s="55">
        <f>10^6*IF($E221="charcoal",params!$P$13*INDEX(BAU_Fuel_cons!$E$2:$AS$34,MATCH(D221&amp;"_"&amp;E221,BAU_Fuel_cons!$AT$2:$AT$34,0),MATCH(F221,BAU_Fuel_cons!$E$1:$AS$1,0)),INDEX(BAU_Fuel_cons!$E$2:$AS$34,MATCH(D221&amp;"_"&amp;E221,BAU_Fuel_cons!$AT$2:$AT$34,0),MATCH(F221,BAU_Fuel_cons!$E$1:$AS$1,0)))</f>
        <v>0</v>
      </c>
      <c r="H221" s="55">
        <f>G221+10^6*IF($E221="charcoal",params!$P$13*SUMIFS(nonresidential!$L:$L,nonresidential!$A:$A,$F221,nonresidential!$B:$B,$E221,nonresidential!$C:$C,$D221),SUMIFS(nonresidential!$L:$L,nonresidential!$A:$A,$F221,nonresidential!$B:$B,$E221,nonresidential!$C:$C,$D221))</f>
        <v>0</v>
      </c>
      <c r="I221">
        <f>1</f>
        <v>1</v>
      </c>
    </row>
    <row r="222" spans="1:9">
      <c r="A222" t="s">
        <v>211</v>
      </c>
      <c r="B222" t="s">
        <v>162</v>
      </c>
      <c r="C222" t="s">
        <v>269</v>
      </c>
      <c r="D222" t="s">
        <v>25</v>
      </c>
      <c r="E222" t="s">
        <v>12</v>
      </c>
      <c r="F222">
        <v>2025</v>
      </c>
      <c r="G222" s="55">
        <f>10^6*IF($E222="charcoal",params!$P$13*INDEX(BAU_Fuel_cons!$E$2:$AS$34,MATCH(D222&amp;"_"&amp;E222,BAU_Fuel_cons!$AT$2:$AT$34,0),MATCH(F222,BAU_Fuel_cons!$E$1:$AS$1,0)),INDEX(BAU_Fuel_cons!$E$2:$AS$34,MATCH(D222&amp;"_"&amp;E222,BAU_Fuel_cons!$AT$2:$AT$34,0),MATCH(F222,BAU_Fuel_cons!$E$1:$AS$1,0)))</f>
        <v>0</v>
      </c>
      <c r="H222" s="55">
        <f>G222+10^6*IF($E222="charcoal",params!$P$13*SUMIFS(nonresidential!$L:$L,nonresidential!$A:$A,$F222,nonresidential!$B:$B,$E222,nonresidential!$C:$C,$D222),SUMIFS(nonresidential!$L:$L,nonresidential!$A:$A,$F222,nonresidential!$B:$B,$E222,nonresidential!$C:$C,$D222))</f>
        <v>0</v>
      </c>
      <c r="I222">
        <f>1</f>
        <v>1</v>
      </c>
    </row>
    <row r="223" spans="1:9">
      <c r="A223" t="s">
        <v>211</v>
      </c>
      <c r="B223" t="s">
        <v>162</v>
      </c>
      <c r="C223" t="s">
        <v>269</v>
      </c>
      <c r="D223" t="s">
        <v>25</v>
      </c>
      <c r="E223" t="s">
        <v>12</v>
      </c>
      <c r="F223">
        <v>2026</v>
      </c>
      <c r="G223" s="55">
        <f>10^6*IF($E223="charcoal",params!$P$13*INDEX(BAU_Fuel_cons!$E$2:$AS$34,MATCH(D223&amp;"_"&amp;E223,BAU_Fuel_cons!$AT$2:$AT$34,0),MATCH(F223,BAU_Fuel_cons!$E$1:$AS$1,0)),INDEX(BAU_Fuel_cons!$E$2:$AS$34,MATCH(D223&amp;"_"&amp;E223,BAU_Fuel_cons!$AT$2:$AT$34,0),MATCH(F223,BAU_Fuel_cons!$E$1:$AS$1,0)))</f>
        <v>0</v>
      </c>
      <c r="H223" s="55">
        <f>G223+10^6*IF($E223="charcoal",params!$P$13*SUMIFS(nonresidential!$L:$L,nonresidential!$A:$A,$F223,nonresidential!$B:$B,$E223,nonresidential!$C:$C,$D223),SUMIFS(nonresidential!$L:$L,nonresidential!$A:$A,$F223,nonresidential!$B:$B,$E223,nonresidential!$C:$C,$D223))</f>
        <v>0</v>
      </c>
      <c r="I223">
        <f>1</f>
        <v>1</v>
      </c>
    </row>
    <row r="224" spans="1:9">
      <c r="A224" t="s">
        <v>211</v>
      </c>
      <c r="B224" t="s">
        <v>162</v>
      </c>
      <c r="C224" t="s">
        <v>269</v>
      </c>
      <c r="D224" t="s">
        <v>25</v>
      </c>
      <c r="E224" t="s">
        <v>12</v>
      </c>
      <c r="F224">
        <v>2027</v>
      </c>
      <c r="G224" s="55">
        <f>10^6*IF($E224="charcoal",params!$P$13*INDEX(BAU_Fuel_cons!$E$2:$AS$34,MATCH(D224&amp;"_"&amp;E224,BAU_Fuel_cons!$AT$2:$AT$34,0),MATCH(F224,BAU_Fuel_cons!$E$1:$AS$1,0)),INDEX(BAU_Fuel_cons!$E$2:$AS$34,MATCH(D224&amp;"_"&amp;E224,BAU_Fuel_cons!$AT$2:$AT$34,0),MATCH(F224,BAU_Fuel_cons!$E$1:$AS$1,0)))</f>
        <v>0</v>
      </c>
      <c r="H224" s="55">
        <f>G224+10^6*IF($E224="charcoal",params!$P$13*SUMIFS(nonresidential!$L:$L,nonresidential!$A:$A,$F224,nonresidential!$B:$B,$E224,nonresidential!$C:$C,$D224),SUMIFS(nonresidential!$L:$L,nonresidential!$A:$A,$F224,nonresidential!$B:$B,$E224,nonresidential!$C:$C,$D224))</f>
        <v>0</v>
      </c>
      <c r="I224">
        <f>1</f>
        <v>1</v>
      </c>
    </row>
    <row r="225" spans="1:9">
      <c r="A225" t="s">
        <v>211</v>
      </c>
      <c r="B225" t="s">
        <v>162</v>
      </c>
      <c r="C225" t="s">
        <v>269</v>
      </c>
      <c r="D225" t="s">
        <v>25</v>
      </c>
      <c r="E225" t="s">
        <v>12</v>
      </c>
      <c r="F225">
        <v>2028</v>
      </c>
      <c r="G225" s="55">
        <f>10^6*IF($E225="charcoal",params!$P$13*INDEX(BAU_Fuel_cons!$E$2:$AS$34,MATCH(D225&amp;"_"&amp;E225,BAU_Fuel_cons!$AT$2:$AT$34,0),MATCH(F225,BAU_Fuel_cons!$E$1:$AS$1,0)),INDEX(BAU_Fuel_cons!$E$2:$AS$34,MATCH(D225&amp;"_"&amp;E225,BAU_Fuel_cons!$AT$2:$AT$34,0),MATCH(F225,BAU_Fuel_cons!$E$1:$AS$1,0)))</f>
        <v>0</v>
      </c>
      <c r="H225" s="55">
        <f>G225+10^6*IF($E225="charcoal",params!$P$13*SUMIFS(nonresidential!$L:$L,nonresidential!$A:$A,$F225,nonresidential!$B:$B,$E225,nonresidential!$C:$C,$D225),SUMIFS(nonresidential!$L:$L,nonresidential!$A:$A,$F225,nonresidential!$B:$B,$E225,nonresidential!$C:$C,$D225))</f>
        <v>0</v>
      </c>
      <c r="I225">
        <f>1</f>
        <v>1</v>
      </c>
    </row>
    <row r="226" spans="1:9">
      <c r="A226" t="s">
        <v>211</v>
      </c>
      <c r="B226" t="s">
        <v>162</v>
      </c>
      <c r="C226" t="s">
        <v>269</v>
      </c>
      <c r="D226" t="s">
        <v>25</v>
      </c>
      <c r="E226" t="s">
        <v>12</v>
      </c>
      <c r="F226">
        <v>2029</v>
      </c>
      <c r="G226" s="55">
        <f>10^6*IF($E226="charcoal",params!$P$13*INDEX(BAU_Fuel_cons!$E$2:$AS$34,MATCH(D226&amp;"_"&amp;E226,BAU_Fuel_cons!$AT$2:$AT$34,0),MATCH(F226,BAU_Fuel_cons!$E$1:$AS$1,0)),INDEX(BAU_Fuel_cons!$E$2:$AS$34,MATCH(D226&amp;"_"&amp;E226,BAU_Fuel_cons!$AT$2:$AT$34,0),MATCH(F226,BAU_Fuel_cons!$E$1:$AS$1,0)))</f>
        <v>0</v>
      </c>
      <c r="H226" s="55">
        <f>G226+10^6*IF($E226="charcoal",params!$P$13*SUMIFS(nonresidential!$L:$L,nonresidential!$A:$A,$F226,nonresidential!$B:$B,$E226,nonresidential!$C:$C,$D226),SUMIFS(nonresidential!$L:$L,nonresidential!$A:$A,$F226,nonresidential!$B:$B,$E226,nonresidential!$C:$C,$D226))</f>
        <v>0</v>
      </c>
      <c r="I226">
        <f>1</f>
        <v>1</v>
      </c>
    </row>
    <row r="227" spans="1:9">
      <c r="A227" t="s">
        <v>211</v>
      </c>
      <c r="B227" t="s">
        <v>162</v>
      </c>
      <c r="C227" t="s">
        <v>269</v>
      </c>
      <c r="D227" t="s">
        <v>25</v>
      </c>
      <c r="E227" t="s">
        <v>12</v>
      </c>
      <c r="F227">
        <v>2030</v>
      </c>
      <c r="G227" s="55">
        <f>10^6*IF($E227="charcoal",params!$P$13*INDEX(BAU_Fuel_cons!$E$2:$AS$34,MATCH(D227&amp;"_"&amp;E227,BAU_Fuel_cons!$AT$2:$AT$34,0),MATCH(F227,BAU_Fuel_cons!$E$1:$AS$1,0)),INDEX(BAU_Fuel_cons!$E$2:$AS$34,MATCH(D227&amp;"_"&amp;E227,BAU_Fuel_cons!$AT$2:$AT$34,0),MATCH(F227,BAU_Fuel_cons!$E$1:$AS$1,0)))</f>
        <v>0</v>
      </c>
      <c r="H227" s="55">
        <f>G227+10^6*IF($E227="charcoal",params!$P$13*SUMIFS(nonresidential!$L:$L,nonresidential!$A:$A,$F227,nonresidential!$B:$B,$E227,nonresidential!$C:$C,$D227),SUMIFS(nonresidential!$L:$L,nonresidential!$A:$A,$F227,nonresidential!$B:$B,$E227,nonresidential!$C:$C,$D227))</f>
        <v>0</v>
      </c>
      <c r="I227">
        <f>1</f>
        <v>1</v>
      </c>
    </row>
    <row r="228" spans="1:9">
      <c r="A228" t="s">
        <v>211</v>
      </c>
      <c r="B228" t="s">
        <v>162</v>
      </c>
      <c r="C228" t="s">
        <v>269</v>
      </c>
      <c r="D228" t="s">
        <v>25</v>
      </c>
      <c r="E228" t="s">
        <v>12</v>
      </c>
      <c r="F228">
        <v>2031</v>
      </c>
      <c r="G228" s="55">
        <f>10^6*IF($E228="charcoal",params!$P$13*INDEX(BAU_Fuel_cons!$E$2:$AS$34,MATCH(D228&amp;"_"&amp;E228,BAU_Fuel_cons!$AT$2:$AT$34,0),MATCH(F228,BAU_Fuel_cons!$E$1:$AS$1,0)),INDEX(BAU_Fuel_cons!$E$2:$AS$34,MATCH(D228&amp;"_"&amp;E228,BAU_Fuel_cons!$AT$2:$AT$34,0),MATCH(F228,BAU_Fuel_cons!$E$1:$AS$1,0)))</f>
        <v>0</v>
      </c>
      <c r="H228" s="55">
        <f>G228+10^6*IF($E228="charcoal",params!$P$13*SUMIFS(nonresidential!$L:$L,nonresidential!$A:$A,$F228,nonresidential!$B:$B,$E228,nonresidential!$C:$C,$D228),SUMIFS(nonresidential!$L:$L,nonresidential!$A:$A,$F228,nonresidential!$B:$B,$E228,nonresidential!$C:$C,$D228))</f>
        <v>0</v>
      </c>
      <c r="I228">
        <f>1</f>
        <v>1</v>
      </c>
    </row>
    <row r="229" spans="1:9">
      <c r="A229" t="s">
        <v>211</v>
      </c>
      <c r="B229" t="s">
        <v>162</v>
      </c>
      <c r="C229" t="s">
        <v>269</v>
      </c>
      <c r="D229" t="s">
        <v>25</v>
      </c>
      <c r="E229" t="s">
        <v>12</v>
      </c>
      <c r="F229">
        <v>2032</v>
      </c>
      <c r="G229" s="55">
        <f>10^6*IF($E229="charcoal",params!$P$13*INDEX(BAU_Fuel_cons!$E$2:$AS$34,MATCH(D229&amp;"_"&amp;E229,BAU_Fuel_cons!$AT$2:$AT$34,0),MATCH(F229,BAU_Fuel_cons!$E$1:$AS$1,0)),INDEX(BAU_Fuel_cons!$E$2:$AS$34,MATCH(D229&amp;"_"&amp;E229,BAU_Fuel_cons!$AT$2:$AT$34,0),MATCH(F229,BAU_Fuel_cons!$E$1:$AS$1,0)))</f>
        <v>0</v>
      </c>
      <c r="H229" s="55">
        <f>G229+10^6*IF($E229="charcoal",params!$P$13*SUMIFS(nonresidential!$L:$L,nonresidential!$A:$A,$F229,nonresidential!$B:$B,$E229,nonresidential!$C:$C,$D229),SUMIFS(nonresidential!$L:$L,nonresidential!$A:$A,$F229,nonresidential!$B:$B,$E229,nonresidential!$C:$C,$D229))</f>
        <v>0</v>
      </c>
      <c r="I229">
        <f>1</f>
        <v>1</v>
      </c>
    </row>
    <row r="230" spans="1:9">
      <c r="A230" t="s">
        <v>211</v>
      </c>
      <c r="B230" t="s">
        <v>162</v>
      </c>
      <c r="C230" t="s">
        <v>269</v>
      </c>
      <c r="D230" t="s">
        <v>25</v>
      </c>
      <c r="E230" t="s">
        <v>12</v>
      </c>
      <c r="F230">
        <v>2033</v>
      </c>
      <c r="G230" s="55">
        <f>10^6*IF($E230="charcoal",params!$P$13*INDEX(BAU_Fuel_cons!$E$2:$AS$34,MATCH(D230&amp;"_"&amp;E230,BAU_Fuel_cons!$AT$2:$AT$34,0),MATCH(F230,BAU_Fuel_cons!$E$1:$AS$1,0)),INDEX(BAU_Fuel_cons!$E$2:$AS$34,MATCH(D230&amp;"_"&amp;E230,BAU_Fuel_cons!$AT$2:$AT$34,0),MATCH(F230,BAU_Fuel_cons!$E$1:$AS$1,0)))</f>
        <v>0</v>
      </c>
      <c r="H230" s="55">
        <f>G230+10^6*IF($E230="charcoal",params!$P$13*SUMIFS(nonresidential!$L:$L,nonresidential!$A:$A,$F230,nonresidential!$B:$B,$E230,nonresidential!$C:$C,$D230),SUMIFS(nonresidential!$L:$L,nonresidential!$A:$A,$F230,nonresidential!$B:$B,$E230,nonresidential!$C:$C,$D230))</f>
        <v>0</v>
      </c>
      <c r="I230">
        <f>1</f>
        <v>1</v>
      </c>
    </row>
    <row r="231" spans="1:9">
      <c r="A231" t="s">
        <v>211</v>
      </c>
      <c r="B231" t="s">
        <v>162</v>
      </c>
      <c r="C231" t="s">
        <v>269</v>
      </c>
      <c r="D231" t="s">
        <v>25</v>
      </c>
      <c r="E231" t="s">
        <v>12</v>
      </c>
      <c r="F231">
        <v>2034</v>
      </c>
      <c r="G231" s="55">
        <f>10^6*IF($E231="charcoal",params!$P$13*INDEX(BAU_Fuel_cons!$E$2:$AS$34,MATCH(D231&amp;"_"&amp;E231,BAU_Fuel_cons!$AT$2:$AT$34,0),MATCH(F231,BAU_Fuel_cons!$E$1:$AS$1,0)),INDEX(BAU_Fuel_cons!$E$2:$AS$34,MATCH(D231&amp;"_"&amp;E231,BAU_Fuel_cons!$AT$2:$AT$34,0),MATCH(F231,BAU_Fuel_cons!$E$1:$AS$1,0)))</f>
        <v>0</v>
      </c>
      <c r="H231" s="55">
        <f>G231+10^6*IF($E231="charcoal",params!$P$13*SUMIFS(nonresidential!$L:$L,nonresidential!$A:$A,$F231,nonresidential!$B:$B,$E231,nonresidential!$C:$C,$D231),SUMIFS(nonresidential!$L:$L,nonresidential!$A:$A,$F231,nonresidential!$B:$B,$E231,nonresidential!$C:$C,$D231))</f>
        <v>0</v>
      </c>
      <c r="I231">
        <f>1</f>
        <v>1</v>
      </c>
    </row>
    <row r="232" spans="1:9">
      <c r="A232" t="s">
        <v>211</v>
      </c>
      <c r="B232" t="s">
        <v>162</v>
      </c>
      <c r="C232" t="s">
        <v>269</v>
      </c>
      <c r="D232" t="s">
        <v>25</v>
      </c>
      <c r="E232" t="s">
        <v>12</v>
      </c>
      <c r="F232">
        <v>2035</v>
      </c>
      <c r="G232" s="55">
        <f>10^6*IF($E232="charcoal",params!$P$13*INDEX(BAU_Fuel_cons!$E$2:$AS$34,MATCH(D232&amp;"_"&amp;E232,BAU_Fuel_cons!$AT$2:$AT$34,0),MATCH(F232,BAU_Fuel_cons!$E$1:$AS$1,0)),INDEX(BAU_Fuel_cons!$E$2:$AS$34,MATCH(D232&amp;"_"&amp;E232,BAU_Fuel_cons!$AT$2:$AT$34,0),MATCH(F232,BAU_Fuel_cons!$E$1:$AS$1,0)))</f>
        <v>0</v>
      </c>
      <c r="H232" s="55">
        <f>G232+10^6*IF($E232="charcoal",params!$P$13*SUMIFS(nonresidential!$L:$L,nonresidential!$A:$A,$F232,nonresidential!$B:$B,$E232,nonresidential!$C:$C,$D232),SUMIFS(nonresidential!$L:$L,nonresidential!$A:$A,$F232,nonresidential!$B:$B,$E232,nonresidential!$C:$C,$D232))</f>
        <v>0</v>
      </c>
      <c r="I232">
        <f>1</f>
        <v>1</v>
      </c>
    </row>
    <row r="233" spans="1:9">
      <c r="A233" t="s">
        <v>211</v>
      </c>
      <c r="B233" t="s">
        <v>162</v>
      </c>
      <c r="C233" t="s">
        <v>269</v>
      </c>
      <c r="D233" t="s">
        <v>25</v>
      </c>
      <c r="E233" t="s">
        <v>12</v>
      </c>
      <c r="F233">
        <v>2036</v>
      </c>
      <c r="G233" s="55">
        <f>10^6*IF($E233="charcoal",params!$P$13*INDEX(BAU_Fuel_cons!$E$2:$AS$34,MATCH(D233&amp;"_"&amp;E233,BAU_Fuel_cons!$AT$2:$AT$34,0),MATCH(F233,BAU_Fuel_cons!$E$1:$AS$1,0)),INDEX(BAU_Fuel_cons!$E$2:$AS$34,MATCH(D233&amp;"_"&amp;E233,BAU_Fuel_cons!$AT$2:$AT$34,0),MATCH(F233,BAU_Fuel_cons!$E$1:$AS$1,0)))</f>
        <v>0</v>
      </c>
      <c r="H233" s="55">
        <f>G233+10^6*IF($E233="charcoal",params!$P$13*SUMIFS(nonresidential!$L:$L,nonresidential!$A:$A,$F233,nonresidential!$B:$B,$E233,nonresidential!$C:$C,$D233),SUMIFS(nonresidential!$L:$L,nonresidential!$A:$A,$F233,nonresidential!$B:$B,$E233,nonresidential!$C:$C,$D233))</f>
        <v>0</v>
      </c>
      <c r="I233">
        <f>1</f>
        <v>1</v>
      </c>
    </row>
    <row r="234" spans="1:9">
      <c r="A234" t="s">
        <v>211</v>
      </c>
      <c r="B234" t="s">
        <v>162</v>
      </c>
      <c r="C234" t="s">
        <v>269</v>
      </c>
      <c r="D234" t="s">
        <v>25</v>
      </c>
      <c r="E234" t="s">
        <v>12</v>
      </c>
      <c r="F234">
        <v>2037</v>
      </c>
      <c r="G234" s="55">
        <f>10^6*IF($E234="charcoal",params!$P$13*INDEX(BAU_Fuel_cons!$E$2:$AS$34,MATCH(D234&amp;"_"&amp;E234,BAU_Fuel_cons!$AT$2:$AT$34,0),MATCH(F234,BAU_Fuel_cons!$E$1:$AS$1,0)),INDEX(BAU_Fuel_cons!$E$2:$AS$34,MATCH(D234&amp;"_"&amp;E234,BAU_Fuel_cons!$AT$2:$AT$34,0),MATCH(F234,BAU_Fuel_cons!$E$1:$AS$1,0)))</f>
        <v>0</v>
      </c>
      <c r="H234" s="55">
        <f>G234+10^6*IF($E234="charcoal",params!$P$13*SUMIFS(nonresidential!$L:$L,nonresidential!$A:$A,$F234,nonresidential!$B:$B,$E234,nonresidential!$C:$C,$D234),SUMIFS(nonresidential!$L:$L,nonresidential!$A:$A,$F234,nonresidential!$B:$B,$E234,nonresidential!$C:$C,$D234))</f>
        <v>0</v>
      </c>
      <c r="I234">
        <f>1</f>
        <v>1</v>
      </c>
    </row>
    <row r="235" spans="1:9">
      <c r="A235" t="s">
        <v>211</v>
      </c>
      <c r="B235" t="s">
        <v>162</v>
      </c>
      <c r="C235" t="s">
        <v>269</v>
      </c>
      <c r="D235" t="s">
        <v>25</v>
      </c>
      <c r="E235" t="s">
        <v>12</v>
      </c>
      <c r="F235">
        <v>2038</v>
      </c>
      <c r="G235" s="55">
        <f>10^6*IF($E235="charcoal",params!$P$13*INDEX(BAU_Fuel_cons!$E$2:$AS$34,MATCH(D235&amp;"_"&amp;E235,BAU_Fuel_cons!$AT$2:$AT$34,0),MATCH(F235,BAU_Fuel_cons!$E$1:$AS$1,0)),INDEX(BAU_Fuel_cons!$E$2:$AS$34,MATCH(D235&amp;"_"&amp;E235,BAU_Fuel_cons!$AT$2:$AT$34,0),MATCH(F235,BAU_Fuel_cons!$E$1:$AS$1,0)))</f>
        <v>0</v>
      </c>
      <c r="H235" s="55">
        <f>G235+10^6*IF($E235="charcoal",params!$P$13*SUMIFS(nonresidential!$L:$L,nonresidential!$A:$A,$F235,nonresidential!$B:$B,$E235,nonresidential!$C:$C,$D235),SUMIFS(nonresidential!$L:$L,nonresidential!$A:$A,$F235,nonresidential!$B:$B,$E235,nonresidential!$C:$C,$D235))</f>
        <v>0</v>
      </c>
      <c r="I235">
        <f>1</f>
        <v>1</v>
      </c>
    </row>
    <row r="236" spans="1:9">
      <c r="A236" t="s">
        <v>211</v>
      </c>
      <c r="B236" t="s">
        <v>162</v>
      </c>
      <c r="C236" t="s">
        <v>269</v>
      </c>
      <c r="D236" t="s">
        <v>25</v>
      </c>
      <c r="E236" t="s">
        <v>12</v>
      </c>
      <c r="F236">
        <v>2039</v>
      </c>
      <c r="G236" s="55">
        <f>10^6*IF($E236="charcoal",params!$P$13*INDEX(BAU_Fuel_cons!$E$2:$AS$34,MATCH(D236&amp;"_"&amp;E236,BAU_Fuel_cons!$AT$2:$AT$34,0),MATCH(F236,BAU_Fuel_cons!$E$1:$AS$1,0)),INDEX(BAU_Fuel_cons!$E$2:$AS$34,MATCH(D236&amp;"_"&amp;E236,BAU_Fuel_cons!$AT$2:$AT$34,0),MATCH(F236,BAU_Fuel_cons!$E$1:$AS$1,0)))</f>
        <v>0</v>
      </c>
      <c r="H236" s="55">
        <f>G236+10^6*IF($E236="charcoal",params!$P$13*SUMIFS(nonresidential!$L:$L,nonresidential!$A:$A,$F236,nonresidential!$B:$B,$E236,nonresidential!$C:$C,$D236),SUMIFS(nonresidential!$L:$L,nonresidential!$A:$A,$F236,nonresidential!$B:$B,$E236,nonresidential!$C:$C,$D236))</f>
        <v>0</v>
      </c>
      <c r="I236">
        <f>1</f>
        <v>1</v>
      </c>
    </row>
    <row r="237" spans="1:9">
      <c r="A237" t="s">
        <v>211</v>
      </c>
      <c r="B237" t="s">
        <v>162</v>
      </c>
      <c r="C237" t="s">
        <v>269</v>
      </c>
      <c r="D237" t="s">
        <v>25</v>
      </c>
      <c r="E237" t="s">
        <v>12</v>
      </c>
      <c r="F237">
        <v>2040</v>
      </c>
      <c r="G237" s="55">
        <f>10^6*IF($E237="charcoal",params!$P$13*INDEX(BAU_Fuel_cons!$E$2:$AS$34,MATCH(D237&amp;"_"&amp;E237,BAU_Fuel_cons!$AT$2:$AT$34,0),MATCH(F237,BAU_Fuel_cons!$E$1:$AS$1,0)),INDEX(BAU_Fuel_cons!$E$2:$AS$34,MATCH(D237&amp;"_"&amp;E237,BAU_Fuel_cons!$AT$2:$AT$34,0),MATCH(F237,BAU_Fuel_cons!$E$1:$AS$1,0)))</f>
        <v>0</v>
      </c>
      <c r="H237" s="55">
        <f>G237+10^6*IF($E237="charcoal",params!$P$13*SUMIFS(nonresidential!$L:$L,nonresidential!$A:$A,$F237,nonresidential!$B:$B,$E237,nonresidential!$C:$C,$D237),SUMIFS(nonresidential!$L:$L,nonresidential!$A:$A,$F237,nonresidential!$B:$B,$E237,nonresidential!$C:$C,$D237))</f>
        <v>0</v>
      </c>
      <c r="I237">
        <f>1</f>
        <v>1</v>
      </c>
    </row>
    <row r="238" spans="1:9">
      <c r="A238" t="s">
        <v>211</v>
      </c>
      <c r="B238" t="s">
        <v>162</v>
      </c>
      <c r="C238" t="s">
        <v>269</v>
      </c>
      <c r="D238" t="s">
        <v>25</v>
      </c>
      <c r="E238" t="s">
        <v>12</v>
      </c>
      <c r="F238">
        <v>2041</v>
      </c>
      <c r="G238" s="55">
        <f>10^6*IF($E238="charcoal",params!$P$13*INDEX(BAU_Fuel_cons!$E$2:$AS$34,MATCH(D238&amp;"_"&amp;E238,BAU_Fuel_cons!$AT$2:$AT$34,0),MATCH(F238,BAU_Fuel_cons!$E$1:$AS$1,0)),INDEX(BAU_Fuel_cons!$E$2:$AS$34,MATCH(D238&amp;"_"&amp;E238,BAU_Fuel_cons!$AT$2:$AT$34,0),MATCH(F238,BAU_Fuel_cons!$E$1:$AS$1,0)))</f>
        <v>0</v>
      </c>
      <c r="H238" s="55">
        <f>G238+10^6*IF($E238="charcoal",params!$P$13*SUMIFS(nonresidential!$L:$L,nonresidential!$A:$A,$F238,nonresidential!$B:$B,$E238,nonresidential!$C:$C,$D238),SUMIFS(nonresidential!$L:$L,nonresidential!$A:$A,$F238,nonresidential!$B:$B,$E238,nonresidential!$C:$C,$D238))</f>
        <v>0</v>
      </c>
      <c r="I238">
        <f>1</f>
        <v>1</v>
      </c>
    </row>
    <row r="239" spans="1:9">
      <c r="A239" t="s">
        <v>211</v>
      </c>
      <c r="B239" t="s">
        <v>162</v>
      </c>
      <c r="C239" t="s">
        <v>269</v>
      </c>
      <c r="D239" t="s">
        <v>25</v>
      </c>
      <c r="E239" t="s">
        <v>12</v>
      </c>
      <c r="F239">
        <v>2042</v>
      </c>
      <c r="G239" s="55">
        <f>10^6*IF($E239="charcoal",params!$P$13*INDEX(BAU_Fuel_cons!$E$2:$AS$34,MATCH(D239&amp;"_"&amp;E239,BAU_Fuel_cons!$AT$2:$AT$34,0),MATCH(F239,BAU_Fuel_cons!$E$1:$AS$1,0)),INDEX(BAU_Fuel_cons!$E$2:$AS$34,MATCH(D239&amp;"_"&amp;E239,BAU_Fuel_cons!$AT$2:$AT$34,0),MATCH(F239,BAU_Fuel_cons!$E$1:$AS$1,0)))</f>
        <v>0</v>
      </c>
      <c r="H239" s="55">
        <f>G239+10^6*IF($E239="charcoal",params!$P$13*SUMIFS(nonresidential!$L:$L,nonresidential!$A:$A,$F239,nonresidential!$B:$B,$E239,nonresidential!$C:$C,$D239),SUMIFS(nonresidential!$L:$L,nonresidential!$A:$A,$F239,nonresidential!$B:$B,$E239,nonresidential!$C:$C,$D239))</f>
        <v>0</v>
      </c>
      <c r="I239">
        <f>1</f>
        <v>1</v>
      </c>
    </row>
    <row r="240" spans="1:9">
      <c r="A240" t="s">
        <v>211</v>
      </c>
      <c r="B240" t="s">
        <v>162</v>
      </c>
      <c r="C240" t="s">
        <v>269</v>
      </c>
      <c r="D240" t="s">
        <v>25</v>
      </c>
      <c r="E240" t="s">
        <v>12</v>
      </c>
      <c r="F240">
        <v>2043</v>
      </c>
      <c r="G240" s="55">
        <f>10^6*IF($E240="charcoal",params!$P$13*INDEX(BAU_Fuel_cons!$E$2:$AS$34,MATCH(D240&amp;"_"&amp;E240,BAU_Fuel_cons!$AT$2:$AT$34,0),MATCH(F240,BAU_Fuel_cons!$E$1:$AS$1,0)),INDEX(BAU_Fuel_cons!$E$2:$AS$34,MATCH(D240&amp;"_"&amp;E240,BAU_Fuel_cons!$AT$2:$AT$34,0),MATCH(F240,BAU_Fuel_cons!$E$1:$AS$1,0)))</f>
        <v>0</v>
      </c>
      <c r="H240" s="55">
        <f>G240+10^6*IF($E240="charcoal",params!$P$13*SUMIFS(nonresidential!$L:$L,nonresidential!$A:$A,$F240,nonresidential!$B:$B,$E240,nonresidential!$C:$C,$D240),SUMIFS(nonresidential!$L:$L,nonresidential!$A:$A,$F240,nonresidential!$B:$B,$E240,nonresidential!$C:$C,$D240))</f>
        <v>0</v>
      </c>
      <c r="I240">
        <f>1</f>
        <v>1</v>
      </c>
    </row>
    <row r="241" spans="1:9">
      <c r="A241" t="s">
        <v>211</v>
      </c>
      <c r="B241" t="s">
        <v>162</v>
      </c>
      <c r="C241" t="s">
        <v>269</v>
      </c>
      <c r="D241" t="s">
        <v>25</v>
      </c>
      <c r="E241" t="s">
        <v>12</v>
      </c>
      <c r="F241">
        <v>2044</v>
      </c>
      <c r="G241" s="55">
        <f>10^6*IF($E241="charcoal",params!$P$13*INDEX(BAU_Fuel_cons!$E$2:$AS$34,MATCH(D241&amp;"_"&amp;E241,BAU_Fuel_cons!$AT$2:$AT$34,0),MATCH(F241,BAU_Fuel_cons!$E$1:$AS$1,0)),INDEX(BAU_Fuel_cons!$E$2:$AS$34,MATCH(D241&amp;"_"&amp;E241,BAU_Fuel_cons!$AT$2:$AT$34,0),MATCH(F241,BAU_Fuel_cons!$E$1:$AS$1,0)))</f>
        <v>0</v>
      </c>
      <c r="H241" s="55">
        <f>G241+10^6*IF($E241="charcoal",params!$P$13*SUMIFS(nonresidential!$L:$L,nonresidential!$A:$A,$F241,nonresidential!$B:$B,$E241,nonresidential!$C:$C,$D241),SUMIFS(nonresidential!$L:$L,nonresidential!$A:$A,$F241,nonresidential!$B:$B,$E241,nonresidential!$C:$C,$D241))</f>
        <v>0</v>
      </c>
      <c r="I241">
        <f>1</f>
        <v>1</v>
      </c>
    </row>
    <row r="242" spans="1:9">
      <c r="A242" t="s">
        <v>211</v>
      </c>
      <c r="B242" t="s">
        <v>162</v>
      </c>
      <c r="C242" t="s">
        <v>269</v>
      </c>
      <c r="D242" t="s">
        <v>25</v>
      </c>
      <c r="E242" t="s">
        <v>12</v>
      </c>
      <c r="F242">
        <v>2045</v>
      </c>
      <c r="G242" s="55">
        <f>10^6*IF($E242="charcoal",params!$P$13*INDEX(BAU_Fuel_cons!$E$2:$AS$34,MATCH(D242&amp;"_"&amp;E242,BAU_Fuel_cons!$AT$2:$AT$34,0),MATCH(F242,BAU_Fuel_cons!$E$1:$AS$1,0)),INDEX(BAU_Fuel_cons!$E$2:$AS$34,MATCH(D242&amp;"_"&amp;E242,BAU_Fuel_cons!$AT$2:$AT$34,0),MATCH(F242,BAU_Fuel_cons!$E$1:$AS$1,0)))</f>
        <v>0</v>
      </c>
      <c r="H242" s="55">
        <f>G242+10^6*IF($E242="charcoal",params!$P$13*SUMIFS(nonresidential!$L:$L,nonresidential!$A:$A,$F242,nonresidential!$B:$B,$E242,nonresidential!$C:$C,$D242),SUMIFS(nonresidential!$L:$L,nonresidential!$A:$A,$F242,nonresidential!$B:$B,$E242,nonresidential!$C:$C,$D242))</f>
        <v>0</v>
      </c>
      <c r="I242">
        <f>1</f>
        <v>1</v>
      </c>
    </row>
    <row r="243" spans="1:9">
      <c r="A243" t="s">
        <v>211</v>
      </c>
      <c r="B243" t="s">
        <v>162</v>
      </c>
      <c r="C243" t="s">
        <v>269</v>
      </c>
      <c r="D243" t="s">
        <v>25</v>
      </c>
      <c r="E243" t="s">
        <v>12</v>
      </c>
      <c r="F243">
        <v>2046</v>
      </c>
      <c r="G243" s="55">
        <f>10^6*IF($E243="charcoal",params!$P$13*INDEX(BAU_Fuel_cons!$E$2:$AS$34,MATCH(D243&amp;"_"&amp;E243,BAU_Fuel_cons!$AT$2:$AT$34,0),MATCH(F243,BAU_Fuel_cons!$E$1:$AS$1,0)),INDEX(BAU_Fuel_cons!$E$2:$AS$34,MATCH(D243&amp;"_"&amp;E243,BAU_Fuel_cons!$AT$2:$AT$34,0),MATCH(F243,BAU_Fuel_cons!$E$1:$AS$1,0)))</f>
        <v>0</v>
      </c>
      <c r="H243" s="55">
        <f>G243+10^6*IF($E243="charcoal",params!$P$13*SUMIFS(nonresidential!$L:$L,nonresidential!$A:$A,$F243,nonresidential!$B:$B,$E243,nonresidential!$C:$C,$D243),SUMIFS(nonresidential!$L:$L,nonresidential!$A:$A,$F243,nonresidential!$B:$B,$E243,nonresidential!$C:$C,$D243))</f>
        <v>0</v>
      </c>
      <c r="I243">
        <f>1</f>
        <v>1</v>
      </c>
    </row>
    <row r="244" spans="1:9">
      <c r="A244" t="s">
        <v>211</v>
      </c>
      <c r="B244" t="s">
        <v>162</v>
      </c>
      <c r="C244" t="s">
        <v>269</v>
      </c>
      <c r="D244" t="s">
        <v>25</v>
      </c>
      <c r="E244" t="s">
        <v>12</v>
      </c>
      <c r="F244">
        <v>2047</v>
      </c>
      <c r="G244" s="55">
        <f>10^6*IF($E244="charcoal",params!$P$13*INDEX(BAU_Fuel_cons!$E$2:$AS$34,MATCH(D244&amp;"_"&amp;E244,BAU_Fuel_cons!$AT$2:$AT$34,0),MATCH(F244,BAU_Fuel_cons!$E$1:$AS$1,0)),INDEX(BAU_Fuel_cons!$E$2:$AS$34,MATCH(D244&amp;"_"&amp;E244,BAU_Fuel_cons!$AT$2:$AT$34,0),MATCH(F244,BAU_Fuel_cons!$E$1:$AS$1,0)))</f>
        <v>0</v>
      </c>
      <c r="H244" s="55">
        <f>G244+10^6*IF($E244="charcoal",params!$P$13*SUMIFS(nonresidential!$L:$L,nonresidential!$A:$A,$F244,nonresidential!$B:$B,$E244,nonresidential!$C:$C,$D244),SUMIFS(nonresidential!$L:$L,nonresidential!$A:$A,$F244,nonresidential!$B:$B,$E244,nonresidential!$C:$C,$D244))</f>
        <v>0</v>
      </c>
      <c r="I244">
        <f>1</f>
        <v>1</v>
      </c>
    </row>
    <row r="245" spans="1:9">
      <c r="A245" t="s">
        <v>211</v>
      </c>
      <c r="B245" t="s">
        <v>162</v>
      </c>
      <c r="C245" t="s">
        <v>269</v>
      </c>
      <c r="D245" t="s">
        <v>25</v>
      </c>
      <c r="E245" t="s">
        <v>12</v>
      </c>
      <c r="F245">
        <v>2048</v>
      </c>
      <c r="G245" s="55">
        <f>10^6*IF($E245="charcoal",params!$P$13*INDEX(BAU_Fuel_cons!$E$2:$AS$34,MATCH(D245&amp;"_"&amp;E245,BAU_Fuel_cons!$AT$2:$AT$34,0),MATCH(F245,BAU_Fuel_cons!$E$1:$AS$1,0)),INDEX(BAU_Fuel_cons!$E$2:$AS$34,MATCH(D245&amp;"_"&amp;E245,BAU_Fuel_cons!$AT$2:$AT$34,0),MATCH(F245,BAU_Fuel_cons!$E$1:$AS$1,0)))</f>
        <v>0</v>
      </c>
      <c r="H245" s="55">
        <f>G245+10^6*IF($E245="charcoal",params!$P$13*SUMIFS(nonresidential!$L:$L,nonresidential!$A:$A,$F245,nonresidential!$B:$B,$E245,nonresidential!$C:$C,$D245),SUMIFS(nonresidential!$L:$L,nonresidential!$A:$A,$F245,nonresidential!$B:$B,$E245,nonresidential!$C:$C,$D245))</f>
        <v>0</v>
      </c>
      <c r="I245">
        <f>1</f>
        <v>1</v>
      </c>
    </row>
    <row r="246" spans="1:9">
      <c r="A246" t="s">
        <v>211</v>
      </c>
      <c r="B246" t="s">
        <v>162</v>
      </c>
      <c r="C246" t="s">
        <v>269</v>
      </c>
      <c r="D246" t="s">
        <v>25</v>
      </c>
      <c r="E246" t="s">
        <v>12</v>
      </c>
      <c r="F246">
        <v>2049</v>
      </c>
      <c r="G246" s="55">
        <f>10^6*IF($E246="charcoal",params!$P$13*INDEX(BAU_Fuel_cons!$E$2:$AS$34,MATCH(D246&amp;"_"&amp;E246,BAU_Fuel_cons!$AT$2:$AT$34,0),MATCH(F246,BAU_Fuel_cons!$E$1:$AS$1,0)),INDEX(BAU_Fuel_cons!$E$2:$AS$34,MATCH(D246&amp;"_"&amp;E246,BAU_Fuel_cons!$AT$2:$AT$34,0),MATCH(F246,BAU_Fuel_cons!$E$1:$AS$1,0)))</f>
        <v>0</v>
      </c>
      <c r="H246" s="55">
        <f>G246+10^6*IF($E246="charcoal",params!$P$13*SUMIFS(nonresidential!$L:$L,nonresidential!$A:$A,$F246,nonresidential!$B:$B,$E246,nonresidential!$C:$C,$D246),SUMIFS(nonresidential!$L:$L,nonresidential!$A:$A,$F246,nonresidential!$B:$B,$E246,nonresidential!$C:$C,$D246))</f>
        <v>0</v>
      </c>
      <c r="I246">
        <f>1</f>
        <v>1</v>
      </c>
    </row>
    <row r="247" spans="1:9">
      <c r="A247" t="s">
        <v>211</v>
      </c>
      <c r="B247" t="s">
        <v>162</v>
      </c>
      <c r="C247" t="s">
        <v>269</v>
      </c>
      <c r="D247" t="s">
        <v>25</v>
      </c>
      <c r="E247" t="s">
        <v>12</v>
      </c>
      <c r="F247">
        <v>2050</v>
      </c>
      <c r="G247" s="55">
        <f>10^6*IF($E247="charcoal",params!$P$13*INDEX(BAU_Fuel_cons!$E$2:$AS$34,MATCH(D247&amp;"_"&amp;E247,BAU_Fuel_cons!$AT$2:$AT$34,0),MATCH(F247,BAU_Fuel_cons!$E$1:$AS$1,0)),INDEX(BAU_Fuel_cons!$E$2:$AS$34,MATCH(D247&amp;"_"&amp;E247,BAU_Fuel_cons!$AT$2:$AT$34,0),MATCH(F247,BAU_Fuel_cons!$E$1:$AS$1,0)))</f>
        <v>0</v>
      </c>
      <c r="H247" s="55">
        <f>G247+10^6*IF($E247="charcoal",params!$P$13*SUMIFS(nonresidential!$L:$L,nonresidential!$A:$A,$F247,nonresidential!$B:$B,$E247,nonresidential!$C:$C,$D247),SUMIFS(nonresidential!$L:$L,nonresidential!$A:$A,$F247,nonresidential!$B:$B,$E247,nonresidential!$C:$C,$D247))</f>
        <v>0</v>
      </c>
      <c r="I247">
        <f>1</f>
        <v>1</v>
      </c>
    </row>
    <row r="248" spans="1:9">
      <c r="A248" t="s">
        <v>211</v>
      </c>
      <c r="B248" t="s">
        <v>162</v>
      </c>
      <c r="C248" t="s">
        <v>269</v>
      </c>
      <c r="D248" t="s">
        <v>25</v>
      </c>
      <c r="E248" t="s">
        <v>13</v>
      </c>
      <c r="F248">
        <v>2010</v>
      </c>
      <c r="G248" s="55">
        <f>10^6*IF($E248="charcoal",params!$P$13*INDEX(BAU_Fuel_cons!$E$2:$AS$34,MATCH(D248&amp;"_"&amp;E248,BAU_Fuel_cons!$AT$2:$AT$34,0),MATCH(F248,BAU_Fuel_cons!$E$1:$AS$1,0)),INDEX(BAU_Fuel_cons!$E$2:$AS$34,MATCH(D248&amp;"_"&amp;E248,BAU_Fuel_cons!$AT$2:$AT$34,0),MATCH(F248,BAU_Fuel_cons!$E$1:$AS$1,0)))</f>
        <v>275278.92262861796</v>
      </c>
      <c r="H248" s="55">
        <f>G248+10^6*IF($E248="charcoal",params!$P$13*SUMIFS(nonresidential!$L:$L,nonresidential!$A:$A,$F248,nonresidential!$B:$B,$E248,nonresidential!$C:$C,$D248),SUMIFS(nonresidential!$L:$L,nonresidential!$A:$A,$F248,nonresidential!$B:$B,$E248,nonresidential!$C:$C,$D248))</f>
        <v>275278.92262861796</v>
      </c>
      <c r="I248">
        <f>1</f>
        <v>1</v>
      </c>
    </row>
    <row r="249" spans="1:9">
      <c r="A249" t="s">
        <v>211</v>
      </c>
      <c r="B249" t="s">
        <v>162</v>
      </c>
      <c r="C249" t="s">
        <v>269</v>
      </c>
      <c r="D249" t="s">
        <v>25</v>
      </c>
      <c r="E249" t="s">
        <v>13</v>
      </c>
      <c r="F249">
        <v>2011</v>
      </c>
      <c r="G249" s="55">
        <f>10^6*IF($E249="charcoal",params!$P$13*INDEX(BAU_Fuel_cons!$E$2:$AS$34,MATCH(D249&amp;"_"&amp;E249,BAU_Fuel_cons!$AT$2:$AT$34,0),MATCH(F249,BAU_Fuel_cons!$E$1:$AS$1,0)),INDEX(BAU_Fuel_cons!$E$2:$AS$34,MATCH(D249&amp;"_"&amp;E249,BAU_Fuel_cons!$AT$2:$AT$34,0),MATCH(F249,BAU_Fuel_cons!$E$1:$AS$1,0)))</f>
        <v>279169.50757544243</v>
      </c>
      <c r="H249" s="55">
        <f>G249+10^6*IF($E249="charcoal",params!$P$13*SUMIFS(nonresidential!$L:$L,nonresidential!$A:$A,$F249,nonresidential!$B:$B,$E249,nonresidential!$C:$C,$D249),SUMIFS(nonresidential!$L:$L,nonresidential!$A:$A,$F249,nonresidential!$B:$B,$E249,nonresidential!$C:$C,$D249))</f>
        <v>279169.50757544243</v>
      </c>
      <c r="I249">
        <f>1</f>
        <v>1</v>
      </c>
    </row>
    <row r="250" spans="1:9">
      <c r="A250" t="s">
        <v>211</v>
      </c>
      <c r="B250" t="s">
        <v>162</v>
      </c>
      <c r="C250" t="s">
        <v>269</v>
      </c>
      <c r="D250" t="s">
        <v>25</v>
      </c>
      <c r="E250" t="s">
        <v>13</v>
      </c>
      <c r="F250">
        <v>2012</v>
      </c>
      <c r="G250" s="55">
        <f>10^6*IF($E250="charcoal",params!$P$13*INDEX(BAU_Fuel_cons!$E$2:$AS$34,MATCH(D250&amp;"_"&amp;E250,BAU_Fuel_cons!$AT$2:$AT$34,0),MATCH(F250,BAU_Fuel_cons!$E$1:$AS$1,0)),INDEX(BAU_Fuel_cons!$E$2:$AS$34,MATCH(D250&amp;"_"&amp;E250,BAU_Fuel_cons!$AT$2:$AT$34,0),MATCH(F250,BAU_Fuel_cons!$E$1:$AS$1,0)))</f>
        <v>282638.67275155144</v>
      </c>
      <c r="H250" s="55">
        <f>G250+10^6*IF($E250="charcoal",params!$P$13*SUMIFS(nonresidential!$L:$L,nonresidential!$A:$A,$F250,nonresidential!$B:$B,$E250,nonresidential!$C:$C,$D250),SUMIFS(nonresidential!$L:$L,nonresidential!$A:$A,$F250,nonresidential!$B:$B,$E250,nonresidential!$C:$C,$D250))</f>
        <v>282638.67275155144</v>
      </c>
      <c r="I250">
        <f>1</f>
        <v>1</v>
      </c>
    </row>
    <row r="251" spans="1:9">
      <c r="A251" t="s">
        <v>211</v>
      </c>
      <c r="B251" t="s">
        <v>162</v>
      </c>
      <c r="C251" t="s">
        <v>269</v>
      </c>
      <c r="D251" t="s">
        <v>25</v>
      </c>
      <c r="E251" t="s">
        <v>13</v>
      </c>
      <c r="F251">
        <v>2013</v>
      </c>
      <c r="G251" s="55">
        <f>10^6*IF($E251="charcoal",params!$P$13*INDEX(BAU_Fuel_cons!$E$2:$AS$34,MATCH(D251&amp;"_"&amp;E251,BAU_Fuel_cons!$AT$2:$AT$34,0),MATCH(F251,BAU_Fuel_cons!$E$1:$AS$1,0)),INDEX(BAU_Fuel_cons!$E$2:$AS$34,MATCH(D251&amp;"_"&amp;E251,BAU_Fuel_cons!$AT$2:$AT$34,0),MATCH(F251,BAU_Fuel_cons!$E$1:$AS$1,0)))</f>
        <v>285665.76832432463</v>
      </c>
      <c r="H251" s="55">
        <f>G251+10^6*IF($E251="charcoal",params!$P$13*SUMIFS(nonresidential!$L:$L,nonresidential!$A:$A,$F251,nonresidential!$B:$B,$E251,nonresidential!$C:$C,$D251),SUMIFS(nonresidential!$L:$L,nonresidential!$A:$A,$F251,nonresidential!$B:$B,$E251,nonresidential!$C:$C,$D251))</f>
        <v>285665.76832432463</v>
      </c>
      <c r="I251">
        <f>1</f>
        <v>1</v>
      </c>
    </row>
    <row r="252" spans="1:9">
      <c r="A252" t="s">
        <v>211</v>
      </c>
      <c r="B252" t="s">
        <v>162</v>
      </c>
      <c r="C252" t="s">
        <v>269</v>
      </c>
      <c r="D252" t="s">
        <v>25</v>
      </c>
      <c r="E252" t="s">
        <v>13</v>
      </c>
      <c r="F252">
        <v>2014</v>
      </c>
      <c r="G252" s="55">
        <f>10^6*IF($E252="charcoal",params!$P$13*INDEX(BAU_Fuel_cons!$E$2:$AS$34,MATCH(D252&amp;"_"&amp;E252,BAU_Fuel_cons!$AT$2:$AT$34,0),MATCH(F252,BAU_Fuel_cons!$E$1:$AS$1,0)),INDEX(BAU_Fuel_cons!$E$2:$AS$34,MATCH(D252&amp;"_"&amp;E252,BAU_Fuel_cons!$AT$2:$AT$34,0),MATCH(F252,BAU_Fuel_cons!$E$1:$AS$1,0)))</f>
        <v>288233.21455504466</v>
      </c>
      <c r="H252" s="55">
        <f>G252+10^6*IF($E252="charcoal",params!$P$13*SUMIFS(nonresidential!$L:$L,nonresidential!$A:$A,$F252,nonresidential!$B:$B,$E252,nonresidential!$C:$C,$D252),SUMIFS(nonresidential!$L:$L,nonresidential!$A:$A,$F252,nonresidential!$B:$B,$E252,nonresidential!$C:$C,$D252))</f>
        <v>288233.21455504466</v>
      </c>
      <c r="I252">
        <f>1</f>
        <v>1</v>
      </c>
    </row>
    <row r="253" spans="1:9">
      <c r="A253" t="s">
        <v>211</v>
      </c>
      <c r="B253" t="s">
        <v>162</v>
      </c>
      <c r="C253" t="s">
        <v>269</v>
      </c>
      <c r="D253" t="s">
        <v>25</v>
      </c>
      <c r="E253" t="s">
        <v>13</v>
      </c>
      <c r="F253">
        <v>2015</v>
      </c>
      <c r="G253" s="55">
        <f>10^6*IF($E253="charcoal",params!$P$13*INDEX(BAU_Fuel_cons!$E$2:$AS$34,MATCH(D253&amp;"_"&amp;E253,BAU_Fuel_cons!$AT$2:$AT$34,0),MATCH(F253,BAU_Fuel_cons!$E$1:$AS$1,0)),INDEX(BAU_Fuel_cons!$E$2:$AS$34,MATCH(D253&amp;"_"&amp;E253,BAU_Fuel_cons!$AT$2:$AT$34,0),MATCH(F253,BAU_Fuel_cons!$E$1:$AS$1,0)))</f>
        <v>290312.91947232658</v>
      </c>
      <c r="H253" s="55">
        <f>G253+10^6*IF($E253="charcoal",params!$P$13*SUMIFS(nonresidential!$L:$L,nonresidential!$A:$A,$F253,nonresidential!$B:$B,$E253,nonresidential!$C:$C,$D253),SUMIFS(nonresidential!$L:$L,nonresidential!$A:$A,$F253,nonresidential!$B:$B,$E253,nonresidential!$C:$C,$D253))</f>
        <v>290312.91947232658</v>
      </c>
      <c r="I253">
        <f>1</f>
        <v>1</v>
      </c>
    </row>
    <row r="254" spans="1:9">
      <c r="A254" t="s">
        <v>211</v>
      </c>
      <c r="B254" t="s">
        <v>162</v>
      </c>
      <c r="C254" t="s">
        <v>269</v>
      </c>
      <c r="D254" t="s">
        <v>25</v>
      </c>
      <c r="E254" t="s">
        <v>13</v>
      </c>
      <c r="F254">
        <v>2016</v>
      </c>
      <c r="G254" s="55">
        <f>10^6*IF($E254="charcoal",params!$P$13*INDEX(BAU_Fuel_cons!$E$2:$AS$34,MATCH(D254&amp;"_"&amp;E254,BAU_Fuel_cons!$AT$2:$AT$34,0),MATCH(F254,BAU_Fuel_cons!$E$1:$AS$1,0)),INDEX(BAU_Fuel_cons!$E$2:$AS$34,MATCH(D254&amp;"_"&amp;E254,BAU_Fuel_cons!$AT$2:$AT$34,0),MATCH(F254,BAU_Fuel_cons!$E$1:$AS$1,0)))</f>
        <v>291861.63645791356</v>
      </c>
      <c r="H254" s="55">
        <f>G254+10^6*IF($E254="charcoal",params!$P$13*SUMIFS(nonresidential!$L:$L,nonresidential!$A:$A,$F254,nonresidential!$B:$B,$E254,nonresidential!$C:$C,$D254),SUMIFS(nonresidential!$L:$L,nonresidential!$A:$A,$F254,nonresidential!$B:$B,$E254,nonresidential!$C:$C,$D254))</f>
        <v>291861.63645791356</v>
      </c>
      <c r="I254">
        <f>1</f>
        <v>1</v>
      </c>
    </row>
    <row r="255" spans="1:9">
      <c r="A255" t="s">
        <v>211</v>
      </c>
      <c r="B255" t="s">
        <v>162</v>
      </c>
      <c r="C255" t="s">
        <v>269</v>
      </c>
      <c r="D255" t="s">
        <v>25</v>
      </c>
      <c r="E255" t="s">
        <v>13</v>
      </c>
      <c r="F255">
        <v>2017</v>
      </c>
      <c r="G255" s="55">
        <f>10^6*IF($E255="charcoal",params!$P$13*INDEX(BAU_Fuel_cons!$E$2:$AS$34,MATCH(D255&amp;"_"&amp;E255,BAU_Fuel_cons!$AT$2:$AT$34,0),MATCH(F255,BAU_Fuel_cons!$E$1:$AS$1,0)),INDEX(BAU_Fuel_cons!$E$2:$AS$34,MATCH(D255&amp;"_"&amp;E255,BAU_Fuel_cons!$AT$2:$AT$34,0),MATCH(F255,BAU_Fuel_cons!$E$1:$AS$1,0)))</f>
        <v>292824.02535504138</v>
      </c>
      <c r="H255" s="55">
        <f>G255+10^6*IF($E255="charcoal",params!$P$13*SUMIFS(nonresidential!$L:$L,nonresidential!$A:$A,$F255,nonresidential!$B:$B,$E255,nonresidential!$C:$C,$D255),SUMIFS(nonresidential!$L:$L,nonresidential!$A:$A,$F255,nonresidential!$B:$B,$E255,nonresidential!$C:$C,$D255))</f>
        <v>292824.02535504138</v>
      </c>
      <c r="I255">
        <f>1</f>
        <v>1</v>
      </c>
    </row>
    <row r="256" spans="1:9">
      <c r="A256" t="s">
        <v>211</v>
      </c>
      <c r="B256" t="s">
        <v>162</v>
      </c>
      <c r="C256" t="s">
        <v>269</v>
      </c>
      <c r="D256" t="s">
        <v>25</v>
      </c>
      <c r="E256" t="s">
        <v>13</v>
      </c>
      <c r="F256">
        <v>2018</v>
      </c>
      <c r="G256" s="55">
        <f>10^6*IF($E256="charcoal",params!$P$13*INDEX(BAU_Fuel_cons!$E$2:$AS$34,MATCH(D256&amp;"_"&amp;E256,BAU_Fuel_cons!$AT$2:$AT$34,0),MATCH(F256,BAU_Fuel_cons!$E$1:$AS$1,0)),INDEX(BAU_Fuel_cons!$E$2:$AS$34,MATCH(D256&amp;"_"&amp;E256,BAU_Fuel_cons!$AT$2:$AT$34,0),MATCH(F256,BAU_Fuel_cons!$E$1:$AS$1,0)))</f>
        <v>293143.02934947447</v>
      </c>
      <c r="H256" s="55">
        <f>G256+10^6*IF($E256="charcoal",params!$P$13*SUMIFS(nonresidential!$L:$L,nonresidential!$A:$A,$F256,nonresidential!$B:$B,$E256,nonresidential!$C:$C,$D256),SUMIFS(nonresidential!$L:$L,nonresidential!$A:$A,$F256,nonresidential!$B:$B,$E256,nonresidential!$C:$C,$D256))</f>
        <v>293143.02934947447</v>
      </c>
      <c r="I256">
        <f>1</f>
        <v>1</v>
      </c>
    </row>
    <row r="257" spans="1:9">
      <c r="A257" t="s">
        <v>211</v>
      </c>
      <c r="B257" t="s">
        <v>162</v>
      </c>
      <c r="C257" t="s">
        <v>269</v>
      </c>
      <c r="D257" t="s">
        <v>25</v>
      </c>
      <c r="E257" t="s">
        <v>13</v>
      </c>
      <c r="F257">
        <v>2019</v>
      </c>
      <c r="G257" s="55">
        <f>10^6*IF($E257="charcoal",params!$P$13*INDEX(BAU_Fuel_cons!$E$2:$AS$34,MATCH(D257&amp;"_"&amp;E257,BAU_Fuel_cons!$AT$2:$AT$34,0),MATCH(F257,BAU_Fuel_cons!$E$1:$AS$1,0)),INDEX(BAU_Fuel_cons!$E$2:$AS$34,MATCH(D257&amp;"_"&amp;E257,BAU_Fuel_cons!$AT$2:$AT$34,0),MATCH(F257,BAU_Fuel_cons!$E$1:$AS$1,0)))</f>
        <v>292756.40156953345</v>
      </c>
      <c r="H257" s="55">
        <f>G257+10^6*IF($E257="charcoal",params!$P$13*SUMIFS(nonresidential!$L:$L,nonresidential!$A:$A,$F257,nonresidential!$B:$B,$E257,nonresidential!$C:$C,$D257),SUMIFS(nonresidential!$L:$L,nonresidential!$A:$A,$F257,nonresidential!$B:$B,$E257,nonresidential!$C:$C,$D257))</f>
        <v>292756.40156953345</v>
      </c>
      <c r="I257">
        <f>1</f>
        <v>1</v>
      </c>
    </row>
    <row r="258" spans="1:9">
      <c r="A258" t="s">
        <v>211</v>
      </c>
      <c r="B258" t="s">
        <v>162</v>
      </c>
      <c r="C258" t="s">
        <v>269</v>
      </c>
      <c r="D258" t="s">
        <v>25</v>
      </c>
      <c r="E258" t="s">
        <v>13</v>
      </c>
      <c r="F258">
        <v>2020</v>
      </c>
      <c r="G258" s="55">
        <f>10^6*IF($E258="charcoal",params!$P$13*INDEX(BAU_Fuel_cons!$E$2:$AS$34,MATCH(D258&amp;"_"&amp;E258,BAU_Fuel_cons!$AT$2:$AT$34,0),MATCH(F258,BAU_Fuel_cons!$E$1:$AS$1,0)),INDEX(BAU_Fuel_cons!$E$2:$AS$34,MATCH(D258&amp;"_"&amp;E258,BAU_Fuel_cons!$AT$2:$AT$34,0),MATCH(F258,BAU_Fuel_cons!$E$1:$AS$1,0)))</f>
        <v>291601.66041014454</v>
      </c>
      <c r="H258" s="55">
        <f>G258+10^6*IF($E258="charcoal",params!$P$13*SUMIFS(nonresidential!$L:$L,nonresidential!$A:$A,$F258,nonresidential!$B:$B,$E258,nonresidential!$C:$C,$D258),SUMIFS(nonresidential!$L:$L,nonresidential!$A:$A,$F258,nonresidential!$B:$B,$E258,nonresidential!$C:$C,$D258))</f>
        <v>291601.66041014454</v>
      </c>
      <c r="I258">
        <f>1</f>
        <v>1</v>
      </c>
    </row>
    <row r="259" spans="1:9">
      <c r="A259" t="s">
        <v>211</v>
      </c>
      <c r="B259" t="s">
        <v>162</v>
      </c>
      <c r="C259" t="s">
        <v>269</v>
      </c>
      <c r="D259" t="s">
        <v>25</v>
      </c>
      <c r="E259" t="s">
        <v>13</v>
      </c>
      <c r="F259">
        <v>2021</v>
      </c>
      <c r="G259" s="55">
        <f>10^6*IF($E259="charcoal",params!$P$13*INDEX(BAU_Fuel_cons!$E$2:$AS$34,MATCH(D259&amp;"_"&amp;E259,BAU_Fuel_cons!$AT$2:$AT$34,0),MATCH(F259,BAU_Fuel_cons!$E$1:$AS$1,0)),INDEX(BAU_Fuel_cons!$E$2:$AS$34,MATCH(D259&amp;"_"&amp;E259,BAU_Fuel_cons!$AT$2:$AT$34,0),MATCH(F259,BAU_Fuel_cons!$E$1:$AS$1,0)))</f>
        <v>289619.78130486549</v>
      </c>
      <c r="H259" s="55">
        <f>G259+10^6*IF($E259="charcoal",params!$P$13*SUMIFS(nonresidential!$L:$L,nonresidential!$A:$A,$F259,nonresidential!$B:$B,$E259,nonresidential!$C:$C,$D259),SUMIFS(nonresidential!$L:$L,nonresidential!$A:$A,$F259,nonresidential!$B:$B,$E259,nonresidential!$C:$C,$D259))</f>
        <v>289619.78130486549</v>
      </c>
      <c r="I259">
        <f>1</f>
        <v>1</v>
      </c>
    </row>
    <row r="260" spans="1:9">
      <c r="A260" t="s">
        <v>211</v>
      </c>
      <c r="B260" t="s">
        <v>162</v>
      </c>
      <c r="C260" t="s">
        <v>269</v>
      </c>
      <c r="D260" t="s">
        <v>25</v>
      </c>
      <c r="E260" t="s">
        <v>13</v>
      </c>
      <c r="F260">
        <v>2022</v>
      </c>
      <c r="G260" s="55">
        <f>10^6*IF($E260="charcoal",params!$P$13*INDEX(BAU_Fuel_cons!$E$2:$AS$34,MATCH(D260&amp;"_"&amp;E260,BAU_Fuel_cons!$AT$2:$AT$34,0),MATCH(F260,BAU_Fuel_cons!$E$1:$AS$1,0)),INDEX(BAU_Fuel_cons!$E$2:$AS$34,MATCH(D260&amp;"_"&amp;E260,BAU_Fuel_cons!$AT$2:$AT$34,0),MATCH(F260,BAU_Fuel_cons!$E$1:$AS$1,0)))</f>
        <v>286750.71286277636</v>
      </c>
      <c r="H260" s="55">
        <f>G260+10^6*IF($E260="charcoal",params!$P$13*SUMIFS(nonresidential!$L:$L,nonresidential!$A:$A,$F260,nonresidential!$B:$B,$E260,nonresidential!$C:$C,$D260),SUMIFS(nonresidential!$L:$L,nonresidential!$A:$A,$F260,nonresidential!$B:$B,$E260,nonresidential!$C:$C,$D260))</f>
        <v>286750.71286277636</v>
      </c>
      <c r="I260">
        <f>1</f>
        <v>1</v>
      </c>
    </row>
    <row r="261" spans="1:9">
      <c r="A261" t="s">
        <v>211</v>
      </c>
      <c r="B261" t="s">
        <v>162</v>
      </c>
      <c r="C261" t="s">
        <v>269</v>
      </c>
      <c r="D261" t="s">
        <v>25</v>
      </c>
      <c r="E261" t="s">
        <v>13</v>
      </c>
      <c r="F261">
        <v>2023</v>
      </c>
      <c r="G261" s="55">
        <f>10^6*IF($E261="charcoal",params!$P$13*INDEX(BAU_Fuel_cons!$E$2:$AS$34,MATCH(D261&amp;"_"&amp;E261,BAU_Fuel_cons!$AT$2:$AT$34,0),MATCH(F261,BAU_Fuel_cons!$E$1:$AS$1,0)),INDEX(BAU_Fuel_cons!$E$2:$AS$34,MATCH(D261&amp;"_"&amp;E261,BAU_Fuel_cons!$AT$2:$AT$34,0),MATCH(F261,BAU_Fuel_cons!$E$1:$AS$1,0)))</f>
        <v>282928.39096943621</v>
      </c>
      <c r="H261" s="55">
        <f>G261+10^6*IF($E261="charcoal",params!$P$13*SUMIFS(nonresidential!$L:$L,nonresidential!$A:$A,$F261,nonresidential!$B:$B,$E261,nonresidential!$C:$C,$D261),SUMIFS(nonresidential!$L:$L,nonresidential!$A:$A,$F261,nonresidential!$B:$B,$E261,nonresidential!$C:$C,$D261))</f>
        <v>282928.39096943621</v>
      </c>
      <c r="I261">
        <f>1</f>
        <v>1</v>
      </c>
    </row>
    <row r="262" spans="1:9">
      <c r="A262" t="s">
        <v>211</v>
      </c>
      <c r="B262" t="s">
        <v>162</v>
      </c>
      <c r="C262" t="s">
        <v>269</v>
      </c>
      <c r="D262" t="s">
        <v>25</v>
      </c>
      <c r="E262" t="s">
        <v>13</v>
      </c>
      <c r="F262">
        <v>2024</v>
      </c>
      <c r="G262" s="55">
        <f>10^6*IF($E262="charcoal",params!$P$13*INDEX(BAU_Fuel_cons!$E$2:$AS$34,MATCH(D262&amp;"_"&amp;E262,BAU_Fuel_cons!$AT$2:$AT$34,0),MATCH(F262,BAU_Fuel_cons!$E$1:$AS$1,0)),INDEX(BAU_Fuel_cons!$E$2:$AS$34,MATCH(D262&amp;"_"&amp;E262,BAU_Fuel_cons!$AT$2:$AT$34,0),MATCH(F262,BAU_Fuel_cons!$E$1:$AS$1,0)))</f>
        <v>278085.04065627785</v>
      </c>
      <c r="H262" s="55">
        <f>G262+10^6*IF($E262="charcoal",params!$P$13*SUMIFS(nonresidential!$L:$L,nonresidential!$A:$A,$F262,nonresidential!$B:$B,$E262,nonresidential!$C:$C,$D262),SUMIFS(nonresidential!$L:$L,nonresidential!$A:$A,$F262,nonresidential!$B:$B,$E262,nonresidential!$C:$C,$D262))</f>
        <v>278085.04065627785</v>
      </c>
      <c r="I262">
        <f>1</f>
        <v>1</v>
      </c>
    </row>
    <row r="263" spans="1:9">
      <c r="A263" t="s">
        <v>211</v>
      </c>
      <c r="B263" t="s">
        <v>162</v>
      </c>
      <c r="C263" t="s">
        <v>269</v>
      </c>
      <c r="D263" t="s">
        <v>25</v>
      </c>
      <c r="E263" t="s">
        <v>13</v>
      </c>
      <c r="F263">
        <v>2025</v>
      </c>
      <c r="G263" s="55">
        <f>10^6*IF($E263="charcoal",params!$P$13*INDEX(BAU_Fuel_cons!$E$2:$AS$34,MATCH(D263&amp;"_"&amp;E263,BAU_Fuel_cons!$AT$2:$AT$34,0),MATCH(F263,BAU_Fuel_cons!$E$1:$AS$1,0)),INDEX(BAU_Fuel_cons!$E$2:$AS$34,MATCH(D263&amp;"_"&amp;E263,BAU_Fuel_cons!$AT$2:$AT$34,0),MATCH(F263,BAU_Fuel_cons!$E$1:$AS$1,0)))</f>
        <v>278720.99235553097</v>
      </c>
      <c r="H263" s="55">
        <f>G263+10^6*IF($E263="charcoal",params!$P$13*SUMIFS(nonresidential!$L:$L,nonresidential!$A:$A,$F263,nonresidential!$B:$B,$E263,nonresidential!$C:$C,$D263),SUMIFS(nonresidential!$L:$L,nonresidential!$A:$A,$F263,nonresidential!$B:$B,$E263,nonresidential!$C:$C,$D263))</f>
        <v>278720.99235553097</v>
      </c>
      <c r="I263">
        <f>1</f>
        <v>1</v>
      </c>
    </row>
    <row r="264" spans="1:9">
      <c r="A264" t="s">
        <v>211</v>
      </c>
      <c r="B264" t="s">
        <v>162</v>
      </c>
      <c r="C264" t="s">
        <v>269</v>
      </c>
      <c r="D264" t="s">
        <v>25</v>
      </c>
      <c r="E264" t="s">
        <v>13</v>
      </c>
      <c r="F264">
        <v>2026</v>
      </c>
      <c r="G264" s="55">
        <f>10^6*IF($E264="charcoal",params!$P$13*INDEX(BAU_Fuel_cons!$E$2:$AS$34,MATCH(D264&amp;"_"&amp;E264,BAU_Fuel_cons!$AT$2:$AT$34,0),MATCH(F264,BAU_Fuel_cons!$E$1:$AS$1,0)),INDEX(BAU_Fuel_cons!$E$2:$AS$34,MATCH(D264&amp;"_"&amp;E264,BAU_Fuel_cons!$AT$2:$AT$34,0),MATCH(F264,BAU_Fuel_cons!$E$1:$AS$1,0)))</f>
        <v>278754.42126698035</v>
      </c>
      <c r="H264" s="55">
        <f>G264+10^6*IF($E264="charcoal",params!$P$13*SUMIFS(nonresidential!$L:$L,nonresidential!$A:$A,$F264,nonresidential!$B:$B,$E264,nonresidential!$C:$C,$D264),SUMIFS(nonresidential!$L:$L,nonresidential!$A:$A,$F264,nonresidential!$B:$B,$E264,nonresidential!$C:$C,$D264))</f>
        <v>278754.42126698035</v>
      </c>
      <c r="I264">
        <f>1</f>
        <v>1</v>
      </c>
    </row>
    <row r="265" spans="1:9">
      <c r="A265" t="s">
        <v>211</v>
      </c>
      <c r="B265" t="s">
        <v>162</v>
      </c>
      <c r="C265" t="s">
        <v>269</v>
      </c>
      <c r="D265" t="s">
        <v>25</v>
      </c>
      <c r="E265" t="s">
        <v>13</v>
      </c>
      <c r="F265">
        <v>2027</v>
      </c>
      <c r="G265" s="55">
        <f>10^6*IF($E265="charcoal",params!$P$13*INDEX(BAU_Fuel_cons!$E$2:$AS$34,MATCH(D265&amp;"_"&amp;E265,BAU_Fuel_cons!$AT$2:$AT$34,0),MATCH(F265,BAU_Fuel_cons!$E$1:$AS$1,0)),INDEX(BAU_Fuel_cons!$E$2:$AS$34,MATCH(D265&amp;"_"&amp;E265,BAU_Fuel_cons!$AT$2:$AT$34,0),MATCH(F265,BAU_Fuel_cons!$E$1:$AS$1,0)))</f>
        <v>278143.34509010054</v>
      </c>
      <c r="H265" s="55">
        <f>G265+10^6*IF($E265="charcoal",params!$P$13*SUMIFS(nonresidential!$L:$L,nonresidential!$A:$A,$F265,nonresidential!$B:$B,$E265,nonresidential!$C:$C,$D265),SUMIFS(nonresidential!$L:$L,nonresidential!$A:$A,$F265,nonresidential!$B:$B,$E265,nonresidential!$C:$C,$D265))</f>
        <v>278143.34509010054</v>
      </c>
      <c r="I265">
        <f>1</f>
        <v>1</v>
      </c>
    </row>
    <row r="266" spans="1:9">
      <c r="A266" t="s">
        <v>211</v>
      </c>
      <c r="B266" t="s">
        <v>162</v>
      </c>
      <c r="C266" t="s">
        <v>269</v>
      </c>
      <c r="D266" t="s">
        <v>25</v>
      </c>
      <c r="E266" t="s">
        <v>13</v>
      </c>
      <c r="F266">
        <v>2028</v>
      </c>
      <c r="G266" s="55">
        <f>10^6*IF($E266="charcoal",params!$P$13*INDEX(BAU_Fuel_cons!$E$2:$AS$34,MATCH(D266&amp;"_"&amp;E266,BAU_Fuel_cons!$AT$2:$AT$34,0),MATCH(F266,BAU_Fuel_cons!$E$1:$AS$1,0)),INDEX(BAU_Fuel_cons!$E$2:$AS$34,MATCH(D266&amp;"_"&amp;E266,BAU_Fuel_cons!$AT$2:$AT$34,0),MATCH(F266,BAU_Fuel_cons!$E$1:$AS$1,0)))</f>
        <v>276842.85071957711</v>
      </c>
      <c r="H266" s="55">
        <f>G266+10^6*IF($E266="charcoal",params!$P$13*SUMIFS(nonresidential!$L:$L,nonresidential!$A:$A,$F266,nonresidential!$B:$B,$E266,nonresidential!$C:$C,$D266),SUMIFS(nonresidential!$L:$L,nonresidential!$A:$A,$F266,nonresidential!$B:$B,$E266,nonresidential!$C:$C,$D266))</f>
        <v>276842.85071957711</v>
      </c>
      <c r="I266">
        <f>1</f>
        <v>1</v>
      </c>
    </row>
    <row r="267" spans="1:9">
      <c r="A267" t="s">
        <v>211</v>
      </c>
      <c r="B267" t="s">
        <v>162</v>
      </c>
      <c r="C267" t="s">
        <v>269</v>
      </c>
      <c r="D267" t="s">
        <v>25</v>
      </c>
      <c r="E267" t="s">
        <v>13</v>
      </c>
      <c r="F267">
        <v>2029</v>
      </c>
      <c r="G267" s="55">
        <f>10^6*IF($E267="charcoal",params!$P$13*INDEX(BAU_Fuel_cons!$E$2:$AS$34,MATCH(D267&amp;"_"&amp;E267,BAU_Fuel_cons!$AT$2:$AT$34,0),MATCH(F267,BAU_Fuel_cons!$E$1:$AS$1,0)),INDEX(BAU_Fuel_cons!$E$2:$AS$34,MATCH(D267&amp;"_"&amp;E267,BAU_Fuel_cons!$AT$2:$AT$34,0),MATCH(F267,BAU_Fuel_cons!$E$1:$AS$1,0)))</f>
        <v>274807.37216476398</v>
      </c>
      <c r="H267" s="55">
        <f>G267+10^6*IF($E267="charcoal",params!$P$13*SUMIFS(nonresidential!$L:$L,nonresidential!$A:$A,$F267,nonresidential!$B:$B,$E267,nonresidential!$C:$C,$D267),SUMIFS(nonresidential!$L:$L,nonresidential!$A:$A,$F267,nonresidential!$B:$B,$E267,nonresidential!$C:$C,$D267))</f>
        <v>274807.37216476398</v>
      </c>
      <c r="I267">
        <f>1</f>
        <v>1</v>
      </c>
    </row>
    <row r="268" spans="1:9">
      <c r="A268" t="s">
        <v>211</v>
      </c>
      <c r="B268" t="s">
        <v>162</v>
      </c>
      <c r="C268" t="s">
        <v>269</v>
      </c>
      <c r="D268" t="s">
        <v>25</v>
      </c>
      <c r="E268" t="s">
        <v>13</v>
      </c>
      <c r="F268">
        <v>2030</v>
      </c>
      <c r="G268" s="55">
        <f>10^6*IF($E268="charcoal",params!$P$13*INDEX(BAU_Fuel_cons!$E$2:$AS$34,MATCH(D268&amp;"_"&amp;E268,BAU_Fuel_cons!$AT$2:$AT$34,0),MATCH(F268,BAU_Fuel_cons!$E$1:$AS$1,0)),INDEX(BAU_Fuel_cons!$E$2:$AS$34,MATCH(D268&amp;"_"&amp;E268,BAU_Fuel_cons!$AT$2:$AT$34,0),MATCH(F268,BAU_Fuel_cons!$E$1:$AS$1,0)))</f>
        <v>271993.21171749133</v>
      </c>
      <c r="H268" s="55">
        <f>G268+10^6*IF($E268="charcoal",params!$P$13*SUMIFS(nonresidential!$L:$L,nonresidential!$A:$A,$F268,nonresidential!$B:$B,$E268,nonresidential!$C:$C,$D268),SUMIFS(nonresidential!$L:$L,nonresidential!$A:$A,$F268,nonresidential!$B:$B,$E268,nonresidential!$C:$C,$D268))</f>
        <v>271993.21171749133</v>
      </c>
      <c r="I268">
        <f>1</f>
        <v>1</v>
      </c>
    </row>
    <row r="269" spans="1:9">
      <c r="A269" t="s">
        <v>211</v>
      </c>
      <c r="B269" t="s">
        <v>162</v>
      </c>
      <c r="C269" t="s">
        <v>269</v>
      </c>
      <c r="D269" t="s">
        <v>25</v>
      </c>
      <c r="E269" t="s">
        <v>13</v>
      </c>
      <c r="F269">
        <v>2031</v>
      </c>
      <c r="G269" s="55">
        <f>10^6*IF($E269="charcoal",params!$P$13*INDEX(BAU_Fuel_cons!$E$2:$AS$34,MATCH(D269&amp;"_"&amp;E269,BAU_Fuel_cons!$AT$2:$AT$34,0),MATCH(F269,BAU_Fuel_cons!$E$1:$AS$1,0)),INDEX(BAU_Fuel_cons!$E$2:$AS$34,MATCH(D269&amp;"_"&amp;E269,BAU_Fuel_cons!$AT$2:$AT$34,0),MATCH(F269,BAU_Fuel_cons!$E$1:$AS$1,0)))</f>
        <v>268358.45802466921</v>
      </c>
      <c r="H269" s="55">
        <f>G269+10^6*IF($E269="charcoal",params!$P$13*SUMIFS(nonresidential!$L:$L,nonresidential!$A:$A,$F269,nonresidential!$B:$B,$E269,nonresidential!$C:$C,$D269),SUMIFS(nonresidential!$L:$L,nonresidential!$A:$A,$F269,nonresidential!$B:$B,$E269,nonresidential!$C:$C,$D269))</f>
        <v>268358.45802466921</v>
      </c>
      <c r="I269">
        <f>1</f>
        <v>1</v>
      </c>
    </row>
    <row r="270" spans="1:9">
      <c r="A270" t="s">
        <v>211</v>
      </c>
      <c r="B270" t="s">
        <v>162</v>
      </c>
      <c r="C270" t="s">
        <v>269</v>
      </c>
      <c r="D270" t="s">
        <v>25</v>
      </c>
      <c r="E270" t="s">
        <v>13</v>
      </c>
      <c r="F270">
        <v>2032</v>
      </c>
      <c r="G270" s="55">
        <f>10^6*IF($E270="charcoal",params!$P$13*INDEX(BAU_Fuel_cons!$E$2:$AS$34,MATCH(D270&amp;"_"&amp;E270,BAU_Fuel_cons!$AT$2:$AT$34,0),MATCH(F270,BAU_Fuel_cons!$E$1:$AS$1,0)),INDEX(BAU_Fuel_cons!$E$2:$AS$34,MATCH(D270&amp;"_"&amp;E270,BAU_Fuel_cons!$AT$2:$AT$34,0),MATCH(F270,BAU_Fuel_cons!$E$1:$AS$1,0)))</f>
        <v>263862.94976995775</v>
      </c>
      <c r="H270" s="55">
        <f>G270+10^6*IF($E270="charcoal",params!$P$13*SUMIFS(nonresidential!$L:$L,nonresidential!$A:$A,$F270,nonresidential!$B:$B,$E270,nonresidential!$C:$C,$D270),SUMIFS(nonresidential!$L:$L,nonresidential!$A:$A,$F270,nonresidential!$B:$B,$E270,nonresidential!$C:$C,$D270))</f>
        <v>263862.94976995775</v>
      </c>
      <c r="I270">
        <f>1</f>
        <v>1</v>
      </c>
    </row>
    <row r="271" spans="1:9">
      <c r="A271" t="s">
        <v>211</v>
      </c>
      <c r="B271" t="s">
        <v>162</v>
      </c>
      <c r="C271" t="s">
        <v>269</v>
      </c>
      <c r="D271" t="s">
        <v>25</v>
      </c>
      <c r="E271" t="s">
        <v>13</v>
      </c>
      <c r="F271">
        <v>2033</v>
      </c>
      <c r="G271" s="55">
        <f>10^6*IF($E271="charcoal",params!$P$13*INDEX(BAU_Fuel_cons!$E$2:$AS$34,MATCH(D271&amp;"_"&amp;E271,BAU_Fuel_cons!$AT$2:$AT$34,0),MATCH(F271,BAU_Fuel_cons!$E$1:$AS$1,0)),INDEX(BAU_Fuel_cons!$E$2:$AS$34,MATCH(D271&amp;"_"&amp;E271,BAU_Fuel_cons!$AT$2:$AT$34,0),MATCH(F271,BAU_Fuel_cons!$E$1:$AS$1,0)))</f>
        <v>258465.28659072731</v>
      </c>
      <c r="H271" s="55">
        <f>G271+10^6*IF($E271="charcoal",params!$P$13*SUMIFS(nonresidential!$L:$L,nonresidential!$A:$A,$F271,nonresidential!$B:$B,$E271,nonresidential!$C:$C,$D271),SUMIFS(nonresidential!$L:$L,nonresidential!$A:$A,$F271,nonresidential!$B:$B,$E271,nonresidential!$C:$C,$D271))</f>
        <v>258465.28659072731</v>
      </c>
      <c r="I271">
        <f>1</f>
        <v>1</v>
      </c>
    </row>
    <row r="272" spans="1:9">
      <c r="A272" t="s">
        <v>211</v>
      </c>
      <c r="B272" t="s">
        <v>162</v>
      </c>
      <c r="C272" t="s">
        <v>269</v>
      </c>
      <c r="D272" t="s">
        <v>25</v>
      </c>
      <c r="E272" t="s">
        <v>13</v>
      </c>
      <c r="F272">
        <v>2034</v>
      </c>
      <c r="G272" s="55">
        <f>10^6*IF($E272="charcoal",params!$P$13*INDEX(BAU_Fuel_cons!$E$2:$AS$34,MATCH(D272&amp;"_"&amp;E272,BAU_Fuel_cons!$AT$2:$AT$34,0),MATCH(F272,BAU_Fuel_cons!$E$1:$AS$1,0)),INDEX(BAU_Fuel_cons!$E$2:$AS$34,MATCH(D272&amp;"_"&amp;E272,BAU_Fuel_cons!$AT$2:$AT$34,0),MATCH(F272,BAU_Fuel_cons!$E$1:$AS$1,0)))</f>
        <v>252120.32142404796</v>
      </c>
      <c r="H272" s="55">
        <f>G272+10^6*IF($E272="charcoal",params!$P$13*SUMIFS(nonresidential!$L:$L,nonresidential!$A:$A,$F272,nonresidential!$B:$B,$E272,nonresidential!$C:$C,$D272),SUMIFS(nonresidential!$L:$L,nonresidential!$A:$A,$F272,nonresidential!$B:$B,$E272,nonresidential!$C:$C,$D272))</f>
        <v>252120.32142404796</v>
      </c>
      <c r="I272">
        <f>1</f>
        <v>1</v>
      </c>
    </row>
    <row r="273" spans="1:9">
      <c r="A273" t="s">
        <v>211</v>
      </c>
      <c r="B273" t="s">
        <v>162</v>
      </c>
      <c r="C273" t="s">
        <v>269</v>
      </c>
      <c r="D273" t="s">
        <v>25</v>
      </c>
      <c r="E273" t="s">
        <v>13</v>
      </c>
      <c r="F273">
        <v>2035</v>
      </c>
      <c r="G273" s="55">
        <f>10^6*IF($E273="charcoal",params!$P$13*INDEX(BAU_Fuel_cons!$E$2:$AS$34,MATCH(D273&amp;"_"&amp;E273,BAU_Fuel_cons!$AT$2:$AT$34,0),MATCH(F273,BAU_Fuel_cons!$E$1:$AS$1,0)),INDEX(BAU_Fuel_cons!$E$2:$AS$34,MATCH(D273&amp;"_"&amp;E273,BAU_Fuel_cons!$AT$2:$AT$34,0),MATCH(F273,BAU_Fuel_cons!$E$1:$AS$1,0)))</f>
        <v>244866.94106625224</v>
      </c>
      <c r="H273" s="55">
        <f>G273+10^6*IF($E273="charcoal",params!$P$13*SUMIFS(nonresidential!$L:$L,nonresidential!$A:$A,$F273,nonresidential!$B:$B,$E273,nonresidential!$C:$C,$D273),SUMIFS(nonresidential!$L:$L,nonresidential!$A:$A,$F273,nonresidential!$B:$B,$E273,nonresidential!$C:$C,$D273))</f>
        <v>244866.94106625224</v>
      </c>
      <c r="I273">
        <f>1</f>
        <v>1</v>
      </c>
    </row>
    <row r="274" spans="1:9">
      <c r="A274" t="s">
        <v>211</v>
      </c>
      <c r="B274" t="s">
        <v>162</v>
      </c>
      <c r="C274" t="s">
        <v>269</v>
      </c>
      <c r="D274" t="s">
        <v>25</v>
      </c>
      <c r="E274" t="s">
        <v>13</v>
      </c>
      <c r="F274">
        <v>2036</v>
      </c>
      <c r="G274" s="55">
        <f>10^6*IF($E274="charcoal",params!$P$13*INDEX(BAU_Fuel_cons!$E$2:$AS$34,MATCH(D274&amp;"_"&amp;E274,BAU_Fuel_cons!$AT$2:$AT$34,0),MATCH(F274,BAU_Fuel_cons!$E$1:$AS$1,0)),INDEX(BAU_Fuel_cons!$E$2:$AS$34,MATCH(D274&amp;"_"&amp;E274,BAU_Fuel_cons!$AT$2:$AT$34,0),MATCH(F274,BAU_Fuel_cons!$E$1:$AS$1,0)))</f>
        <v>236653.66217270266</v>
      </c>
      <c r="H274" s="55">
        <f>G274+10^6*IF($E274="charcoal",params!$P$13*SUMIFS(nonresidential!$L:$L,nonresidential!$A:$A,$F274,nonresidential!$B:$B,$E274,nonresidential!$C:$C,$D274),SUMIFS(nonresidential!$L:$L,nonresidential!$A:$A,$F274,nonresidential!$B:$B,$E274,nonresidential!$C:$C,$D274))</f>
        <v>236653.66217270266</v>
      </c>
      <c r="I274">
        <f>1</f>
        <v>1</v>
      </c>
    </row>
    <row r="275" spans="1:9">
      <c r="A275" t="s">
        <v>211</v>
      </c>
      <c r="B275" t="s">
        <v>162</v>
      </c>
      <c r="C275" t="s">
        <v>269</v>
      </c>
      <c r="D275" t="s">
        <v>25</v>
      </c>
      <c r="E275" t="s">
        <v>13</v>
      </c>
      <c r="F275">
        <v>2037</v>
      </c>
      <c r="G275" s="55">
        <f>10^6*IF($E275="charcoal",params!$P$13*INDEX(BAU_Fuel_cons!$E$2:$AS$34,MATCH(D275&amp;"_"&amp;E275,BAU_Fuel_cons!$AT$2:$AT$34,0),MATCH(F275,BAU_Fuel_cons!$E$1:$AS$1,0)),INDEX(BAU_Fuel_cons!$E$2:$AS$34,MATCH(D275&amp;"_"&amp;E275,BAU_Fuel_cons!$AT$2:$AT$34,0),MATCH(F275,BAU_Fuel_cons!$E$1:$AS$1,0)))</f>
        <v>227442.60894802725</v>
      </c>
      <c r="H275" s="55">
        <f>G275+10^6*IF($E275="charcoal",params!$P$13*SUMIFS(nonresidential!$L:$L,nonresidential!$A:$A,$F275,nonresidential!$B:$B,$E275,nonresidential!$C:$C,$D275),SUMIFS(nonresidential!$L:$L,nonresidential!$A:$A,$F275,nonresidential!$B:$B,$E275,nonresidential!$C:$C,$D275))</f>
        <v>227442.60894802725</v>
      </c>
      <c r="I275">
        <f>1</f>
        <v>1</v>
      </c>
    </row>
    <row r="276" spans="1:9">
      <c r="A276" t="s">
        <v>211</v>
      </c>
      <c r="B276" t="s">
        <v>162</v>
      </c>
      <c r="C276" t="s">
        <v>269</v>
      </c>
      <c r="D276" t="s">
        <v>25</v>
      </c>
      <c r="E276" t="s">
        <v>13</v>
      </c>
      <c r="F276">
        <v>2038</v>
      </c>
      <c r="G276" s="55">
        <f>10^6*IF($E276="charcoal",params!$P$13*INDEX(BAU_Fuel_cons!$E$2:$AS$34,MATCH(D276&amp;"_"&amp;E276,BAU_Fuel_cons!$AT$2:$AT$34,0),MATCH(F276,BAU_Fuel_cons!$E$1:$AS$1,0)),INDEX(BAU_Fuel_cons!$E$2:$AS$34,MATCH(D276&amp;"_"&amp;E276,BAU_Fuel_cons!$AT$2:$AT$34,0),MATCH(F276,BAU_Fuel_cons!$E$1:$AS$1,0)))</f>
        <v>217197.52725252922</v>
      </c>
      <c r="H276" s="55">
        <f>G276+10^6*IF($E276="charcoal",params!$P$13*SUMIFS(nonresidential!$L:$L,nonresidential!$A:$A,$F276,nonresidential!$B:$B,$E276,nonresidential!$C:$C,$D276),SUMIFS(nonresidential!$L:$L,nonresidential!$A:$A,$F276,nonresidential!$B:$B,$E276,nonresidential!$C:$C,$D276))</f>
        <v>217197.52725252922</v>
      </c>
      <c r="I276">
        <f>1</f>
        <v>1</v>
      </c>
    </row>
    <row r="277" spans="1:9">
      <c r="A277" t="s">
        <v>211</v>
      </c>
      <c r="B277" t="s">
        <v>162</v>
      </c>
      <c r="C277" t="s">
        <v>269</v>
      </c>
      <c r="D277" t="s">
        <v>25</v>
      </c>
      <c r="E277" t="s">
        <v>13</v>
      </c>
      <c r="F277">
        <v>2039</v>
      </c>
      <c r="G277" s="55">
        <f>10^6*IF($E277="charcoal",params!$P$13*INDEX(BAU_Fuel_cons!$E$2:$AS$34,MATCH(D277&amp;"_"&amp;E277,BAU_Fuel_cons!$AT$2:$AT$34,0),MATCH(F277,BAU_Fuel_cons!$E$1:$AS$1,0)),INDEX(BAU_Fuel_cons!$E$2:$AS$34,MATCH(D277&amp;"_"&amp;E277,BAU_Fuel_cons!$AT$2:$AT$34,0),MATCH(F277,BAU_Fuel_cons!$E$1:$AS$1,0)))</f>
        <v>205882.28372607529</v>
      </c>
      <c r="H277" s="55">
        <f>G277+10^6*IF($E277="charcoal",params!$P$13*SUMIFS(nonresidential!$L:$L,nonresidential!$A:$A,$F277,nonresidential!$B:$B,$E277,nonresidential!$C:$C,$D277),SUMIFS(nonresidential!$L:$L,nonresidential!$A:$A,$F277,nonresidential!$B:$B,$E277,nonresidential!$C:$C,$D277))</f>
        <v>205882.28372607529</v>
      </c>
      <c r="I277">
        <f>1</f>
        <v>1</v>
      </c>
    </row>
    <row r="278" spans="1:9">
      <c r="A278" t="s">
        <v>211</v>
      </c>
      <c r="B278" t="s">
        <v>162</v>
      </c>
      <c r="C278" t="s">
        <v>269</v>
      </c>
      <c r="D278" t="s">
        <v>25</v>
      </c>
      <c r="E278" t="s">
        <v>13</v>
      </c>
      <c r="F278">
        <v>2040</v>
      </c>
      <c r="G278" s="55">
        <f>10^6*IF($E278="charcoal",params!$P$13*INDEX(BAU_Fuel_cons!$E$2:$AS$34,MATCH(D278&amp;"_"&amp;E278,BAU_Fuel_cons!$AT$2:$AT$34,0),MATCH(F278,BAU_Fuel_cons!$E$1:$AS$1,0)),INDEX(BAU_Fuel_cons!$E$2:$AS$34,MATCH(D278&amp;"_"&amp;E278,BAU_Fuel_cons!$AT$2:$AT$34,0),MATCH(F278,BAU_Fuel_cons!$E$1:$AS$1,0)))</f>
        <v>193459.87336860652</v>
      </c>
      <c r="H278" s="55">
        <f>G278+10^6*IF($E278="charcoal",params!$P$13*SUMIFS(nonresidential!$L:$L,nonresidential!$A:$A,$F278,nonresidential!$B:$B,$E278,nonresidential!$C:$C,$D278),SUMIFS(nonresidential!$L:$L,nonresidential!$A:$A,$F278,nonresidential!$B:$B,$E278,nonresidential!$C:$C,$D278))</f>
        <v>193459.87336860652</v>
      </c>
      <c r="I278">
        <f>1</f>
        <v>1</v>
      </c>
    </row>
    <row r="279" spans="1:9">
      <c r="A279" t="s">
        <v>211</v>
      </c>
      <c r="B279" t="s">
        <v>162</v>
      </c>
      <c r="C279" t="s">
        <v>269</v>
      </c>
      <c r="D279" t="s">
        <v>25</v>
      </c>
      <c r="E279" t="s">
        <v>13</v>
      </c>
      <c r="F279">
        <v>2041</v>
      </c>
      <c r="G279" s="55">
        <f>10^6*IF($E279="charcoal",params!$P$13*INDEX(BAU_Fuel_cons!$E$2:$AS$34,MATCH(D279&amp;"_"&amp;E279,BAU_Fuel_cons!$AT$2:$AT$34,0),MATCH(F279,BAU_Fuel_cons!$E$1:$AS$1,0)),INDEX(BAU_Fuel_cons!$E$2:$AS$34,MATCH(D279&amp;"_"&amp;E279,BAU_Fuel_cons!$AT$2:$AT$34,0),MATCH(F279,BAU_Fuel_cons!$E$1:$AS$1,0)))</f>
        <v>179891.98456478794</v>
      </c>
      <c r="H279" s="55">
        <f>G279+10^6*IF($E279="charcoal",params!$P$13*SUMIFS(nonresidential!$L:$L,nonresidential!$A:$A,$F279,nonresidential!$B:$B,$E279,nonresidential!$C:$C,$D279),SUMIFS(nonresidential!$L:$L,nonresidential!$A:$A,$F279,nonresidential!$B:$B,$E279,nonresidential!$C:$C,$D279))</f>
        <v>179891.98456478794</v>
      </c>
      <c r="I279">
        <f>1</f>
        <v>1</v>
      </c>
    </row>
    <row r="280" spans="1:9">
      <c r="A280" t="s">
        <v>211</v>
      </c>
      <c r="B280" t="s">
        <v>162</v>
      </c>
      <c r="C280" t="s">
        <v>269</v>
      </c>
      <c r="D280" t="s">
        <v>25</v>
      </c>
      <c r="E280" t="s">
        <v>13</v>
      </c>
      <c r="F280">
        <v>2042</v>
      </c>
      <c r="G280" s="55">
        <f>10^6*IF($E280="charcoal",params!$P$13*INDEX(BAU_Fuel_cons!$E$2:$AS$34,MATCH(D280&amp;"_"&amp;E280,BAU_Fuel_cons!$AT$2:$AT$34,0),MATCH(F280,BAU_Fuel_cons!$E$1:$AS$1,0)),INDEX(BAU_Fuel_cons!$E$2:$AS$34,MATCH(D280&amp;"_"&amp;E280,BAU_Fuel_cons!$AT$2:$AT$34,0),MATCH(F280,BAU_Fuel_cons!$E$1:$AS$1,0)))</f>
        <v>165140.08947852772</v>
      </c>
      <c r="H280" s="55">
        <f>G280+10^6*IF($E280="charcoal",params!$P$13*SUMIFS(nonresidential!$L:$L,nonresidential!$A:$A,$F280,nonresidential!$B:$B,$E280,nonresidential!$C:$C,$D280),SUMIFS(nonresidential!$L:$L,nonresidential!$A:$A,$F280,nonresidential!$B:$B,$E280,nonresidential!$C:$C,$D280))</f>
        <v>165140.08947852772</v>
      </c>
      <c r="I280">
        <f>1</f>
        <v>1</v>
      </c>
    </row>
    <row r="281" spans="1:9">
      <c r="A281" t="s">
        <v>211</v>
      </c>
      <c r="B281" t="s">
        <v>162</v>
      </c>
      <c r="C281" t="s">
        <v>269</v>
      </c>
      <c r="D281" t="s">
        <v>25</v>
      </c>
      <c r="E281" t="s">
        <v>13</v>
      </c>
      <c r="F281">
        <v>2043</v>
      </c>
      <c r="G281" s="55">
        <f>10^6*IF($E281="charcoal",params!$P$13*INDEX(BAU_Fuel_cons!$E$2:$AS$34,MATCH(D281&amp;"_"&amp;E281,BAU_Fuel_cons!$AT$2:$AT$34,0),MATCH(F281,BAU_Fuel_cons!$E$1:$AS$1,0)),INDEX(BAU_Fuel_cons!$E$2:$AS$34,MATCH(D281&amp;"_"&amp;E281,BAU_Fuel_cons!$AT$2:$AT$34,0),MATCH(F281,BAU_Fuel_cons!$E$1:$AS$1,0)))</f>
        <v>149166.2861314714</v>
      </c>
      <c r="H281" s="55">
        <f>G281+10^6*IF($E281="charcoal",params!$P$13*SUMIFS(nonresidential!$L:$L,nonresidential!$A:$A,$F281,nonresidential!$B:$B,$E281,nonresidential!$C:$C,$D281),SUMIFS(nonresidential!$L:$L,nonresidential!$A:$A,$F281,nonresidential!$B:$B,$E281,nonresidential!$C:$C,$D281))</f>
        <v>149166.2861314714</v>
      </c>
      <c r="I281">
        <f>1</f>
        <v>1</v>
      </c>
    </row>
    <row r="282" spans="1:9">
      <c r="A282" t="s">
        <v>211</v>
      </c>
      <c r="B282" t="s">
        <v>162</v>
      </c>
      <c r="C282" t="s">
        <v>269</v>
      </c>
      <c r="D282" t="s">
        <v>25</v>
      </c>
      <c r="E282" t="s">
        <v>13</v>
      </c>
      <c r="F282">
        <v>2044</v>
      </c>
      <c r="G282" s="55">
        <f>10^6*IF($E282="charcoal",params!$P$13*INDEX(BAU_Fuel_cons!$E$2:$AS$34,MATCH(D282&amp;"_"&amp;E282,BAU_Fuel_cons!$AT$2:$AT$34,0),MATCH(F282,BAU_Fuel_cons!$E$1:$AS$1,0)),INDEX(BAU_Fuel_cons!$E$2:$AS$34,MATCH(D282&amp;"_"&amp;E282,BAU_Fuel_cons!$AT$2:$AT$34,0),MATCH(F282,BAU_Fuel_cons!$E$1:$AS$1,0)))</f>
        <v>131932.8330216074</v>
      </c>
      <c r="H282" s="55">
        <f>G282+10^6*IF($E282="charcoal",params!$P$13*SUMIFS(nonresidential!$L:$L,nonresidential!$A:$A,$F282,nonresidential!$B:$B,$E282,nonresidential!$C:$C,$D282),SUMIFS(nonresidential!$L:$L,nonresidential!$A:$A,$F282,nonresidential!$B:$B,$E282,nonresidential!$C:$C,$D282))</f>
        <v>131932.8330216074</v>
      </c>
      <c r="I282">
        <f>1</f>
        <v>1</v>
      </c>
    </row>
    <row r="283" spans="1:9">
      <c r="A283" t="s">
        <v>211</v>
      </c>
      <c r="B283" t="s">
        <v>162</v>
      </c>
      <c r="C283" t="s">
        <v>269</v>
      </c>
      <c r="D283" t="s">
        <v>25</v>
      </c>
      <c r="E283" t="s">
        <v>13</v>
      </c>
      <c r="F283">
        <v>2045</v>
      </c>
      <c r="G283" s="55">
        <f>10^6*IF($E283="charcoal",params!$P$13*INDEX(BAU_Fuel_cons!$E$2:$AS$34,MATCH(D283&amp;"_"&amp;E283,BAU_Fuel_cons!$AT$2:$AT$34,0),MATCH(F283,BAU_Fuel_cons!$E$1:$AS$1,0)),INDEX(BAU_Fuel_cons!$E$2:$AS$34,MATCH(D283&amp;"_"&amp;E283,BAU_Fuel_cons!$AT$2:$AT$34,0),MATCH(F283,BAU_Fuel_cons!$E$1:$AS$1,0)))</f>
        <v>113402.09000040386</v>
      </c>
      <c r="H283" s="55">
        <f>G283+10^6*IF($E283="charcoal",params!$P$13*SUMIFS(nonresidential!$L:$L,nonresidential!$A:$A,$F283,nonresidential!$B:$B,$E283,nonresidential!$C:$C,$D283),SUMIFS(nonresidential!$L:$L,nonresidential!$A:$A,$F283,nonresidential!$B:$B,$E283,nonresidential!$C:$C,$D283))</f>
        <v>113402.09000040386</v>
      </c>
      <c r="I283">
        <f>1</f>
        <v>1</v>
      </c>
    </row>
    <row r="284" spans="1:9">
      <c r="A284" t="s">
        <v>211</v>
      </c>
      <c r="B284" t="s">
        <v>162</v>
      </c>
      <c r="C284" t="s">
        <v>269</v>
      </c>
      <c r="D284" t="s">
        <v>25</v>
      </c>
      <c r="E284" t="s">
        <v>13</v>
      </c>
      <c r="F284">
        <v>2046</v>
      </c>
      <c r="G284" s="55">
        <f>10^6*IF($E284="charcoal",params!$P$13*INDEX(BAU_Fuel_cons!$E$2:$AS$34,MATCH(D284&amp;"_"&amp;E284,BAU_Fuel_cons!$AT$2:$AT$34,0),MATCH(F284,BAU_Fuel_cons!$E$1:$AS$1,0)),INDEX(BAU_Fuel_cons!$E$2:$AS$34,MATCH(D284&amp;"_"&amp;E284,BAU_Fuel_cons!$AT$2:$AT$34,0),MATCH(F284,BAU_Fuel_cons!$E$1:$AS$1,0)))</f>
        <v>93536.66354612961</v>
      </c>
      <c r="H284" s="55">
        <f>G284+10^6*IF($E284="charcoal",params!$P$13*SUMIFS(nonresidential!$L:$L,nonresidential!$A:$A,$F284,nonresidential!$B:$B,$E284,nonresidential!$C:$C,$D284),SUMIFS(nonresidential!$L:$L,nonresidential!$A:$A,$F284,nonresidential!$B:$B,$E284,nonresidential!$C:$C,$D284))</f>
        <v>93536.66354612961</v>
      </c>
      <c r="I284">
        <f>1</f>
        <v>1</v>
      </c>
    </row>
    <row r="285" spans="1:9">
      <c r="A285" t="s">
        <v>211</v>
      </c>
      <c r="B285" t="s">
        <v>162</v>
      </c>
      <c r="C285" t="s">
        <v>269</v>
      </c>
      <c r="D285" t="s">
        <v>25</v>
      </c>
      <c r="E285" t="s">
        <v>13</v>
      </c>
      <c r="F285">
        <v>2047</v>
      </c>
      <c r="G285" s="55">
        <f>10^6*IF($E285="charcoal",params!$P$13*INDEX(BAU_Fuel_cons!$E$2:$AS$34,MATCH(D285&amp;"_"&amp;E285,BAU_Fuel_cons!$AT$2:$AT$34,0),MATCH(F285,BAU_Fuel_cons!$E$1:$AS$1,0)),INDEX(BAU_Fuel_cons!$E$2:$AS$34,MATCH(D285&amp;"_"&amp;E285,BAU_Fuel_cons!$AT$2:$AT$34,0),MATCH(F285,BAU_Fuel_cons!$E$1:$AS$1,0)))</f>
        <v>72299.55710484898</v>
      </c>
      <c r="H285" s="55">
        <f>G285+10^6*IF($E285="charcoal",params!$P$13*SUMIFS(nonresidential!$L:$L,nonresidential!$A:$A,$F285,nonresidential!$B:$B,$E285,nonresidential!$C:$C,$D285),SUMIFS(nonresidential!$L:$L,nonresidential!$A:$A,$F285,nonresidential!$B:$B,$E285,nonresidential!$C:$C,$D285))</f>
        <v>72299.55710484898</v>
      </c>
      <c r="I285">
        <f>1</f>
        <v>1</v>
      </c>
    </row>
    <row r="286" spans="1:9">
      <c r="A286" t="s">
        <v>211</v>
      </c>
      <c r="B286" t="s">
        <v>162</v>
      </c>
      <c r="C286" t="s">
        <v>269</v>
      </c>
      <c r="D286" t="s">
        <v>25</v>
      </c>
      <c r="E286" t="s">
        <v>13</v>
      </c>
      <c r="F286">
        <v>2048</v>
      </c>
      <c r="G286" s="55">
        <f>10^6*IF($E286="charcoal",params!$P$13*INDEX(BAU_Fuel_cons!$E$2:$AS$34,MATCH(D286&amp;"_"&amp;E286,BAU_Fuel_cons!$AT$2:$AT$34,0),MATCH(F286,BAU_Fuel_cons!$E$1:$AS$1,0)),INDEX(BAU_Fuel_cons!$E$2:$AS$34,MATCH(D286&amp;"_"&amp;E286,BAU_Fuel_cons!$AT$2:$AT$34,0),MATCH(F286,BAU_Fuel_cons!$E$1:$AS$1,0)))</f>
        <v>49654.535962948947</v>
      </c>
      <c r="H286" s="55">
        <f>G286+10^6*IF($E286="charcoal",params!$P$13*SUMIFS(nonresidential!$L:$L,nonresidential!$A:$A,$F286,nonresidential!$B:$B,$E286,nonresidential!$C:$C,$D286),SUMIFS(nonresidential!$L:$L,nonresidential!$A:$A,$F286,nonresidential!$B:$B,$E286,nonresidential!$C:$C,$D286))</f>
        <v>49654.535962948947</v>
      </c>
      <c r="I286">
        <f>1</f>
        <v>1</v>
      </c>
    </row>
    <row r="287" spans="1:9">
      <c r="A287" t="s">
        <v>211</v>
      </c>
      <c r="B287" t="s">
        <v>162</v>
      </c>
      <c r="C287" t="s">
        <v>269</v>
      </c>
      <c r="D287" t="s">
        <v>25</v>
      </c>
      <c r="E287" t="s">
        <v>13</v>
      </c>
      <c r="F287">
        <v>2049</v>
      </c>
      <c r="G287" s="55">
        <f>10^6*IF($E287="charcoal",params!$P$13*INDEX(BAU_Fuel_cons!$E$2:$AS$34,MATCH(D287&amp;"_"&amp;E287,BAU_Fuel_cons!$AT$2:$AT$34,0),MATCH(F287,BAU_Fuel_cons!$E$1:$AS$1,0)),INDEX(BAU_Fuel_cons!$E$2:$AS$34,MATCH(D287&amp;"_"&amp;E287,BAU_Fuel_cons!$AT$2:$AT$34,0),MATCH(F287,BAU_Fuel_cons!$E$1:$AS$1,0)))</f>
        <v>25566.147517835016</v>
      </c>
      <c r="H287" s="55">
        <f>G287+10^6*IF($E287="charcoal",params!$P$13*SUMIFS(nonresidential!$L:$L,nonresidential!$A:$A,$F287,nonresidential!$B:$B,$E287,nonresidential!$C:$C,$D287),SUMIFS(nonresidential!$L:$L,nonresidential!$A:$A,$F287,nonresidential!$B:$B,$E287,nonresidential!$C:$C,$D287))</f>
        <v>25566.147517835016</v>
      </c>
      <c r="I287">
        <f>1</f>
        <v>1</v>
      </c>
    </row>
    <row r="288" spans="1:9">
      <c r="A288" t="s">
        <v>211</v>
      </c>
      <c r="B288" t="s">
        <v>162</v>
      </c>
      <c r="C288" t="s">
        <v>269</v>
      </c>
      <c r="D288" t="s">
        <v>25</v>
      </c>
      <c r="E288" t="s">
        <v>13</v>
      </c>
      <c r="F288">
        <v>2050</v>
      </c>
      <c r="G288" s="55">
        <f>10^6*IF($E288="charcoal",params!$P$13*INDEX(BAU_Fuel_cons!$E$2:$AS$34,MATCH(D288&amp;"_"&amp;E288,BAU_Fuel_cons!$AT$2:$AT$34,0),MATCH(F288,BAU_Fuel_cons!$E$1:$AS$1,0)),INDEX(BAU_Fuel_cons!$E$2:$AS$34,MATCH(D288&amp;"_"&amp;E288,BAU_Fuel_cons!$AT$2:$AT$34,0),MATCH(F288,BAU_Fuel_cons!$E$1:$AS$1,0)))</f>
        <v>0</v>
      </c>
      <c r="H288" s="55">
        <f>G288+10^6*IF($E288="charcoal",params!$P$13*SUMIFS(nonresidential!$L:$L,nonresidential!$A:$A,$F288,nonresidential!$B:$B,$E288,nonresidential!$C:$C,$D288),SUMIFS(nonresidential!$L:$L,nonresidential!$A:$A,$F288,nonresidential!$B:$B,$E288,nonresidential!$C:$C,$D288))</f>
        <v>0</v>
      </c>
      <c r="I288">
        <f>1</f>
        <v>1</v>
      </c>
    </row>
    <row r="289" spans="1:9">
      <c r="A289" t="s">
        <v>211</v>
      </c>
      <c r="B289" t="s">
        <v>162</v>
      </c>
      <c r="C289" t="s">
        <v>269</v>
      </c>
      <c r="D289" t="s">
        <v>25</v>
      </c>
      <c r="E289" t="s">
        <v>14</v>
      </c>
      <c r="F289">
        <v>2010</v>
      </c>
      <c r="G289" s="55">
        <f>10^6*IF($E289="charcoal",params!$P$13*INDEX(BAU_Fuel_cons!$E$2:$AS$34,MATCH(D289&amp;"_"&amp;E289,BAU_Fuel_cons!$AT$2:$AT$34,0),MATCH(F289,BAU_Fuel_cons!$E$1:$AS$1,0)),INDEX(BAU_Fuel_cons!$E$2:$AS$34,MATCH(D289&amp;"_"&amp;E289,BAU_Fuel_cons!$AT$2:$AT$34,0),MATCH(F289,BAU_Fuel_cons!$E$1:$AS$1,0)))</f>
        <v>0</v>
      </c>
      <c r="H289" s="55">
        <f>G289+10^6*IF($E289="charcoal",params!$P$13*SUMIFS(nonresidential!$L:$L,nonresidential!$A:$A,$F289,nonresidential!$B:$B,$E289,nonresidential!$C:$C,$D289),SUMIFS(nonresidential!$L:$L,nonresidential!$A:$A,$F289,nonresidential!$B:$B,$E289,nonresidential!$C:$C,$D289))</f>
        <v>0</v>
      </c>
      <c r="I289">
        <f>1</f>
        <v>1</v>
      </c>
    </row>
    <row r="290" spans="1:9">
      <c r="A290" t="s">
        <v>211</v>
      </c>
      <c r="B290" t="s">
        <v>162</v>
      </c>
      <c r="C290" t="s">
        <v>269</v>
      </c>
      <c r="D290" t="s">
        <v>25</v>
      </c>
      <c r="E290" t="s">
        <v>14</v>
      </c>
      <c r="F290">
        <v>2011</v>
      </c>
      <c r="G290" s="55">
        <f>10^6*IF($E290="charcoal",params!$P$13*INDEX(BAU_Fuel_cons!$E$2:$AS$34,MATCH(D290&amp;"_"&amp;E290,BAU_Fuel_cons!$AT$2:$AT$34,0),MATCH(F290,BAU_Fuel_cons!$E$1:$AS$1,0)),INDEX(BAU_Fuel_cons!$E$2:$AS$34,MATCH(D290&amp;"_"&amp;E290,BAU_Fuel_cons!$AT$2:$AT$34,0),MATCH(F290,BAU_Fuel_cons!$E$1:$AS$1,0)))</f>
        <v>0</v>
      </c>
      <c r="H290" s="55">
        <f>G290+10^6*IF($E290="charcoal",params!$P$13*SUMIFS(nonresidential!$L:$L,nonresidential!$A:$A,$F290,nonresidential!$B:$B,$E290,nonresidential!$C:$C,$D290),SUMIFS(nonresidential!$L:$L,nonresidential!$A:$A,$F290,nonresidential!$B:$B,$E290,nonresidential!$C:$C,$D290))</f>
        <v>0</v>
      </c>
      <c r="I290">
        <f>1</f>
        <v>1</v>
      </c>
    </row>
    <row r="291" spans="1:9">
      <c r="A291" t="s">
        <v>211</v>
      </c>
      <c r="B291" t="s">
        <v>162</v>
      </c>
      <c r="C291" t="s">
        <v>269</v>
      </c>
      <c r="D291" t="s">
        <v>25</v>
      </c>
      <c r="E291" t="s">
        <v>14</v>
      </c>
      <c r="F291">
        <v>2012</v>
      </c>
      <c r="G291" s="55">
        <f>10^6*IF($E291="charcoal",params!$P$13*INDEX(BAU_Fuel_cons!$E$2:$AS$34,MATCH(D291&amp;"_"&amp;E291,BAU_Fuel_cons!$AT$2:$AT$34,0),MATCH(F291,BAU_Fuel_cons!$E$1:$AS$1,0)),INDEX(BAU_Fuel_cons!$E$2:$AS$34,MATCH(D291&amp;"_"&amp;E291,BAU_Fuel_cons!$AT$2:$AT$34,0),MATCH(F291,BAU_Fuel_cons!$E$1:$AS$1,0)))</f>
        <v>0</v>
      </c>
      <c r="H291" s="55">
        <f>G291+10^6*IF($E291="charcoal",params!$P$13*SUMIFS(nonresidential!$L:$L,nonresidential!$A:$A,$F291,nonresidential!$B:$B,$E291,nonresidential!$C:$C,$D291),SUMIFS(nonresidential!$L:$L,nonresidential!$A:$A,$F291,nonresidential!$B:$B,$E291,nonresidential!$C:$C,$D291))</f>
        <v>0</v>
      </c>
      <c r="I291">
        <f>1</f>
        <v>1</v>
      </c>
    </row>
    <row r="292" spans="1:9">
      <c r="A292" t="s">
        <v>211</v>
      </c>
      <c r="B292" t="s">
        <v>162</v>
      </c>
      <c r="C292" t="s">
        <v>269</v>
      </c>
      <c r="D292" t="s">
        <v>25</v>
      </c>
      <c r="E292" t="s">
        <v>14</v>
      </c>
      <c r="F292">
        <v>2013</v>
      </c>
      <c r="G292" s="55">
        <f>10^6*IF($E292="charcoal",params!$P$13*INDEX(BAU_Fuel_cons!$E$2:$AS$34,MATCH(D292&amp;"_"&amp;E292,BAU_Fuel_cons!$AT$2:$AT$34,0),MATCH(F292,BAU_Fuel_cons!$E$1:$AS$1,0)),INDEX(BAU_Fuel_cons!$E$2:$AS$34,MATCH(D292&amp;"_"&amp;E292,BAU_Fuel_cons!$AT$2:$AT$34,0),MATCH(F292,BAU_Fuel_cons!$E$1:$AS$1,0)))</f>
        <v>0</v>
      </c>
      <c r="H292" s="55">
        <f>G292+10^6*IF($E292="charcoal",params!$P$13*SUMIFS(nonresidential!$L:$L,nonresidential!$A:$A,$F292,nonresidential!$B:$B,$E292,nonresidential!$C:$C,$D292),SUMIFS(nonresidential!$L:$L,nonresidential!$A:$A,$F292,nonresidential!$B:$B,$E292,nonresidential!$C:$C,$D292))</f>
        <v>0</v>
      </c>
      <c r="I292">
        <f>1</f>
        <v>1</v>
      </c>
    </row>
    <row r="293" spans="1:9">
      <c r="A293" t="s">
        <v>211</v>
      </c>
      <c r="B293" t="s">
        <v>162</v>
      </c>
      <c r="C293" t="s">
        <v>269</v>
      </c>
      <c r="D293" t="s">
        <v>25</v>
      </c>
      <c r="E293" t="s">
        <v>14</v>
      </c>
      <c r="F293">
        <v>2014</v>
      </c>
      <c r="G293" s="55">
        <f>10^6*IF($E293="charcoal",params!$P$13*INDEX(BAU_Fuel_cons!$E$2:$AS$34,MATCH(D293&amp;"_"&amp;E293,BAU_Fuel_cons!$AT$2:$AT$34,0),MATCH(F293,BAU_Fuel_cons!$E$1:$AS$1,0)),INDEX(BAU_Fuel_cons!$E$2:$AS$34,MATCH(D293&amp;"_"&amp;E293,BAU_Fuel_cons!$AT$2:$AT$34,0),MATCH(F293,BAU_Fuel_cons!$E$1:$AS$1,0)))</f>
        <v>0</v>
      </c>
      <c r="H293" s="55">
        <f>G293+10^6*IF($E293="charcoal",params!$P$13*SUMIFS(nonresidential!$L:$L,nonresidential!$A:$A,$F293,nonresidential!$B:$B,$E293,nonresidential!$C:$C,$D293),SUMIFS(nonresidential!$L:$L,nonresidential!$A:$A,$F293,nonresidential!$B:$B,$E293,nonresidential!$C:$C,$D293))</f>
        <v>0</v>
      </c>
      <c r="I293">
        <f>1</f>
        <v>1</v>
      </c>
    </row>
    <row r="294" spans="1:9">
      <c r="A294" t="s">
        <v>211</v>
      </c>
      <c r="B294" t="s">
        <v>162</v>
      </c>
      <c r="C294" t="s">
        <v>269</v>
      </c>
      <c r="D294" t="s">
        <v>25</v>
      </c>
      <c r="E294" t="s">
        <v>14</v>
      </c>
      <c r="F294">
        <v>2015</v>
      </c>
      <c r="G294" s="55">
        <f>10^6*IF($E294="charcoal",params!$P$13*INDEX(BAU_Fuel_cons!$E$2:$AS$34,MATCH(D294&amp;"_"&amp;E294,BAU_Fuel_cons!$AT$2:$AT$34,0),MATCH(F294,BAU_Fuel_cons!$E$1:$AS$1,0)),INDEX(BAU_Fuel_cons!$E$2:$AS$34,MATCH(D294&amp;"_"&amp;E294,BAU_Fuel_cons!$AT$2:$AT$34,0),MATCH(F294,BAU_Fuel_cons!$E$1:$AS$1,0)))</f>
        <v>0</v>
      </c>
      <c r="H294" s="55">
        <f>G294+10^6*IF($E294="charcoal",params!$P$13*SUMIFS(nonresidential!$L:$L,nonresidential!$A:$A,$F294,nonresidential!$B:$B,$E294,nonresidential!$C:$C,$D294),SUMIFS(nonresidential!$L:$L,nonresidential!$A:$A,$F294,nonresidential!$B:$B,$E294,nonresidential!$C:$C,$D294))</f>
        <v>0</v>
      </c>
      <c r="I294">
        <f>1</f>
        <v>1</v>
      </c>
    </row>
    <row r="295" spans="1:9">
      <c r="A295" t="s">
        <v>211</v>
      </c>
      <c r="B295" t="s">
        <v>162</v>
      </c>
      <c r="C295" t="s">
        <v>269</v>
      </c>
      <c r="D295" t="s">
        <v>25</v>
      </c>
      <c r="E295" t="s">
        <v>14</v>
      </c>
      <c r="F295">
        <v>2016</v>
      </c>
      <c r="G295" s="55">
        <f>10^6*IF($E295="charcoal",params!$P$13*INDEX(BAU_Fuel_cons!$E$2:$AS$34,MATCH(D295&amp;"_"&amp;E295,BAU_Fuel_cons!$AT$2:$AT$34,0),MATCH(F295,BAU_Fuel_cons!$E$1:$AS$1,0)),INDEX(BAU_Fuel_cons!$E$2:$AS$34,MATCH(D295&amp;"_"&amp;E295,BAU_Fuel_cons!$AT$2:$AT$34,0),MATCH(F295,BAU_Fuel_cons!$E$1:$AS$1,0)))</f>
        <v>0</v>
      </c>
      <c r="H295" s="55">
        <f>G295+10^6*IF($E295="charcoal",params!$P$13*SUMIFS(nonresidential!$L:$L,nonresidential!$A:$A,$F295,nonresidential!$B:$B,$E295,nonresidential!$C:$C,$D295),SUMIFS(nonresidential!$L:$L,nonresidential!$A:$A,$F295,nonresidential!$B:$B,$E295,nonresidential!$C:$C,$D295))</f>
        <v>0</v>
      </c>
      <c r="I295">
        <f>1</f>
        <v>1</v>
      </c>
    </row>
    <row r="296" spans="1:9">
      <c r="A296" t="s">
        <v>211</v>
      </c>
      <c r="B296" t="s">
        <v>162</v>
      </c>
      <c r="C296" t="s">
        <v>269</v>
      </c>
      <c r="D296" t="s">
        <v>25</v>
      </c>
      <c r="E296" t="s">
        <v>14</v>
      </c>
      <c r="F296">
        <v>2017</v>
      </c>
      <c r="G296" s="55">
        <f>10^6*IF($E296="charcoal",params!$P$13*INDEX(BAU_Fuel_cons!$E$2:$AS$34,MATCH(D296&amp;"_"&amp;E296,BAU_Fuel_cons!$AT$2:$AT$34,0),MATCH(F296,BAU_Fuel_cons!$E$1:$AS$1,0)),INDEX(BAU_Fuel_cons!$E$2:$AS$34,MATCH(D296&amp;"_"&amp;E296,BAU_Fuel_cons!$AT$2:$AT$34,0),MATCH(F296,BAU_Fuel_cons!$E$1:$AS$1,0)))</f>
        <v>0</v>
      </c>
      <c r="H296" s="55">
        <f>G296+10^6*IF($E296="charcoal",params!$P$13*SUMIFS(nonresidential!$L:$L,nonresidential!$A:$A,$F296,nonresidential!$B:$B,$E296,nonresidential!$C:$C,$D296),SUMIFS(nonresidential!$L:$L,nonresidential!$A:$A,$F296,nonresidential!$B:$B,$E296,nonresidential!$C:$C,$D296))</f>
        <v>0</v>
      </c>
      <c r="I296">
        <f>1</f>
        <v>1</v>
      </c>
    </row>
    <row r="297" spans="1:9">
      <c r="A297" t="s">
        <v>211</v>
      </c>
      <c r="B297" t="s">
        <v>162</v>
      </c>
      <c r="C297" t="s">
        <v>269</v>
      </c>
      <c r="D297" t="s">
        <v>25</v>
      </c>
      <c r="E297" t="s">
        <v>14</v>
      </c>
      <c r="F297">
        <v>2018</v>
      </c>
      <c r="G297" s="55">
        <f>10^6*IF($E297="charcoal",params!$P$13*INDEX(BAU_Fuel_cons!$E$2:$AS$34,MATCH(D297&amp;"_"&amp;E297,BAU_Fuel_cons!$AT$2:$AT$34,0),MATCH(F297,BAU_Fuel_cons!$E$1:$AS$1,0)),INDEX(BAU_Fuel_cons!$E$2:$AS$34,MATCH(D297&amp;"_"&amp;E297,BAU_Fuel_cons!$AT$2:$AT$34,0),MATCH(F297,BAU_Fuel_cons!$E$1:$AS$1,0)))</f>
        <v>0</v>
      </c>
      <c r="H297" s="55">
        <f>G297+10^6*IF($E297="charcoal",params!$P$13*SUMIFS(nonresidential!$L:$L,nonresidential!$A:$A,$F297,nonresidential!$B:$B,$E297,nonresidential!$C:$C,$D297),SUMIFS(nonresidential!$L:$L,nonresidential!$A:$A,$F297,nonresidential!$B:$B,$E297,nonresidential!$C:$C,$D297))</f>
        <v>0</v>
      </c>
      <c r="I297">
        <f>1</f>
        <v>1</v>
      </c>
    </row>
    <row r="298" spans="1:9">
      <c r="A298" t="s">
        <v>211</v>
      </c>
      <c r="B298" t="s">
        <v>162</v>
      </c>
      <c r="C298" t="s">
        <v>269</v>
      </c>
      <c r="D298" t="s">
        <v>25</v>
      </c>
      <c r="E298" t="s">
        <v>14</v>
      </c>
      <c r="F298">
        <v>2019</v>
      </c>
      <c r="G298" s="55">
        <f>10^6*IF($E298="charcoal",params!$P$13*INDEX(BAU_Fuel_cons!$E$2:$AS$34,MATCH(D298&amp;"_"&amp;E298,BAU_Fuel_cons!$AT$2:$AT$34,0),MATCH(F298,BAU_Fuel_cons!$E$1:$AS$1,0)),INDEX(BAU_Fuel_cons!$E$2:$AS$34,MATCH(D298&amp;"_"&amp;E298,BAU_Fuel_cons!$AT$2:$AT$34,0),MATCH(F298,BAU_Fuel_cons!$E$1:$AS$1,0)))</f>
        <v>0</v>
      </c>
      <c r="H298" s="55">
        <f>G298+10^6*IF($E298="charcoal",params!$P$13*SUMIFS(nonresidential!$L:$L,nonresidential!$A:$A,$F298,nonresidential!$B:$B,$E298,nonresidential!$C:$C,$D298),SUMIFS(nonresidential!$L:$L,nonresidential!$A:$A,$F298,nonresidential!$B:$B,$E298,nonresidential!$C:$C,$D298))</f>
        <v>0</v>
      </c>
      <c r="I298">
        <f>1</f>
        <v>1</v>
      </c>
    </row>
    <row r="299" spans="1:9">
      <c r="A299" t="s">
        <v>211</v>
      </c>
      <c r="B299" t="s">
        <v>162</v>
      </c>
      <c r="C299" t="s">
        <v>269</v>
      </c>
      <c r="D299" t="s">
        <v>25</v>
      </c>
      <c r="E299" t="s">
        <v>14</v>
      </c>
      <c r="F299">
        <v>2020</v>
      </c>
      <c r="G299" s="55">
        <f>10^6*IF($E299="charcoal",params!$P$13*INDEX(BAU_Fuel_cons!$E$2:$AS$34,MATCH(D299&amp;"_"&amp;E299,BAU_Fuel_cons!$AT$2:$AT$34,0),MATCH(F299,BAU_Fuel_cons!$E$1:$AS$1,0)),INDEX(BAU_Fuel_cons!$E$2:$AS$34,MATCH(D299&amp;"_"&amp;E299,BAU_Fuel_cons!$AT$2:$AT$34,0),MATCH(F299,BAU_Fuel_cons!$E$1:$AS$1,0)))</f>
        <v>0</v>
      </c>
      <c r="H299" s="55">
        <f>G299+10^6*IF($E299="charcoal",params!$P$13*SUMIFS(nonresidential!$L:$L,nonresidential!$A:$A,$F299,nonresidential!$B:$B,$E299,nonresidential!$C:$C,$D299),SUMIFS(nonresidential!$L:$L,nonresidential!$A:$A,$F299,nonresidential!$B:$B,$E299,nonresidential!$C:$C,$D299))</f>
        <v>0</v>
      </c>
      <c r="I299">
        <f>1</f>
        <v>1</v>
      </c>
    </row>
    <row r="300" spans="1:9">
      <c r="A300" t="s">
        <v>211</v>
      </c>
      <c r="B300" t="s">
        <v>162</v>
      </c>
      <c r="C300" t="s">
        <v>269</v>
      </c>
      <c r="D300" t="s">
        <v>25</v>
      </c>
      <c r="E300" t="s">
        <v>14</v>
      </c>
      <c r="F300">
        <v>2021</v>
      </c>
      <c r="G300" s="55">
        <f>10^6*IF($E300="charcoal",params!$P$13*INDEX(BAU_Fuel_cons!$E$2:$AS$34,MATCH(D300&amp;"_"&amp;E300,BAU_Fuel_cons!$AT$2:$AT$34,0),MATCH(F300,BAU_Fuel_cons!$E$1:$AS$1,0)),INDEX(BAU_Fuel_cons!$E$2:$AS$34,MATCH(D300&amp;"_"&amp;E300,BAU_Fuel_cons!$AT$2:$AT$34,0),MATCH(F300,BAU_Fuel_cons!$E$1:$AS$1,0)))</f>
        <v>0</v>
      </c>
      <c r="H300" s="55">
        <f>G300+10^6*IF($E300="charcoal",params!$P$13*SUMIFS(nonresidential!$L:$L,nonresidential!$A:$A,$F300,nonresidential!$B:$B,$E300,nonresidential!$C:$C,$D300),SUMIFS(nonresidential!$L:$L,nonresidential!$A:$A,$F300,nonresidential!$B:$B,$E300,nonresidential!$C:$C,$D300))</f>
        <v>0</v>
      </c>
      <c r="I300">
        <f>1</f>
        <v>1</v>
      </c>
    </row>
    <row r="301" spans="1:9">
      <c r="A301" t="s">
        <v>211</v>
      </c>
      <c r="B301" t="s">
        <v>162</v>
      </c>
      <c r="C301" t="s">
        <v>269</v>
      </c>
      <c r="D301" t="s">
        <v>25</v>
      </c>
      <c r="E301" t="s">
        <v>14</v>
      </c>
      <c r="F301">
        <v>2022</v>
      </c>
      <c r="G301" s="55">
        <f>10^6*IF($E301="charcoal",params!$P$13*INDEX(BAU_Fuel_cons!$E$2:$AS$34,MATCH(D301&amp;"_"&amp;E301,BAU_Fuel_cons!$AT$2:$AT$34,0),MATCH(F301,BAU_Fuel_cons!$E$1:$AS$1,0)),INDEX(BAU_Fuel_cons!$E$2:$AS$34,MATCH(D301&amp;"_"&amp;E301,BAU_Fuel_cons!$AT$2:$AT$34,0),MATCH(F301,BAU_Fuel_cons!$E$1:$AS$1,0)))</f>
        <v>0</v>
      </c>
      <c r="H301" s="55">
        <f>G301+10^6*IF($E301="charcoal",params!$P$13*SUMIFS(nonresidential!$L:$L,nonresidential!$A:$A,$F301,nonresidential!$B:$B,$E301,nonresidential!$C:$C,$D301),SUMIFS(nonresidential!$L:$L,nonresidential!$A:$A,$F301,nonresidential!$B:$B,$E301,nonresidential!$C:$C,$D301))</f>
        <v>0</v>
      </c>
      <c r="I301">
        <f>1</f>
        <v>1</v>
      </c>
    </row>
    <row r="302" spans="1:9">
      <c r="A302" t="s">
        <v>211</v>
      </c>
      <c r="B302" t="s">
        <v>162</v>
      </c>
      <c r="C302" t="s">
        <v>269</v>
      </c>
      <c r="D302" t="s">
        <v>25</v>
      </c>
      <c r="E302" t="s">
        <v>14</v>
      </c>
      <c r="F302">
        <v>2023</v>
      </c>
      <c r="G302" s="55">
        <f>10^6*IF($E302="charcoal",params!$P$13*INDEX(BAU_Fuel_cons!$E$2:$AS$34,MATCH(D302&amp;"_"&amp;E302,BAU_Fuel_cons!$AT$2:$AT$34,0),MATCH(F302,BAU_Fuel_cons!$E$1:$AS$1,0)),INDEX(BAU_Fuel_cons!$E$2:$AS$34,MATCH(D302&amp;"_"&amp;E302,BAU_Fuel_cons!$AT$2:$AT$34,0),MATCH(F302,BAU_Fuel_cons!$E$1:$AS$1,0)))</f>
        <v>0</v>
      </c>
      <c r="H302" s="55">
        <f>G302+10^6*IF($E302="charcoal",params!$P$13*SUMIFS(nonresidential!$L:$L,nonresidential!$A:$A,$F302,nonresidential!$B:$B,$E302,nonresidential!$C:$C,$D302),SUMIFS(nonresidential!$L:$L,nonresidential!$A:$A,$F302,nonresidential!$B:$B,$E302,nonresidential!$C:$C,$D302))</f>
        <v>0</v>
      </c>
      <c r="I302">
        <f>1</f>
        <v>1</v>
      </c>
    </row>
    <row r="303" spans="1:9">
      <c r="A303" t="s">
        <v>211</v>
      </c>
      <c r="B303" t="s">
        <v>162</v>
      </c>
      <c r="C303" t="s">
        <v>269</v>
      </c>
      <c r="D303" t="s">
        <v>25</v>
      </c>
      <c r="E303" t="s">
        <v>14</v>
      </c>
      <c r="F303">
        <v>2024</v>
      </c>
      <c r="G303" s="55">
        <f>10^6*IF($E303="charcoal",params!$P$13*INDEX(BAU_Fuel_cons!$E$2:$AS$34,MATCH(D303&amp;"_"&amp;E303,BAU_Fuel_cons!$AT$2:$AT$34,0),MATCH(F303,BAU_Fuel_cons!$E$1:$AS$1,0)),INDEX(BAU_Fuel_cons!$E$2:$AS$34,MATCH(D303&amp;"_"&amp;E303,BAU_Fuel_cons!$AT$2:$AT$34,0),MATCH(F303,BAU_Fuel_cons!$E$1:$AS$1,0)))</f>
        <v>0</v>
      </c>
      <c r="H303" s="55">
        <f>G303+10^6*IF($E303="charcoal",params!$P$13*SUMIFS(nonresidential!$L:$L,nonresidential!$A:$A,$F303,nonresidential!$B:$B,$E303,nonresidential!$C:$C,$D303),SUMIFS(nonresidential!$L:$L,nonresidential!$A:$A,$F303,nonresidential!$B:$B,$E303,nonresidential!$C:$C,$D303))</f>
        <v>0</v>
      </c>
      <c r="I303">
        <f>1</f>
        <v>1</v>
      </c>
    </row>
    <row r="304" spans="1:9">
      <c r="A304" t="s">
        <v>211</v>
      </c>
      <c r="B304" t="s">
        <v>162</v>
      </c>
      <c r="C304" t="s">
        <v>269</v>
      </c>
      <c r="D304" t="s">
        <v>25</v>
      </c>
      <c r="E304" t="s">
        <v>14</v>
      </c>
      <c r="F304">
        <v>2025</v>
      </c>
      <c r="G304" s="55">
        <f>10^6*IF($E304="charcoal",params!$P$13*INDEX(BAU_Fuel_cons!$E$2:$AS$34,MATCH(D304&amp;"_"&amp;E304,BAU_Fuel_cons!$AT$2:$AT$34,0),MATCH(F304,BAU_Fuel_cons!$E$1:$AS$1,0)),INDEX(BAU_Fuel_cons!$E$2:$AS$34,MATCH(D304&amp;"_"&amp;E304,BAU_Fuel_cons!$AT$2:$AT$34,0),MATCH(F304,BAU_Fuel_cons!$E$1:$AS$1,0)))</f>
        <v>0</v>
      </c>
      <c r="H304" s="55">
        <f>G304+10^6*IF($E304="charcoal",params!$P$13*SUMIFS(nonresidential!$L:$L,nonresidential!$A:$A,$F304,nonresidential!$B:$B,$E304,nonresidential!$C:$C,$D304),SUMIFS(nonresidential!$L:$L,nonresidential!$A:$A,$F304,nonresidential!$B:$B,$E304,nonresidential!$C:$C,$D304))</f>
        <v>0</v>
      </c>
      <c r="I304">
        <f>1</f>
        <v>1</v>
      </c>
    </row>
    <row r="305" spans="1:9">
      <c r="A305" t="s">
        <v>211</v>
      </c>
      <c r="B305" t="s">
        <v>162</v>
      </c>
      <c r="C305" t="s">
        <v>269</v>
      </c>
      <c r="D305" t="s">
        <v>25</v>
      </c>
      <c r="E305" t="s">
        <v>14</v>
      </c>
      <c r="F305">
        <v>2026</v>
      </c>
      <c r="G305" s="55">
        <f>10^6*IF($E305="charcoal",params!$P$13*INDEX(BAU_Fuel_cons!$E$2:$AS$34,MATCH(D305&amp;"_"&amp;E305,BAU_Fuel_cons!$AT$2:$AT$34,0),MATCH(F305,BAU_Fuel_cons!$E$1:$AS$1,0)),INDEX(BAU_Fuel_cons!$E$2:$AS$34,MATCH(D305&amp;"_"&amp;E305,BAU_Fuel_cons!$AT$2:$AT$34,0),MATCH(F305,BAU_Fuel_cons!$E$1:$AS$1,0)))</f>
        <v>0</v>
      </c>
      <c r="H305" s="55">
        <f>G305+10^6*IF($E305="charcoal",params!$P$13*SUMIFS(nonresidential!$L:$L,nonresidential!$A:$A,$F305,nonresidential!$B:$B,$E305,nonresidential!$C:$C,$D305),SUMIFS(nonresidential!$L:$L,nonresidential!$A:$A,$F305,nonresidential!$B:$B,$E305,nonresidential!$C:$C,$D305))</f>
        <v>0</v>
      </c>
      <c r="I305">
        <f>1</f>
        <v>1</v>
      </c>
    </row>
    <row r="306" spans="1:9">
      <c r="A306" t="s">
        <v>211</v>
      </c>
      <c r="B306" t="s">
        <v>162</v>
      </c>
      <c r="C306" t="s">
        <v>269</v>
      </c>
      <c r="D306" t="s">
        <v>25</v>
      </c>
      <c r="E306" t="s">
        <v>14</v>
      </c>
      <c r="F306">
        <v>2027</v>
      </c>
      <c r="G306" s="55">
        <f>10^6*IF($E306="charcoal",params!$P$13*INDEX(BAU_Fuel_cons!$E$2:$AS$34,MATCH(D306&amp;"_"&amp;E306,BAU_Fuel_cons!$AT$2:$AT$34,0),MATCH(F306,BAU_Fuel_cons!$E$1:$AS$1,0)),INDEX(BAU_Fuel_cons!$E$2:$AS$34,MATCH(D306&amp;"_"&amp;E306,BAU_Fuel_cons!$AT$2:$AT$34,0),MATCH(F306,BAU_Fuel_cons!$E$1:$AS$1,0)))</f>
        <v>0</v>
      </c>
      <c r="H306" s="55">
        <f>G306+10^6*IF($E306="charcoal",params!$P$13*SUMIFS(nonresidential!$L:$L,nonresidential!$A:$A,$F306,nonresidential!$B:$B,$E306,nonresidential!$C:$C,$D306),SUMIFS(nonresidential!$L:$L,nonresidential!$A:$A,$F306,nonresidential!$B:$B,$E306,nonresidential!$C:$C,$D306))</f>
        <v>0</v>
      </c>
      <c r="I306">
        <f>1</f>
        <v>1</v>
      </c>
    </row>
    <row r="307" spans="1:9">
      <c r="A307" t="s">
        <v>211</v>
      </c>
      <c r="B307" t="s">
        <v>162</v>
      </c>
      <c r="C307" t="s">
        <v>269</v>
      </c>
      <c r="D307" t="s">
        <v>25</v>
      </c>
      <c r="E307" t="s">
        <v>14</v>
      </c>
      <c r="F307">
        <v>2028</v>
      </c>
      <c r="G307" s="55">
        <f>10^6*IF($E307="charcoal",params!$P$13*INDEX(BAU_Fuel_cons!$E$2:$AS$34,MATCH(D307&amp;"_"&amp;E307,BAU_Fuel_cons!$AT$2:$AT$34,0),MATCH(F307,BAU_Fuel_cons!$E$1:$AS$1,0)),INDEX(BAU_Fuel_cons!$E$2:$AS$34,MATCH(D307&amp;"_"&amp;E307,BAU_Fuel_cons!$AT$2:$AT$34,0),MATCH(F307,BAU_Fuel_cons!$E$1:$AS$1,0)))</f>
        <v>0</v>
      </c>
      <c r="H307" s="55">
        <f>G307+10^6*IF($E307="charcoal",params!$P$13*SUMIFS(nonresidential!$L:$L,nonresidential!$A:$A,$F307,nonresidential!$B:$B,$E307,nonresidential!$C:$C,$D307),SUMIFS(nonresidential!$L:$L,nonresidential!$A:$A,$F307,nonresidential!$B:$B,$E307,nonresidential!$C:$C,$D307))</f>
        <v>0</v>
      </c>
      <c r="I307">
        <f>1</f>
        <v>1</v>
      </c>
    </row>
    <row r="308" spans="1:9">
      <c r="A308" t="s">
        <v>211</v>
      </c>
      <c r="B308" t="s">
        <v>162</v>
      </c>
      <c r="C308" t="s">
        <v>269</v>
      </c>
      <c r="D308" t="s">
        <v>25</v>
      </c>
      <c r="E308" t="s">
        <v>14</v>
      </c>
      <c r="F308">
        <v>2029</v>
      </c>
      <c r="G308" s="55">
        <f>10^6*IF($E308="charcoal",params!$P$13*INDEX(BAU_Fuel_cons!$E$2:$AS$34,MATCH(D308&amp;"_"&amp;E308,BAU_Fuel_cons!$AT$2:$AT$34,0),MATCH(F308,BAU_Fuel_cons!$E$1:$AS$1,0)),INDEX(BAU_Fuel_cons!$E$2:$AS$34,MATCH(D308&amp;"_"&amp;E308,BAU_Fuel_cons!$AT$2:$AT$34,0),MATCH(F308,BAU_Fuel_cons!$E$1:$AS$1,0)))</f>
        <v>0</v>
      </c>
      <c r="H308" s="55">
        <f>G308+10^6*IF($E308="charcoal",params!$P$13*SUMIFS(nonresidential!$L:$L,nonresidential!$A:$A,$F308,nonresidential!$B:$B,$E308,nonresidential!$C:$C,$D308),SUMIFS(nonresidential!$L:$L,nonresidential!$A:$A,$F308,nonresidential!$B:$B,$E308,nonresidential!$C:$C,$D308))</f>
        <v>0</v>
      </c>
      <c r="I308">
        <f>1</f>
        <v>1</v>
      </c>
    </row>
    <row r="309" spans="1:9">
      <c r="A309" t="s">
        <v>211</v>
      </c>
      <c r="B309" t="s">
        <v>162</v>
      </c>
      <c r="C309" t="s">
        <v>269</v>
      </c>
      <c r="D309" t="s">
        <v>25</v>
      </c>
      <c r="E309" t="s">
        <v>14</v>
      </c>
      <c r="F309">
        <v>2030</v>
      </c>
      <c r="G309" s="55">
        <f>10^6*IF($E309="charcoal",params!$P$13*INDEX(BAU_Fuel_cons!$E$2:$AS$34,MATCH(D309&amp;"_"&amp;E309,BAU_Fuel_cons!$AT$2:$AT$34,0),MATCH(F309,BAU_Fuel_cons!$E$1:$AS$1,0)),INDEX(BAU_Fuel_cons!$E$2:$AS$34,MATCH(D309&amp;"_"&amp;E309,BAU_Fuel_cons!$AT$2:$AT$34,0),MATCH(F309,BAU_Fuel_cons!$E$1:$AS$1,0)))</f>
        <v>0</v>
      </c>
      <c r="H309" s="55">
        <f>G309+10^6*IF($E309="charcoal",params!$P$13*SUMIFS(nonresidential!$L:$L,nonresidential!$A:$A,$F309,nonresidential!$B:$B,$E309,nonresidential!$C:$C,$D309),SUMIFS(nonresidential!$L:$L,nonresidential!$A:$A,$F309,nonresidential!$B:$B,$E309,nonresidential!$C:$C,$D309))</f>
        <v>0</v>
      </c>
      <c r="I309">
        <f>1</f>
        <v>1</v>
      </c>
    </row>
    <row r="310" spans="1:9">
      <c r="A310" t="s">
        <v>211</v>
      </c>
      <c r="B310" t="s">
        <v>162</v>
      </c>
      <c r="C310" t="s">
        <v>269</v>
      </c>
      <c r="D310" t="s">
        <v>25</v>
      </c>
      <c r="E310" t="s">
        <v>14</v>
      </c>
      <c r="F310">
        <v>2031</v>
      </c>
      <c r="G310" s="55">
        <f>10^6*IF($E310="charcoal",params!$P$13*INDEX(BAU_Fuel_cons!$E$2:$AS$34,MATCH(D310&amp;"_"&amp;E310,BAU_Fuel_cons!$AT$2:$AT$34,0),MATCH(F310,BAU_Fuel_cons!$E$1:$AS$1,0)),INDEX(BAU_Fuel_cons!$E$2:$AS$34,MATCH(D310&amp;"_"&amp;E310,BAU_Fuel_cons!$AT$2:$AT$34,0),MATCH(F310,BAU_Fuel_cons!$E$1:$AS$1,0)))</f>
        <v>0</v>
      </c>
      <c r="H310" s="55">
        <f>G310+10^6*IF($E310="charcoal",params!$P$13*SUMIFS(nonresidential!$L:$L,nonresidential!$A:$A,$F310,nonresidential!$B:$B,$E310,nonresidential!$C:$C,$D310),SUMIFS(nonresidential!$L:$L,nonresidential!$A:$A,$F310,nonresidential!$B:$B,$E310,nonresidential!$C:$C,$D310))</f>
        <v>0</v>
      </c>
      <c r="I310">
        <f>1</f>
        <v>1</v>
      </c>
    </row>
    <row r="311" spans="1:9">
      <c r="A311" t="s">
        <v>211</v>
      </c>
      <c r="B311" t="s">
        <v>162</v>
      </c>
      <c r="C311" t="s">
        <v>269</v>
      </c>
      <c r="D311" t="s">
        <v>25</v>
      </c>
      <c r="E311" t="s">
        <v>14</v>
      </c>
      <c r="F311">
        <v>2032</v>
      </c>
      <c r="G311" s="55">
        <f>10^6*IF($E311="charcoal",params!$P$13*INDEX(BAU_Fuel_cons!$E$2:$AS$34,MATCH(D311&amp;"_"&amp;E311,BAU_Fuel_cons!$AT$2:$AT$34,0),MATCH(F311,BAU_Fuel_cons!$E$1:$AS$1,0)),INDEX(BAU_Fuel_cons!$E$2:$AS$34,MATCH(D311&amp;"_"&amp;E311,BAU_Fuel_cons!$AT$2:$AT$34,0),MATCH(F311,BAU_Fuel_cons!$E$1:$AS$1,0)))</f>
        <v>0</v>
      </c>
      <c r="H311" s="55">
        <f>G311+10^6*IF($E311="charcoal",params!$P$13*SUMIFS(nonresidential!$L:$L,nonresidential!$A:$A,$F311,nonresidential!$B:$B,$E311,nonresidential!$C:$C,$D311),SUMIFS(nonresidential!$L:$L,nonresidential!$A:$A,$F311,nonresidential!$B:$B,$E311,nonresidential!$C:$C,$D311))</f>
        <v>0</v>
      </c>
      <c r="I311">
        <f>1</f>
        <v>1</v>
      </c>
    </row>
    <row r="312" spans="1:9">
      <c r="A312" t="s">
        <v>211</v>
      </c>
      <c r="B312" t="s">
        <v>162</v>
      </c>
      <c r="C312" t="s">
        <v>269</v>
      </c>
      <c r="D312" t="s">
        <v>25</v>
      </c>
      <c r="E312" t="s">
        <v>14</v>
      </c>
      <c r="F312">
        <v>2033</v>
      </c>
      <c r="G312" s="55">
        <f>10^6*IF($E312="charcoal",params!$P$13*INDEX(BAU_Fuel_cons!$E$2:$AS$34,MATCH(D312&amp;"_"&amp;E312,BAU_Fuel_cons!$AT$2:$AT$34,0),MATCH(F312,BAU_Fuel_cons!$E$1:$AS$1,0)),INDEX(BAU_Fuel_cons!$E$2:$AS$34,MATCH(D312&amp;"_"&amp;E312,BAU_Fuel_cons!$AT$2:$AT$34,0),MATCH(F312,BAU_Fuel_cons!$E$1:$AS$1,0)))</f>
        <v>0</v>
      </c>
      <c r="H312" s="55">
        <f>G312+10^6*IF($E312="charcoal",params!$P$13*SUMIFS(nonresidential!$L:$L,nonresidential!$A:$A,$F312,nonresidential!$B:$B,$E312,nonresidential!$C:$C,$D312),SUMIFS(nonresidential!$L:$L,nonresidential!$A:$A,$F312,nonresidential!$B:$B,$E312,nonresidential!$C:$C,$D312))</f>
        <v>0</v>
      </c>
      <c r="I312">
        <f>1</f>
        <v>1</v>
      </c>
    </row>
    <row r="313" spans="1:9">
      <c r="A313" t="s">
        <v>211</v>
      </c>
      <c r="B313" t="s">
        <v>162</v>
      </c>
      <c r="C313" t="s">
        <v>269</v>
      </c>
      <c r="D313" t="s">
        <v>25</v>
      </c>
      <c r="E313" t="s">
        <v>14</v>
      </c>
      <c r="F313">
        <v>2034</v>
      </c>
      <c r="G313" s="55">
        <f>10^6*IF($E313="charcoal",params!$P$13*INDEX(BAU_Fuel_cons!$E$2:$AS$34,MATCH(D313&amp;"_"&amp;E313,BAU_Fuel_cons!$AT$2:$AT$34,0),MATCH(F313,BAU_Fuel_cons!$E$1:$AS$1,0)),INDEX(BAU_Fuel_cons!$E$2:$AS$34,MATCH(D313&amp;"_"&amp;E313,BAU_Fuel_cons!$AT$2:$AT$34,0),MATCH(F313,BAU_Fuel_cons!$E$1:$AS$1,0)))</f>
        <v>0</v>
      </c>
      <c r="H313" s="55">
        <f>G313+10^6*IF($E313="charcoal",params!$P$13*SUMIFS(nonresidential!$L:$L,nonresidential!$A:$A,$F313,nonresidential!$B:$B,$E313,nonresidential!$C:$C,$D313),SUMIFS(nonresidential!$L:$L,nonresidential!$A:$A,$F313,nonresidential!$B:$B,$E313,nonresidential!$C:$C,$D313))</f>
        <v>0</v>
      </c>
      <c r="I313">
        <f>1</f>
        <v>1</v>
      </c>
    </row>
    <row r="314" spans="1:9">
      <c r="A314" t="s">
        <v>211</v>
      </c>
      <c r="B314" t="s">
        <v>162</v>
      </c>
      <c r="C314" t="s">
        <v>269</v>
      </c>
      <c r="D314" t="s">
        <v>25</v>
      </c>
      <c r="E314" t="s">
        <v>14</v>
      </c>
      <c r="F314">
        <v>2035</v>
      </c>
      <c r="G314" s="55">
        <f>10^6*IF($E314="charcoal",params!$P$13*INDEX(BAU_Fuel_cons!$E$2:$AS$34,MATCH(D314&amp;"_"&amp;E314,BAU_Fuel_cons!$AT$2:$AT$34,0),MATCH(F314,BAU_Fuel_cons!$E$1:$AS$1,0)),INDEX(BAU_Fuel_cons!$E$2:$AS$34,MATCH(D314&amp;"_"&amp;E314,BAU_Fuel_cons!$AT$2:$AT$34,0),MATCH(F314,BAU_Fuel_cons!$E$1:$AS$1,0)))</f>
        <v>0</v>
      </c>
      <c r="H314" s="55">
        <f>G314+10^6*IF($E314="charcoal",params!$P$13*SUMIFS(nonresidential!$L:$L,nonresidential!$A:$A,$F314,nonresidential!$B:$B,$E314,nonresidential!$C:$C,$D314),SUMIFS(nonresidential!$L:$L,nonresidential!$A:$A,$F314,nonresidential!$B:$B,$E314,nonresidential!$C:$C,$D314))</f>
        <v>0</v>
      </c>
      <c r="I314">
        <f>1</f>
        <v>1</v>
      </c>
    </row>
    <row r="315" spans="1:9">
      <c r="A315" t="s">
        <v>211</v>
      </c>
      <c r="B315" t="s">
        <v>162</v>
      </c>
      <c r="C315" t="s">
        <v>269</v>
      </c>
      <c r="D315" t="s">
        <v>25</v>
      </c>
      <c r="E315" t="s">
        <v>14</v>
      </c>
      <c r="F315">
        <v>2036</v>
      </c>
      <c r="G315" s="55">
        <f>10^6*IF($E315="charcoal",params!$P$13*INDEX(BAU_Fuel_cons!$E$2:$AS$34,MATCH(D315&amp;"_"&amp;E315,BAU_Fuel_cons!$AT$2:$AT$34,0),MATCH(F315,BAU_Fuel_cons!$E$1:$AS$1,0)),INDEX(BAU_Fuel_cons!$E$2:$AS$34,MATCH(D315&amp;"_"&amp;E315,BAU_Fuel_cons!$AT$2:$AT$34,0),MATCH(F315,BAU_Fuel_cons!$E$1:$AS$1,0)))</f>
        <v>0</v>
      </c>
      <c r="H315" s="55">
        <f>G315+10^6*IF($E315="charcoal",params!$P$13*SUMIFS(nonresidential!$L:$L,nonresidential!$A:$A,$F315,nonresidential!$B:$B,$E315,nonresidential!$C:$C,$D315),SUMIFS(nonresidential!$L:$L,nonresidential!$A:$A,$F315,nonresidential!$B:$B,$E315,nonresidential!$C:$C,$D315))</f>
        <v>0</v>
      </c>
      <c r="I315">
        <f>1</f>
        <v>1</v>
      </c>
    </row>
    <row r="316" spans="1:9">
      <c r="A316" t="s">
        <v>211</v>
      </c>
      <c r="B316" t="s">
        <v>162</v>
      </c>
      <c r="C316" t="s">
        <v>269</v>
      </c>
      <c r="D316" t="s">
        <v>25</v>
      </c>
      <c r="E316" t="s">
        <v>14</v>
      </c>
      <c r="F316">
        <v>2037</v>
      </c>
      <c r="G316" s="55">
        <f>10^6*IF($E316="charcoal",params!$P$13*INDEX(BAU_Fuel_cons!$E$2:$AS$34,MATCH(D316&amp;"_"&amp;E316,BAU_Fuel_cons!$AT$2:$AT$34,0),MATCH(F316,BAU_Fuel_cons!$E$1:$AS$1,0)),INDEX(BAU_Fuel_cons!$E$2:$AS$34,MATCH(D316&amp;"_"&amp;E316,BAU_Fuel_cons!$AT$2:$AT$34,0),MATCH(F316,BAU_Fuel_cons!$E$1:$AS$1,0)))</f>
        <v>0</v>
      </c>
      <c r="H316" s="55">
        <f>G316+10^6*IF($E316="charcoal",params!$P$13*SUMIFS(nonresidential!$L:$L,nonresidential!$A:$A,$F316,nonresidential!$B:$B,$E316,nonresidential!$C:$C,$D316),SUMIFS(nonresidential!$L:$L,nonresidential!$A:$A,$F316,nonresidential!$B:$B,$E316,nonresidential!$C:$C,$D316))</f>
        <v>0</v>
      </c>
      <c r="I316">
        <f>1</f>
        <v>1</v>
      </c>
    </row>
    <row r="317" spans="1:9">
      <c r="A317" t="s">
        <v>211</v>
      </c>
      <c r="B317" t="s">
        <v>162</v>
      </c>
      <c r="C317" t="s">
        <v>269</v>
      </c>
      <c r="D317" t="s">
        <v>25</v>
      </c>
      <c r="E317" t="s">
        <v>14</v>
      </c>
      <c r="F317">
        <v>2038</v>
      </c>
      <c r="G317" s="55">
        <f>10^6*IF($E317="charcoal",params!$P$13*INDEX(BAU_Fuel_cons!$E$2:$AS$34,MATCH(D317&amp;"_"&amp;E317,BAU_Fuel_cons!$AT$2:$AT$34,0),MATCH(F317,BAU_Fuel_cons!$E$1:$AS$1,0)),INDEX(BAU_Fuel_cons!$E$2:$AS$34,MATCH(D317&amp;"_"&amp;E317,BAU_Fuel_cons!$AT$2:$AT$34,0),MATCH(F317,BAU_Fuel_cons!$E$1:$AS$1,0)))</f>
        <v>0</v>
      </c>
      <c r="H317" s="55">
        <f>G317+10^6*IF($E317="charcoal",params!$P$13*SUMIFS(nonresidential!$L:$L,nonresidential!$A:$A,$F317,nonresidential!$B:$B,$E317,nonresidential!$C:$C,$D317),SUMIFS(nonresidential!$L:$L,nonresidential!$A:$A,$F317,nonresidential!$B:$B,$E317,nonresidential!$C:$C,$D317))</f>
        <v>0</v>
      </c>
      <c r="I317">
        <f>1</f>
        <v>1</v>
      </c>
    </row>
    <row r="318" spans="1:9">
      <c r="A318" t="s">
        <v>211</v>
      </c>
      <c r="B318" t="s">
        <v>162</v>
      </c>
      <c r="C318" t="s">
        <v>269</v>
      </c>
      <c r="D318" t="s">
        <v>25</v>
      </c>
      <c r="E318" t="s">
        <v>14</v>
      </c>
      <c r="F318">
        <v>2039</v>
      </c>
      <c r="G318" s="55">
        <f>10^6*IF($E318="charcoal",params!$P$13*INDEX(BAU_Fuel_cons!$E$2:$AS$34,MATCH(D318&amp;"_"&amp;E318,BAU_Fuel_cons!$AT$2:$AT$34,0),MATCH(F318,BAU_Fuel_cons!$E$1:$AS$1,0)),INDEX(BAU_Fuel_cons!$E$2:$AS$34,MATCH(D318&amp;"_"&amp;E318,BAU_Fuel_cons!$AT$2:$AT$34,0),MATCH(F318,BAU_Fuel_cons!$E$1:$AS$1,0)))</f>
        <v>0</v>
      </c>
      <c r="H318" s="55">
        <f>G318+10^6*IF($E318="charcoal",params!$P$13*SUMIFS(nonresidential!$L:$L,nonresidential!$A:$A,$F318,nonresidential!$B:$B,$E318,nonresidential!$C:$C,$D318),SUMIFS(nonresidential!$L:$L,nonresidential!$A:$A,$F318,nonresidential!$B:$B,$E318,nonresidential!$C:$C,$D318))</f>
        <v>0</v>
      </c>
      <c r="I318">
        <f>1</f>
        <v>1</v>
      </c>
    </row>
    <row r="319" spans="1:9">
      <c r="A319" t="s">
        <v>211</v>
      </c>
      <c r="B319" t="s">
        <v>162</v>
      </c>
      <c r="C319" t="s">
        <v>269</v>
      </c>
      <c r="D319" t="s">
        <v>25</v>
      </c>
      <c r="E319" t="s">
        <v>14</v>
      </c>
      <c r="F319">
        <v>2040</v>
      </c>
      <c r="G319" s="55">
        <f>10^6*IF($E319="charcoal",params!$P$13*INDEX(BAU_Fuel_cons!$E$2:$AS$34,MATCH(D319&amp;"_"&amp;E319,BAU_Fuel_cons!$AT$2:$AT$34,0),MATCH(F319,BAU_Fuel_cons!$E$1:$AS$1,0)),INDEX(BAU_Fuel_cons!$E$2:$AS$34,MATCH(D319&amp;"_"&amp;E319,BAU_Fuel_cons!$AT$2:$AT$34,0),MATCH(F319,BAU_Fuel_cons!$E$1:$AS$1,0)))</f>
        <v>0</v>
      </c>
      <c r="H319" s="55">
        <f>G319+10^6*IF($E319="charcoal",params!$P$13*SUMIFS(nonresidential!$L:$L,nonresidential!$A:$A,$F319,nonresidential!$B:$B,$E319,nonresidential!$C:$C,$D319),SUMIFS(nonresidential!$L:$L,nonresidential!$A:$A,$F319,nonresidential!$B:$B,$E319,nonresidential!$C:$C,$D319))</f>
        <v>0</v>
      </c>
      <c r="I319">
        <f>1</f>
        <v>1</v>
      </c>
    </row>
    <row r="320" spans="1:9">
      <c r="A320" t="s">
        <v>211</v>
      </c>
      <c r="B320" t="s">
        <v>162</v>
      </c>
      <c r="C320" t="s">
        <v>269</v>
      </c>
      <c r="D320" t="s">
        <v>25</v>
      </c>
      <c r="E320" t="s">
        <v>14</v>
      </c>
      <c r="F320">
        <v>2041</v>
      </c>
      <c r="G320" s="55">
        <f>10^6*IF($E320="charcoal",params!$P$13*INDEX(BAU_Fuel_cons!$E$2:$AS$34,MATCH(D320&amp;"_"&amp;E320,BAU_Fuel_cons!$AT$2:$AT$34,0),MATCH(F320,BAU_Fuel_cons!$E$1:$AS$1,0)),INDEX(BAU_Fuel_cons!$E$2:$AS$34,MATCH(D320&amp;"_"&amp;E320,BAU_Fuel_cons!$AT$2:$AT$34,0),MATCH(F320,BAU_Fuel_cons!$E$1:$AS$1,0)))</f>
        <v>0</v>
      </c>
      <c r="H320" s="55">
        <f>G320+10^6*IF($E320="charcoal",params!$P$13*SUMIFS(nonresidential!$L:$L,nonresidential!$A:$A,$F320,nonresidential!$B:$B,$E320,nonresidential!$C:$C,$D320),SUMIFS(nonresidential!$L:$L,nonresidential!$A:$A,$F320,nonresidential!$B:$B,$E320,nonresidential!$C:$C,$D320))</f>
        <v>0</v>
      </c>
      <c r="I320">
        <f>1</f>
        <v>1</v>
      </c>
    </row>
    <row r="321" spans="1:9">
      <c r="A321" t="s">
        <v>211</v>
      </c>
      <c r="B321" t="s">
        <v>162</v>
      </c>
      <c r="C321" t="s">
        <v>269</v>
      </c>
      <c r="D321" t="s">
        <v>25</v>
      </c>
      <c r="E321" t="s">
        <v>14</v>
      </c>
      <c r="F321">
        <v>2042</v>
      </c>
      <c r="G321" s="55">
        <f>10^6*IF($E321="charcoal",params!$P$13*INDEX(BAU_Fuel_cons!$E$2:$AS$34,MATCH(D321&amp;"_"&amp;E321,BAU_Fuel_cons!$AT$2:$AT$34,0),MATCH(F321,BAU_Fuel_cons!$E$1:$AS$1,0)),INDEX(BAU_Fuel_cons!$E$2:$AS$34,MATCH(D321&amp;"_"&amp;E321,BAU_Fuel_cons!$AT$2:$AT$34,0),MATCH(F321,BAU_Fuel_cons!$E$1:$AS$1,0)))</f>
        <v>0</v>
      </c>
      <c r="H321" s="55">
        <f>G321+10^6*IF($E321="charcoal",params!$P$13*SUMIFS(nonresidential!$L:$L,nonresidential!$A:$A,$F321,nonresidential!$B:$B,$E321,nonresidential!$C:$C,$D321),SUMIFS(nonresidential!$L:$L,nonresidential!$A:$A,$F321,nonresidential!$B:$B,$E321,nonresidential!$C:$C,$D321))</f>
        <v>0</v>
      </c>
      <c r="I321">
        <f>1</f>
        <v>1</v>
      </c>
    </row>
    <row r="322" spans="1:9">
      <c r="A322" t="s">
        <v>211</v>
      </c>
      <c r="B322" t="s">
        <v>162</v>
      </c>
      <c r="C322" t="s">
        <v>269</v>
      </c>
      <c r="D322" t="s">
        <v>25</v>
      </c>
      <c r="E322" t="s">
        <v>14</v>
      </c>
      <c r="F322">
        <v>2043</v>
      </c>
      <c r="G322" s="55">
        <f>10^6*IF($E322="charcoal",params!$P$13*INDEX(BAU_Fuel_cons!$E$2:$AS$34,MATCH(D322&amp;"_"&amp;E322,BAU_Fuel_cons!$AT$2:$AT$34,0),MATCH(F322,BAU_Fuel_cons!$E$1:$AS$1,0)),INDEX(BAU_Fuel_cons!$E$2:$AS$34,MATCH(D322&amp;"_"&amp;E322,BAU_Fuel_cons!$AT$2:$AT$34,0),MATCH(F322,BAU_Fuel_cons!$E$1:$AS$1,0)))</f>
        <v>0</v>
      </c>
      <c r="H322" s="55">
        <f>G322+10^6*IF($E322="charcoal",params!$P$13*SUMIFS(nonresidential!$L:$L,nonresidential!$A:$A,$F322,nonresidential!$B:$B,$E322,nonresidential!$C:$C,$D322),SUMIFS(nonresidential!$L:$L,nonresidential!$A:$A,$F322,nonresidential!$B:$B,$E322,nonresidential!$C:$C,$D322))</f>
        <v>0</v>
      </c>
      <c r="I322">
        <f>1</f>
        <v>1</v>
      </c>
    </row>
    <row r="323" spans="1:9">
      <c r="A323" t="s">
        <v>211</v>
      </c>
      <c r="B323" t="s">
        <v>162</v>
      </c>
      <c r="C323" t="s">
        <v>269</v>
      </c>
      <c r="D323" t="s">
        <v>25</v>
      </c>
      <c r="E323" t="s">
        <v>14</v>
      </c>
      <c r="F323">
        <v>2044</v>
      </c>
      <c r="G323" s="55">
        <f>10^6*IF($E323="charcoal",params!$P$13*INDEX(BAU_Fuel_cons!$E$2:$AS$34,MATCH(D323&amp;"_"&amp;E323,BAU_Fuel_cons!$AT$2:$AT$34,0),MATCH(F323,BAU_Fuel_cons!$E$1:$AS$1,0)),INDEX(BAU_Fuel_cons!$E$2:$AS$34,MATCH(D323&amp;"_"&amp;E323,BAU_Fuel_cons!$AT$2:$AT$34,0),MATCH(F323,BAU_Fuel_cons!$E$1:$AS$1,0)))</f>
        <v>0</v>
      </c>
      <c r="H323" s="55">
        <f>G323+10^6*IF($E323="charcoal",params!$P$13*SUMIFS(nonresidential!$L:$L,nonresidential!$A:$A,$F323,nonresidential!$B:$B,$E323,nonresidential!$C:$C,$D323),SUMIFS(nonresidential!$L:$L,nonresidential!$A:$A,$F323,nonresidential!$B:$B,$E323,nonresidential!$C:$C,$D323))</f>
        <v>0</v>
      </c>
      <c r="I323">
        <f>1</f>
        <v>1</v>
      </c>
    </row>
    <row r="324" spans="1:9">
      <c r="A324" t="s">
        <v>211</v>
      </c>
      <c r="B324" t="s">
        <v>162</v>
      </c>
      <c r="C324" t="s">
        <v>269</v>
      </c>
      <c r="D324" t="s">
        <v>25</v>
      </c>
      <c r="E324" t="s">
        <v>14</v>
      </c>
      <c r="F324">
        <v>2045</v>
      </c>
      <c r="G324" s="55">
        <f>10^6*IF($E324="charcoal",params!$P$13*INDEX(BAU_Fuel_cons!$E$2:$AS$34,MATCH(D324&amp;"_"&amp;E324,BAU_Fuel_cons!$AT$2:$AT$34,0),MATCH(F324,BAU_Fuel_cons!$E$1:$AS$1,0)),INDEX(BAU_Fuel_cons!$E$2:$AS$34,MATCH(D324&amp;"_"&amp;E324,BAU_Fuel_cons!$AT$2:$AT$34,0),MATCH(F324,BAU_Fuel_cons!$E$1:$AS$1,0)))</f>
        <v>0</v>
      </c>
      <c r="H324" s="55">
        <f>G324+10^6*IF($E324="charcoal",params!$P$13*SUMIFS(nonresidential!$L:$L,nonresidential!$A:$A,$F324,nonresidential!$B:$B,$E324,nonresidential!$C:$C,$D324),SUMIFS(nonresidential!$L:$L,nonresidential!$A:$A,$F324,nonresidential!$B:$B,$E324,nonresidential!$C:$C,$D324))</f>
        <v>0</v>
      </c>
      <c r="I324">
        <f>1</f>
        <v>1</v>
      </c>
    </row>
    <row r="325" spans="1:9">
      <c r="A325" t="s">
        <v>211</v>
      </c>
      <c r="B325" t="s">
        <v>162</v>
      </c>
      <c r="C325" t="s">
        <v>269</v>
      </c>
      <c r="D325" t="s">
        <v>25</v>
      </c>
      <c r="E325" t="s">
        <v>14</v>
      </c>
      <c r="F325">
        <v>2046</v>
      </c>
      <c r="G325" s="55">
        <f>10^6*IF($E325="charcoal",params!$P$13*INDEX(BAU_Fuel_cons!$E$2:$AS$34,MATCH(D325&amp;"_"&amp;E325,BAU_Fuel_cons!$AT$2:$AT$34,0),MATCH(F325,BAU_Fuel_cons!$E$1:$AS$1,0)),INDEX(BAU_Fuel_cons!$E$2:$AS$34,MATCH(D325&amp;"_"&amp;E325,BAU_Fuel_cons!$AT$2:$AT$34,0),MATCH(F325,BAU_Fuel_cons!$E$1:$AS$1,0)))</f>
        <v>0</v>
      </c>
      <c r="H325" s="55">
        <f>G325+10^6*IF($E325="charcoal",params!$P$13*SUMIFS(nonresidential!$L:$L,nonresidential!$A:$A,$F325,nonresidential!$B:$B,$E325,nonresidential!$C:$C,$D325),SUMIFS(nonresidential!$L:$L,nonresidential!$A:$A,$F325,nonresidential!$B:$B,$E325,nonresidential!$C:$C,$D325))</f>
        <v>0</v>
      </c>
      <c r="I325">
        <f>1</f>
        <v>1</v>
      </c>
    </row>
    <row r="326" spans="1:9">
      <c r="A326" t="s">
        <v>211</v>
      </c>
      <c r="B326" t="s">
        <v>162</v>
      </c>
      <c r="C326" t="s">
        <v>269</v>
      </c>
      <c r="D326" t="s">
        <v>25</v>
      </c>
      <c r="E326" t="s">
        <v>14</v>
      </c>
      <c r="F326">
        <v>2047</v>
      </c>
      <c r="G326" s="55">
        <f>10^6*IF($E326="charcoal",params!$P$13*INDEX(BAU_Fuel_cons!$E$2:$AS$34,MATCH(D326&amp;"_"&amp;E326,BAU_Fuel_cons!$AT$2:$AT$34,0),MATCH(F326,BAU_Fuel_cons!$E$1:$AS$1,0)),INDEX(BAU_Fuel_cons!$E$2:$AS$34,MATCH(D326&amp;"_"&amp;E326,BAU_Fuel_cons!$AT$2:$AT$34,0),MATCH(F326,BAU_Fuel_cons!$E$1:$AS$1,0)))</f>
        <v>0</v>
      </c>
      <c r="H326" s="55">
        <f>G326+10^6*IF($E326="charcoal",params!$P$13*SUMIFS(nonresidential!$L:$L,nonresidential!$A:$A,$F326,nonresidential!$B:$B,$E326,nonresidential!$C:$C,$D326),SUMIFS(nonresidential!$L:$L,nonresidential!$A:$A,$F326,nonresidential!$B:$B,$E326,nonresidential!$C:$C,$D326))</f>
        <v>0</v>
      </c>
      <c r="I326">
        <f>1</f>
        <v>1</v>
      </c>
    </row>
    <row r="327" spans="1:9">
      <c r="A327" t="s">
        <v>211</v>
      </c>
      <c r="B327" t="s">
        <v>162</v>
      </c>
      <c r="C327" t="s">
        <v>269</v>
      </c>
      <c r="D327" t="s">
        <v>25</v>
      </c>
      <c r="E327" t="s">
        <v>14</v>
      </c>
      <c r="F327">
        <v>2048</v>
      </c>
      <c r="G327" s="55">
        <f>10^6*IF($E327="charcoal",params!$P$13*INDEX(BAU_Fuel_cons!$E$2:$AS$34,MATCH(D327&amp;"_"&amp;E327,BAU_Fuel_cons!$AT$2:$AT$34,0),MATCH(F327,BAU_Fuel_cons!$E$1:$AS$1,0)),INDEX(BAU_Fuel_cons!$E$2:$AS$34,MATCH(D327&amp;"_"&amp;E327,BAU_Fuel_cons!$AT$2:$AT$34,0),MATCH(F327,BAU_Fuel_cons!$E$1:$AS$1,0)))</f>
        <v>0</v>
      </c>
      <c r="H327" s="55">
        <f>G327+10^6*IF($E327="charcoal",params!$P$13*SUMIFS(nonresidential!$L:$L,nonresidential!$A:$A,$F327,nonresidential!$B:$B,$E327,nonresidential!$C:$C,$D327),SUMIFS(nonresidential!$L:$L,nonresidential!$A:$A,$F327,nonresidential!$B:$B,$E327,nonresidential!$C:$C,$D327))</f>
        <v>0</v>
      </c>
      <c r="I327">
        <f>1</f>
        <v>1</v>
      </c>
    </row>
    <row r="328" spans="1:9">
      <c r="A328" t="s">
        <v>211</v>
      </c>
      <c r="B328" t="s">
        <v>162</v>
      </c>
      <c r="C328" t="s">
        <v>269</v>
      </c>
      <c r="D328" t="s">
        <v>25</v>
      </c>
      <c r="E328" t="s">
        <v>14</v>
      </c>
      <c r="F328">
        <v>2049</v>
      </c>
      <c r="G328" s="55">
        <f>10^6*IF($E328="charcoal",params!$P$13*INDEX(BAU_Fuel_cons!$E$2:$AS$34,MATCH(D328&amp;"_"&amp;E328,BAU_Fuel_cons!$AT$2:$AT$34,0),MATCH(F328,BAU_Fuel_cons!$E$1:$AS$1,0)),INDEX(BAU_Fuel_cons!$E$2:$AS$34,MATCH(D328&amp;"_"&amp;E328,BAU_Fuel_cons!$AT$2:$AT$34,0),MATCH(F328,BAU_Fuel_cons!$E$1:$AS$1,0)))</f>
        <v>0</v>
      </c>
      <c r="H328" s="55">
        <f>G328+10^6*IF($E328="charcoal",params!$P$13*SUMIFS(nonresidential!$L:$L,nonresidential!$A:$A,$F328,nonresidential!$B:$B,$E328,nonresidential!$C:$C,$D328),SUMIFS(nonresidential!$L:$L,nonresidential!$A:$A,$F328,nonresidential!$B:$B,$E328,nonresidential!$C:$C,$D328))</f>
        <v>0</v>
      </c>
      <c r="I328">
        <f>1</f>
        <v>1</v>
      </c>
    </row>
    <row r="329" spans="1:9">
      <c r="A329" t="s">
        <v>211</v>
      </c>
      <c r="B329" t="s">
        <v>162</v>
      </c>
      <c r="C329" t="s">
        <v>269</v>
      </c>
      <c r="D329" t="s">
        <v>25</v>
      </c>
      <c r="E329" t="s">
        <v>14</v>
      </c>
      <c r="F329">
        <v>2050</v>
      </c>
      <c r="G329" s="55">
        <f>10^6*IF($E329="charcoal",params!$P$13*INDEX(BAU_Fuel_cons!$E$2:$AS$34,MATCH(D329&amp;"_"&amp;E329,BAU_Fuel_cons!$AT$2:$AT$34,0),MATCH(F329,BAU_Fuel_cons!$E$1:$AS$1,0)),INDEX(BAU_Fuel_cons!$E$2:$AS$34,MATCH(D329&amp;"_"&amp;E329,BAU_Fuel_cons!$AT$2:$AT$34,0),MATCH(F329,BAU_Fuel_cons!$E$1:$AS$1,0)))</f>
        <v>0</v>
      </c>
      <c r="H329" s="55">
        <f>G329+10^6*IF($E329="charcoal",params!$P$13*SUMIFS(nonresidential!$L:$L,nonresidential!$A:$A,$F329,nonresidential!$B:$B,$E329,nonresidential!$C:$C,$D329),SUMIFS(nonresidential!$L:$L,nonresidential!$A:$A,$F329,nonresidential!$B:$B,$E329,nonresidential!$C:$C,$D329))</f>
        <v>0</v>
      </c>
      <c r="I329">
        <f>1</f>
        <v>1</v>
      </c>
    </row>
    <row r="330" spans="1:9">
      <c r="A330" t="s">
        <v>211</v>
      </c>
      <c r="B330" t="s">
        <v>162</v>
      </c>
      <c r="C330" t="s">
        <v>269</v>
      </c>
      <c r="D330" t="s">
        <v>25</v>
      </c>
      <c r="E330" t="s">
        <v>15</v>
      </c>
      <c r="F330">
        <v>2010</v>
      </c>
      <c r="G330" s="55">
        <f>10^6*IF($E330="charcoal",params!$P$13*INDEX(BAU_Fuel_cons!$E$2:$AS$34,MATCH(D330&amp;"_"&amp;E330,BAU_Fuel_cons!$AT$2:$AT$34,0),MATCH(F330,BAU_Fuel_cons!$E$1:$AS$1,0)),INDEX(BAU_Fuel_cons!$E$2:$AS$34,MATCH(D330&amp;"_"&amp;E330,BAU_Fuel_cons!$AT$2:$AT$34,0),MATCH(F330,BAU_Fuel_cons!$E$1:$AS$1,0)))</f>
        <v>0</v>
      </c>
      <c r="H330" s="55">
        <f>G330+10^6*IF($E330="charcoal",params!$P$13*SUMIFS(nonresidential!$L:$L,nonresidential!$A:$A,$F330,nonresidential!$B:$B,$E330,nonresidential!$C:$C,$D330),SUMIFS(nonresidential!$L:$L,nonresidential!$A:$A,$F330,nonresidential!$B:$B,$E330,nonresidential!$C:$C,$D330))</f>
        <v>0</v>
      </c>
      <c r="I330">
        <f>1</f>
        <v>1</v>
      </c>
    </row>
    <row r="331" spans="1:9">
      <c r="A331" t="s">
        <v>211</v>
      </c>
      <c r="B331" t="s">
        <v>162</v>
      </c>
      <c r="C331" t="s">
        <v>269</v>
      </c>
      <c r="D331" t="s">
        <v>25</v>
      </c>
      <c r="E331" t="s">
        <v>15</v>
      </c>
      <c r="F331">
        <v>2011</v>
      </c>
      <c r="G331" s="55">
        <f>10^6*IF($E331="charcoal",params!$P$13*INDEX(BAU_Fuel_cons!$E$2:$AS$34,MATCH(D331&amp;"_"&amp;E331,BAU_Fuel_cons!$AT$2:$AT$34,0),MATCH(F331,BAU_Fuel_cons!$E$1:$AS$1,0)),INDEX(BAU_Fuel_cons!$E$2:$AS$34,MATCH(D331&amp;"_"&amp;E331,BAU_Fuel_cons!$AT$2:$AT$34,0),MATCH(F331,BAU_Fuel_cons!$E$1:$AS$1,0)))</f>
        <v>0</v>
      </c>
      <c r="H331" s="55">
        <f>G331+10^6*IF($E331="charcoal",params!$P$13*SUMIFS(nonresidential!$L:$L,nonresidential!$A:$A,$F331,nonresidential!$B:$B,$E331,nonresidential!$C:$C,$D331),SUMIFS(nonresidential!$L:$L,nonresidential!$A:$A,$F331,nonresidential!$B:$B,$E331,nonresidential!$C:$C,$D331))</f>
        <v>0</v>
      </c>
      <c r="I331">
        <f>1</f>
        <v>1</v>
      </c>
    </row>
    <row r="332" spans="1:9">
      <c r="A332" t="s">
        <v>211</v>
      </c>
      <c r="B332" t="s">
        <v>162</v>
      </c>
      <c r="C332" t="s">
        <v>269</v>
      </c>
      <c r="D332" t="s">
        <v>25</v>
      </c>
      <c r="E332" t="s">
        <v>15</v>
      </c>
      <c r="F332">
        <v>2012</v>
      </c>
      <c r="G332" s="55">
        <f>10^6*IF($E332="charcoal",params!$P$13*INDEX(BAU_Fuel_cons!$E$2:$AS$34,MATCH(D332&amp;"_"&amp;E332,BAU_Fuel_cons!$AT$2:$AT$34,0),MATCH(F332,BAU_Fuel_cons!$E$1:$AS$1,0)),INDEX(BAU_Fuel_cons!$E$2:$AS$34,MATCH(D332&amp;"_"&amp;E332,BAU_Fuel_cons!$AT$2:$AT$34,0),MATCH(F332,BAU_Fuel_cons!$E$1:$AS$1,0)))</f>
        <v>0</v>
      </c>
      <c r="H332" s="55">
        <f>G332+10^6*IF($E332="charcoal",params!$P$13*SUMIFS(nonresidential!$L:$L,nonresidential!$A:$A,$F332,nonresidential!$B:$B,$E332,nonresidential!$C:$C,$D332),SUMIFS(nonresidential!$L:$L,nonresidential!$A:$A,$F332,nonresidential!$B:$B,$E332,nonresidential!$C:$C,$D332))</f>
        <v>0</v>
      </c>
      <c r="I332">
        <f>1</f>
        <v>1</v>
      </c>
    </row>
    <row r="333" spans="1:9">
      <c r="A333" t="s">
        <v>211</v>
      </c>
      <c r="B333" t="s">
        <v>162</v>
      </c>
      <c r="C333" t="s">
        <v>269</v>
      </c>
      <c r="D333" t="s">
        <v>25</v>
      </c>
      <c r="E333" t="s">
        <v>15</v>
      </c>
      <c r="F333">
        <v>2013</v>
      </c>
      <c r="G333" s="55">
        <f>10^6*IF($E333="charcoal",params!$P$13*INDEX(BAU_Fuel_cons!$E$2:$AS$34,MATCH(D333&amp;"_"&amp;E333,BAU_Fuel_cons!$AT$2:$AT$34,0),MATCH(F333,BAU_Fuel_cons!$E$1:$AS$1,0)),INDEX(BAU_Fuel_cons!$E$2:$AS$34,MATCH(D333&amp;"_"&amp;E333,BAU_Fuel_cons!$AT$2:$AT$34,0),MATCH(F333,BAU_Fuel_cons!$E$1:$AS$1,0)))</f>
        <v>0</v>
      </c>
      <c r="H333" s="55">
        <f>G333+10^6*IF($E333="charcoal",params!$P$13*SUMIFS(nonresidential!$L:$L,nonresidential!$A:$A,$F333,nonresidential!$B:$B,$E333,nonresidential!$C:$C,$D333),SUMIFS(nonresidential!$L:$L,nonresidential!$A:$A,$F333,nonresidential!$B:$B,$E333,nonresidential!$C:$C,$D333))</f>
        <v>0</v>
      </c>
      <c r="I333">
        <f>1</f>
        <v>1</v>
      </c>
    </row>
    <row r="334" spans="1:9">
      <c r="A334" t="s">
        <v>211</v>
      </c>
      <c r="B334" t="s">
        <v>162</v>
      </c>
      <c r="C334" t="s">
        <v>269</v>
      </c>
      <c r="D334" t="s">
        <v>25</v>
      </c>
      <c r="E334" t="s">
        <v>15</v>
      </c>
      <c r="F334">
        <v>2014</v>
      </c>
      <c r="G334" s="55">
        <f>10^6*IF($E334="charcoal",params!$P$13*INDEX(BAU_Fuel_cons!$E$2:$AS$34,MATCH(D334&amp;"_"&amp;E334,BAU_Fuel_cons!$AT$2:$AT$34,0),MATCH(F334,BAU_Fuel_cons!$E$1:$AS$1,0)),INDEX(BAU_Fuel_cons!$E$2:$AS$34,MATCH(D334&amp;"_"&amp;E334,BAU_Fuel_cons!$AT$2:$AT$34,0),MATCH(F334,BAU_Fuel_cons!$E$1:$AS$1,0)))</f>
        <v>0</v>
      </c>
      <c r="H334" s="55">
        <f>G334+10^6*IF($E334="charcoal",params!$P$13*SUMIFS(nonresidential!$L:$L,nonresidential!$A:$A,$F334,nonresidential!$B:$B,$E334,nonresidential!$C:$C,$D334),SUMIFS(nonresidential!$L:$L,nonresidential!$A:$A,$F334,nonresidential!$B:$B,$E334,nonresidential!$C:$C,$D334))</f>
        <v>0</v>
      </c>
      <c r="I334">
        <f>1</f>
        <v>1</v>
      </c>
    </row>
    <row r="335" spans="1:9">
      <c r="A335" t="s">
        <v>211</v>
      </c>
      <c r="B335" t="s">
        <v>162</v>
      </c>
      <c r="C335" t="s">
        <v>269</v>
      </c>
      <c r="D335" t="s">
        <v>25</v>
      </c>
      <c r="E335" t="s">
        <v>15</v>
      </c>
      <c r="F335">
        <v>2015</v>
      </c>
      <c r="G335" s="55">
        <f>10^6*IF($E335="charcoal",params!$P$13*INDEX(BAU_Fuel_cons!$E$2:$AS$34,MATCH(D335&amp;"_"&amp;E335,BAU_Fuel_cons!$AT$2:$AT$34,0),MATCH(F335,BAU_Fuel_cons!$E$1:$AS$1,0)),INDEX(BAU_Fuel_cons!$E$2:$AS$34,MATCH(D335&amp;"_"&amp;E335,BAU_Fuel_cons!$AT$2:$AT$34,0),MATCH(F335,BAU_Fuel_cons!$E$1:$AS$1,0)))</f>
        <v>0</v>
      </c>
      <c r="H335" s="55">
        <f>G335+10^6*IF($E335="charcoal",params!$P$13*SUMIFS(nonresidential!$L:$L,nonresidential!$A:$A,$F335,nonresidential!$B:$B,$E335,nonresidential!$C:$C,$D335),SUMIFS(nonresidential!$L:$L,nonresidential!$A:$A,$F335,nonresidential!$B:$B,$E335,nonresidential!$C:$C,$D335))</f>
        <v>0</v>
      </c>
      <c r="I335">
        <f>1</f>
        <v>1</v>
      </c>
    </row>
    <row r="336" spans="1:9">
      <c r="A336" t="s">
        <v>211</v>
      </c>
      <c r="B336" t="s">
        <v>162</v>
      </c>
      <c r="C336" t="s">
        <v>269</v>
      </c>
      <c r="D336" t="s">
        <v>25</v>
      </c>
      <c r="E336" t="s">
        <v>15</v>
      </c>
      <c r="F336">
        <v>2016</v>
      </c>
      <c r="G336" s="55">
        <f>10^6*IF($E336="charcoal",params!$P$13*INDEX(BAU_Fuel_cons!$E$2:$AS$34,MATCH(D336&amp;"_"&amp;E336,BAU_Fuel_cons!$AT$2:$AT$34,0),MATCH(F336,BAU_Fuel_cons!$E$1:$AS$1,0)),INDEX(BAU_Fuel_cons!$E$2:$AS$34,MATCH(D336&amp;"_"&amp;E336,BAU_Fuel_cons!$AT$2:$AT$34,0),MATCH(F336,BAU_Fuel_cons!$E$1:$AS$1,0)))</f>
        <v>0</v>
      </c>
      <c r="H336" s="55">
        <f>G336+10^6*IF($E336="charcoal",params!$P$13*SUMIFS(nonresidential!$L:$L,nonresidential!$A:$A,$F336,nonresidential!$B:$B,$E336,nonresidential!$C:$C,$D336),SUMIFS(nonresidential!$L:$L,nonresidential!$A:$A,$F336,nonresidential!$B:$B,$E336,nonresidential!$C:$C,$D336))</f>
        <v>0</v>
      </c>
      <c r="I336">
        <f>1</f>
        <v>1</v>
      </c>
    </row>
    <row r="337" spans="1:9">
      <c r="A337" t="s">
        <v>211</v>
      </c>
      <c r="B337" t="s">
        <v>162</v>
      </c>
      <c r="C337" t="s">
        <v>269</v>
      </c>
      <c r="D337" t="s">
        <v>25</v>
      </c>
      <c r="E337" t="s">
        <v>15</v>
      </c>
      <c r="F337">
        <v>2017</v>
      </c>
      <c r="G337" s="55">
        <f>10^6*IF($E337="charcoal",params!$P$13*INDEX(BAU_Fuel_cons!$E$2:$AS$34,MATCH(D337&amp;"_"&amp;E337,BAU_Fuel_cons!$AT$2:$AT$34,0),MATCH(F337,BAU_Fuel_cons!$E$1:$AS$1,0)),INDEX(BAU_Fuel_cons!$E$2:$AS$34,MATCH(D337&amp;"_"&amp;E337,BAU_Fuel_cons!$AT$2:$AT$34,0),MATCH(F337,BAU_Fuel_cons!$E$1:$AS$1,0)))</f>
        <v>0</v>
      </c>
      <c r="H337" s="55">
        <f>G337+10^6*IF($E337="charcoal",params!$P$13*SUMIFS(nonresidential!$L:$L,nonresidential!$A:$A,$F337,nonresidential!$B:$B,$E337,nonresidential!$C:$C,$D337),SUMIFS(nonresidential!$L:$L,nonresidential!$A:$A,$F337,nonresidential!$B:$B,$E337,nonresidential!$C:$C,$D337))</f>
        <v>0</v>
      </c>
      <c r="I337">
        <f>1</f>
        <v>1</v>
      </c>
    </row>
    <row r="338" spans="1:9">
      <c r="A338" t="s">
        <v>211</v>
      </c>
      <c r="B338" t="s">
        <v>162</v>
      </c>
      <c r="C338" t="s">
        <v>269</v>
      </c>
      <c r="D338" t="s">
        <v>25</v>
      </c>
      <c r="E338" t="s">
        <v>15</v>
      </c>
      <c r="F338">
        <v>2018</v>
      </c>
      <c r="G338" s="55">
        <f>10^6*IF($E338="charcoal",params!$P$13*INDEX(BAU_Fuel_cons!$E$2:$AS$34,MATCH(D338&amp;"_"&amp;E338,BAU_Fuel_cons!$AT$2:$AT$34,0),MATCH(F338,BAU_Fuel_cons!$E$1:$AS$1,0)),INDEX(BAU_Fuel_cons!$E$2:$AS$34,MATCH(D338&amp;"_"&amp;E338,BAU_Fuel_cons!$AT$2:$AT$34,0),MATCH(F338,BAU_Fuel_cons!$E$1:$AS$1,0)))</f>
        <v>0</v>
      </c>
      <c r="H338" s="55">
        <f>G338+10^6*IF($E338="charcoal",params!$P$13*SUMIFS(nonresidential!$L:$L,nonresidential!$A:$A,$F338,nonresidential!$B:$B,$E338,nonresidential!$C:$C,$D338),SUMIFS(nonresidential!$L:$L,nonresidential!$A:$A,$F338,nonresidential!$B:$B,$E338,nonresidential!$C:$C,$D338))</f>
        <v>0</v>
      </c>
      <c r="I338">
        <f>1</f>
        <v>1</v>
      </c>
    </row>
    <row r="339" spans="1:9">
      <c r="A339" t="s">
        <v>211</v>
      </c>
      <c r="B339" t="s">
        <v>162</v>
      </c>
      <c r="C339" t="s">
        <v>269</v>
      </c>
      <c r="D339" t="s">
        <v>25</v>
      </c>
      <c r="E339" t="s">
        <v>15</v>
      </c>
      <c r="F339">
        <v>2019</v>
      </c>
      <c r="G339" s="55">
        <f>10^6*IF($E339="charcoal",params!$P$13*INDEX(BAU_Fuel_cons!$E$2:$AS$34,MATCH(D339&amp;"_"&amp;E339,BAU_Fuel_cons!$AT$2:$AT$34,0),MATCH(F339,BAU_Fuel_cons!$E$1:$AS$1,0)),INDEX(BAU_Fuel_cons!$E$2:$AS$34,MATCH(D339&amp;"_"&amp;E339,BAU_Fuel_cons!$AT$2:$AT$34,0),MATCH(F339,BAU_Fuel_cons!$E$1:$AS$1,0)))</f>
        <v>0</v>
      </c>
      <c r="H339" s="55">
        <f>G339+10^6*IF($E339="charcoal",params!$P$13*SUMIFS(nonresidential!$L:$L,nonresidential!$A:$A,$F339,nonresidential!$B:$B,$E339,nonresidential!$C:$C,$D339),SUMIFS(nonresidential!$L:$L,nonresidential!$A:$A,$F339,nonresidential!$B:$B,$E339,nonresidential!$C:$C,$D339))</f>
        <v>0</v>
      </c>
      <c r="I339">
        <f>1</f>
        <v>1</v>
      </c>
    </row>
    <row r="340" spans="1:9">
      <c r="A340" t="s">
        <v>211</v>
      </c>
      <c r="B340" t="s">
        <v>162</v>
      </c>
      <c r="C340" t="s">
        <v>269</v>
      </c>
      <c r="D340" t="s">
        <v>25</v>
      </c>
      <c r="E340" t="s">
        <v>15</v>
      </c>
      <c r="F340">
        <v>2020</v>
      </c>
      <c r="G340" s="55">
        <f>10^6*IF($E340="charcoal",params!$P$13*INDEX(BAU_Fuel_cons!$E$2:$AS$34,MATCH(D340&amp;"_"&amp;E340,BAU_Fuel_cons!$AT$2:$AT$34,0),MATCH(F340,BAU_Fuel_cons!$E$1:$AS$1,0)),INDEX(BAU_Fuel_cons!$E$2:$AS$34,MATCH(D340&amp;"_"&amp;E340,BAU_Fuel_cons!$AT$2:$AT$34,0),MATCH(F340,BAU_Fuel_cons!$E$1:$AS$1,0)))</f>
        <v>0</v>
      </c>
      <c r="H340" s="55">
        <f>G340+10^6*IF($E340="charcoal",params!$P$13*SUMIFS(nonresidential!$L:$L,nonresidential!$A:$A,$F340,nonresidential!$B:$B,$E340,nonresidential!$C:$C,$D340),SUMIFS(nonresidential!$L:$L,nonresidential!$A:$A,$F340,nonresidential!$B:$B,$E340,nonresidential!$C:$C,$D340))</f>
        <v>0</v>
      </c>
      <c r="I340">
        <f>1</f>
        <v>1</v>
      </c>
    </row>
    <row r="341" spans="1:9">
      <c r="A341" t="s">
        <v>211</v>
      </c>
      <c r="B341" t="s">
        <v>162</v>
      </c>
      <c r="C341" t="s">
        <v>269</v>
      </c>
      <c r="D341" t="s">
        <v>25</v>
      </c>
      <c r="E341" t="s">
        <v>15</v>
      </c>
      <c r="F341">
        <v>2021</v>
      </c>
      <c r="G341" s="55">
        <f>10^6*IF($E341="charcoal",params!$P$13*INDEX(BAU_Fuel_cons!$E$2:$AS$34,MATCH(D341&amp;"_"&amp;E341,BAU_Fuel_cons!$AT$2:$AT$34,0),MATCH(F341,BAU_Fuel_cons!$E$1:$AS$1,0)),INDEX(BAU_Fuel_cons!$E$2:$AS$34,MATCH(D341&amp;"_"&amp;E341,BAU_Fuel_cons!$AT$2:$AT$34,0),MATCH(F341,BAU_Fuel_cons!$E$1:$AS$1,0)))</f>
        <v>0</v>
      </c>
      <c r="H341" s="55">
        <f>G341+10^6*IF($E341="charcoal",params!$P$13*SUMIFS(nonresidential!$L:$L,nonresidential!$A:$A,$F341,nonresidential!$B:$B,$E341,nonresidential!$C:$C,$D341),SUMIFS(nonresidential!$L:$L,nonresidential!$A:$A,$F341,nonresidential!$B:$B,$E341,nonresidential!$C:$C,$D341))</f>
        <v>0</v>
      </c>
      <c r="I341">
        <f>1</f>
        <v>1</v>
      </c>
    </row>
    <row r="342" spans="1:9">
      <c r="A342" t="s">
        <v>211</v>
      </c>
      <c r="B342" t="s">
        <v>162</v>
      </c>
      <c r="C342" t="s">
        <v>269</v>
      </c>
      <c r="D342" t="s">
        <v>25</v>
      </c>
      <c r="E342" t="s">
        <v>15</v>
      </c>
      <c r="F342">
        <v>2022</v>
      </c>
      <c r="G342" s="55">
        <f>10^6*IF($E342="charcoal",params!$P$13*INDEX(BAU_Fuel_cons!$E$2:$AS$34,MATCH(D342&amp;"_"&amp;E342,BAU_Fuel_cons!$AT$2:$AT$34,0),MATCH(F342,BAU_Fuel_cons!$E$1:$AS$1,0)),INDEX(BAU_Fuel_cons!$E$2:$AS$34,MATCH(D342&amp;"_"&amp;E342,BAU_Fuel_cons!$AT$2:$AT$34,0),MATCH(F342,BAU_Fuel_cons!$E$1:$AS$1,0)))</f>
        <v>0</v>
      </c>
      <c r="H342" s="55">
        <f>G342+10^6*IF($E342="charcoal",params!$P$13*SUMIFS(nonresidential!$L:$L,nonresidential!$A:$A,$F342,nonresidential!$B:$B,$E342,nonresidential!$C:$C,$D342),SUMIFS(nonresidential!$L:$L,nonresidential!$A:$A,$F342,nonresidential!$B:$B,$E342,nonresidential!$C:$C,$D342))</f>
        <v>0</v>
      </c>
      <c r="I342">
        <f>1</f>
        <v>1</v>
      </c>
    </row>
    <row r="343" spans="1:9">
      <c r="A343" t="s">
        <v>211</v>
      </c>
      <c r="B343" t="s">
        <v>162</v>
      </c>
      <c r="C343" t="s">
        <v>269</v>
      </c>
      <c r="D343" t="s">
        <v>25</v>
      </c>
      <c r="E343" t="s">
        <v>15</v>
      </c>
      <c r="F343">
        <v>2023</v>
      </c>
      <c r="G343" s="55">
        <f>10^6*IF($E343="charcoal",params!$P$13*INDEX(BAU_Fuel_cons!$E$2:$AS$34,MATCH(D343&amp;"_"&amp;E343,BAU_Fuel_cons!$AT$2:$AT$34,0),MATCH(F343,BAU_Fuel_cons!$E$1:$AS$1,0)),INDEX(BAU_Fuel_cons!$E$2:$AS$34,MATCH(D343&amp;"_"&amp;E343,BAU_Fuel_cons!$AT$2:$AT$34,0),MATCH(F343,BAU_Fuel_cons!$E$1:$AS$1,0)))</f>
        <v>0</v>
      </c>
      <c r="H343" s="55">
        <f>G343+10^6*IF($E343="charcoal",params!$P$13*SUMIFS(nonresidential!$L:$L,nonresidential!$A:$A,$F343,nonresidential!$B:$B,$E343,nonresidential!$C:$C,$D343),SUMIFS(nonresidential!$L:$L,nonresidential!$A:$A,$F343,nonresidential!$B:$B,$E343,nonresidential!$C:$C,$D343))</f>
        <v>0</v>
      </c>
      <c r="I343">
        <f>1</f>
        <v>1</v>
      </c>
    </row>
    <row r="344" spans="1:9">
      <c r="A344" t="s">
        <v>211</v>
      </c>
      <c r="B344" t="s">
        <v>162</v>
      </c>
      <c r="C344" t="s">
        <v>269</v>
      </c>
      <c r="D344" t="s">
        <v>25</v>
      </c>
      <c r="E344" t="s">
        <v>15</v>
      </c>
      <c r="F344">
        <v>2024</v>
      </c>
      <c r="G344" s="55">
        <f>10^6*IF($E344="charcoal",params!$P$13*INDEX(BAU_Fuel_cons!$E$2:$AS$34,MATCH(D344&amp;"_"&amp;E344,BAU_Fuel_cons!$AT$2:$AT$34,0),MATCH(F344,BAU_Fuel_cons!$E$1:$AS$1,0)),INDEX(BAU_Fuel_cons!$E$2:$AS$34,MATCH(D344&amp;"_"&amp;E344,BAU_Fuel_cons!$AT$2:$AT$34,0),MATCH(F344,BAU_Fuel_cons!$E$1:$AS$1,0)))</f>
        <v>0</v>
      </c>
      <c r="H344" s="55">
        <f>G344+10^6*IF($E344="charcoal",params!$P$13*SUMIFS(nonresidential!$L:$L,nonresidential!$A:$A,$F344,nonresidential!$B:$B,$E344,nonresidential!$C:$C,$D344),SUMIFS(nonresidential!$L:$L,nonresidential!$A:$A,$F344,nonresidential!$B:$B,$E344,nonresidential!$C:$C,$D344))</f>
        <v>0</v>
      </c>
      <c r="I344">
        <f>1</f>
        <v>1</v>
      </c>
    </row>
    <row r="345" spans="1:9">
      <c r="A345" t="s">
        <v>211</v>
      </c>
      <c r="B345" t="s">
        <v>162</v>
      </c>
      <c r="C345" t="s">
        <v>269</v>
      </c>
      <c r="D345" t="s">
        <v>25</v>
      </c>
      <c r="E345" t="s">
        <v>15</v>
      </c>
      <c r="F345">
        <v>2025</v>
      </c>
      <c r="G345" s="55">
        <f>10^6*IF($E345="charcoal",params!$P$13*INDEX(BAU_Fuel_cons!$E$2:$AS$34,MATCH(D345&amp;"_"&amp;E345,BAU_Fuel_cons!$AT$2:$AT$34,0),MATCH(F345,BAU_Fuel_cons!$E$1:$AS$1,0)),INDEX(BAU_Fuel_cons!$E$2:$AS$34,MATCH(D345&amp;"_"&amp;E345,BAU_Fuel_cons!$AT$2:$AT$34,0),MATCH(F345,BAU_Fuel_cons!$E$1:$AS$1,0)))</f>
        <v>0</v>
      </c>
      <c r="H345" s="55">
        <f>G345+10^6*IF($E345="charcoal",params!$P$13*SUMIFS(nonresidential!$L:$L,nonresidential!$A:$A,$F345,nonresidential!$B:$B,$E345,nonresidential!$C:$C,$D345),SUMIFS(nonresidential!$L:$L,nonresidential!$A:$A,$F345,nonresidential!$B:$B,$E345,nonresidential!$C:$C,$D345))</f>
        <v>0</v>
      </c>
      <c r="I345">
        <f>1</f>
        <v>1</v>
      </c>
    </row>
    <row r="346" spans="1:9">
      <c r="A346" t="s">
        <v>211</v>
      </c>
      <c r="B346" t="s">
        <v>162</v>
      </c>
      <c r="C346" t="s">
        <v>269</v>
      </c>
      <c r="D346" t="s">
        <v>25</v>
      </c>
      <c r="E346" t="s">
        <v>15</v>
      </c>
      <c r="F346">
        <v>2026</v>
      </c>
      <c r="G346" s="55">
        <f>10^6*IF($E346="charcoal",params!$P$13*INDEX(BAU_Fuel_cons!$E$2:$AS$34,MATCH(D346&amp;"_"&amp;E346,BAU_Fuel_cons!$AT$2:$AT$34,0),MATCH(F346,BAU_Fuel_cons!$E$1:$AS$1,0)),INDEX(BAU_Fuel_cons!$E$2:$AS$34,MATCH(D346&amp;"_"&amp;E346,BAU_Fuel_cons!$AT$2:$AT$34,0),MATCH(F346,BAU_Fuel_cons!$E$1:$AS$1,0)))</f>
        <v>0</v>
      </c>
      <c r="H346" s="55">
        <f>G346+10^6*IF($E346="charcoal",params!$P$13*SUMIFS(nonresidential!$L:$L,nonresidential!$A:$A,$F346,nonresidential!$B:$B,$E346,nonresidential!$C:$C,$D346),SUMIFS(nonresidential!$L:$L,nonresidential!$A:$A,$F346,nonresidential!$B:$B,$E346,nonresidential!$C:$C,$D346))</f>
        <v>0</v>
      </c>
      <c r="I346">
        <f>1</f>
        <v>1</v>
      </c>
    </row>
    <row r="347" spans="1:9">
      <c r="A347" t="s">
        <v>211</v>
      </c>
      <c r="B347" t="s">
        <v>162</v>
      </c>
      <c r="C347" t="s">
        <v>269</v>
      </c>
      <c r="D347" t="s">
        <v>25</v>
      </c>
      <c r="E347" t="s">
        <v>15</v>
      </c>
      <c r="F347">
        <v>2027</v>
      </c>
      <c r="G347" s="55">
        <f>10^6*IF($E347="charcoal",params!$P$13*INDEX(BAU_Fuel_cons!$E$2:$AS$34,MATCH(D347&amp;"_"&amp;E347,BAU_Fuel_cons!$AT$2:$AT$34,0),MATCH(F347,BAU_Fuel_cons!$E$1:$AS$1,0)),INDEX(BAU_Fuel_cons!$E$2:$AS$34,MATCH(D347&amp;"_"&amp;E347,BAU_Fuel_cons!$AT$2:$AT$34,0),MATCH(F347,BAU_Fuel_cons!$E$1:$AS$1,0)))</f>
        <v>0</v>
      </c>
      <c r="H347" s="55">
        <f>G347+10^6*IF($E347="charcoal",params!$P$13*SUMIFS(nonresidential!$L:$L,nonresidential!$A:$A,$F347,nonresidential!$B:$B,$E347,nonresidential!$C:$C,$D347),SUMIFS(nonresidential!$L:$L,nonresidential!$A:$A,$F347,nonresidential!$B:$B,$E347,nonresidential!$C:$C,$D347))</f>
        <v>0</v>
      </c>
      <c r="I347">
        <f>1</f>
        <v>1</v>
      </c>
    </row>
    <row r="348" spans="1:9">
      <c r="A348" t="s">
        <v>211</v>
      </c>
      <c r="B348" t="s">
        <v>162</v>
      </c>
      <c r="C348" t="s">
        <v>269</v>
      </c>
      <c r="D348" t="s">
        <v>25</v>
      </c>
      <c r="E348" t="s">
        <v>15</v>
      </c>
      <c r="F348">
        <v>2028</v>
      </c>
      <c r="G348" s="55">
        <f>10^6*IF($E348="charcoal",params!$P$13*INDEX(BAU_Fuel_cons!$E$2:$AS$34,MATCH(D348&amp;"_"&amp;E348,BAU_Fuel_cons!$AT$2:$AT$34,0),MATCH(F348,BAU_Fuel_cons!$E$1:$AS$1,0)),INDEX(BAU_Fuel_cons!$E$2:$AS$34,MATCH(D348&amp;"_"&amp;E348,BAU_Fuel_cons!$AT$2:$AT$34,0),MATCH(F348,BAU_Fuel_cons!$E$1:$AS$1,0)))</f>
        <v>0</v>
      </c>
      <c r="H348" s="55">
        <f>G348+10^6*IF($E348="charcoal",params!$P$13*SUMIFS(nonresidential!$L:$L,nonresidential!$A:$A,$F348,nonresidential!$B:$B,$E348,nonresidential!$C:$C,$D348),SUMIFS(nonresidential!$L:$L,nonresidential!$A:$A,$F348,nonresidential!$B:$B,$E348,nonresidential!$C:$C,$D348))</f>
        <v>0</v>
      </c>
      <c r="I348">
        <f>1</f>
        <v>1</v>
      </c>
    </row>
    <row r="349" spans="1:9">
      <c r="A349" t="s">
        <v>211</v>
      </c>
      <c r="B349" t="s">
        <v>162</v>
      </c>
      <c r="C349" t="s">
        <v>269</v>
      </c>
      <c r="D349" t="s">
        <v>25</v>
      </c>
      <c r="E349" t="s">
        <v>15</v>
      </c>
      <c r="F349">
        <v>2029</v>
      </c>
      <c r="G349" s="55">
        <f>10^6*IF($E349="charcoal",params!$P$13*INDEX(BAU_Fuel_cons!$E$2:$AS$34,MATCH(D349&amp;"_"&amp;E349,BAU_Fuel_cons!$AT$2:$AT$34,0),MATCH(F349,BAU_Fuel_cons!$E$1:$AS$1,0)),INDEX(BAU_Fuel_cons!$E$2:$AS$34,MATCH(D349&amp;"_"&amp;E349,BAU_Fuel_cons!$AT$2:$AT$34,0),MATCH(F349,BAU_Fuel_cons!$E$1:$AS$1,0)))</f>
        <v>0</v>
      </c>
      <c r="H349" s="55">
        <f>G349+10^6*IF($E349="charcoal",params!$P$13*SUMIFS(nonresidential!$L:$L,nonresidential!$A:$A,$F349,nonresidential!$B:$B,$E349,nonresidential!$C:$C,$D349),SUMIFS(nonresidential!$L:$L,nonresidential!$A:$A,$F349,nonresidential!$B:$B,$E349,nonresidential!$C:$C,$D349))</f>
        <v>0</v>
      </c>
      <c r="I349">
        <f>1</f>
        <v>1</v>
      </c>
    </row>
    <row r="350" spans="1:9">
      <c r="A350" t="s">
        <v>211</v>
      </c>
      <c r="B350" t="s">
        <v>162</v>
      </c>
      <c r="C350" t="s">
        <v>269</v>
      </c>
      <c r="D350" t="s">
        <v>25</v>
      </c>
      <c r="E350" t="s">
        <v>15</v>
      </c>
      <c r="F350">
        <v>2030</v>
      </c>
      <c r="G350" s="55">
        <f>10^6*IF($E350="charcoal",params!$P$13*INDEX(BAU_Fuel_cons!$E$2:$AS$34,MATCH(D350&amp;"_"&amp;E350,BAU_Fuel_cons!$AT$2:$AT$34,0),MATCH(F350,BAU_Fuel_cons!$E$1:$AS$1,0)),INDEX(BAU_Fuel_cons!$E$2:$AS$34,MATCH(D350&amp;"_"&amp;E350,BAU_Fuel_cons!$AT$2:$AT$34,0),MATCH(F350,BAU_Fuel_cons!$E$1:$AS$1,0)))</f>
        <v>0</v>
      </c>
      <c r="H350" s="55">
        <f>G350+10^6*IF($E350="charcoal",params!$P$13*SUMIFS(nonresidential!$L:$L,nonresidential!$A:$A,$F350,nonresidential!$B:$B,$E350,nonresidential!$C:$C,$D350),SUMIFS(nonresidential!$L:$L,nonresidential!$A:$A,$F350,nonresidential!$B:$B,$E350,nonresidential!$C:$C,$D350))</f>
        <v>0</v>
      </c>
      <c r="I350">
        <f>1</f>
        <v>1</v>
      </c>
    </row>
    <row r="351" spans="1:9">
      <c r="A351" t="s">
        <v>211</v>
      </c>
      <c r="B351" t="s">
        <v>162</v>
      </c>
      <c r="C351" t="s">
        <v>269</v>
      </c>
      <c r="D351" t="s">
        <v>25</v>
      </c>
      <c r="E351" t="s">
        <v>15</v>
      </c>
      <c r="F351">
        <v>2031</v>
      </c>
      <c r="G351" s="55">
        <f>10^6*IF($E351="charcoal",params!$P$13*INDEX(BAU_Fuel_cons!$E$2:$AS$34,MATCH(D351&amp;"_"&amp;E351,BAU_Fuel_cons!$AT$2:$AT$34,0),MATCH(F351,BAU_Fuel_cons!$E$1:$AS$1,0)),INDEX(BAU_Fuel_cons!$E$2:$AS$34,MATCH(D351&amp;"_"&amp;E351,BAU_Fuel_cons!$AT$2:$AT$34,0),MATCH(F351,BAU_Fuel_cons!$E$1:$AS$1,0)))</f>
        <v>0</v>
      </c>
      <c r="H351" s="55">
        <f>G351+10^6*IF($E351="charcoal",params!$P$13*SUMIFS(nonresidential!$L:$L,nonresidential!$A:$A,$F351,nonresidential!$B:$B,$E351,nonresidential!$C:$C,$D351),SUMIFS(nonresidential!$L:$L,nonresidential!$A:$A,$F351,nonresidential!$B:$B,$E351,nonresidential!$C:$C,$D351))</f>
        <v>0</v>
      </c>
      <c r="I351">
        <f>1</f>
        <v>1</v>
      </c>
    </row>
    <row r="352" spans="1:9">
      <c r="A352" t="s">
        <v>211</v>
      </c>
      <c r="B352" t="s">
        <v>162</v>
      </c>
      <c r="C352" t="s">
        <v>269</v>
      </c>
      <c r="D352" t="s">
        <v>25</v>
      </c>
      <c r="E352" t="s">
        <v>15</v>
      </c>
      <c r="F352">
        <v>2032</v>
      </c>
      <c r="G352" s="55">
        <f>10^6*IF($E352="charcoal",params!$P$13*INDEX(BAU_Fuel_cons!$E$2:$AS$34,MATCH(D352&amp;"_"&amp;E352,BAU_Fuel_cons!$AT$2:$AT$34,0),MATCH(F352,BAU_Fuel_cons!$E$1:$AS$1,0)),INDEX(BAU_Fuel_cons!$E$2:$AS$34,MATCH(D352&amp;"_"&amp;E352,BAU_Fuel_cons!$AT$2:$AT$34,0),MATCH(F352,BAU_Fuel_cons!$E$1:$AS$1,0)))</f>
        <v>0</v>
      </c>
      <c r="H352" s="55">
        <f>G352+10^6*IF($E352="charcoal",params!$P$13*SUMIFS(nonresidential!$L:$L,nonresidential!$A:$A,$F352,nonresidential!$B:$B,$E352,nonresidential!$C:$C,$D352),SUMIFS(nonresidential!$L:$L,nonresidential!$A:$A,$F352,nonresidential!$B:$B,$E352,nonresidential!$C:$C,$D352))</f>
        <v>0</v>
      </c>
      <c r="I352">
        <f>1</f>
        <v>1</v>
      </c>
    </row>
    <row r="353" spans="1:9">
      <c r="A353" t="s">
        <v>211</v>
      </c>
      <c r="B353" t="s">
        <v>162</v>
      </c>
      <c r="C353" t="s">
        <v>269</v>
      </c>
      <c r="D353" t="s">
        <v>25</v>
      </c>
      <c r="E353" t="s">
        <v>15</v>
      </c>
      <c r="F353">
        <v>2033</v>
      </c>
      <c r="G353" s="55">
        <f>10^6*IF($E353="charcoal",params!$P$13*INDEX(BAU_Fuel_cons!$E$2:$AS$34,MATCH(D353&amp;"_"&amp;E353,BAU_Fuel_cons!$AT$2:$AT$34,0),MATCH(F353,BAU_Fuel_cons!$E$1:$AS$1,0)),INDEX(BAU_Fuel_cons!$E$2:$AS$34,MATCH(D353&amp;"_"&amp;E353,BAU_Fuel_cons!$AT$2:$AT$34,0),MATCH(F353,BAU_Fuel_cons!$E$1:$AS$1,0)))</f>
        <v>0</v>
      </c>
      <c r="H353" s="55">
        <f>G353+10^6*IF($E353="charcoal",params!$P$13*SUMIFS(nonresidential!$L:$L,nonresidential!$A:$A,$F353,nonresidential!$B:$B,$E353,nonresidential!$C:$C,$D353),SUMIFS(nonresidential!$L:$L,nonresidential!$A:$A,$F353,nonresidential!$B:$B,$E353,nonresidential!$C:$C,$D353))</f>
        <v>0</v>
      </c>
      <c r="I353">
        <f>1</f>
        <v>1</v>
      </c>
    </row>
    <row r="354" spans="1:9">
      <c r="A354" t="s">
        <v>211</v>
      </c>
      <c r="B354" t="s">
        <v>162</v>
      </c>
      <c r="C354" t="s">
        <v>269</v>
      </c>
      <c r="D354" t="s">
        <v>25</v>
      </c>
      <c r="E354" t="s">
        <v>15</v>
      </c>
      <c r="F354">
        <v>2034</v>
      </c>
      <c r="G354" s="55">
        <f>10^6*IF($E354="charcoal",params!$P$13*INDEX(BAU_Fuel_cons!$E$2:$AS$34,MATCH(D354&amp;"_"&amp;E354,BAU_Fuel_cons!$AT$2:$AT$34,0),MATCH(F354,BAU_Fuel_cons!$E$1:$AS$1,0)),INDEX(BAU_Fuel_cons!$E$2:$AS$34,MATCH(D354&amp;"_"&amp;E354,BAU_Fuel_cons!$AT$2:$AT$34,0),MATCH(F354,BAU_Fuel_cons!$E$1:$AS$1,0)))</f>
        <v>0</v>
      </c>
      <c r="H354" s="55">
        <f>G354+10^6*IF($E354="charcoal",params!$P$13*SUMIFS(nonresidential!$L:$L,nonresidential!$A:$A,$F354,nonresidential!$B:$B,$E354,nonresidential!$C:$C,$D354),SUMIFS(nonresidential!$L:$L,nonresidential!$A:$A,$F354,nonresidential!$B:$B,$E354,nonresidential!$C:$C,$D354))</f>
        <v>0</v>
      </c>
      <c r="I354">
        <f>1</f>
        <v>1</v>
      </c>
    </row>
    <row r="355" spans="1:9">
      <c r="A355" t="s">
        <v>211</v>
      </c>
      <c r="B355" t="s">
        <v>162</v>
      </c>
      <c r="C355" t="s">
        <v>269</v>
      </c>
      <c r="D355" t="s">
        <v>25</v>
      </c>
      <c r="E355" t="s">
        <v>15</v>
      </c>
      <c r="F355">
        <v>2035</v>
      </c>
      <c r="G355" s="55">
        <f>10^6*IF($E355="charcoal",params!$P$13*INDEX(BAU_Fuel_cons!$E$2:$AS$34,MATCH(D355&amp;"_"&amp;E355,BAU_Fuel_cons!$AT$2:$AT$34,0),MATCH(F355,BAU_Fuel_cons!$E$1:$AS$1,0)),INDEX(BAU_Fuel_cons!$E$2:$AS$34,MATCH(D355&amp;"_"&amp;E355,BAU_Fuel_cons!$AT$2:$AT$34,0),MATCH(F355,BAU_Fuel_cons!$E$1:$AS$1,0)))</f>
        <v>0</v>
      </c>
      <c r="H355" s="55">
        <f>G355+10^6*IF($E355="charcoal",params!$P$13*SUMIFS(nonresidential!$L:$L,nonresidential!$A:$A,$F355,nonresidential!$B:$B,$E355,nonresidential!$C:$C,$D355),SUMIFS(nonresidential!$L:$L,nonresidential!$A:$A,$F355,nonresidential!$B:$B,$E355,nonresidential!$C:$C,$D355))</f>
        <v>0</v>
      </c>
      <c r="I355">
        <f>1</f>
        <v>1</v>
      </c>
    </row>
    <row r="356" spans="1:9">
      <c r="A356" t="s">
        <v>211</v>
      </c>
      <c r="B356" t="s">
        <v>162</v>
      </c>
      <c r="C356" t="s">
        <v>269</v>
      </c>
      <c r="D356" t="s">
        <v>25</v>
      </c>
      <c r="E356" t="s">
        <v>15</v>
      </c>
      <c r="F356">
        <v>2036</v>
      </c>
      <c r="G356" s="55">
        <f>10^6*IF($E356="charcoal",params!$P$13*INDEX(BAU_Fuel_cons!$E$2:$AS$34,MATCH(D356&amp;"_"&amp;E356,BAU_Fuel_cons!$AT$2:$AT$34,0),MATCH(F356,BAU_Fuel_cons!$E$1:$AS$1,0)),INDEX(BAU_Fuel_cons!$E$2:$AS$34,MATCH(D356&amp;"_"&amp;E356,BAU_Fuel_cons!$AT$2:$AT$34,0),MATCH(F356,BAU_Fuel_cons!$E$1:$AS$1,0)))</f>
        <v>0</v>
      </c>
      <c r="H356" s="55">
        <f>G356+10^6*IF($E356="charcoal",params!$P$13*SUMIFS(nonresidential!$L:$L,nonresidential!$A:$A,$F356,nonresidential!$B:$B,$E356,nonresidential!$C:$C,$D356),SUMIFS(nonresidential!$L:$L,nonresidential!$A:$A,$F356,nonresidential!$B:$B,$E356,nonresidential!$C:$C,$D356))</f>
        <v>0</v>
      </c>
      <c r="I356">
        <f>1</f>
        <v>1</v>
      </c>
    </row>
    <row r="357" spans="1:9">
      <c r="A357" t="s">
        <v>211</v>
      </c>
      <c r="B357" t="s">
        <v>162</v>
      </c>
      <c r="C357" t="s">
        <v>269</v>
      </c>
      <c r="D357" t="s">
        <v>25</v>
      </c>
      <c r="E357" t="s">
        <v>15</v>
      </c>
      <c r="F357">
        <v>2037</v>
      </c>
      <c r="G357" s="55">
        <f>10^6*IF($E357="charcoal",params!$P$13*INDEX(BAU_Fuel_cons!$E$2:$AS$34,MATCH(D357&amp;"_"&amp;E357,BAU_Fuel_cons!$AT$2:$AT$34,0),MATCH(F357,BAU_Fuel_cons!$E$1:$AS$1,0)),INDEX(BAU_Fuel_cons!$E$2:$AS$34,MATCH(D357&amp;"_"&amp;E357,BAU_Fuel_cons!$AT$2:$AT$34,0),MATCH(F357,BAU_Fuel_cons!$E$1:$AS$1,0)))</f>
        <v>0</v>
      </c>
      <c r="H357" s="55">
        <f>G357+10^6*IF($E357="charcoal",params!$P$13*SUMIFS(nonresidential!$L:$L,nonresidential!$A:$A,$F357,nonresidential!$B:$B,$E357,nonresidential!$C:$C,$D357),SUMIFS(nonresidential!$L:$L,nonresidential!$A:$A,$F357,nonresidential!$B:$B,$E357,nonresidential!$C:$C,$D357))</f>
        <v>0</v>
      </c>
      <c r="I357">
        <f>1</f>
        <v>1</v>
      </c>
    </row>
    <row r="358" spans="1:9">
      <c r="A358" t="s">
        <v>211</v>
      </c>
      <c r="B358" t="s">
        <v>162</v>
      </c>
      <c r="C358" t="s">
        <v>269</v>
      </c>
      <c r="D358" t="s">
        <v>25</v>
      </c>
      <c r="E358" t="s">
        <v>15</v>
      </c>
      <c r="F358">
        <v>2038</v>
      </c>
      <c r="G358" s="55">
        <f>10^6*IF($E358="charcoal",params!$P$13*INDEX(BAU_Fuel_cons!$E$2:$AS$34,MATCH(D358&amp;"_"&amp;E358,BAU_Fuel_cons!$AT$2:$AT$34,0),MATCH(F358,BAU_Fuel_cons!$E$1:$AS$1,0)),INDEX(BAU_Fuel_cons!$E$2:$AS$34,MATCH(D358&amp;"_"&amp;E358,BAU_Fuel_cons!$AT$2:$AT$34,0),MATCH(F358,BAU_Fuel_cons!$E$1:$AS$1,0)))</f>
        <v>0</v>
      </c>
      <c r="H358" s="55">
        <f>G358+10^6*IF($E358="charcoal",params!$P$13*SUMIFS(nonresidential!$L:$L,nonresidential!$A:$A,$F358,nonresidential!$B:$B,$E358,nonresidential!$C:$C,$D358),SUMIFS(nonresidential!$L:$L,nonresidential!$A:$A,$F358,nonresidential!$B:$B,$E358,nonresidential!$C:$C,$D358))</f>
        <v>0</v>
      </c>
      <c r="I358">
        <f>1</f>
        <v>1</v>
      </c>
    </row>
    <row r="359" spans="1:9">
      <c r="A359" t="s">
        <v>211</v>
      </c>
      <c r="B359" t="s">
        <v>162</v>
      </c>
      <c r="C359" t="s">
        <v>269</v>
      </c>
      <c r="D359" t="s">
        <v>25</v>
      </c>
      <c r="E359" t="s">
        <v>15</v>
      </c>
      <c r="F359">
        <v>2039</v>
      </c>
      <c r="G359" s="55">
        <f>10^6*IF($E359="charcoal",params!$P$13*INDEX(BAU_Fuel_cons!$E$2:$AS$34,MATCH(D359&amp;"_"&amp;E359,BAU_Fuel_cons!$AT$2:$AT$34,0),MATCH(F359,BAU_Fuel_cons!$E$1:$AS$1,0)),INDEX(BAU_Fuel_cons!$E$2:$AS$34,MATCH(D359&amp;"_"&amp;E359,BAU_Fuel_cons!$AT$2:$AT$34,0),MATCH(F359,BAU_Fuel_cons!$E$1:$AS$1,0)))</f>
        <v>0</v>
      </c>
      <c r="H359" s="55">
        <f>G359+10^6*IF($E359="charcoal",params!$P$13*SUMIFS(nonresidential!$L:$L,nonresidential!$A:$A,$F359,nonresidential!$B:$B,$E359,nonresidential!$C:$C,$D359),SUMIFS(nonresidential!$L:$L,nonresidential!$A:$A,$F359,nonresidential!$B:$B,$E359,nonresidential!$C:$C,$D359))</f>
        <v>0</v>
      </c>
      <c r="I359">
        <f>1</f>
        <v>1</v>
      </c>
    </row>
    <row r="360" spans="1:9">
      <c r="A360" t="s">
        <v>211</v>
      </c>
      <c r="B360" t="s">
        <v>162</v>
      </c>
      <c r="C360" t="s">
        <v>269</v>
      </c>
      <c r="D360" t="s">
        <v>25</v>
      </c>
      <c r="E360" t="s">
        <v>15</v>
      </c>
      <c r="F360">
        <v>2040</v>
      </c>
      <c r="G360" s="55">
        <f>10^6*IF($E360="charcoal",params!$P$13*INDEX(BAU_Fuel_cons!$E$2:$AS$34,MATCH(D360&amp;"_"&amp;E360,BAU_Fuel_cons!$AT$2:$AT$34,0),MATCH(F360,BAU_Fuel_cons!$E$1:$AS$1,0)),INDEX(BAU_Fuel_cons!$E$2:$AS$34,MATCH(D360&amp;"_"&amp;E360,BAU_Fuel_cons!$AT$2:$AT$34,0),MATCH(F360,BAU_Fuel_cons!$E$1:$AS$1,0)))</f>
        <v>0</v>
      </c>
      <c r="H360" s="55">
        <f>G360+10^6*IF($E360="charcoal",params!$P$13*SUMIFS(nonresidential!$L:$L,nonresidential!$A:$A,$F360,nonresidential!$B:$B,$E360,nonresidential!$C:$C,$D360),SUMIFS(nonresidential!$L:$L,nonresidential!$A:$A,$F360,nonresidential!$B:$B,$E360,nonresidential!$C:$C,$D360))</f>
        <v>0</v>
      </c>
      <c r="I360">
        <f>1</f>
        <v>1</v>
      </c>
    </row>
    <row r="361" spans="1:9">
      <c r="A361" t="s">
        <v>211</v>
      </c>
      <c r="B361" t="s">
        <v>162</v>
      </c>
      <c r="C361" t="s">
        <v>269</v>
      </c>
      <c r="D361" t="s">
        <v>25</v>
      </c>
      <c r="E361" t="s">
        <v>15</v>
      </c>
      <c r="F361">
        <v>2041</v>
      </c>
      <c r="G361" s="55">
        <f>10^6*IF($E361="charcoal",params!$P$13*INDEX(BAU_Fuel_cons!$E$2:$AS$34,MATCH(D361&amp;"_"&amp;E361,BAU_Fuel_cons!$AT$2:$AT$34,0),MATCH(F361,BAU_Fuel_cons!$E$1:$AS$1,0)),INDEX(BAU_Fuel_cons!$E$2:$AS$34,MATCH(D361&amp;"_"&amp;E361,BAU_Fuel_cons!$AT$2:$AT$34,0),MATCH(F361,BAU_Fuel_cons!$E$1:$AS$1,0)))</f>
        <v>0</v>
      </c>
      <c r="H361" s="55">
        <f>G361+10^6*IF($E361="charcoal",params!$P$13*SUMIFS(nonresidential!$L:$L,nonresidential!$A:$A,$F361,nonresidential!$B:$B,$E361,nonresidential!$C:$C,$D361),SUMIFS(nonresidential!$L:$L,nonresidential!$A:$A,$F361,nonresidential!$B:$B,$E361,nonresidential!$C:$C,$D361))</f>
        <v>0</v>
      </c>
      <c r="I361">
        <f>1</f>
        <v>1</v>
      </c>
    </row>
    <row r="362" spans="1:9">
      <c r="A362" t="s">
        <v>211</v>
      </c>
      <c r="B362" t="s">
        <v>162</v>
      </c>
      <c r="C362" t="s">
        <v>269</v>
      </c>
      <c r="D362" t="s">
        <v>25</v>
      </c>
      <c r="E362" t="s">
        <v>15</v>
      </c>
      <c r="F362">
        <v>2042</v>
      </c>
      <c r="G362" s="55">
        <f>10^6*IF($E362="charcoal",params!$P$13*INDEX(BAU_Fuel_cons!$E$2:$AS$34,MATCH(D362&amp;"_"&amp;E362,BAU_Fuel_cons!$AT$2:$AT$34,0),MATCH(F362,BAU_Fuel_cons!$E$1:$AS$1,0)),INDEX(BAU_Fuel_cons!$E$2:$AS$34,MATCH(D362&amp;"_"&amp;E362,BAU_Fuel_cons!$AT$2:$AT$34,0),MATCH(F362,BAU_Fuel_cons!$E$1:$AS$1,0)))</f>
        <v>0</v>
      </c>
      <c r="H362" s="55">
        <f>G362+10^6*IF($E362="charcoal",params!$P$13*SUMIFS(nonresidential!$L:$L,nonresidential!$A:$A,$F362,nonresidential!$B:$B,$E362,nonresidential!$C:$C,$D362),SUMIFS(nonresidential!$L:$L,nonresidential!$A:$A,$F362,nonresidential!$B:$B,$E362,nonresidential!$C:$C,$D362))</f>
        <v>0</v>
      </c>
      <c r="I362">
        <f>1</f>
        <v>1</v>
      </c>
    </row>
    <row r="363" spans="1:9">
      <c r="A363" t="s">
        <v>211</v>
      </c>
      <c r="B363" t="s">
        <v>162</v>
      </c>
      <c r="C363" t="s">
        <v>269</v>
      </c>
      <c r="D363" t="s">
        <v>25</v>
      </c>
      <c r="E363" t="s">
        <v>15</v>
      </c>
      <c r="F363">
        <v>2043</v>
      </c>
      <c r="G363" s="55">
        <f>10^6*IF($E363="charcoal",params!$P$13*INDEX(BAU_Fuel_cons!$E$2:$AS$34,MATCH(D363&amp;"_"&amp;E363,BAU_Fuel_cons!$AT$2:$AT$34,0),MATCH(F363,BAU_Fuel_cons!$E$1:$AS$1,0)),INDEX(BAU_Fuel_cons!$E$2:$AS$34,MATCH(D363&amp;"_"&amp;E363,BAU_Fuel_cons!$AT$2:$AT$34,0),MATCH(F363,BAU_Fuel_cons!$E$1:$AS$1,0)))</f>
        <v>0</v>
      </c>
      <c r="H363" s="55">
        <f>G363+10^6*IF($E363="charcoal",params!$P$13*SUMIFS(nonresidential!$L:$L,nonresidential!$A:$A,$F363,nonresidential!$B:$B,$E363,nonresidential!$C:$C,$D363),SUMIFS(nonresidential!$L:$L,nonresidential!$A:$A,$F363,nonresidential!$B:$B,$E363,nonresidential!$C:$C,$D363))</f>
        <v>0</v>
      </c>
      <c r="I363">
        <f>1</f>
        <v>1</v>
      </c>
    </row>
    <row r="364" spans="1:9">
      <c r="A364" t="s">
        <v>211</v>
      </c>
      <c r="B364" t="s">
        <v>162</v>
      </c>
      <c r="C364" t="s">
        <v>269</v>
      </c>
      <c r="D364" t="s">
        <v>25</v>
      </c>
      <c r="E364" t="s">
        <v>15</v>
      </c>
      <c r="F364">
        <v>2044</v>
      </c>
      <c r="G364" s="55">
        <f>10^6*IF($E364="charcoal",params!$P$13*INDEX(BAU_Fuel_cons!$E$2:$AS$34,MATCH(D364&amp;"_"&amp;E364,BAU_Fuel_cons!$AT$2:$AT$34,0),MATCH(F364,BAU_Fuel_cons!$E$1:$AS$1,0)),INDEX(BAU_Fuel_cons!$E$2:$AS$34,MATCH(D364&amp;"_"&amp;E364,BAU_Fuel_cons!$AT$2:$AT$34,0),MATCH(F364,BAU_Fuel_cons!$E$1:$AS$1,0)))</f>
        <v>0</v>
      </c>
      <c r="H364" s="55">
        <f>G364+10^6*IF($E364="charcoal",params!$P$13*SUMIFS(nonresidential!$L:$L,nonresidential!$A:$A,$F364,nonresidential!$B:$B,$E364,nonresidential!$C:$C,$D364),SUMIFS(nonresidential!$L:$L,nonresidential!$A:$A,$F364,nonresidential!$B:$B,$E364,nonresidential!$C:$C,$D364))</f>
        <v>0</v>
      </c>
      <c r="I364">
        <f>1</f>
        <v>1</v>
      </c>
    </row>
    <row r="365" spans="1:9">
      <c r="A365" t="s">
        <v>211</v>
      </c>
      <c r="B365" t="s">
        <v>162</v>
      </c>
      <c r="C365" t="s">
        <v>269</v>
      </c>
      <c r="D365" t="s">
        <v>25</v>
      </c>
      <c r="E365" t="s">
        <v>15</v>
      </c>
      <c r="F365">
        <v>2045</v>
      </c>
      <c r="G365" s="55">
        <f>10^6*IF($E365="charcoal",params!$P$13*INDEX(BAU_Fuel_cons!$E$2:$AS$34,MATCH(D365&amp;"_"&amp;E365,BAU_Fuel_cons!$AT$2:$AT$34,0),MATCH(F365,BAU_Fuel_cons!$E$1:$AS$1,0)),INDEX(BAU_Fuel_cons!$E$2:$AS$34,MATCH(D365&amp;"_"&amp;E365,BAU_Fuel_cons!$AT$2:$AT$34,0),MATCH(F365,BAU_Fuel_cons!$E$1:$AS$1,0)))</f>
        <v>0</v>
      </c>
      <c r="H365" s="55">
        <f>G365+10^6*IF($E365="charcoal",params!$P$13*SUMIFS(nonresidential!$L:$L,nonresidential!$A:$A,$F365,nonresidential!$B:$B,$E365,nonresidential!$C:$C,$D365),SUMIFS(nonresidential!$L:$L,nonresidential!$A:$A,$F365,nonresidential!$B:$B,$E365,nonresidential!$C:$C,$D365))</f>
        <v>0</v>
      </c>
      <c r="I365">
        <f>1</f>
        <v>1</v>
      </c>
    </row>
    <row r="366" spans="1:9">
      <c r="A366" t="s">
        <v>211</v>
      </c>
      <c r="B366" t="s">
        <v>162</v>
      </c>
      <c r="C366" t="s">
        <v>269</v>
      </c>
      <c r="D366" t="s">
        <v>25</v>
      </c>
      <c r="E366" t="s">
        <v>15</v>
      </c>
      <c r="F366">
        <v>2046</v>
      </c>
      <c r="G366" s="55">
        <f>10^6*IF($E366="charcoal",params!$P$13*INDEX(BAU_Fuel_cons!$E$2:$AS$34,MATCH(D366&amp;"_"&amp;E366,BAU_Fuel_cons!$AT$2:$AT$34,0),MATCH(F366,BAU_Fuel_cons!$E$1:$AS$1,0)),INDEX(BAU_Fuel_cons!$E$2:$AS$34,MATCH(D366&amp;"_"&amp;E366,BAU_Fuel_cons!$AT$2:$AT$34,0),MATCH(F366,BAU_Fuel_cons!$E$1:$AS$1,0)))</f>
        <v>0</v>
      </c>
      <c r="H366" s="55">
        <f>G366+10^6*IF($E366="charcoal",params!$P$13*SUMIFS(nonresidential!$L:$L,nonresidential!$A:$A,$F366,nonresidential!$B:$B,$E366,nonresidential!$C:$C,$D366),SUMIFS(nonresidential!$L:$L,nonresidential!$A:$A,$F366,nonresidential!$B:$B,$E366,nonresidential!$C:$C,$D366))</f>
        <v>0</v>
      </c>
      <c r="I366">
        <f>1</f>
        <v>1</v>
      </c>
    </row>
    <row r="367" spans="1:9">
      <c r="A367" t="s">
        <v>211</v>
      </c>
      <c r="B367" t="s">
        <v>162</v>
      </c>
      <c r="C367" t="s">
        <v>269</v>
      </c>
      <c r="D367" t="s">
        <v>25</v>
      </c>
      <c r="E367" t="s">
        <v>15</v>
      </c>
      <c r="F367">
        <v>2047</v>
      </c>
      <c r="G367" s="55">
        <f>10^6*IF($E367="charcoal",params!$P$13*INDEX(BAU_Fuel_cons!$E$2:$AS$34,MATCH(D367&amp;"_"&amp;E367,BAU_Fuel_cons!$AT$2:$AT$34,0),MATCH(F367,BAU_Fuel_cons!$E$1:$AS$1,0)),INDEX(BAU_Fuel_cons!$E$2:$AS$34,MATCH(D367&amp;"_"&amp;E367,BAU_Fuel_cons!$AT$2:$AT$34,0),MATCH(F367,BAU_Fuel_cons!$E$1:$AS$1,0)))</f>
        <v>0</v>
      </c>
      <c r="H367" s="55">
        <f>G367+10^6*IF($E367="charcoal",params!$P$13*SUMIFS(nonresidential!$L:$L,nonresidential!$A:$A,$F367,nonresidential!$B:$B,$E367,nonresidential!$C:$C,$D367),SUMIFS(nonresidential!$L:$L,nonresidential!$A:$A,$F367,nonresidential!$B:$B,$E367,nonresidential!$C:$C,$D367))</f>
        <v>0</v>
      </c>
      <c r="I367">
        <f>1</f>
        <v>1</v>
      </c>
    </row>
    <row r="368" spans="1:9">
      <c r="A368" t="s">
        <v>211</v>
      </c>
      <c r="B368" t="s">
        <v>162</v>
      </c>
      <c r="C368" t="s">
        <v>269</v>
      </c>
      <c r="D368" t="s">
        <v>25</v>
      </c>
      <c r="E368" t="s">
        <v>15</v>
      </c>
      <c r="F368">
        <v>2048</v>
      </c>
      <c r="G368" s="55">
        <f>10^6*IF($E368="charcoal",params!$P$13*INDEX(BAU_Fuel_cons!$E$2:$AS$34,MATCH(D368&amp;"_"&amp;E368,BAU_Fuel_cons!$AT$2:$AT$34,0),MATCH(F368,BAU_Fuel_cons!$E$1:$AS$1,0)),INDEX(BAU_Fuel_cons!$E$2:$AS$34,MATCH(D368&amp;"_"&amp;E368,BAU_Fuel_cons!$AT$2:$AT$34,0),MATCH(F368,BAU_Fuel_cons!$E$1:$AS$1,0)))</f>
        <v>0</v>
      </c>
      <c r="H368" s="55">
        <f>G368+10^6*IF($E368="charcoal",params!$P$13*SUMIFS(nonresidential!$L:$L,nonresidential!$A:$A,$F368,nonresidential!$B:$B,$E368,nonresidential!$C:$C,$D368),SUMIFS(nonresidential!$L:$L,nonresidential!$A:$A,$F368,nonresidential!$B:$B,$E368,nonresidential!$C:$C,$D368))</f>
        <v>0</v>
      </c>
      <c r="I368">
        <f>1</f>
        <v>1</v>
      </c>
    </row>
    <row r="369" spans="1:9">
      <c r="A369" t="s">
        <v>211</v>
      </c>
      <c r="B369" t="s">
        <v>162</v>
      </c>
      <c r="C369" t="s">
        <v>269</v>
      </c>
      <c r="D369" t="s">
        <v>25</v>
      </c>
      <c r="E369" t="s">
        <v>15</v>
      </c>
      <c r="F369">
        <v>2049</v>
      </c>
      <c r="G369" s="55">
        <f>10^6*IF($E369="charcoal",params!$P$13*INDEX(BAU_Fuel_cons!$E$2:$AS$34,MATCH(D369&amp;"_"&amp;E369,BAU_Fuel_cons!$AT$2:$AT$34,0),MATCH(F369,BAU_Fuel_cons!$E$1:$AS$1,0)),INDEX(BAU_Fuel_cons!$E$2:$AS$34,MATCH(D369&amp;"_"&amp;E369,BAU_Fuel_cons!$AT$2:$AT$34,0),MATCH(F369,BAU_Fuel_cons!$E$1:$AS$1,0)))</f>
        <v>0</v>
      </c>
      <c r="H369" s="55">
        <f>G369+10^6*IF($E369="charcoal",params!$P$13*SUMIFS(nonresidential!$L:$L,nonresidential!$A:$A,$F369,nonresidential!$B:$B,$E369,nonresidential!$C:$C,$D369),SUMIFS(nonresidential!$L:$L,nonresidential!$A:$A,$F369,nonresidential!$B:$B,$E369,nonresidential!$C:$C,$D369))</f>
        <v>0</v>
      </c>
      <c r="I369">
        <f>1</f>
        <v>1</v>
      </c>
    </row>
    <row r="370" spans="1:9">
      <c r="A370" t="s">
        <v>211</v>
      </c>
      <c r="B370" t="s">
        <v>162</v>
      </c>
      <c r="C370" t="s">
        <v>269</v>
      </c>
      <c r="D370" t="s">
        <v>25</v>
      </c>
      <c r="E370" t="s">
        <v>15</v>
      </c>
      <c r="F370">
        <v>2050</v>
      </c>
      <c r="G370" s="55">
        <f>10^6*IF($E370="charcoal",params!$P$13*INDEX(BAU_Fuel_cons!$E$2:$AS$34,MATCH(D370&amp;"_"&amp;E370,BAU_Fuel_cons!$AT$2:$AT$34,0),MATCH(F370,BAU_Fuel_cons!$E$1:$AS$1,0)),INDEX(BAU_Fuel_cons!$E$2:$AS$34,MATCH(D370&amp;"_"&amp;E370,BAU_Fuel_cons!$AT$2:$AT$34,0),MATCH(F370,BAU_Fuel_cons!$E$1:$AS$1,0)))</f>
        <v>0</v>
      </c>
      <c r="H370" s="55">
        <f>G370+10^6*IF($E370="charcoal",params!$P$13*SUMIFS(nonresidential!$L:$L,nonresidential!$A:$A,$F370,nonresidential!$B:$B,$E370,nonresidential!$C:$C,$D370),SUMIFS(nonresidential!$L:$L,nonresidential!$A:$A,$F370,nonresidential!$B:$B,$E370,nonresidential!$C:$C,$D370))</f>
        <v>0</v>
      </c>
      <c r="I370">
        <f>1</f>
        <v>1</v>
      </c>
    </row>
    <row r="371" spans="1:9">
      <c r="A371" t="s">
        <v>211</v>
      </c>
      <c r="B371" t="s">
        <v>162</v>
      </c>
      <c r="C371" t="s">
        <v>269</v>
      </c>
      <c r="D371" t="s">
        <v>25</v>
      </c>
      <c r="E371" t="s">
        <v>16</v>
      </c>
      <c r="F371">
        <v>2010</v>
      </c>
      <c r="G371" s="55">
        <f>10^6*IF($E371="charcoal",params!$P$13*INDEX(BAU_Fuel_cons!$E$2:$AS$34,MATCH(D371&amp;"_"&amp;E371,BAU_Fuel_cons!$AT$2:$AT$34,0),MATCH(F371,BAU_Fuel_cons!$E$1:$AS$1,0)),INDEX(BAU_Fuel_cons!$E$2:$AS$34,MATCH(D371&amp;"_"&amp;E371,BAU_Fuel_cons!$AT$2:$AT$34,0),MATCH(F371,BAU_Fuel_cons!$E$1:$AS$1,0)))</f>
        <v>0</v>
      </c>
      <c r="H371" s="55">
        <f>G371+10^6*IF($E371="charcoal",params!$P$13*SUMIFS(nonresidential!$L:$L,nonresidential!$A:$A,$F371,nonresidential!$B:$B,$E371,nonresidential!$C:$C,$D371),SUMIFS(nonresidential!$L:$L,nonresidential!$A:$A,$F371,nonresidential!$B:$B,$E371,nonresidential!$C:$C,$D371))</f>
        <v>0</v>
      </c>
      <c r="I371">
        <f>1</f>
        <v>1</v>
      </c>
    </row>
    <row r="372" spans="1:9">
      <c r="A372" t="s">
        <v>211</v>
      </c>
      <c r="B372" t="s">
        <v>162</v>
      </c>
      <c r="C372" t="s">
        <v>269</v>
      </c>
      <c r="D372" t="s">
        <v>25</v>
      </c>
      <c r="E372" t="s">
        <v>16</v>
      </c>
      <c r="F372">
        <v>2011</v>
      </c>
      <c r="G372" s="55">
        <f>10^6*IF($E372="charcoal",params!$P$13*INDEX(BAU_Fuel_cons!$E$2:$AS$34,MATCH(D372&amp;"_"&amp;E372,BAU_Fuel_cons!$AT$2:$AT$34,0),MATCH(F372,BAU_Fuel_cons!$E$1:$AS$1,0)),INDEX(BAU_Fuel_cons!$E$2:$AS$34,MATCH(D372&amp;"_"&amp;E372,BAU_Fuel_cons!$AT$2:$AT$34,0),MATCH(F372,BAU_Fuel_cons!$E$1:$AS$1,0)))</f>
        <v>0</v>
      </c>
      <c r="H372" s="55">
        <f>G372+10^6*IF($E372="charcoal",params!$P$13*SUMIFS(nonresidential!$L:$L,nonresidential!$A:$A,$F372,nonresidential!$B:$B,$E372,nonresidential!$C:$C,$D372),SUMIFS(nonresidential!$L:$L,nonresidential!$A:$A,$F372,nonresidential!$B:$B,$E372,nonresidential!$C:$C,$D372))</f>
        <v>0</v>
      </c>
      <c r="I372">
        <f>1</f>
        <v>1</v>
      </c>
    </row>
    <row r="373" spans="1:9">
      <c r="A373" t="s">
        <v>211</v>
      </c>
      <c r="B373" t="s">
        <v>162</v>
      </c>
      <c r="C373" t="s">
        <v>269</v>
      </c>
      <c r="D373" t="s">
        <v>25</v>
      </c>
      <c r="E373" t="s">
        <v>16</v>
      </c>
      <c r="F373">
        <v>2012</v>
      </c>
      <c r="G373" s="55">
        <f>10^6*IF($E373="charcoal",params!$P$13*INDEX(BAU_Fuel_cons!$E$2:$AS$34,MATCH(D373&amp;"_"&amp;E373,BAU_Fuel_cons!$AT$2:$AT$34,0),MATCH(F373,BAU_Fuel_cons!$E$1:$AS$1,0)),INDEX(BAU_Fuel_cons!$E$2:$AS$34,MATCH(D373&amp;"_"&amp;E373,BAU_Fuel_cons!$AT$2:$AT$34,0),MATCH(F373,BAU_Fuel_cons!$E$1:$AS$1,0)))</f>
        <v>0</v>
      </c>
      <c r="H373" s="55">
        <f>G373+10^6*IF($E373="charcoal",params!$P$13*SUMIFS(nonresidential!$L:$L,nonresidential!$A:$A,$F373,nonresidential!$B:$B,$E373,nonresidential!$C:$C,$D373),SUMIFS(nonresidential!$L:$L,nonresidential!$A:$A,$F373,nonresidential!$B:$B,$E373,nonresidential!$C:$C,$D373))</f>
        <v>0</v>
      </c>
      <c r="I373">
        <f>1</f>
        <v>1</v>
      </c>
    </row>
    <row r="374" spans="1:9">
      <c r="A374" t="s">
        <v>211</v>
      </c>
      <c r="B374" t="s">
        <v>162</v>
      </c>
      <c r="C374" t="s">
        <v>269</v>
      </c>
      <c r="D374" t="s">
        <v>25</v>
      </c>
      <c r="E374" t="s">
        <v>16</v>
      </c>
      <c r="F374">
        <v>2013</v>
      </c>
      <c r="G374" s="55">
        <f>10^6*IF($E374="charcoal",params!$P$13*INDEX(BAU_Fuel_cons!$E$2:$AS$34,MATCH(D374&amp;"_"&amp;E374,BAU_Fuel_cons!$AT$2:$AT$34,0),MATCH(F374,BAU_Fuel_cons!$E$1:$AS$1,0)),INDEX(BAU_Fuel_cons!$E$2:$AS$34,MATCH(D374&amp;"_"&amp;E374,BAU_Fuel_cons!$AT$2:$AT$34,0),MATCH(F374,BAU_Fuel_cons!$E$1:$AS$1,0)))</f>
        <v>0</v>
      </c>
      <c r="H374" s="55">
        <f>G374+10^6*IF($E374="charcoal",params!$P$13*SUMIFS(nonresidential!$L:$L,nonresidential!$A:$A,$F374,nonresidential!$B:$B,$E374,nonresidential!$C:$C,$D374),SUMIFS(nonresidential!$L:$L,nonresidential!$A:$A,$F374,nonresidential!$B:$B,$E374,nonresidential!$C:$C,$D374))</f>
        <v>0</v>
      </c>
      <c r="I374">
        <f>1</f>
        <v>1</v>
      </c>
    </row>
    <row r="375" spans="1:9">
      <c r="A375" t="s">
        <v>211</v>
      </c>
      <c r="B375" t="s">
        <v>162</v>
      </c>
      <c r="C375" t="s">
        <v>269</v>
      </c>
      <c r="D375" t="s">
        <v>25</v>
      </c>
      <c r="E375" t="s">
        <v>16</v>
      </c>
      <c r="F375">
        <v>2014</v>
      </c>
      <c r="G375" s="55">
        <f>10^6*IF($E375="charcoal",params!$P$13*INDEX(BAU_Fuel_cons!$E$2:$AS$34,MATCH(D375&amp;"_"&amp;E375,BAU_Fuel_cons!$AT$2:$AT$34,0),MATCH(F375,BAU_Fuel_cons!$E$1:$AS$1,0)),INDEX(BAU_Fuel_cons!$E$2:$AS$34,MATCH(D375&amp;"_"&amp;E375,BAU_Fuel_cons!$AT$2:$AT$34,0),MATCH(F375,BAU_Fuel_cons!$E$1:$AS$1,0)))</f>
        <v>0</v>
      </c>
      <c r="H375" s="55">
        <f>G375+10^6*IF($E375="charcoal",params!$P$13*SUMIFS(nonresidential!$L:$L,nonresidential!$A:$A,$F375,nonresidential!$B:$B,$E375,nonresidential!$C:$C,$D375),SUMIFS(nonresidential!$L:$L,nonresidential!$A:$A,$F375,nonresidential!$B:$B,$E375,nonresidential!$C:$C,$D375))</f>
        <v>0</v>
      </c>
      <c r="I375">
        <f>1</f>
        <v>1</v>
      </c>
    </row>
    <row r="376" spans="1:9">
      <c r="A376" t="s">
        <v>211</v>
      </c>
      <c r="B376" t="s">
        <v>162</v>
      </c>
      <c r="C376" t="s">
        <v>269</v>
      </c>
      <c r="D376" t="s">
        <v>25</v>
      </c>
      <c r="E376" t="s">
        <v>16</v>
      </c>
      <c r="F376">
        <v>2015</v>
      </c>
      <c r="G376" s="55">
        <f>10^6*IF($E376="charcoal",params!$P$13*INDEX(BAU_Fuel_cons!$E$2:$AS$34,MATCH(D376&amp;"_"&amp;E376,BAU_Fuel_cons!$AT$2:$AT$34,0),MATCH(F376,BAU_Fuel_cons!$E$1:$AS$1,0)),INDEX(BAU_Fuel_cons!$E$2:$AS$34,MATCH(D376&amp;"_"&amp;E376,BAU_Fuel_cons!$AT$2:$AT$34,0),MATCH(F376,BAU_Fuel_cons!$E$1:$AS$1,0)))</f>
        <v>0</v>
      </c>
      <c r="H376" s="55">
        <f>G376+10^6*IF($E376="charcoal",params!$P$13*SUMIFS(nonresidential!$L:$L,nonresidential!$A:$A,$F376,nonresidential!$B:$B,$E376,nonresidential!$C:$C,$D376),SUMIFS(nonresidential!$L:$L,nonresidential!$A:$A,$F376,nonresidential!$B:$B,$E376,nonresidential!$C:$C,$D376))</f>
        <v>0</v>
      </c>
      <c r="I376">
        <f>1</f>
        <v>1</v>
      </c>
    </row>
    <row r="377" spans="1:9">
      <c r="A377" t="s">
        <v>211</v>
      </c>
      <c r="B377" t="s">
        <v>162</v>
      </c>
      <c r="C377" t="s">
        <v>269</v>
      </c>
      <c r="D377" t="s">
        <v>25</v>
      </c>
      <c r="E377" t="s">
        <v>16</v>
      </c>
      <c r="F377">
        <v>2016</v>
      </c>
      <c r="G377" s="55">
        <f>10^6*IF($E377="charcoal",params!$P$13*INDEX(BAU_Fuel_cons!$E$2:$AS$34,MATCH(D377&amp;"_"&amp;E377,BAU_Fuel_cons!$AT$2:$AT$34,0),MATCH(F377,BAU_Fuel_cons!$E$1:$AS$1,0)),INDEX(BAU_Fuel_cons!$E$2:$AS$34,MATCH(D377&amp;"_"&amp;E377,BAU_Fuel_cons!$AT$2:$AT$34,0),MATCH(F377,BAU_Fuel_cons!$E$1:$AS$1,0)))</f>
        <v>0</v>
      </c>
      <c r="H377" s="55">
        <f>G377+10^6*IF($E377="charcoal",params!$P$13*SUMIFS(nonresidential!$L:$L,nonresidential!$A:$A,$F377,nonresidential!$B:$B,$E377,nonresidential!$C:$C,$D377),SUMIFS(nonresidential!$L:$L,nonresidential!$A:$A,$F377,nonresidential!$B:$B,$E377,nonresidential!$C:$C,$D377))</f>
        <v>0</v>
      </c>
      <c r="I377">
        <f>1</f>
        <v>1</v>
      </c>
    </row>
    <row r="378" spans="1:9">
      <c r="A378" t="s">
        <v>211</v>
      </c>
      <c r="B378" t="s">
        <v>162</v>
      </c>
      <c r="C378" t="s">
        <v>269</v>
      </c>
      <c r="D378" t="s">
        <v>25</v>
      </c>
      <c r="E378" t="s">
        <v>16</v>
      </c>
      <c r="F378">
        <v>2017</v>
      </c>
      <c r="G378" s="55">
        <f>10^6*IF($E378="charcoal",params!$P$13*INDEX(BAU_Fuel_cons!$E$2:$AS$34,MATCH(D378&amp;"_"&amp;E378,BAU_Fuel_cons!$AT$2:$AT$34,0),MATCH(F378,BAU_Fuel_cons!$E$1:$AS$1,0)),INDEX(BAU_Fuel_cons!$E$2:$AS$34,MATCH(D378&amp;"_"&amp;E378,BAU_Fuel_cons!$AT$2:$AT$34,0),MATCH(F378,BAU_Fuel_cons!$E$1:$AS$1,0)))</f>
        <v>0</v>
      </c>
      <c r="H378" s="55">
        <f>G378+10^6*IF($E378="charcoal",params!$P$13*SUMIFS(nonresidential!$L:$L,nonresidential!$A:$A,$F378,nonresidential!$B:$B,$E378,nonresidential!$C:$C,$D378),SUMIFS(nonresidential!$L:$L,nonresidential!$A:$A,$F378,nonresidential!$B:$B,$E378,nonresidential!$C:$C,$D378))</f>
        <v>0</v>
      </c>
      <c r="I378">
        <f>1</f>
        <v>1</v>
      </c>
    </row>
    <row r="379" spans="1:9">
      <c r="A379" t="s">
        <v>211</v>
      </c>
      <c r="B379" t="s">
        <v>162</v>
      </c>
      <c r="C379" t="s">
        <v>269</v>
      </c>
      <c r="D379" t="s">
        <v>25</v>
      </c>
      <c r="E379" t="s">
        <v>16</v>
      </c>
      <c r="F379">
        <v>2018</v>
      </c>
      <c r="G379" s="55">
        <f>10^6*IF($E379="charcoal",params!$P$13*INDEX(BAU_Fuel_cons!$E$2:$AS$34,MATCH(D379&amp;"_"&amp;E379,BAU_Fuel_cons!$AT$2:$AT$34,0),MATCH(F379,BAU_Fuel_cons!$E$1:$AS$1,0)),INDEX(BAU_Fuel_cons!$E$2:$AS$34,MATCH(D379&amp;"_"&amp;E379,BAU_Fuel_cons!$AT$2:$AT$34,0),MATCH(F379,BAU_Fuel_cons!$E$1:$AS$1,0)))</f>
        <v>0</v>
      </c>
      <c r="H379" s="55">
        <f>G379+10^6*IF($E379="charcoal",params!$P$13*SUMIFS(nonresidential!$L:$L,nonresidential!$A:$A,$F379,nonresidential!$B:$B,$E379,nonresidential!$C:$C,$D379),SUMIFS(nonresidential!$L:$L,nonresidential!$A:$A,$F379,nonresidential!$B:$B,$E379,nonresidential!$C:$C,$D379))</f>
        <v>0</v>
      </c>
      <c r="I379">
        <f>1</f>
        <v>1</v>
      </c>
    </row>
    <row r="380" spans="1:9">
      <c r="A380" t="s">
        <v>211</v>
      </c>
      <c r="B380" t="s">
        <v>162</v>
      </c>
      <c r="C380" t="s">
        <v>269</v>
      </c>
      <c r="D380" t="s">
        <v>25</v>
      </c>
      <c r="E380" t="s">
        <v>16</v>
      </c>
      <c r="F380">
        <v>2019</v>
      </c>
      <c r="G380" s="55">
        <f>10^6*IF($E380="charcoal",params!$P$13*INDEX(BAU_Fuel_cons!$E$2:$AS$34,MATCH(D380&amp;"_"&amp;E380,BAU_Fuel_cons!$AT$2:$AT$34,0),MATCH(F380,BAU_Fuel_cons!$E$1:$AS$1,0)),INDEX(BAU_Fuel_cons!$E$2:$AS$34,MATCH(D380&amp;"_"&amp;E380,BAU_Fuel_cons!$AT$2:$AT$34,0),MATCH(F380,BAU_Fuel_cons!$E$1:$AS$1,0)))</f>
        <v>0</v>
      </c>
      <c r="H380" s="55">
        <f>G380+10^6*IF($E380="charcoal",params!$P$13*SUMIFS(nonresidential!$L:$L,nonresidential!$A:$A,$F380,nonresidential!$B:$B,$E380,nonresidential!$C:$C,$D380),SUMIFS(nonresidential!$L:$L,nonresidential!$A:$A,$F380,nonresidential!$B:$B,$E380,nonresidential!$C:$C,$D380))</f>
        <v>0</v>
      </c>
      <c r="I380">
        <f>1</f>
        <v>1</v>
      </c>
    </row>
    <row r="381" spans="1:9">
      <c r="A381" t="s">
        <v>211</v>
      </c>
      <c r="B381" t="s">
        <v>162</v>
      </c>
      <c r="C381" t="s">
        <v>269</v>
      </c>
      <c r="D381" t="s">
        <v>25</v>
      </c>
      <c r="E381" t="s">
        <v>16</v>
      </c>
      <c r="F381">
        <v>2020</v>
      </c>
      <c r="G381" s="55">
        <f>10^6*IF($E381="charcoal",params!$P$13*INDEX(BAU_Fuel_cons!$E$2:$AS$34,MATCH(D381&amp;"_"&amp;E381,BAU_Fuel_cons!$AT$2:$AT$34,0),MATCH(F381,BAU_Fuel_cons!$E$1:$AS$1,0)),INDEX(BAU_Fuel_cons!$E$2:$AS$34,MATCH(D381&amp;"_"&amp;E381,BAU_Fuel_cons!$AT$2:$AT$34,0),MATCH(F381,BAU_Fuel_cons!$E$1:$AS$1,0)))</f>
        <v>0</v>
      </c>
      <c r="H381" s="55">
        <f>G381+10^6*IF($E381="charcoal",params!$P$13*SUMIFS(nonresidential!$L:$L,nonresidential!$A:$A,$F381,nonresidential!$B:$B,$E381,nonresidential!$C:$C,$D381),SUMIFS(nonresidential!$L:$L,nonresidential!$A:$A,$F381,nonresidential!$B:$B,$E381,nonresidential!$C:$C,$D381))</f>
        <v>0</v>
      </c>
      <c r="I381">
        <f>1</f>
        <v>1</v>
      </c>
    </row>
    <row r="382" spans="1:9">
      <c r="A382" t="s">
        <v>211</v>
      </c>
      <c r="B382" t="s">
        <v>162</v>
      </c>
      <c r="C382" t="s">
        <v>269</v>
      </c>
      <c r="D382" t="s">
        <v>25</v>
      </c>
      <c r="E382" t="s">
        <v>16</v>
      </c>
      <c r="F382">
        <v>2021</v>
      </c>
      <c r="G382" s="55">
        <f>10^6*IF($E382="charcoal",params!$P$13*INDEX(BAU_Fuel_cons!$E$2:$AS$34,MATCH(D382&amp;"_"&amp;E382,BAU_Fuel_cons!$AT$2:$AT$34,0),MATCH(F382,BAU_Fuel_cons!$E$1:$AS$1,0)),INDEX(BAU_Fuel_cons!$E$2:$AS$34,MATCH(D382&amp;"_"&amp;E382,BAU_Fuel_cons!$AT$2:$AT$34,0),MATCH(F382,BAU_Fuel_cons!$E$1:$AS$1,0)))</f>
        <v>0</v>
      </c>
      <c r="H382" s="55">
        <f>G382+10^6*IF($E382="charcoal",params!$P$13*SUMIFS(nonresidential!$L:$L,nonresidential!$A:$A,$F382,nonresidential!$B:$B,$E382,nonresidential!$C:$C,$D382),SUMIFS(nonresidential!$L:$L,nonresidential!$A:$A,$F382,nonresidential!$B:$B,$E382,nonresidential!$C:$C,$D382))</f>
        <v>0</v>
      </c>
      <c r="I382">
        <f>1</f>
        <v>1</v>
      </c>
    </row>
    <row r="383" spans="1:9">
      <c r="A383" t="s">
        <v>211</v>
      </c>
      <c r="B383" t="s">
        <v>162</v>
      </c>
      <c r="C383" t="s">
        <v>269</v>
      </c>
      <c r="D383" t="s">
        <v>25</v>
      </c>
      <c r="E383" t="s">
        <v>16</v>
      </c>
      <c r="F383">
        <v>2022</v>
      </c>
      <c r="G383" s="55">
        <f>10^6*IF($E383="charcoal",params!$P$13*INDEX(BAU_Fuel_cons!$E$2:$AS$34,MATCH(D383&amp;"_"&amp;E383,BAU_Fuel_cons!$AT$2:$AT$34,0),MATCH(F383,BAU_Fuel_cons!$E$1:$AS$1,0)),INDEX(BAU_Fuel_cons!$E$2:$AS$34,MATCH(D383&amp;"_"&amp;E383,BAU_Fuel_cons!$AT$2:$AT$34,0),MATCH(F383,BAU_Fuel_cons!$E$1:$AS$1,0)))</f>
        <v>0</v>
      </c>
      <c r="H383" s="55">
        <f>G383+10^6*IF($E383="charcoal",params!$P$13*SUMIFS(nonresidential!$L:$L,nonresidential!$A:$A,$F383,nonresidential!$B:$B,$E383,nonresidential!$C:$C,$D383),SUMIFS(nonresidential!$L:$L,nonresidential!$A:$A,$F383,nonresidential!$B:$B,$E383,nonresidential!$C:$C,$D383))</f>
        <v>0</v>
      </c>
      <c r="I383">
        <f>1</f>
        <v>1</v>
      </c>
    </row>
    <row r="384" spans="1:9">
      <c r="A384" t="s">
        <v>211</v>
      </c>
      <c r="B384" t="s">
        <v>162</v>
      </c>
      <c r="C384" t="s">
        <v>269</v>
      </c>
      <c r="D384" t="s">
        <v>25</v>
      </c>
      <c r="E384" t="s">
        <v>16</v>
      </c>
      <c r="F384">
        <v>2023</v>
      </c>
      <c r="G384" s="55">
        <f>10^6*IF($E384="charcoal",params!$P$13*INDEX(BAU_Fuel_cons!$E$2:$AS$34,MATCH(D384&amp;"_"&amp;E384,BAU_Fuel_cons!$AT$2:$AT$34,0),MATCH(F384,BAU_Fuel_cons!$E$1:$AS$1,0)),INDEX(BAU_Fuel_cons!$E$2:$AS$34,MATCH(D384&amp;"_"&amp;E384,BAU_Fuel_cons!$AT$2:$AT$34,0),MATCH(F384,BAU_Fuel_cons!$E$1:$AS$1,0)))</f>
        <v>0</v>
      </c>
      <c r="H384" s="55">
        <f>G384+10^6*IF($E384="charcoal",params!$P$13*SUMIFS(nonresidential!$L:$L,nonresidential!$A:$A,$F384,nonresidential!$B:$B,$E384,nonresidential!$C:$C,$D384),SUMIFS(nonresidential!$L:$L,nonresidential!$A:$A,$F384,nonresidential!$B:$B,$E384,nonresidential!$C:$C,$D384))</f>
        <v>0</v>
      </c>
      <c r="I384">
        <f>1</f>
        <v>1</v>
      </c>
    </row>
    <row r="385" spans="1:9">
      <c r="A385" t="s">
        <v>211</v>
      </c>
      <c r="B385" t="s">
        <v>162</v>
      </c>
      <c r="C385" t="s">
        <v>269</v>
      </c>
      <c r="D385" t="s">
        <v>25</v>
      </c>
      <c r="E385" t="s">
        <v>16</v>
      </c>
      <c r="F385">
        <v>2024</v>
      </c>
      <c r="G385" s="55">
        <f>10^6*IF($E385="charcoal",params!$P$13*INDEX(BAU_Fuel_cons!$E$2:$AS$34,MATCH(D385&amp;"_"&amp;E385,BAU_Fuel_cons!$AT$2:$AT$34,0),MATCH(F385,BAU_Fuel_cons!$E$1:$AS$1,0)),INDEX(BAU_Fuel_cons!$E$2:$AS$34,MATCH(D385&amp;"_"&amp;E385,BAU_Fuel_cons!$AT$2:$AT$34,0),MATCH(F385,BAU_Fuel_cons!$E$1:$AS$1,0)))</f>
        <v>0</v>
      </c>
      <c r="H385" s="55">
        <f>G385+10^6*IF($E385="charcoal",params!$P$13*SUMIFS(nonresidential!$L:$L,nonresidential!$A:$A,$F385,nonresidential!$B:$B,$E385,nonresidential!$C:$C,$D385),SUMIFS(nonresidential!$L:$L,nonresidential!$A:$A,$F385,nonresidential!$B:$B,$E385,nonresidential!$C:$C,$D385))</f>
        <v>0</v>
      </c>
      <c r="I385">
        <f>1</f>
        <v>1</v>
      </c>
    </row>
    <row r="386" spans="1:9">
      <c r="A386" t="s">
        <v>211</v>
      </c>
      <c r="B386" t="s">
        <v>162</v>
      </c>
      <c r="C386" t="s">
        <v>269</v>
      </c>
      <c r="D386" t="s">
        <v>25</v>
      </c>
      <c r="E386" t="s">
        <v>16</v>
      </c>
      <c r="F386">
        <v>2025</v>
      </c>
      <c r="G386" s="55">
        <f>10^6*IF($E386="charcoal",params!$P$13*INDEX(BAU_Fuel_cons!$E$2:$AS$34,MATCH(D386&amp;"_"&amp;E386,BAU_Fuel_cons!$AT$2:$AT$34,0),MATCH(F386,BAU_Fuel_cons!$E$1:$AS$1,0)),INDEX(BAU_Fuel_cons!$E$2:$AS$34,MATCH(D386&amp;"_"&amp;E386,BAU_Fuel_cons!$AT$2:$AT$34,0),MATCH(F386,BAU_Fuel_cons!$E$1:$AS$1,0)))</f>
        <v>0</v>
      </c>
      <c r="H386" s="55">
        <f>G386+10^6*IF($E386="charcoal",params!$P$13*SUMIFS(nonresidential!$L:$L,nonresidential!$A:$A,$F386,nonresidential!$B:$B,$E386,nonresidential!$C:$C,$D386),SUMIFS(nonresidential!$L:$L,nonresidential!$A:$A,$F386,nonresidential!$B:$B,$E386,nonresidential!$C:$C,$D386))</f>
        <v>0</v>
      </c>
      <c r="I386">
        <f>1</f>
        <v>1</v>
      </c>
    </row>
    <row r="387" spans="1:9">
      <c r="A387" t="s">
        <v>211</v>
      </c>
      <c r="B387" t="s">
        <v>162</v>
      </c>
      <c r="C387" t="s">
        <v>269</v>
      </c>
      <c r="D387" t="s">
        <v>25</v>
      </c>
      <c r="E387" t="s">
        <v>16</v>
      </c>
      <c r="F387">
        <v>2026</v>
      </c>
      <c r="G387" s="55">
        <f>10^6*IF($E387="charcoal",params!$P$13*INDEX(BAU_Fuel_cons!$E$2:$AS$34,MATCH(D387&amp;"_"&amp;E387,BAU_Fuel_cons!$AT$2:$AT$34,0),MATCH(F387,BAU_Fuel_cons!$E$1:$AS$1,0)),INDEX(BAU_Fuel_cons!$E$2:$AS$34,MATCH(D387&amp;"_"&amp;E387,BAU_Fuel_cons!$AT$2:$AT$34,0),MATCH(F387,BAU_Fuel_cons!$E$1:$AS$1,0)))</f>
        <v>0</v>
      </c>
      <c r="H387" s="55">
        <f>G387+10^6*IF($E387="charcoal",params!$P$13*SUMIFS(nonresidential!$L:$L,nonresidential!$A:$A,$F387,nonresidential!$B:$B,$E387,nonresidential!$C:$C,$D387),SUMIFS(nonresidential!$L:$L,nonresidential!$A:$A,$F387,nonresidential!$B:$B,$E387,nonresidential!$C:$C,$D387))</f>
        <v>0</v>
      </c>
      <c r="I387">
        <f>1</f>
        <v>1</v>
      </c>
    </row>
    <row r="388" spans="1:9">
      <c r="A388" t="s">
        <v>211</v>
      </c>
      <c r="B388" t="s">
        <v>162</v>
      </c>
      <c r="C388" t="s">
        <v>269</v>
      </c>
      <c r="D388" t="s">
        <v>25</v>
      </c>
      <c r="E388" t="s">
        <v>16</v>
      </c>
      <c r="F388">
        <v>2027</v>
      </c>
      <c r="G388" s="55">
        <f>10^6*IF($E388="charcoal",params!$P$13*INDEX(BAU_Fuel_cons!$E$2:$AS$34,MATCH(D388&amp;"_"&amp;E388,BAU_Fuel_cons!$AT$2:$AT$34,0),MATCH(F388,BAU_Fuel_cons!$E$1:$AS$1,0)),INDEX(BAU_Fuel_cons!$E$2:$AS$34,MATCH(D388&amp;"_"&amp;E388,BAU_Fuel_cons!$AT$2:$AT$34,0),MATCH(F388,BAU_Fuel_cons!$E$1:$AS$1,0)))</f>
        <v>0</v>
      </c>
      <c r="H388" s="55">
        <f>G388+10^6*IF($E388="charcoal",params!$P$13*SUMIFS(nonresidential!$L:$L,nonresidential!$A:$A,$F388,nonresidential!$B:$B,$E388,nonresidential!$C:$C,$D388),SUMIFS(nonresidential!$L:$L,nonresidential!$A:$A,$F388,nonresidential!$B:$B,$E388,nonresidential!$C:$C,$D388))</f>
        <v>0</v>
      </c>
      <c r="I388">
        <f>1</f>
        <v>1</v>
      </c>
    </row>
    <row r="389" spans="1:9">
      <c r="A389" t="s">
        <v>211</v>
      </c>
      <c r="B389" t="s">
        <v>162</v>
      </c>
      <c r="C389" t="s">
        <v>269</v>
      </c>
      <c r="D389" t="s">
        <v>25</v>
      </c>
      <c r="E389" t="s">
        <v>16</v>
      </c>
      <c r="F389">
        <v>2028</v>
      </c>
      <c r="G389" s="55">
        <f>10^6*IF($E389="charcoal",params!$P$13*INDEX(BAU_Fuel_cons!$E$2:$AS$34,MATCH(D389&amp;"_"&amp;E389,BAU_Fuel_cons!$AT$2:$AT$34,0),MATCH(F389,BAU_Fuel_cons!$E$1:$AS$1,0)),INDEX(BAU_Fuel_cons!$E$2:$AS$34,MATCH(D389&amp;"_"&amp;E389,BAU_Fuel_cons!$AT$2:$AT$34,0),MATCH(F389,BAU_Fuel_cons!$E$1:$AS$1,0)))</f>
        <v>0</v>
      </c>
      <c r="H389" s="55">
        <f>G389+10^6*IF($E389="charcoal",params!$P$13*SUMIFS(nonresidential!$L:$L,nonresidential!$A:$A,$F389,nonresidential!$B:$B,$E389,nonresidential!$C:$C,$D389),SUMIFS(nonresidential!$L:$L,nonresidential!$A:$A,$F389,nonresidential!$B:$B,$E389,nonresidential!$C:$C,$D389))</f>
        <v>0</v>
      </c>
      <c r="I389">
        <f>1</f>
        <v>1</v>
      </c>
    </row>
    <row r="390" spans="1:9">
      <c r="A390" t="s">
        <v>211</v>
      </c>
      <c r="B390" t="s">
        <v>162</v>
      </c>
      <c r="C390" t="s">
        <v>269</v>
      </c>
      <c r="D390" t="s">
        <v>25</v>
      </c>
      <c r="E390" t="s">
        <v>16</v>
      </c>
      <c r="F390">
        <v>2029</v>
      </c>
      <c r="G390" s="55">
        <f>10^6*IF($E390="charcoal",params!$P$13*INDEX(BAU_Fuel_cons!$E$2:$AS$34,MATCH(D390&amp;"_"&amp;E390,BAU_Fuel_cons!$AT$2:$AT$34,0),MATCH(F390,BAU_Fuel_cons!$E$1:$AS$1,0)),INDEX(BAU_Fuel_cons!$E$2:$AS$34,MATCH(D390&amp;"_"&amp;E390,BAU_Fuel_cons!$AT$2:$AT$34,0),MATCH(F390,BAU_Fuel_cons!$E$1:$AS$1,0)))</f>
        <v>0</v>
      </c>
      <c r="H390" s="55">
        <f>G390+10^6*IF($E390="charcoal",params!$P$13*SUMIFS(nonresidential!$L:$L,nonresidential!$A:$A,$F390,nonresidential!$B:$B,$E390,nonresidential!$C:$C,$D390),SUMIFS(nonresidential!$L:$L,nonresidential!$A:$A,$F390,nonresidential!$B:$B,$E390,nonresidential!$C:$C,$D390))</f>
        <v>0</v>
      </c>
      <c r="I390">
        <f>1</f>
        <v>1</v>
      </c>
    </row>
    <row r="391" spans="1:9">
      <c r="A391" t="s">
        <v>211</v>
      </c>
      <c r="B391" t="s">
        <v>162</v>
      </c>
      <c r="C391" t="s">
        <v>269</v>
      </c>
      <c r="D391" t="s">
        <v>25</v>
      </c>
      <c r="E391" t="s">
        <v>16</v>
      </c>
      <c r="F391">
        <v>2030</v>
      </c>
      <c r="G391" s="55">
        <f>10^6*IF($E391="charcoal",params!$P$13*INDEX(BAU_Fuel_cons!$E$2:$AS$34,MATCH(D391&amp;"_"&amp;E391,BAU_Fuel_cons!$AT$2:$AT$34,0),MATCH(F391,BAU_Fuel_cons!$E$1:$AS$1,0)),INDEX(BAU_Fuel_cons!$E$2:$AS$34,MATCH(D391&amp;"_"&amp;E391,BAU_Fuel_cons!$AT$2:$AT$34,0),MATCH(F391,BAU_Fuel_cons!$E$1:$AS$1,0)))</f>
        <v>0</v>
      </c>
      <c r="H391" s="55">
        <f>G391+10^6*IF($E391="charcoal",params!$P$13*SUMIFS(nonresidential!$L:$L,nonresidential!$A:$A,$F391,nonresidential!$B:$B,$E391,nonresidential!$C:$C,$D391),SUMIFS(nonresidential!$L:$L,nonresidential!$A:$A,$F391,nonresidential!$B:$B,$E391,nonresidential!$C:$C,$D391))</f>
        <v>0</v>
      </c>
      <c r="I391">
        <f>1</f>
        <v>1</v>
      </c>
    </row>
    <row r="392" spans="1:9">
      <c r="A392" t="s">
        <v>211</v>
      </c>
      <c r="B392" t="s">
        <v>162</v>
      </c>
      <c r="C392" t="s">
        <v>269</v>
      </c>
      <c r="D392" t="s">
        <v>25</v>
      </c>
      <c r="E392" t="s">
        <v>16</v>
      </c>
      <c r="F392">
        <v>2031</v>
      </c>
      <c r="G392" s="55">
        <f>10^6*IF($E392="charcoal",params!$P$13*INDEX(BAU_Fuel_cons!$E$2:$AS$34,MATCH(D392&amp;"_"&amp;E392,BAU_Fuel_cons!$AT$2:$AT$34,0),MATCH(F392,BAU_Fuel_cons!$E$1:$AS$1,0)),INDEX(BAU_Fuel_cons!$E$2:$AS$34,MATCH(D392&amp;"_"&amp;E392,BAU_Fuel_cons!$AT$2:$AT$34,0),MATCH(F392,BAU_Fuel_cons!$E$1:$AS$1,0)))</f>
        <v>0</v>
      </c>
      <c r="H392" s="55">
        <f>G392+10^6*IF($E392="charcoal",params!$P$13*SUMIFS(nonresidential!$L:$L,nonresidential!$A:$A,$F392,nonresidential!$B:$B,$E392,nonresidential!$C:$C,$D392),SUMIFS(nonresidential!$L:$L,nonresidential!$A:$A,$F392,nonresidential!$B:$B,$E392,nonresidential!$C:$C,$D392))</f>
        <v>0</v>
      </c>
      <c r="I392">
        <f>1</f>
        <v>1</v>
      </c>
    </row>
    <row r="393" spans="1:9">
      <c r="A393" t="s">
        <v>211</v>
      </c>
      <c r="B393" t="s">
        <v>162</v>
      </c>
      <c r="C393" t="s">
        <v>269</v>
      </c>
      <c r="D393" t="s">
        <v>25</v>
      </c>
      <c r="E393" t="s">
        <v>16</v>
      </c>
      <c r="F393">
        <v>2032</v>
      </c>
      <c r="G393" s="55">
        <f>10^6*IF($E393="charcoal",params!$P$13*INDEX(BAU_Fuel_cons!$E$2:$AS$34,MATCH(D393&amp;"_"&amp;E393,BAU_Fuel_cons!$AT$2:$AT$34,0),MATCH(F393,BAU_Fuel_cons!$E$1:$AS$1,0)),INDEX(BAU_Fuel_cons!$E$2:$AS$34,MATCH(D393&amp;"_"&amp;E393,BAU_Fuel_cons!$AT$2:$AT$34,0),MATCH(F393,BAU_Fuel_cons!$E$1:$AS$1,0)))</f>
        <v>0</v>
      </c>
      <c r="H393" s="55">
        <f>G393+10^6*IF($E393="charcoal",params!$P$13*SUMIFS(nonresidential!$L:$L,nonresidential!$A:$A,$F393,nonresidential!$B:$B,$E393,nonresidential!$C:$C,$D393),SUMIFS(nonresidential!$L:$L,nonresidential!$A:$A,$F393,nonresidential!$B:$B,$E393,nonresidential!$C:$C,$D393))</f>
        <v>0</v>
      </c>
      <c r="I393">
        <f>1</f>
        <v>1</v>
      </c>
    </row>
    <row r="394" spans="1:9">
      <c r="A394" t="s">
        <v>211</v>
      </c>
      <c r="B394" t="s">
        <v>162</v>
      </c>
      <c r="C394" t="s">
        <v>269</v>
      </c>
      <c r="D394" t="s">
        <v>25</v>
      </c>
      <c r="E394" t="s">
        <v>16</v>
      </c>
      <c r="F394">
        <v>2033</v>
      </c>
      <c r="G394" s="55">
        <f>10^6*IF($E394="charcoal",params!$P$13*INDEX(BAU_Fuel_cons!$E$2:$AS$34,MATCH(D394&amp;"_"&amp;E394,BAU_Fuel_cons!$AT$2:$AT$34,0),MATCH(F394,BAU_Fuel_cons!$E$1:$AS$1,0)),INDEX(BAU_Fuel_cons!$E$2:$AS$34,MATCH(D394&amp;"_"&amp;E394,BAU_Fuel_cons!$AT$2:$AT$34,0),MATCH(F394,BAU_Fuel_cons!$E$1:$AS$1,0)))</f>
        <v>0</v>
      </c>
      <c r="H394" s="55">
        <f>G394+10^6*IF($E394="charcoal",params!$P$13*SUMIFS(nonresidential!$L:$L,nonresidential!$A:$A,$F394,nonresidential!$B:$B,$E394,nonresidential!$C:$C,$D394),SUMIFS(nonresidential!$L:$L,nonresidential!$A:$A,$F394,nonresidential!$B:$B,$E394,nonresidential!$C:$C,$D394))</f>
        <v>0</v>
      </c>
      <c r="I394">
        <f>1</f>
        <v>1</v>
      </c>
    </row>
    <row r="395" spans="1:9">
      <c r="A395" t="s">
        <v>211</v>
      </c>
      <c r="B395" t="s">
        <v>162</v>
      </c>
      <c r="C395" t="s">
        <v>269</v>
      </c>
      <c r="D395" t="s">
        <v>25</v>
      </c>
      <c r="E395" t="s">
        <v>16</v>
      </c>
      <c r="F395">
        <v>2034</v>
      </c>
      <c r="G395" s="55">
        <f>10^6*IF($E395="charcoal",params!$P$13*INDEX(BAU_Fuel_cons!$E$2:$AS$34,MATCH(D395&amp;"_"&amp;E395,BAU_Fuel_cons!$AT$2:$AT$34,0),MATCH(F395,BAU_Fuel_cons!$E$1:$AS$1,0)),INDEX(BAU_Fuel_cons!$E$2:$AS$34,MATCH(D395&amp;"_"&amp;E395,BAU_Fuel_cons!$AT$2:$AT$34,0),MATCH(F395,BAU_Fuel_cons!$E$1:$AS$1,0)))</f>
        <v>0</v>
      </c>
      <c r="H395" s="55">
        <f>G395+10^6*IF($E395="charcoal",params!$P$13*SUMIFS(nonresidential!$L:$L,nonresidential!$A:$A,$F395,nonresidential!$B:$B,$E395,nonresidential!$C:$C,$D395),SUMIFS(nonresidential!$L:$L,nonresidential!$A:$A,$F395,nonresidential!$B:$B,$E395,nonresidential!$C:$C,$D395))</f>
        <v>0</v>
      </c>
      <c r="I395">
        <f>1</f>
        <v>1</v>
      </c>
    </row>
    <row r="396" spans="1:9">
      <c r="A396" t="s">
        <v>211</v>
      </c>
      <c r="B396" t="s">
        <v>162</v>
      </c>
      <c r="C396" t="s">
        <v>269</v>
      </c>
      <c r="D396" t="s">
        <v>25</v>
      </c>
      <c r="E396" t="s">
        <v>16</v>
      </c>
      <c r="F396">
        <v>2035</v>
      </c>
      <c r="G396" s="55">
        <f>10^6*IF($E396="charcoal",params!$P$13*INDEX(BAU_Fuel_cons!$E$2:$AS$34,MATCH(D396&amp;"_"&amp;E396,BAU_Fuel_cons!$AT$2:$AT$34,0),MATCH(F396,BAU_Fuel_cons!$E$1:$AS$1,0)),INDEX(BAU_Fuel_cons!$E$2:$AS$34,MATCH(D396&amp;"_"&amp;E396,BAU_Fuel_cons!$AT$2:$AT$34,0),MATCH(F396,BAU_Fuel_cons!$E$1:$AS$1,0)))</f>
        <v>0</v>
      </c>
      <c r="H396" s="55">
        <f>G396+10^6*IF($E396="charcoal",params!$P$13*SUMIFS(nonresidential!$L:$L,nonresidential!$A:$A,$F396,nonresidential!$B:$B,$E396,nonresidential!$C:$C,$D396),SUMIFS(nonresidential!$L:$L,nonresidential!$A:$A,$F396,nonresidential!$B:$B,$E396,nonresidential!$C:$C,$D396))</f>
        <v>0</v>
      </c>
      <c r="I396">
        <f>1</f>
        <v>1</v>
      </c>
    </row>
    <row r="397" spans="1:9">
      <c r="A397" t="s">
        <v>211</v>
      </c>
      <c r="B397" t="s">
        <v>162</v>
      </c>
      <c r="C397" t="s">
        <v>269</v>
      </c>
      <c r="D397" t="s">
        <v>25</v>
      </c>
      <c r="E397" t="s">
        <v>16</v>
      </c>
      <c r="F397">
        <v>2036</v>
      </c>
      <c r="G397" s="55">
        <f>10^6*IF($E397="charcoal",params!$P$13*INDEX(BAU_Fuel_cons!$E$2:$AS$34,MATCH(D397&amp;"_"&amp;E397,BAU_Fuel_cons!$AT$2:$AT$34,0),MATCH(F397,BAU_Fuel_cons!$E$1:$AS$1,0)),INDEX(BAU_Fuel_cons!$E$2:$AS$34,MATCH(D397&amp;"_"&amp;E397,BAU_Fuel_cons!$AT$2:$AT$34,0),MATCH(F397,BAU_Fuel_cons!$E$1:$AS$1,0)))</f>
        <v>0</v>
      </c>
      <c r="H397" s="55">
        <f>G397+10^6*IF($E397="charcoal",params!$P$13*SUMIFS(nonresidential!$L:$L,nonresidential!$A:$A,$F397,nonresidential!$B:$B,$E397,nonresidential!$C:$C,$D397),SUMIFS(nonresidential!$L:$L,nonresidential!$A:$A,$F397,nonresidential!$B:$B,$E397,nonresidential!$C:$C,$D397))</f>
        <v>0</v>
      </c>
      <c r="I397">
        <f>1</f>
        <v>1</v>
      </c>
    </row>
    <row r="398" spans="1:9">
      <c r="A398" t="s">
        <v>211</v>
      </c>
      <c r="B398" t="s">
        <v>162</v>
      </c>
      <c r="C398" t="s">
        <v>269</v>
      </c>
      <c r="D398" t="s">
        <v>25</v>
      </c>
      <c r="E398" t="s">
        <v>16</v>
      </c>
      <c r="F398">
        <v>2037</v>
      </c>
      <c r="G398" s="55">
        <f>10^6*IF($E398="charcoal",params!$P$13*INDEX(BAU_Fuel_cons!$E$2:$AS$34,MATCH(D398&amp;"_"&amp;E398,BAU_Fuel_cons!$AT$2:$AT$34,0),MATCH(F398,BAU_Fuel_cons!$E$1:$AS$1,0)),INDEX(BAU_Fuel_cons!$E$2:$AS$34,MATCH(D398&amp;"_"&amp;E398,BAU_Fuel_cons!$AT$2:$AT$34,0),MATCH(F398,BAU_Fuel_cons!$E$1:$AS$1,0)))</f>
        <v>0</v>
      </c>
      <c r="H398" s="55">
        <f>G398+10^6*IF($E398="charcoal",params!$P$13*SUMIFS(nonresidential!$L:$L,nonresidential!$A:$A,$F398,nonresidential!$B:$B,$E398,nonresidential!$C:$C,$D398),SUMIFS(nonresidential!$L:$L,nonresidential!$A:$A,$F398,nonresidential!$B:$B,$E398,nonresidential!$C:$C,$D398))</f>
        <v>0</v>
      </c>
      <c r="I398">
        <f>1</f>
        <v>1</v>
      </c>
    </row>
    <row r="399" spans="1:9">
      <c r="A399" t="s">
        <v>211</v>
      </c>
      <c r="B399" t="s">
        <v>162</v>
      </c>
      <c r="C399" t="s">
        <v>269</v>
      </c>
      <c r="D399" t="s">
        <v>25</v>
      </c>
      <c r="E399" t="s">
        <v>16</v>
      </c>
      <c r="F399">
        <v>2038</v>
      </c>
      <c r="G399" s="55">
        <f>10^6*IF($E399="charcoal",params!$P$13*INDEX(BAU_Fuel_cons!$E$2:$AS$34,MATCH(D399&amp;"_"&amp;E399,BAU_Fuel_cons!$AT$2:$AT$34,0),MATCH(F399,BAU_Fuel_cons!$E$1:$AS$1,0)),INDEX(BAU_Fuel_cons!$E$2:$AS$34,MATCH(D399&amp;"_"&amp;E399,BAU_Fuel_cons!$AT$2:$AT$34,0),MATCH(F399,BAU_Fuel_cons!$E$1:$AS$1,0)))</f>
        <v>0</v>
      </c>
      <c r="H399" s="55">
        <f>G399+10^6*IF($E399="charcoal",params!$P$13*SUMIFS(nonresidential!$L:$L,nonresidential!$A:$A,$F399,nonresidential!$B:$B,$E399,nonresidential!$C:$C,$D399),SUMIFS(nonresidential!$L:$L,nonresidential!$A:$A,$F399,nonresidential!$B:$B,$E399,nonresidential!$C:$C,$D399))</f>
        <v>0</v>
      </c>
      <c r="I399">
        <f>1</f>
        <v>1</v>
      </c>
    </row>
    <row r="400" spans="1:9">
      <c r="A400" t="s">
        <v>211</v>
      </c>
      <c r="B400" t="s">
        <v>162</v>
      </c>
      <c r="C400" t="s">
        <v>269</v>
      </c>
      <c r="D400" t="s">
        <v>25</v>
      </c>
      <c r="E400" t="s">
        <v>16</v>
      </c>
      <c r="F400">
        <v>2039</v>
      </c>
      <c r="G400" s="55">
        <f>10^6*IF($E400="charcoal",params!$P$13*INDEX(BAU_Fuel_cons!$E$2:$AS$34,MATCH(D400&amp;"_"&amp;E400,BAU_Fuel_cons!$AT$2:$AT$34,0),MATCH(F400,BAU_Fuel_cons!$E$1:$AS$1,0)),INDEX(BAU_Fuel_cons!$E$2:$AS$34,MATCH(D400&amp;"_"&amp;E400,BAU_Fuel_cons!$AT$2:$AT$34,0),MATCH(F400,BAU_Fuel_cons!$E$1:$AS$1,0)))</f>
        <v>0</v>
      </c>
      <c r="H400" s="55">
        <f>G400+10^6*IF($E400="charcoal",params!$P$13*SUMIFS(nonresidential!$L:$L,nonresidential!$A:$A,$F400,nonresidential!$B:$B,$E400,nonresidential!$C:$C,$D400),SUMIFS(nonresidential!$L:$L,nonresidential!$A:$A,$F400,nonresidential!$B:$B,$E400,nonresidential!$C:$C,$D400))</f>
        <v>0</v>
      </c>
      <c r="I400">
        <f>1</f>
        <v>1</v>
      </c>
    </row>
    <row r="401" spans="1:9">
      <c r="A401" t="s">
        <v>211</v>
      </c>
      <c r="B401" t="s">
        <v>162</v>
      </c>
      <c r="C401" t="s">
        <v>269</v>
      </c>
      <c r="D401" t="s">
        <v>25</v>
      </c>
      <c r="E401" t="s">
        <v>16</v>
      </c>
      <c r="F401">
        <v>2040</v>
      </c>
      <c r="G401" s="55">
        <f>10^6*IF($E401="charcoal",params!$P$13*INDEX(BAU_Fuel_cons!$E$2:$AS$34,MATCH(D401&amp;"_"&amp;E401,BAU_Fuel_cons!$AT$2:$AT$34,0),MATCH(F401,BAU_Fuel_cons!$E$1:$AS$1,0)),INDEX(BAU_Fuel_cons!$E$2:$AS$34,MATCH(D401&amp;"_"&amp;E401,BAU_Fuel_cons!$AT$2:$AT$34,0),MATCH(F401,BAU_Fuel_cons!$E$1:$AS$1,0)))</f>
        <v>0</v>
      </c>
      <c r="H401" s="55">
        <f>G401+10^6*IF($E401="charcoal",params!$P$13*SUMIFS(nonresidential!$L:$L,nonresidential!$A:$A,$F401,nonresidential!$B:$B,$E401,nonresidential!$C:$C,$D401),SUMIFS(nonresidential!$L:$L,nonresidential!$A:$A,$F401,nonresidential!$B:$B,$E401,nonresidential!$C:$C,$D401))</f>
        <v>0</v>
      </c>
      <c r="I401">
        <f>1</f>
        <v>1</v>
      </c>
    </row>
    <row r="402" spans="1:9">
      <c r="A402" t="s">
        <v>211</v>
      </c>
      <c r="B402" t="s">
        <v>162</v>
      </c>
      <c r="C402" t="s">
        <v>269</v>
      </c>
      <c r="D402" t="s">
        <v>25</v>
      </c>
      <c r="E402" t="s">
        <v>16</v>
      </c>
      <c r="F402">
        <v>2041</v>
      </c>
      <c r="G402" s="55">
        <f>10^6*IF($E402="charcoal",params!$P$13*INDEX(BAU_Fuel_cons!$E$2:$AS$34,MATCH(D402&amp;"_"&amp;E402,BAU_Fuel_cons!$AT$2:$AT$34,0),MATCH(F402,BAU_Fuel_cons!$E$1:$AS$1,0)),INDEX(BAU_Fuel_cons!$E$2:$AS$34,MATCH(D402&amp;"_"&amp;E402,BAU_Fuel_cons!$AT$2:$AT$34,0),MATCH(F402,BAU_Fuel_cons!$E$1:$AS$1,0)))</f>
        <v>0</v>
      </c>
      <c r="H402" s="55">
        <f>G402+10^6*IF($E402="charcoal",params!$P$13*SUMIFS(nonresidential!$L:$L,nonresidential!$A:$A,$F402,nonresidential!$B:$B,$E402,nonresidential!$C:$C,$D402),SUMIFS(nonresidential!$L:$L,nonresidential!$A:$A,$F402,nonresidential!$B:$B,$E402,nonresidential!$C:$C,$D402))</f>
        <v>0</v>
      </c>
      <c r="I402">
        <f>1</f>
        <v>1</v>
      </c>
    </row>
    <row r="403" spans="1:9">
      <c r="A403" t="s">
        <v>211</v>
      </c>
      <c r="B403" t="s">
        <v>162</v>
      </c>
      <c r="C403" t="s">
        <v>269</v>
      </c>
      <c r="D403" t="s">
        <v>25</v>
      </c>
      <c r="E403" t="s">
        <v>16</v>
      </c>
      <c r="F403">
        <v>2042</v>
      </c>
      <c r="G403" s="55">
        <f>10^6*IF($E403="charcoal",params!$P$13*INDEX(BAU_Fuel_cons!$E$2:$AS$34,MATCH(D403&amp;"_"&amp;E403,BAU_Fuel_cons!$AT$2:$AT$34,0),MATCH(F403,BAU_Fuel_cons!$E$1:$AS$1,0)),INDEX(BAU_Fuel_cons!$E$2:$AS$34,MATCH(D403&amp;"_"&amp;E403,BAU_Fuel_cons!$AT$2:$AT$34,0),MATCH(F403,BAU_Fuel_cons!$E$1:$AS$1,0)))</f>
        <v>0</v>
      </c>
      <c r="H403" s="55">
        <f>G403+10^6*IF($E403="charcoal",params!$P$13*SUMIFS(nonresidential!$L:$L,nonresidential!$A:$A,$F403,nonresidential!$B:$B,$E403,nonresidential!$C:$C,$D403),SUMIFS(nonresidential!$L:$L,nonresidential!$A:$A,$F403,nonresidential!$B:$B,$E403,nonresidential!$C:$C,$D403))</f>
        <v>0</v>
      </c>
      <c r="I403">
        <f>1</f>
        <v>1</v>
      </c>
    </row>
    <row r="404" spans="1:9">
      <c r="A404" t="s">
        <v>211</v>
      </c>
      <c r="B404" t="s">
        <v>162</v>
      </c>
      <c r="C404" t="s">
        <v>269</v>
      </c>
      <c r="D404" t="s">
        <v>25</v>
      </c>
      <c r="E404" t="s">
        <v>16</v>
      </c>
      <c r="F404">
        <v>2043</v>
      </c>
      <c r="G404" s="55">
        <f>10^6*IF($E404="charcoal",params!$P$13*INDEX(BAU_Fuel_cons!$E$2:$AS$34,MATCH(D404&amp;"_"&amp;E404,BAU_Fuel_cons!$AT$2:$AT$34,0),MATCH(F404,BAU_Fuel_cons!$E$1:$AS$1,0)),INDEX(BAU_Fuel_cons!$E$2:$AS$34,MATCH(D404&amp;"_"&amp;E404,BAU_Fuel_cons!$AT$2:$AT$34,0),MATCH(F404,BAU_Fuel_cons!$E$1:$AS$1,0)))</f>
        <v>0</v>
      </c>
      <c r="H404" s="55">
        <f>G404+10^6*IF($E404="charcoal",params!$P$13*SUMIFS(nonresidential!$L:$L,nonresidential!$A:$A,$F404,nonresidential!$B:$B,$E404,nonresidential!$C:$C,$D404),SUMIFS(nonresidential!$L:$L,nonresidential!$A:$A,$F404,nonresidential!$B:$B,$E404,nonresidential!$C:$C,$D404))</f>
        <v>0</v>
      </c>
      <c r="I404">
        <f>1</f>
        <v>1</v>
      </c>
    </row>
    <row r="405" spans="1:9">
      <c r="A405" t="s">
        <v>211</v>
      </c>
      <c r="B405" t="s">
        <v>162</v>
      </c>
      <c r="C405" t="s">
        <v>269</v>
      </c>
      <c r="D405" t="s">
        <v>25</v>
      </c>
      <c r="E405" t="s">
        <v>16</v>
      </c>
      <c r="F405">
        <v>2044</v>
      </c>
      <c r="G405" s="55">
        <f>10^6*IF($E405="charcoal",params!$P$13*INDEX(BAU_Fuel_cons!$E$2:$AS$34,MATCH(D405&amp;"_"&amp;E405,BAU_Fuel_cons!$AT$2:$AT$34,0),MATCH(F405,BAU_Fuel_cons!$E$1:$AS$1,0)),INDEX(BAU_Fuel_cons!$E$2:$AS$34,MATCH(D405&amp;"_"&amp;E405,BAU_Fuel_cons!$AT$2:$AT$34,0),MATCH(F405,BAU_Fuel_cons!$E$1:$AS$1,0)))</f>
        <v>0</v>
      </c>
      <c r="H405" s="55">
        <f>G405+10^6*IF($E405="charcoal",params!$P$13*SUMIFS(nonresidential!$L:$L,nonresidential!$A:$A,$F405,nonresidential!$B:$B,$E405,nonresidential!$C:$C,$D405),SUMIFS(nonresidential!$L:$L,nonresidential!$A:$A,$F405,nonresidential!$B:$B,$E405,nonresidential!$C:$C,$D405))</f>
        <v>0</v>
      </c>
      <c r="I405">
        <f>1</f>
        <v>1</v>
      </c>
    </row>
    <row r="406" spans="1:9">
      <c r="A406" t="s">
        <v>211</v>
      </c>
      <c r="B406" t="s">
        <v>162</v>
      </c>
      <c r="C406" t="s">
        <v>269</v>
      </c>
      <c r="D406" t="s">
        <v>25</v>
      </c>
      <c r="E406" t="s">
        <v>16</v>
      </c>
      <c r="F406">
        <v>2045</v>
      </c>
      <c r="G406" s="55">
        <f>10^6*IF($E406="charcoal",params!$P$13*INDEX(BAU_Fuel_cons!$E$2:$AS$34,MATCH(D406&amp;"_"&amp;E406,BAU_Fuel_cons!$AT$2:$AT$34,0),MATCH(F406,BAU_Fuel_cons!$E$1:$AS$1,0)),INDEX(BAU_Fuel_cons!$E$2:$AS$34,MATCH(D406&amp;"_"&amp;E406,BAU_Fuel_cons!$AT$2:$AT$34,0),MATCH(F406,BAU_Fuel_cons!$E$1:$AS$1,0)))</f>
        <v>0</v>
      </c>
      <c r="H406" s="55">
        <f>G406+10^6*IF($E406="charcoal",params!$P$13*SUMIFS(nonresidential!$L:$L,nonresidential!$A:$A,$F406,nonresidential!$B:$B,$E406,nonresidential!$C:$C,$D406),SUMIFS(nonresidential!$L:$L,nonresidential!$A:$A,$F406,nonresidential!$B:$B,$E406,nonresidential!$C:$C,$D406))</f>
        <v>0</v>
      </c>
      <c r="I406">
        <f>1</f>
        <v>1</v>
      </c>
    </row>
    <row r="407" spans="1:9">
      <c r="A407" t="s">
        <v>211</v>
      </c>
      <c r="B407" t="s">
        <v>162</v>
      </c>
      <c r="C407" t="s">
        <v>269</v>
      </c>
      <c r="D407" t="s">
        <v>25</v>
      </c>
      <c r="E407" t="s">
        <v>16</v>
      </c>
      <c r="F407">
        <v>2046</v>
      </c>
      <c r="G407" s="55">
        <f>10^6*IF($E407="charcoal",params!$P$13*INDEX(BAU_Fuel_cons!$E$2:$AS$34,MATCH(D407&amp;"_"&amp;E407,BAU_Fuel_cons!$AT$2:$AT$34,0),MATCH(F407,BAU_Fuel_cons!$E$1:$AS$1,0)),INDEX(BAU_Fuel_cons!$E$2:$AS$34,MATCH(D407&amp;"_"&amp;E407,BAU_Fuel_cons!$AT$2:$AT$34,0),MATCH(F407,BAU_Fuel_cons!$E$1:$AS$1,0)))</f>
        <v>0</v>
      </c>
      <c r="H407" s="55">
        <f>G407+10^6*IF($E407="charcoal",params!$P$13*SUMIFS(nonresidential!$L:$L,nonresidential!$A:$A,$F407,nonresidential!$B:$B,$E407,nonresidential!$C:$C,$D407),SUMIFS(nonresidential!$L:$L,nonresidential!$A:$A,$F407,nonresidential!$B:$B,$E407,nonresidential!$C:$C,$D407))</f>
        <v>0</v>
      </c>
      <c r="I407">
        <f>1</f>
        <v>1</v>
      </c>
    </row>
    <row r="408" spans="1:9">
      <c r="A408" t="s">
        <v>211</v>
      </c>
      <c r="B408" t="s">
        <v>162</v>
      </c>
      <c r="C408" t="s">
        <v>269</v>
      </c>
      <c r="D408" t="s">
        <v>25</v>
      </c>
      <c r="E408" t="s">
        <v>16</v>
      </c>
      <c r="F408">
        <v>2047</v>
      </c>
      <c r="G408" s="55">
        <f>10^6*IF($E408="charcoal",params!$P$13*INDEX(BAU_Fuel_cons!$E$2:$AS$34,MATCH(D408&amp;"_"&amp;E408,BAU_Fuel_cons!$AT$2:$AT$34,0),MATCH(F408,BAU_Fuel_cons!$E$1:$AS$1,0)),INDEX(BAU_Fuel_cons!$E$2:$AS$34,MATCH(D408&amp;"_"&amp;E408,BAU_Fuel_cons!$AT$2:$AT$34,0),MATCH(F408,BAU_Fuel_cons!$E$1:$AS$1,0)))</f>
        <v>0</v>
      </c>
      <c r="H408" s="55">
        <f>G408+10^6*IF($E408="charcoal",params!$P$13*SUMIFS(nonresidential!$L:$L,nonresidential!$A:$A,$F408,nonresidential!$B:$B,$E408,nonresidential!$C:$C,$D408),SUMIFS(nonresidential!$L:$L,nonresidential!$A:$A,$F408,nonresidential!$B:$B,$E408,nonresidential!$C:$C,$D408))</f>
        <v>0</v>
      </c>
      <c r="I408">
        <f>1</f>
        <v>1</v>
      </c>
    </row>
    <row r="409" spans="1:9">
      <c r="A409" t="s">
        <v>211</v>
      </c>
      <c r="B409" t="s">
        <v>162</v>
      </c>
      <c r="C409" t="s">
        <v>269</v>
      </c>
      <c r="D409" t="s">
        <v>25</v>
      </c>
      <c r="E409" t="s">
        <v>16</v>
      </c>
      <c r="F409">
        <v>2048</v>
      </c>
      <c r="G409" s="55">
        <f>10^6*IF($E409="charcoal",params!$P$13*INDEX(BAU_Fuel_cons!$E$2:$AS$34,MATCH(D409&amp;"_"&amp;E409,BAU_Fuel_cons!$AT$2:$AT$34,0),MATCH(F409,BAU_Fuel_cons!$E$1:$AS$1,0)),INDEX(BAU_Fuel_cons!$E$2:$AS$34,MATCH(D409&amp;"_"&amp;E409,BAU_Fuel_cons!$AT$2:$AT$34,0),MATCH(F409,BAU_Fuel_cons!$E$1:$AS$1,0)))</f>
        <v>0</v>
      </c>
      <c r="H409" s="55">
        <f>G409+10^6*IF($E409="charcoal",params!$P$13*SUMIFS(nonresidential!$L:$L,nonresidential!$A:$A,$F409,nonresidential!$B:$B,$E409,nonresidential!$C:$C,$D409),SUMIFS(nonresidential!$L:$L,nonresidential!$A:$A,$F409,nonresidential!$B:$B,$E409,nonresidential!$C:$C,$D409))</f>
        <v>0</v>
      </c>
      <c r="I409">
        <f>1</f>
        <v>1</v>
      </c>
    </row>
    <row r="410" spans="1:9">
      <c r="A410" t="s">
        <v>211</v>
      </c>
      <c r="B410" t="s">
        <v>162</v>
      </c>
      <c r="C410" t="s">
        <v>269</v>
      </c>
      <c r="D410" t="s">
        <v>25</v>
      </c>
      <c r="E410" t="s">
        <v>16</v>
      </c>
      <c r="F410">
        <v>2049</v>
      </c>
      <c r="G410" s="55">
        <f>10^6*IF($E410="charcoal",params!$P$13*INDEX(BAU_Fuel_cons!$E$2:$AS$34,MATCH(D410&amp;"_"&amp;E410,BAU_Fuel_cons!$AT$2:$AT$34,0),MATCH(F410,BAU_Fuel_cons!$E$1:$AS$1,0)),INDEX(BAU_Fuel_cons!$E$2:$AS$34,MATCH(D410&amp;"_"&amp;E410,BAU_Fuel_cons!$AT$2:$AT$34,0),MATCH(F410,BAU_Fuel_cons!$E$1:$AS$1,0)))</f>
        <v>0</v>
      </c>
      <c r="H410" s="55">
        <f>G410+10^6*IF($E410="charcoal",params!$P$13*SUMIFS(nonresidential!$L:$L,nonresidential!$A:$A,$F410,nonresidential!$B:$B,$E410,nonresidential!$C:$C,$D410),SUMIFS(nonresidential!$L:$L,nonresidential!$A:$A,$F410,nonresidential!$B:$B,$E410,nonresidential!$C:$C,$D410))</f>
        <v>0</v>
      </c>
      <c r="I410">
        <f>1</f>
        <v>1</v>
      </c>
    </row>
    <row r="411" spans="1:9">
      <c r="A411" t="s">
        <v>211</v>
      </c>
      <c r="B411" t="s">
        <v>162</v>
      </c>
      <c r="C411" t="s">
        <v>269</v>
      </c>
      <c r="D411" t="s">
        <v>25</v>
      </c>
      <c r="E411" t="s">
        <v>16</v>
      </c>
      <c r="F411">
        <v>2050</v>
      </c>
      <c r="G411" s="55">
        <f>10^6*IF($E411="charcoal",params!$P$13*INDEX(BAU_Fuel_cons!$E$2:$AS$34,MATCH(D411&amp;"_"&amp;E411,BAU_Fuel_cons!$AT$2:$AT$34,0),MATCH(F411,BAU_Fuel_cons!$E$1:$AS$1,0)),INDEX(BAU_Fuel_cons!$E$2:$AS$34,MATCH(D411&amp;"_"&amp;E411,BAU_Fuel_cons!$AT$2:$AT$34,0),MATCH(F411,BAU_Fuel_cons!$E$1:$AS$1,0)))</f>
        <v>0</v>
      </c>
      <c r="H411" s="55">
        <f>G411+10^6*IF($E411="charcoal",params!$P$13*SUMIFS(nonresidential!$L:$L,nonresidential!$A:$A,$F411,nonresidential!$B:$B,$E411,nonresidential!$C:$C,$D411),SUMIFS(nonresidential!$L:$L,nonresidential!$A:$A,$F411,nonresidential!$B:$B,$E411,nonresidential!$C:$C,$D411))</f>
        <v>0</v>
      </c>
      <c r="I411">
        <f>1</f>
        <v>1</v>
      </c>
    </row>
    <row r="412" spans="1:9">
      <c r="A412" t="s">
        <v>211</v>
      </c>
      <c r="B412" t="s">
        <v>162</v>
      </c>
      <c r="C412" t="s">
        <v>269</v>
      </c>
      <c r="D412" t="s">
        <v>25</v>
      </c>
      <c r="E412" t="s">
        <v>17</v>
      </c>
      <c r="F412">
        <v>2010</v>
      </c>
      <c r="G412" s="55">
        <f>10^6*IF($E412="charcoal",params!$P$13*INDEX(BAU_Fuel_cons!$E$2:$AS$34,MATCH(D412&amp;"_"&amp;E412,BAU_Fuel_cons!$AT$2:$AT$34,0),MATCH(F412,BAU_Fuel_cons!$E$1:$AS$1,0)),INDEX(BAU_Fuel_cons!$E$2:$AS$34,MATCH(D412&amp;"_"&amp;E412,BAU_Fuel_cons!$AT$2:$AT$34,0),MATCH(F412,BAU_Fuel_cons!$E$1:$AS$1,0)))</f>
        <v>0</v>
      </c>
      <c r="H412" s="55">
        <f>G412+10^6*IF($E412="charcoal",params!$P$13*SUMIFS(nonresidential!$L:$L,nonresidential!$A:$A,$F412,nonresidential!$B:$B,$E412,nonresidential!$C:$C,$D412),SUMIFS(nonresidential!$L:$L,nonresidential!$A:$A,$F412,nonresidential!$B:$B,$E412,nonresidential!$C:$C,$D412))</f>
        <v>0</v>
      </c>
      <c r="I412">
        <f>1</f>
        <v>1</v>
      </c>
    </row>
    <row r="413" spans="1:9">
      <c r="A413" t="s">
        <v>211</v>
      </c>
      <c r="B413" t="s">
        <v>162</v>
      </c>
      <c r="C413" t="s">
        <v>269</v>
      </c>
      <c r="D413" t="s">
        <v>25</v>
      </c>
      <c r="E413" t="s">
        <v>17</v>
      </c>
      <c r="F413">
        <v>2011</v>
      </c>
      <c r="G413" s="55">
        <f>10^6*IF($E413="charcoal",params!$P$13*INDEX(BAU_Fuel_cons!$E$2:$AS$34,MATCH(D413&amp;"_"&amp;E413,BAU_Fuel_cons!$AT$2:$AT$34,0),MATCH(F413,BAU_Fuel_cons!$E$1:$AS$1,0)),INDEX(BAU_Fuel_cons!$E$2:$AS$34,MATCH(D413&amp;"_"&amp;E413,BAU_Fuel_cons!$AT$2:$AT$34,0),MATCH(F413,BAU_Fuel_cons!$E$1:$AS$1,0)))</f>
        <v>0</v>
      </c>
      <c r="H413" s="55">
        <f>G413+10^6*IF($E413="charcoal",params!$P$13*SUMIFS(nonresidential!$L:$L,nonresidential!$A:$A,$F413,nonresidential!$B:$B,$E413,nonresidential!$C:$C,$D413),SUMIFS(nonresidential!$L:$L,nonresidential!$A:$A,$F413,nonresidential!$B:$B,$E413,nonresidential!$C:$C,$D413))</f>
        <v>0</v>
      </c>
      <c r="I413">
        <f>1</f>
        <v>1</v>
      </c>
    </row>
    <row r="414" spans="1:9">
      <c r="A414" t="s">
        <v>211</v>
      </c>
      <c r="B414" t="s">
        <v>162</v>
      </c>
      <c r="C414" t="s">
        <v>269</v>
      </c>
      <c r="D414" t="s">
        <v>25</v>
      </c>
      <c r="E414" t="s">
        <v>17</v>
      </c>
      <c r="F414">
        <v>2012</v>
      </c>
      <c r="G414" s="55">
        <f>10^6*IF($E414="charcoal",params!$P$13*INDEX(BAU_Fuel_cons!$E$2:$AS$34,MATCH(D414&amp;"_"&amp;E414,BAU_Fuel_cons!$AT$2:$AT$34,0),MATCH(F414,BAU_Fuel_cons!$E$1:$AS$1,0)),INDEX(BAU_Fuel_cons!$E$2:$AS$34,MATCH(D414&amp;"_"&amp;E414,BAU_Fuel_cons!$AT$2:$AT$34,0),MATCH(F414,BAU_Fuel_cons!$E$1:$AS$1,0)))</f>
        <v>0</v>
      </c>
      <c r="H414" s="55">
        <f>G414+10^6*IF($E414="charcoal",params!$P$13*SUMIFS(nonresidential!$L:$L,nonresidential!$A:$A,$F414,nonresidential!$B:$B,$E414,nonresidential!$C:$C,$D414),SUMIFS(nonresidential!$L:$L,nonresidential!$A:$A,$F414,nonresidential!$B:$B,$E414,nonresidential!$C:$C,$D414))</f>
        <v>0</v>
      </c>
      <c r="I414">
        <f>1</f>
        <v>1</v>
      </c>
    </row>
    <row r="415" spans="1:9">
      <c r="A415" t="s">
        <v>211</v>
      </c>
      <c r="B415" t="s">
        <v>162</v>
      </c>
      <c r="C415" t="s">
        <v>269</v>
      </c>
      <c r="D415" t="s">
        <v>25</v>
      </c>
      <c r="E415" t="s">
        <v>17</v>
      </c>
      <c r="F415">
        <v>2013</v>
      </c>
      <c r="G415" s="55">
        <f>10^6*IF($E415="charcoal",params!$P$13*INDEX(BAU_Fuel_cons!$E$2:$AS$34,MATCH(D415&amp;"_"&amp;E415,BAU_Fuel_cons!$AT$2:$AT$34,0),MATCH(F415,BAU_Fuel_cons!$E$1:$AS$1,0)),INDEX(BAU_Fuel_cons!$E$2:$AS$34,MATCH(D415&amp;"_"&amp;E415,BAU_Fuel_cons!$AT$2:$AT$34,0),MATCH(F415,BAU_Fuel_cons!$E$1:$AS$1,0)))</f>
        <v>0</v>
      </c>
      <c r="H415" s="55">
        <f>G415+10^6*IF($E415="charcoal",params!$P$13*SUMIFS(nonresidential!$L:$L,nonresidential!$A:$A,$F415,nonresidential!$B:$B,$E415,nonresidential!$C:$C,$D415),SUMIFS(nonresidential!$L:$L,nonresidential!$A:$A,$F415,nonresidential!$B:$B,$E415,nonresidential!$C:$C,$D415))</f>
        <v>0</v>
      </c>
      <c r="I415">
        <f>1</f>
        <v>1</v>
      </c>
    </row>
    <row r="416" spans="1:9">
      <c r="A416" t="s">
        <v>211</v>
      </c>
      <c r="B416" t="s">
        <v>162</v>
      </c>
      <c r="C416" t="s">
        <v>269</v>
      </c>
      <c r="D416" t="s">
        <v>25</v>
      </c>
      <c r="E416" t="s">
        <v>17</v>
      </c>
      <c r="F416">
        <v>2014</v>
      </c>
      <c r="G416" s="55">
        <f>10^6*IF($E416="charcoal",params!$P$13*INDEX(BAU_Fuel_cons!$E$2:$AS$34,MATCH(D416&amp;"_"&amp;E416,BAU_Fuel_cons!$AT$2:$AT$34,0),MATCH(F416,BAU_Fuel_cons!$E$1:$AS$1,0)),INDEX(BAU_Fuel_cons!$E$2:$AS$34,MATCH(D416&amp;"_"&amp;E416,BAU_Fuel_cons!$AT$2:$AT$34,0),MATCH(F416,BAU_Fuel_cons!$E$1:$AS$1,0)))</f>
        <v>0</v>
      </c>
      <c r="H416" s="55">
        <f>G416+10^6*IF($E416="charcoal",params!$P$13*SUMIFS(nonresidential!$L:$L,nonresidential!$A:$A,$F416,nonresidential!$B:$B,$E416,nonresidential!$C:$C,$D416),SUMIFS(nonresidential!$L:$L,nonresidential!$A:$A,$F416,nonresidential!$B:$B,$E416,nonresidential!$C:$C,$D416))</f>
        <v>0</v>
      </c>
      <c r="I416">
        <f>1</f>
        <v>1</v>
      </c>
    </row>
    <row r="417" spans="1:9">
      <c r="A417" t="s">
        <v>211</v>
      </c>
      <c r="B417" t="s">
        <v>162</v>
      </c>
      <c r="C417" t="s">
        <v>269</v>
      </c>
      <c r="D417" t="s">
        <v>25</v>
      </c>
      <c r="E417" t="s">
        <v>17</v>
      </c>
      <c r="F417">
        <v>2015</v>
      </c>
      <c r="G417" s="55">
        <f>10^6*IF($E417="charcoal",params!$P$13*INDEX(BAU_Fuel_cons!$E$2:$AS$34,MATCH(D417&amp;"_"&amp;E417,BAU_Fuel_cons!$AT$2:$AT$34,0),MATCH(F417,BAU_Fuel_cons!$E$1:$AS$1,0)),INDEX(BAU_Fuel_cons!$E$2:$AS$34,MATCH(D417&amp;"_"&amp;E417,BAU_Fuel_cons!$AT$2:$AT$34,0),MATCH(F417,BAU_Fuel_cons!$E$1:$AS$1,0)))</f>
        <v>0</v>
      </c>
      <c r="H417" s="55">
        <f>G417+10^6*IF($E417="charcoal",params!$P$13*SUMIFS(nonresidential!$L:$L,nonresidential!$A:$A,$F417,nonresidential!$B:$B,$E417,nonresidential!$C:$C,$D417),SUMIFS(nonresidential!$L:$L,nonresidential!$A:$A,$F417,nonresidential!$B:$B,$E417,nonresidential!$C:$C,$D417))</f>
        <v>0</v>
      </c>
      <c r="I417">
        <f>1</f>
        <v>1</v>
      </c>
    </row>
    <row r="418" spans="1:9">
      <c r="A418" t="s">
        <v>211</v>
      </c>
      <c r="B418" t="s">
        <v>162</v>
      </c>
      <c r="C418" t="s">
        <v>269</v>
      </c>
      <c r="D418" t="s">
        <v>25</v>
      </c>
      <c r="E418" t="s">
        <v>17</v>
      </c>
      <c r="F418">
        <v>2016</v>
      </c>
      <c r="G418" s="55">
        <f>10^6*IF($E418="charcoal",params!$P$13*INDEX(BAU_Fuel_cons!$E$2:$AS$34,MATCH(D418&amp;"_"&amp;E418,BAU_Fuel_cons!$AT$2:$AT$34,0),MATCH(F418,BAU_Fuel_cons!$E$1:$AS$1,0)),INDEX(BAU_Fuel_cons!$E$2:$AS$34,MATCH(D418&amp;"_"&amp;E418,BAU_Fuel_cons!$AT$2:$AT$34,0),MATCH(F418,BAU_Fuel_cons!$E$1:$AS$1,0)))</f>
        <v>0</v>
      </c>
      <c r="H418" s="55">
        <f>G418+10^6*IF($E418="charcoal",params!$P$13*SUMIFS(nonresidential!$L:$L,nonresidential!$A:$A,$F418,nonresidential!$B:$B,$E418,nonresidential!$C:$C,$D418),SUMIFS(nonresidential!$L:$L,nonresidential!$A:$A,$F418,nonresidential!$B:$B,$E418,nonresidential!$C:$C,$D418))</f>
        <v>0</v>
      </c>
      <c r="I418">
        <f>1</f>
        <v>1</v>
      </c>
    </row>
    <row r="419" spans="1:9">
      <c r="A419" t="s">
        <v>211</v>
      </c>
      <c r="B419" t="s">
        <v>162</v>
      </c>
      <c r="C419" t="s">
        <v>269</v>
      </c>
      <c r="D419" t="s">
        <v>25</v>
      </c>
      <c r="E419" t="s">
        <v>17</v>
      </c>
      <c r="F419">
        <v>2017</v>
      </c>
      <c r="G419" s="55">
        <f>10^6*IF($E419="charcoal",params!$P$13*INDEX(BAU_Fuel_cons!$E$2:$AS$34,MATCH(D419&amp;"_"&amp;E419,BAU_Fuel_cons!$AT$2:$AT$34,0),MATCH(F419,BAU_Fuel_cons!$E$1:$AS$1,0)),INDEX(BAU_Fuel_cons!$E$2:$AS$34,MATCH(D419&amp;"_"&amp;E419,BAU_Fuel_cons!$AT$2:$AT$34,0),MATCH(F419,BAU_Fuel_cons!$E$1:$AS$1,0)))</f>
        <v>0</v>
      </c>
      <c r="H419" s="55">
        <f>G419+10^6*IF($E419="charcoal",params!$P$13*SUMIFS(nonresidential!$L:$L,nonresidential!$A:$A,$F419,nonresidential!$B:$B,$E419,nonresidential!$C:$C,$D419),SUMIFS(nonresidential!$L:$L,nonresidential!$A:$A,$F419,nonresidential!$B:$B,$E419,nonresidential!$C:$C,$D419))</f>
        <v>0</v>
      </c>
      <c r="I419">
        <f>1</f>
        <v>1</v>
      </c>
    </row>
    <row r="420" spans="1:9">
      <c r="A420" t="s">
        <v>211</v>
      </c>
      <c r="B420" t="s">
        <v>162</v>
      </c>
      <c r="C420" t="s">
        <v>269</v>
      </c>
      <c r="D420" t="s">
        <v>25</v>
      </c>
      <c r="E420" t="s">
        <v>17</v>
      </c>
      <c r="F420">
        <v>2018</v>
      </c>
      <c r="G420" s="55">
        <f>10^6*IF($E420="charcoal",params!$P$13*INDEX(BAU_Fuel_cons!$E$2:$AS$34,MATCH(D420&amp;"_"&amp;E420,BAU_Fuel_cons!$AT$2:$AT$34,0),MATCH(F420,BAU_Fuel_cons!$E$1:$AS$1,0)),INDEX(BAU_Fuel_cons!$E$2:$AS$34,MATCH(D420&amp;"_"&amp;E420,BAU_Fuel_cons!$AT$2:$AT$34,0),MATCH(F420,BAU_Fuel_cons!$E$1:$AS$1,0)))</f>
        <v>0</v>
      </c>
      <c r="H420" s="55">
        <f>G420+10^6*IF($E420="charcoal",params!$P$13*SUMIFS(nonresidential!$L:$L,nonresidential!$A:$A,$F420,nonresidential!$B:$B,$E420,nonresidential!$C:$C,$D420),SUMIFS(nonresidential!$L:$L,nonresidential!$A:$A,$F420,nonresidential!$B:$B,$E420,nonresidential!$C:$C,$D420))</f>
        <v>0</v>
      </c>
      <c r="I420">
        <f>1</f>
        <v>1</v>
      </c>
    </row>
    <row r="421" spans="1:9">
      <c r="A421" t="s">
        <v>211</v>
      </c>
      <c r="B421" t="s">
        <v>162</v>
      </c>
      <c r="C421" t="s">
        <v>269</v>
      </c>
      <c r="D421" t="s">
        <v>25</v>
      </c>
      <c r="E421" t="s">
        <v>17</v>
      </c>
      <c r="F421">
        <v>2019</v>
      </c>
      <c r="G421" s="55">
        <f>10^6*IF($E421="charcoal",params!$P$13*INDEX(BAU_Fuel_cons!$E$2:$AS$34,MATCH(D421&amp;"_"&amp;E421,BAU_Fuel_cons!$AT$2:$AT$34,0),MATCH(F421,BAU_Fuel_cons!$E$1:$AS$1,0)),INDEX(BAU_Fuel_cons!$E$2:$AS$34,MATCH(D421&amp;"_"&amp;E421,BAU_Fuel_cons!$AT$2:$AT$34,0),MATCH(F421,BAU_Fuel_cons!$E$1:$AS$1,0)))</f>
        <v>0</v>
      </c>
      <c r="H421" s="55">
        <f>G421+10^6*IF($E421="charcoal",params!$P$13*SUMIFS(nonresidential!$L:$L,nonresidential!$A:$A,$F421,nonresidential!$B:$B,$E421,nonresidential!$C:$C,$D421),SUMIFS(nonresidential!$L:$L,nonresidential!$A:$A,$F421,nonresidential!$B:$B,$E421,nonresidential!$C:$C,$D421))</f>
        <v>0</v>
      </c>
      <c r="I421">
        <f>1</f>
        <v>1</v>
      </c>
    </row>
    <row r="422" spans="1:9">
      <c r="A422" t="s">
        <v>211</v>
      </c>
      <c r="B422" t="s">
        <v>162</v>
      </c>
      <c r="C422" t="s">
        <v>269</v>
      </c>
      <c r="D422" t="s">
        <v>25</v>
      </c>
      <c r="E422" t="s">
        <v>17</v>
      </c>
      <c r="F422">
        <v>2020</v>
      </c>
      <c r="G422" s="55">
        <f>10^6*IF($E422="charcoal",params!$P$13*INDEX(BAU_Fuel_cons!$E$2:$AS$34,MATCH(D422&amp;"_"&amp;E422,BAU_Fuel_cons!$AT$2:$AT$34,0),MATCH(F422,BAU_Fuel_cons!$E$1:$AS$1,0)),INDEX(BAU_Fuel_cons!$E$2:$AS$34,MATCH(D422&amp;"_"&amp;E422,BAU_Fuel_cons!$AT$2:$AT$34,0),MATCH(F422,BAU_Fuel_cons!$E$1:$AS$1,0)))</f>
        <v>0</v>
      </c>
      <c r="H422" s="55">
        <f>G422+10^6*IF($E422="charcoal",params!$P$13*SUMIFS(nonresidential!$L:$L,nonresidential!$A:$A,$F422,nonresidential!$B:$B,$E422,nonresidential!$C:$C,$D422),SUMIFS(nonresidential!$L:$L,nonresidential!$A:$A,$F422,nonresidential!$B:$B,$E422,nonresidential!$C:$C,$D422))</f>
        <v>0</v>
      </c>
      <c r="I422">
        <f>1</f>
        <v>1</v>
      </c>
    </row>
    <row r="423" spans="1:9">
      <c r="A423" t="s">
        <v>211</v>
      </c>
      <c r="B423" t="s">
        <v>162</v>
      </c>
      <c r="C423" t="s">
        <v>269</v>
      </c>
      <c r="D423" t="s">
        <v>25</v>
      </c>
      <c r="E423" t="s">
        <v>17</v>
      </c>
      <c r="F423">
        <v>2021</v>
      </c>
      <c r="G423" s="55">
        <f>10^6*IF($E423="charcoal",params!$P$13*INDEX(BAU_Fuel_cons!$E$2:$AS$34,MATCH(D423&amp;"_"&amp;E423,BAU_Fuel_cons!$AT$2:$AT$34,0),MATCH(F423,BAU_Fuel_cons!$E$1:$AS$1,0)),INDEX(BAU_Fuel_cons!$E$2:$AS$34,MATCH(D423&amp;"_"&amp;E423,BAU_Fuel_cons!$AT$2:$AT$34,0),MATCH(F423,BAU_Fuel_cons!$E$1:$AS$1,0)))</f>
        <v>0</v>
      </c>
      <c r="H423" s="55">
        <f>G423+10^6*IF($E423="charcoal",params!$P$13*SUMIFS(nonresidential!$L:$L,nonresidential!$A:$A,$F423,nonresidential!$B:$B,$E423,nonresidential!$C:$C,$D423),SUMIFS(nonresidential!$L:$L,nonresidential!$A:$A,$F423,nonresidential!$B:$B,$E423,nonresidential!$C:$C,$D423))</f>
        <v>0</v>
      </c>
      <c r="I423">
        <f>1</f>
        <v>1</v>
      </c>
    </row>
    <row r="424" spans="1:9">
      <c r="A424" t="s">
        <v>211</v>
      </c>
      <c r="B424" t="s">
        <v>162</v>
      </c>
      <c r="C424" t="s">
        <v>269</v>
      </c>
      <c r="D424" t="s">
        <v>25</v>
      </c>
      <c r="E424" t="s">
        <v>17</v>
      </c>
      <c r="F424">
        <v>2022</v>
      </c>
      <c r="G424" s="55">
        <f>10^6*IF($E424="charcoal",params!$P$13*INDEX(BAU_Fuel_cons!$E$2:$AS$34,MATCH(D424&amp;"_"&amp;E424,BAU_Fuel_cons!$AT$2:$AT$34,0),MATCH(F424,BAU_Fuel_cons!$E$1:$AS$1,0)),INDEX(BAU_Fuel_cons!$E$2:$AS$34,MATCH(D424&amp;"_"&amp;E424,BAU_Fuel_cons!$AT$2:$AT$34,0),MATCH(F424,BAU_Fuel_cons!$E$1:$AS$1,0)))</f>
        <v>0</v>
      </c>
      <c r="H424" s="55">
        <f>G424+10^6*IF($E424="charcoal",params!$P$13*SUMIFS(nonresidential!$L:$L,nonresidential!$A:$A,$F424,nonresidential!$B:$B,$E424,nonresidential!$C:$C,$D424),SUMIFS(nonresidential!$L:$L,nonresidential!$A:$A,$F424,nonresidential!$B:$B,$E424,nonresidential!$C:$C,$D424))</f>
        <v>0</v>
      </c>
      <c r="I424">
        <f>1</f>
        <v>1</v>
      </c>
    </row>
    <row r="425" spans="1:9">
      <c r="A425" t="s">
        <v>211</v>
      </c>
      <c r="B425" t="s">
        <v>162</v>
      </c>
      <c r="C425" t="s">
        <v>269</v>
      </c>
      <c r="D425" t="s">
        <v>25</v>
      </c>
      <c r="E425" t="s">
        <v>17</v>
      </c>
      <c r="F425">
        <v>2023</v>
      </c>
      <c r="G425" s="55">
        <f>10^6*IF($E425="charcoal",params!$P$13*INDEX(BAU_Fuel_cons!$E$2:$AS$34,MATCH(D425&amp;"_"&amp;E425,BAU_Fuel_cons!$AT$2:$AT$34,0),MATCH(F425,BAU_Fuel_cons!$E$1:$AS$1,0)),INDEX(BAU_Fuel_cons!$E$2:$AS$34,MATCH(D425&amp;"_"&amp;E425,BAU_Fuel_cons!$AT$2:$AT$34,0),MATCH(F425,BAU_Fuel_cons!$E$1:$AS$1,0)))</f>
        <v>0</v>
      </c>
      <c r="H425" s="55">
        <f>G425+10^6*IF($E425="charcoal",params!$P$13*SUMIFS(nonresidential!$L:$L,nonresidential!$A:$A,$F425,nonresidential!$B:$B,$E425,nonresidential!$C:$C,$D425),SUMIFS(nonresidential!$L:$L,nonresidential!$A:$A,$F425,nonresidential!$B:$B,$E425,nonresidential!$C:$C,$D425))</f>
        <v>0</v>
      </c>
      <c r="I425">
        <f>1</f>
        <v>1</v>
      </c>
    </row>
    <row r="426" spans="1:9">
      <c r="A426" t="s">
        <v>211</v>
      </c>
      <c r="B426" t="s">
        <v>162</v>
      </c>
      <c r="C426" t="s">
        <v>269</v>
      </c>
      <c r="D426" t="s">
        <v>25</v>
      </c>
      <c r="E426" t="s">
        <v>17</v>
      </c>
      <c r="F426">
        <v>2024</v>
      </c>
      <c r="G426" s="55">
        <f>10^6*IF($E426="charcoal",params!$P$13*INDEX(BAU_Fuel_cons!$E$2:$AS$34,MATCH(D426&amp;"_"&amp;E426,BAU_Fuel_cons!$AT$2:$AT$34,0),MATCH(F426,BAU_Fuel_cons!$E$1:$AS$1,0)),INDEX(BAU_Fuel_cons!$E$2:$AS$34,MATCH(D426&amp;"_"&amp;E426,BAU_Fuel_cons!$AT$2:$AT$34,0),MATCH(F426,BAU_Fuel_cons!$E$1:$AS$1,0)))</f>
        <v>0</v>
      </c>
      <c r="H426" s="55">
        <f>G426+10^6*IF($E426="charcoal",params!$P$13*SUMIFS(nonresidential!$L:$L,nonresidential!$A:$A,$F426,nonresidential!$B:$B,$E426,nonresidential!$C:$C,$D426),SUMIFS(nonresidential!$L:$L,nonresidential!$A:$A,$F426,nonresidential!$B:$B,$E426,nonresidential!$C:$C,$D426))</f>
        <v>0</v>
      </c>
      <c r="I426">
        <f>1</f>
        <v>1</v>
      </c>
    </row>
    <row r="427" spans="1:9">
      <c r="A427" t="s">
        <v>211</v>
      </c>
      <c r="B427" t="s">
        <v>162</v>
      </c>
      <c r="C427" t="s">
        <v>269</v>
      </c>
      <c r="D427" t="s">
        <v>25</v>
      </c>
      <c r="E427" t="s">
        <v>17</v>
      </c>
      <c r="F427">
        <v>2025</v>
      </c>
      <c r="G427" s="55">
        <f>10^6*IF($E427="charcoal",params!$P$13*INDEX(BAU_Fuel_cons!$E$2:$AS$34,MATCH(D427&amp;"_"&amp;E427,BAU_Fuel_cons!$AT$2:$AT$34,0),MATCH(F427,BAU_Fuel_cons!$E$1:$AS$1,0)),INDEX(BAU_Fuel_cons!$E$2:$AS$34,MATCH(D427&amp;"_"&amp;E427,BAU_Fuel_cons!$AT$2:$AT$34,0),MATCH(F427,BAU_Fuel_cons!$E$1:$AS$1,0)))</f>
        <v>0</v>
      </c>
      <c r="H427" s="55">
        <f>G427+10^6*IF($E427="charcoal",params!$P$13*SUMIFS(nonresidential!$L:$L,nonresidential!$A:$A,$F427,nonresidential!$B:$B,$E427,nonresidential!$C:$C,$D427),SUMIFS(nonresidential!$L:$L,nonresidential!$A:$A,$F427,nonresidential!$B:$B,$E427,nonresidential!$C:$C,$D427))</f>
        <v>0</v>
      </c>
      <c r="I427">
        <f>1</f>
        <v>1</v>
      </c>
    </row>
    <row r="428" spans="1:9">
      <c r="A428" t="s">
        <v>211</v>
      </c>
      <c r="B428" t="s">
        <v>162</v>
      </c>
      <c r="C428" t="s">
        <v>269</v>
      </c>
      <c r="D428" t="s">
        <v>25</v>
      </c>
      <c r="E428" t="s">
        <v>17</v>
      </c>
      <c r="F428">
        <v>2026</v>
      </c>
      <c r="G428" s="55">
        <f>10^6*IF($E428="charcoal",params!$P$13*INDEX(BAU_Fuel_cons!$E$2:$AS$34,MATCH(D428&amp;"_"&amp;E428,BAU_Fuel_cons!$AT$2:$AT$34,0),MATCH(F428,BAU_Fuel_cons!$E$1:$AS$1,0)),INDEX(BAU_Fuel_cons!$E$2:$AS$34,MATCH(D428&amp;"_"&amp;E428,BAU_Fuel_cons!$AT$2:$AT$34,0),MATCH(F428,BAU_Fuel_cons!$E$1:$AS$1,0)))</f>
        <v>0</v>
      </c>
      <c r="H428" s="55">
        <f>G428+10^6*IF($E428="charcoal",params!$P$13*SUMIFS(nonresidential!$L:$L,nonresidential!$A:$A,$F428,nonresidential!$B:$B,$E428,nonresidential!$C:$C,$D428),SUMIFS(nonresidential!$L:$L,nonresidential!$A:$A,$F428,nonresidential!$B:$B,$E428,nonresidential!$C:$C,$D428))</f>
        <v>0</v>
      </c>
      <c r="I428">
        <f>1</f>
        <v>1</v>
      </c>
    </row>
    <row r="429" spans="1:9">
      <c r="A429" t="s">
        <v>211</v>
      </c>
      <c r="B429" t="s">
        <v>162</v>
      </c>
      <c r="C429" t="s">
        <v>269</v>
      </c>
      <c r="D429" t="s">
        <v>25</v>
      </c>
      <c r="E429" t="s">
        <v>17</v>
      </c>
      <c r="F429">
        <v>2027</v>
      </c>
      <c r="G429" s="55">
        <f>10^6*IF($E429="charcoal",params!$P$13*INDEX(BAU_Fuel_cons!$E$2:$AS$34,MATCH(D429&amp;"_"&amp;E429,BAU_Fuel_cons!$AT$2:$AT$34,0),MATCH(F429,BAU_Fuel_cons!$E$1:$AS$1,0)),INDEX(BAU_Fuel_cons!$E$2:$AS$34,MATCH(D429&amp;"_"&amp;E429,BAU_Fuel_cons!$AT$2:$AT$34,0),MATCH(F429,BAU_Fuel_cons!$E$1:$AS$1,0)))</f>
        <v>0</v>
      </c>
      <c r="H429" s="55">
        <f>G429+10^6*IF($E429="charcoal",params!$P$13*SUMIFS(nonresidential!$L:$L,nonresidential!$A:$A,$F429,nonresidential!$B:$B,$E429,nonresidential!$C:$C,$D429),SUMIFS(nonresidential!$L:$L,nonresidential!$A:$A,$F429,nonresidential!$B:$B,$E429,nonresidential!$C:$C,$D429))</f>
        <v>0</v>
      </c>
      <c r="I429">
        <f>1</f>
        <v>1</v>
      </c>
    </row>
    <row r="430" spans="1:9">
      <c r="A430" t="s">
        <v>211</v>
      </c>
      <c r="B430" t="s">
        <v>162</v>
      </c>
      <c r="C430" t="s">
        <v>269</v>
      </c>
      <c r="D430" t="s">
        <v>25</v>
      </c>
      <c r="E430" t="s">
        <v>17</v>
      </c>
      <c r="F430">
        <v>2028</v>
      </c>
      <c r="G430" s="55">
        <f>10^6*IF($E430="charcoal",params!$P$13*INDEX(BAU_Fuel_cons!$E$2:$AS$34,MATCH(D430&amp;"_"&amp;E430,BAU_Fuel_cons!$AT$2:$AT$34,0),MATCH(F430,BAU_Fuel_cons!$E$1:$AS$1,0)),INDEX(BAU_Fuel_cons!$E$2:$AS$34,MATCH(D430&amp;"_"&amp;E430,BAU_Fuel_cons!$AT$2:$AT$34,0),MATCH(F430,BAU_Fuel_cons!$E$1:$AS$1,0)))</f>
        <v>0</v>
      </c>
      <c r="H430" s="55">
        <f>G430+10^6*IF($E430="charcoal",params!$P$13*SUMIFS(nonresidential!$L:$L,nonresidential!$A:$A,$F430,nonresidential!$B:$B,$E430,nonresidential!$C:$C,$D430),SUMIFS(nonresidential!$L:$L,nonresidential!$A:$A,$F430,nonresidential!$B:$B,$E430,nonresidential!$C:$C,$D430))</f>
        <v>0</v>
      </c>
      <c r="I430">
        <f>1</f>
        <v>1</v>
      </c>
    </row>
    <row r="431" spans="1:9">
      <c r="A431" t="s">
        <v>211</v>
      </c>
      <c r="B431" t="s">
        <v>162</v>
      </c>
      <c r="C431" t="s">
        <v>269</v>
      </c>
      <c r="D431" t="s">
        <v>25</v>
      </c>
      <c r="E431" t="s">
        <v>17</v>
      </c>
      <c r="F431">
        <v>2029</v>
      </c>
      <c r="G431" s="55">
        <f>10^6*IF($E431="charcoal",params!$P$13*INDEX(BAU_Fuel_cons!$E$2:$AS$34,MATCH(D431&amp;"_"&amp;E431,BAU_Fuel_cons!$AT$2:$AT$34,0),MATCH(F431,BAU_Fuel_cons!$E$1:$AS$1,0)),INDEX(BAU_Fuel_cons!$E$2:$AS$34,MATCH(D431&amp;"_"&amp;E431,BAU_Fuel_cons!$AT$2:$AT$34,0),MATCH(F431,BAU_Fuel_cons!$E$1:$AS$1,0)))</f>
        <v>0</v>
      </c>
      <c r="H431" s="55">
        <f>G431+10^6*IF($E431="charcoal",params!$P$13*SUMIFS(nonresidential!$L:$L,nonresidential!$A:$A,$F431,nonresidential!$B:$B,$E431,nonresidential!$C:$C,$D431),SUMIFS(nonresidential!$L:$L,nonresidential!$A:$A,$F431,nonresidential!$B:$B,$E431,nonresidential!$C:$C,$D431))</f>
        <v>0</v>
      </c>
      <c r="I431">
        <f>1</f>
        <v>1</v>
      </c>
    </row>
    <row r="432" spans="1:9">
      <c r="A432" t="s">
        <v>211</v>
      </c>
      <c r="B432" t="s">
        <v>162</v>
      </c>
      <c r="C432" t="s">
        <v>269</v>
      </c>
      <c r="D432" t="s">
        <v>25</v>
      </c>
      <c r="E432" t="s">
        <v>17</v>
      </c>
      <c r="F432">
        <v>2030</v>
      </c>
      <c r="G432" s="55">
        <f>10^6*IF($E432="charcoal",params!$P$13*INDEX(BAU_Fuel_cons!$E$2:$AS$34,MATCH(D432&amp;"_"&amp;E432,BAU_Fuel_cons!$AT$2:$AT$34,0),MATCH(F432,BAU_Fuel_cons!$E$1:$AS$1,0)),INDEX(BAU_Fuel_cons!$E$2:$AS$34,MATCH(D432&amp;"_"&amp;E432,BAU_Fuel_cons!$AT$2:$AT$34,0),MATCH(F432,BAU_Fuel_cons!$E$1:$AS$1,0)))</f>
        <v>0</v>
      </c>
      <c r="H432" s="55">
        <f>G432+10^6*IF($E432="charcoal",params!$P$13*SUMIFS(nonresidential!$L:$L,nonresidential!$A:$A,$F432,nonresidential!$B:$B,$E432,nonresidential!$C:$C,$D432),SUMIFS(nonresidential!$L:$L,nonresidential!$A:$A,$F432,nonresidential!$B:$B,$E432,nonresidential!$C:$C,$D432))</f>
        <v>0</v>
      </c>
      <c r="I432">
        <f>1</f>
        <v>1</v>
      </c>
    </row>
    <row r="433" spans="1:9">
      <c r="A433" t="s">
        <v>211</v>
      </c>
      <c r="B433" t="s">
        <v>162</v>
      </c>
      <c r="C433" t="s">
        <v>269</v>
      </c>
      <c r="D433" t="s">
        <v>25</v>
      </c>
      <c r="E433" t="s">
        <v>17</v>
      </c>
      <c r="F433">
        <v>2031</v>
      </c>
      <c r="G433" s="55">
        <f>10^6*IF($E433="charcoal",params!$P$13*INDEX(BAU_Fuel_cons!$E$2:$AS$34,MATCH(D433&amp;"_"&amp;E433,BAU_Fuel_cons!$AT$2:$AT$34,0),MATCH(F433,BAU_Fuel_cons!$E$1:$AS$1,0)),INDEX(BAU_Fuel_cons!$E$2:$AS$34,MATCH(D433&amp;"_"&amp;E433,BAU_Fuel_cons!$AT$2:$AT$34,0),MATCH(F433,BAU_Fuel_cons!$E$1:$AS$1,0)))</f>
        <v>0</v>
      </c>
      <c r="H433" s="55">
        <f>G433+10^6*IF($E433="charcoal",params!$P$13*SUMIFS(nonresidential!$L:$L,nonresidential!$A:$A,$F433,nonresidential!$B:$B,$E433,nonresidential!$C:$C,$D433),SUMIFS(nonresidential!$L:$L,nonresidential!$A:$A,$F433,nonresidential!$B:$B,$E433,nonresidential!$C:$C,$D433))</f>
        <v>0</v>
      </c>
      <c r="I433">
        <f>1</f>
        <v>1</v>
      </c>
    </row>
    <row r="434" spans="1:9">
      <c r="A434" t="s">
        <v>211</v>
      </c>
      <c r="B434" t="s">
        <v>162</v>
      </c>
      <c r="C434" t="s">
        <v>269</v>
      </c>
      <c r="D434" t="s">
        <v>25</v>
      </c>
      <c r="E434" t="s">
        <v>17</v>
      </c>
      <c r="F434">
        <v>2032</v>
      </c>
      <c r="G434" s="55">
        <f>10^6*IF($E434="charcoal",params!$P$13*INDEX(BAU_Fuel_cons!$E$2:$AS$34,MATCH(D434&amp;"_"&amp;E434,BAU_Fuel_cons!$AT$2:$AT$34,0),MATCH(F434,BAU_Fuel_cons!$E$1:$AS$1,0)),INDEX(BAU_Fuel_cons!$E$2:$AS$34,MATCH(D434&amp;"_"&amp;E434,BAU_Fuel_cons!$AT$2:$AT$34,0),MATCH(F434,BAU_Fuel_cons!$E$1:$AS$1,0)))</f>
        <v>0</v>
      </c>
      <c r="H434" s="55">
        <f>G434+10^6*IF($E434="charcoal",params!$P$13*SUMIFS(nonresidential!$L:$L,nonresidential!$A:$A,$F434,nonresidential!$B:$B,$E434,nonresidential!$C:$C,$D434),SUMIFS(nonresidential!$L:$L,nonresidential!$A:$A,$F434,nonresidential!$B:$B,$E434,nonresidential!$C:$C,$D434))</f>
        <v>0</v>
      </c>
      <c r="I434">
        <f>1</f>
        <v>1</v>
      </c>
    </row>
    <row r="435" spans="1:9">
      <c r="A435" t="s">
        <v>211</v>
      </c>
      <c r="B435" t="s">
        <v>162</v>
      </c>
      <c r="C435" t="s">
        <v>269</v>
      </c>
      <c r="D435" t="s">
        <v>25</v>
      </c>
      <c r="E435" t="s">
        <v>17</v>
      </c>
      <c r="F435">
        <v>2033</v>
      </c>
      <c r="G435" s="55">
        <f>10^6*IF($E435="charcoal",params!$P$13*INDEX(BAU_Fuel_cons!$E$2:$AS$34,MATCH(D435&amp;"_"&amp;E435,BAU_Fuel_cons!$AT$2:$AT$34,0),MATCH(F435,BAU_Fuel_cons!$E$1:$AS$1,0)),INDEX(BAU_Fuel_cons!$E$2:$AS$34,MATCH(D435&amp;"_"&amp;E435,BAU_Fuel_cons!$AT$2:$AT$34,0),MATCH(F435,BAU_Fuel_cons!$E$1:$AS$1,0)))</f>
        <v>0</v>
      </c>
      <c r="H435" s="55">
        <f>G435+10^6*IF($E435="charcoal",params!$P$13*SUMIFS(nonresidential!$L:$L,nonresidential!$A:$A,$F435,nonresidential!$B:$B,$E435,nonresidential!$C:$C,$D435),SUMIFS(nonresidential!$L:$L,nonresidential!$A:$A,$F435,nonresidential!$B:$B,$E435,nonresidential!$C:$C,$D435))</f>
        <v>0</v>
      </c>
      <c r="I435">
        <f>1</f>
        <v>1</v>
      </c>
    </row>
    <row r="436" spans="1:9">
      <c r="A436" t="s">
        <v>211</v>
      </c>
      <c r="B436" t="s">
        <v>162</v>
      </c>
      <c r="C436" t="s">
        <v>269</v>
      </c>
      <c r="D436" t="s">
        <v>25</v>
      </c>
      <c r="E436" t="s">
        <v>17</v>
      </c>
      <c r="F436">
        <v>2034</v>
      </c>
      <c r="G436" s="55">
        <f>10^6*IF($E436="charcoal",params!$P$13*INDEX(BAU_Fuel_cons!$E$2:$AS$34,MATCH(D436&amp;"_"&amp;E436,BAU_Fuel_cons!$AT$2:$AT$34,0),MATCH(F436,BAU_Fuel_cons!$E$1:$AS$1,0)),INDEX(BAU_Fuel_cons!$E$2:$AS$34,MATCH(D436&amp;"_"&amp;E436,BAU_Fuel_cons!$AT$2:$AT$34,0),MATCH(F436,BAU_Fuel_cons!$E$1:$AS$1,0)))</f>
        <v>0</v>
      </c>
      <c r="H436" s="55">
        <f>G436+10^6*IF($E436="charcoal",params!$P$13*SUMIFS(nonresidential!$L:$L,nonresidential!$A:$A,$F436,nonresidential!$B:$B,$E436,nonresidential!$C:$C,$D436),SUMIFS(nonresidential!$L:$L,nonresidential!$A:$A,$F436,nonresidential!$B:$B,$E436,nonresidential!$C:$C,$D436))</f>
        <v>0</v>
      </c>
      <c r="I436">
        <f>1</f>
        <v>1</v>
      </c>
    </row>
    <row r="437" spans="1:9">
      <c r="A437" t="s">
        <v>211</v>
      </c>
      <c r="B437" t="s">
        <v>162</v>
      </c>
      <c r="C437" t="s">
        <v>269</v>
      </c>
      <c r="D437" t="s">
        <v>25</v>
      </c>
      <c r="E437" t="s">
        <v>17</v>
      </c>
      <c r="F437">
        <v>2035</v>
      </c>
      <c r="G437" s="55">
        <f>10^6*IF($E437="charcoal",params!$P$13*INDEX(BAU_Fuel_cons!$E$2:$AS$34,MATCH(D437&amp;"_"&amp;E437,BAU_Fuel_cons!$AT$2:$AT$34,0),MATCH(F437,BAU_Fuel_cons!$E$1:$AS$1,0)),INDEX(BAU_Fuel_cons!$E$2:$AS$34,MATCH(D437&amp;"_"&amp;E437,BAU_Fuel_cons!$AT$2:$AT$34,0),MATCH(F437,BAU_Fuel_cons!$E$1:$AS$1,0)))</f>
        <v>0</v>
      </c>
      <c r="H437" s="55">
        <f>G437+10^6*IF($E437="charcoal",params!$P$13*SUMIFS(nonresidential!$L:$L,nonresidential!$A:$A,$F437,nonresidential!$B:$B,$E437,nonresidential!$C:$C,$D437),SUMIFS(nonresidential!$L:$L,nonresidential!$A:$A,$F437,nonresidential!$B:$B,$E437,nonresidential!$C:$C,$D437))</f>
        <v>0</v>
      </c>
      <c r="I437">
        <f>1</f>
        <v>1</v>
      </c>
    </row>
    <row r="438" spans="1:9">
      <c r="A438" t="s">
        <v>211</v>
      </c>
      <c r="B438" t="s">
        <v>162</v>
      </c>
      <c r="C438" t="s">
        <v>269</v>
      </c>
      <c r="D438" t="s">
        <v>25</v>
      </c>
      <c r="E438" t="s">
        <v>17</v>
      </c>
      <c r="F438">
        <v>2036</v>
      </c>
      <c r="G438" s="55">
        <f>10^6*IF($E438="charcoal",params!$P$13*INDEX(BAU_Fuel_cons!$E$2:$AS$34,MATCH(D438&amp;"_"&amp;E438,BAU_Fuel_cons!$AT$2:$AT$34,0),MATCH(F438,BAU_Fuel_cons!$E$1:$AS$1,0)),INDEX(BAU_Fuel_cons!$E$2:$AS$34,MATCH(D438&amp;"_"&amp;E438,BAU_Fuel_cons!$AT$2:$AT$34,0),MATCH(F438,BAU_Fuel_cons!$E$1:$AS$1,0)))</f>
        <v>0</v>
      </c>
      <c r="H438" s="55">
        <f>G438+10^6*IF($E438="charcoal",params!$P$13*SUMIFS(nonresidential!$L:$L,nonresidential!$A:$A,$F438,nonresidential!$B:$B,$E438,nonresidential!$C:$C,$D438),SUMIFS(nonresidential!$L:$L,nonresidential!$A:$A,$F438,nonresidential!$B:$B,$E438,nonresidential!$C:$C,$D438))</f>
        <v>0</v>
      </c>
      <c r="I438">
        <f>1</f>
        <v>1</v>
      </c>
    </row>
    <row r="439" spans="1:9">
      <c r="A439" t="s">
        <v>211</v>
      </c>
      <c r="B439" t="s">
        <v>162</v>
      </c>
      <c r="C439" t="s">
        <v>269</v>
      </c>
      <c r="D439" t="s">
        <v>25</v>
      </c>
      <c r="E439" t="s">
        <v>17</v>
      </c>
      <c r="F439">
        <v>2037</v>
      </c>
      <c r="G439" s="55">
        <f>10^6*IF($E439="charcoal",params!$P$13*INDEX(BAU_Fuel_cons!$E$2:$AS$34,MATCH(D439&amp;"_"&amp;E439,BAU_Fuel_cons!$AT$2:$AT$34,0),MATCH(F439,BAU_Fuel_cons!$E$1:$AS$1,0)),INDEX(BAU_Fuel_cons!$E$2:$AS$34,MATCH(D439&amp;"_"&amp;E439,BAU_Fuel_cons!$AT$2:$AT$34,0),MATCH(F439,BAU_Fuel_cons!$E$1:$AS$1,0)))</f>
        <v>0</v>
      </c>
      <c r="H439" s="55">
        <f>G439+10^6*IF($E439="charcoal",params!$P$13*SUMIFS(nonresidential!$L:$L,nonresidential!$A:$A,$F439,nonresidential!$B:$B,$E439,nonresidential!$C:$C,$D439),SUMIFS(nonresidential!$L:$L,nonresidential!$A:$A,$F439,nonresidential!$B:$B,$E439,nonresidential!$C:$C,$D439))</f>
        <v>0</v>
      </c>
      <c r="I439">
        <f>1</f>
        <v>1</v>
      </c>
    </row>
    <row r="440" spans="1:9">
      <c r="A440" t="s">
        <v>211</v>
      </c>
      <c r="B440" t="s">
        <v>162</v>
      </c>
      <c r="C440" t="s">
        <v>269</v>
      </c>
      <c r="D440" t="s">
        <v>25</v>
      </c>
      <c r="E440" t="s">
        <v>17</v>
      </c>
      <c r="F440">
        <v>2038</v>
      </c>
      <c r="G440" s="55">
        <f>10^6*IF($E440="charcoal",params!$P$13*INDEX(BAU_Fuel_cons!$E$2:$AS$34,MATCH(D440&amp;"_"&amp;E440,BAU_Fuel_cons!$AT$2:$AT$34,0),MATCH(F440,BAU_Fuel_cons!$E$1:$AS$1,0)),INDEX(BAU_Fuel_cons!$E$2:$AS$34,MATCH(D440&amp;"_"&amp;E440,BAU_Fuel_cons!$AT$2:$AT$34,0),MATCH(F440,BAU_Fuel_cons!$E$1:$AS$1,0)))</f>
        <v>0</v>
      </c>
      <c r="H440" s="55">
        <f>G440+10^6*IF($E440="charcoal",params!$P$13*SUMIFS(nonresidential!$L:$L,nonresidential!$A:$A,$F440,nonresidential!$B:$B,$E440,nonresidential!$C:$C,$D440),SUMIFS(nonresidential!$L:$L,nonresidential!$A:$A,$F440,nonresidential!$B:$B,$E440,nonresidential!$C:$C,$D440))</f>
        <v>0</v>
      </c>
      <c r="I440">
        <f>1</f>
        <v>1</v>
      </c>
    </row>
    <row r="441" spans="1:9">
      <c r="A441" t="s">
        <v>211</v>
      </c>
      <c r="B441" t="s">
        <v>162</v>
      </c>
      <c r="C441" t="s">
        <v>269</v>
      </c>
      <c r="D441" t="s">
        <v>25</v>
      </c>
      <c r="E441" t="s">
        <v>17</v>
      </c>
      <c r="F441">
        <v>2039</v>
      </c>
      <c r="G441" s="55">
        <f>10^6*IF($E441="charcoal",params!$P$13*INDEX(BAU_Fuel_cons!$E$2:$AS$34,MATCH(D441&amp;"_"&amp;E441,BAU_Fuel_cons!$AT$2:$AT$34,0),MATCH(F441,BAU_Fuel_cons!$E$1:$AS$1,0)),INDEX(BAU_Fuel_cons!$E$2:$AS$34,MATCH(D441&amp;"_"&amp;E441,BAU_Fuel_cons!$AT$2:$AT$34,0),MATCH(F441,BAU_Fuel_cons!$E$1:$AS$1,0)))</f>
        <v>0</v>
      </c>
      <c r="H441" s="55">
        <f>G441+10^6*IF($E441="charcoal",params!$P$13*SUMIFS(nonresidential!$L:$L,nonresidential!$A:$A,$F441,nonresidential!$B:$B,$E441,nonresidential!$C:$C,$D441),SUMIFS(nonresidential!$L:$L,nonresidential!$A:$A,$F441,nonresidential!$B:$B,$E441,nonresidential!$C:$C,$D441))</f>
        <v>0</v>
      </c>
      <c r="I441">
        <f>1</f>
        <v>1</v>
      </c>
    </row>
    <row r="442" spans="1:9">
      <c r="A442" t="s">
        <v>211</v>
      </c>
      <c r="B442" t="s">
        <v>162</v>
      </c>
      <c r="C442" t="s">
        <v>269</v>
      </c>
      <c r="D442" t="s">
        <v>25</v>
      </c>
      <c r="E442" t="s">
        <v>17</v>
      </c>
      <c r="F442">
        <v>2040</v>
      </c>
      <c r="G442" s="55">
        <f>10^6*IF($E442="charcoal",params!$P$13*INDEX(BAU_Fuel_cons!$E$2:$AS$34,MATCH(D442&amp;"_"&amp;E442,BAU_Fuel_cons!$AT$2:$AT$34,0),MATCH(F442,BAU_Fuel_cons!$E$1:$AS$1,0)),INDEX(BAU_Fuel_cons!$E$2:$AS$34,MATCH(D442&amp;"_"&amp;E442,BAU_Fuel_cons!$AT$2:$AT$34,0),MATCH(F442,BAU_Fuel_cons!$E$1:$AS$1,0)))</f>
        <v>0</v>
      </c>
      <c r="H442" s="55">
        <f>G442+10^6*IF($E442="charcoal",params!$P$13*SUMIFS(nonresidential!$L:$L,nonresidential!$A:$A,$F442,nonresidential!$B:$B,$E442,nonresidential!$C:$C,$D442),SUMIFS(nonresidential!$L:$L,nonresidential!$A:$A,$F442,nonresidential!$B:$B,$E442,nonresidential!$C:$C,$D442))</f>
        <v>0</v>
      </c>
      <c r="I442">
        <f>1</f>
        <v>1</v>
      </c>
    </row>
    <row r="443" spans="1:9">
      <c r="A443" t="s">
        <v>211</v>
      </c>
      <c r="B443" t="s">
        <v>162</v>
      </c>
      <c r="C443" t="s">
        <v>269</v>
      </c>
      <c r="D443" t="s">
        <v>25</v>
      </c>
      <c r="E443" t="s">
        <v>17</v>
      </c>
      <c r="F443">
        <v>2041</v>
      </c>
      <c r="G443" s="55">
        <f>10^6*IF($E443="charcoal",params!$P$13*INDEX(BAU_Fuel_cons!$E$2:$AS$34,MATCH(D443&amp;"_"&amp;E443,BAU_Fuel_cons!$AT$2:$AT$34,0),MATCH(F443,BAU_Fuel_cons!$E$1:$AS$1,0)),INDEX(BAU_Fuel_cons!$E$2:$AS$34,MATCH(D443&amp;"_"&amp;E443,BAU_Fuel_cons!$AT$2:$AT$34,0),MATCH(F443,BAU_Fuel_cons!$E$1:$AS$1,0)))</f>
        <v>0</v>
      </c>
      <c r="H443" s="55">
        <f>G443+10^6*IF($E443="charcoal",params!$P$13*SUMIFS(nonresidential!$L:$L,nonresidential!$A:$A,$F443,nonresidential!$B:$B,$E443,nonresidential!$C:$C,$D443),SUMIFS(nonresidential!$L:$L,nonresidential!$A:$A,$F443,nonresidential!$B:$B,$E443,nonresidential!$C:$C,$D443))</f>
        <v>0</v>
      </c>
      <c r="I443">
        <f>1</f>
        <v>1</v>
      </c>
    </row>
    <row r="444" spans="1:9">
      <c r="A444" t="s">
        <v>211</v>
      </c>
      <c r="B444" t="s">
        <v>162</v>
      </c>
      <c r="C444" t="s">
        <v>269</v>
      </c>
      <c r="D444" t="s">
        <v>25</v>
      </c>
      <c r="E444" t="s">
        <v>17</v>
      </c>
      <c r="F444">
        <v>2042</v>
      </c>
      <c r="G444" s="55">
        <f>10^6*IF($E444="charcoal",params!$P$13*INDEX(BAU_Fuel_cons!$E$2:$AS$34,MATCH(D444&amp;"_"&amp;E444,BAU_Fuel_cons!$AT$2:$AT$34,0),MATCH(F444,BAU_Fuel_cons!$E$1:$AS$1,0)),INDEX(BAU_Fuel_cons!$E$2:$AS$34,MATCH(D444&amp;"_"&amp;E444,BAU_Fuel_cons!$AT$2:$AT$34,0),MATCH(F444,BAU_Fuel_cons!$E$1:$AS$1,0)))</f>
        <v>0</v>
      </c>
      <c r="H444" s="55">
        <f>G444+10^6*IF($E444="charcoal",params!$P$13*SUMIFS(nonresidential!$L:$L,nonresidential!$A:$A,$F444,nonresidential!$B:$B,$E444,nonresidential!$C:$C,$D444),SUMIFS(nonresidential!$L:$L,nonresidential!$A:$A,$F444,nonresidential!$B:$B,$E444,nonresidential!$C:$C,$D444))</f>
        <v>0</v>
      </c>
      <c r="I444">
        <f>1</f>
        <v>1</v>
      </c>
    </row>
    <row r="445" spans="1:9">
      <c r="A445" t="s">
        <v>211</v>
      </c>
      <c r="B445" t="s">
        <v>162</v>
      </c>
      <c r="C445" t="s">
        <v>269</v>
      </c>
      <c r="D445" t="s">
        <v>25</v>
      </c>
      <c r="E445" t="s">
        <v>17</v>
      </c>
      <c r="F445">
        <v>2043</v>
      </c>
      <c r="G445" s="55">
        <f>10^6*IF($E445="charcoal",params!$P$13*INDEX(BAU_Fuel_cons!$E$2:$AS$34,MATCH(D445&amp;"_"&amp;E445,BAU_Fuel_cons!$AT$2:$AT$34,0),MATCH(F445,BAU_Fuel_cons!$E$1:$AS$1,0)),INDEX(BAU_Fuel_cons!$E$2:$AS$34,MATCH(D445&amp;"_"&amp;E445,BAU_Fuel_cons!$AT$2:$AT$34,0),MATCH(F445,BAU_Fuel_cons!$E$1:$AS$1,0)))</f>
        <v>0</v>
      </c>
      <c r="H445" s="55">
        <f>G445+10^6*IF($E445="charcoal",params!$P$13*SUMIFS(nonresidential!$L:$L,nonresidential!$A:$A,$F445,nonresidential!$B:$B,$E445,nonresidential!$C:$C,$D445),SUMIFS(nonresidential!$L:$L,nonresidential!$A:$A,$F445,nonresidential!$B:$B,$E445,nonresidential!$C:$C,$D445))</f>
        <v>0</v>
      </c>
      <c r="I445">
        <f>1</f>
        <v>1</v>
      </c>
    </row>
    <row r="446" spans="1:9">
      <c r="A446" t="s">
        <v>211</v>
      </c>
      <c r="B446" t="s">
        <v>162</v>
      </c>
      <c r="C446" t="s">
        <v>269</v>
      </c>
      <c r="D446" t="s">
        <v>25</v>
      </c>
      <c r="E446" t="s">
        <v>17</v>
      </c>
      <c r="F446">
        <v>2044</v>
      </c>
      <c r="G446" s="55">
        <f>10^6*IF($E446="charcoal",params!$P$13*INDEX(BAU_Fuel_cons!$E$2:$AS$34,MATCH(D446&amp;"_"&amp;E446,BAU_Fuel_cons!$AT$2:$AT$34,0),MATCH(F446,BAU_Fuel_cons!$E$1:$AS$1,0)),INDEX(BAU_Fuel_cons!$E$2:$AS$34,MATCH(D446&amp;"_"&amp;E446,BAU_Fuel_cons!$AT$2:$AT$34,0),MATCH(F446,BAU_Fuel_cons!$E$1:$AS$1,0)))</f>
        <v>0</v>
      </c>
      <c r="H446" s="55">
        <f>G446+10^6*IF($E446="charcoal",params!$P$13*SUMIFS(nonresidential!$L:$L,nonresidential!$A:$A,$F446,nonresidential!$B:$B,$E446,nonresidential!$C:$C,$D446),SUMIFS(nonresidential!$L:$L,nonresidential!$A:$A,$F446,nonresidential!$B:$B,$E446,nonresidential!$C:$C,$D446))</f>
        <v>0</v>
      </c>
      <c r="I446">
        <f>1</f>
        <v>1</v>
      </c>
    </row>
    <row r="447" spans="1:9">
      <c r="A447" t="s">
        <v>211</v>
      </c>
      <c r="B447" t="s">
        <v>162</v>
      </c>
      <c r="C447" t="s">
        <v>269</v>
      </c>
      <c r="D447" t="s">
        <v>25</v>
      </c>
      <c r="E447" t="s">
        <v>17</v>
      </c>
      <c r="F447">
        <v>2045</v>
      </c>
      <c r="G447" s="55">
        <f>10^6*IF($E447="charcoal",params!$P$13*INDEX(BAU_Fuel_cons!$E$2:$AS$34,MATCH(D447&amp;"_"&amp;E447,BAU_Fuel_cons!$AT$2:$AT$34,0),MATCH(F447,BAU_Fuel_cons!$E$1:$AS$1,0)),INDEX(BAU_Fuel_cons!$E$2:$AS$34,MATCH(D447&amp;"_"&amp;E447,BAU_Fuel_cons!$AT$2:$AT$34,0),MATCH(F447,BAU_Fuel_cons!$E$1:$AS$1,0)))</f>
        <v>0</v>
      </c>
      <c r="H447" s="55">
        <f>G447+10^6*IF($E447="charcoal",params!$P$13*SUMIFS(nonresidential!$L:$L,nonresidential!$A:$A,$F447,nonresidential!$B:$B,$E447,nonresidential!$C:$C,$D447),SUMIFS(nonresidential!$L:$L,nonresidential!$A:$A,$F447,nonresidential!$B:$B,$E447,nonresidential!$C:$C,$D447))</f>
        <v>0</v>
      </c>
      <c r="I447">
        <f>1</f>
        <v>1</v>
      </c>
    </row>
    <row r="448" spans="1:9">
      <c r="A448" t="s">
        <v>211</v>
      </c>
      <c r="B448" t="s">
        <v>162</v>
      </c>
      <c r="C448" t="s">
        <v>269</v>
      </c>
      <c r="D448" t="s">
        <v>25</v>
      </c>
      <c r="E448" t="s">
        <v>17</v>
      </c>
      <c r="F448">
        <v>2046</v>
      </c>
      <c r="G448" s="55">
        <f>10^6*IF($E448="charcoal",params!$P$13*INDEX(BAU_Fuel_cons!$E$2:$AS$34,MATCH(D448&amp;"_"&amp;E448,BAU_Fuel_cons!$AT$2:$AT$34,0),MATCH(F448,BAU_Fuel_cons!$E$1:$AS$1,0)),INDEX(BAU_Fuel_cons!$E$2:$AS$34,MATCH(D448&amp;"_"&amp;E448,BAU_Fuel_cons!$AT$2:$AT$34,0),MATCH(F448,BAU_Fuel_cons!$E$1:$AS$1,0)))</f>
        <v>0</v>
      </c>
      <c r="H448" s="55">
        <f>G448+10^6*IF($E448="charcoal",params!$P$13*SUMIFS(nonresidential!$L:$L,nonresidential!$A:$A,$F448,nonresidential!$B:$B,$E448,nonresidential!$C:$C,$D448),SUMIFS(nonresidential!$L:$L,nonresidential!$A:$A,$F448,nonresidential!$B:$B,$E448,nonresidential!$C:$C,$D448))</f>
        <v>0</v>
      </c>
      <c r="I448">
        <f>1</f>
        <v>1</v>
      </c>
    </row>
    <row r="449" spans="1:9">
      <c r="A449" t="s">
        <v>211</v>
      </c>
      <c r="B449" t="s">
        <v>162</v>
      </c>
      <c r="C449" t="s">
        <v>269</v>
      </c>
      <c r="D449" t="s">
        <v>25</v>
      </c>
      <c r="E449" t="s">
        <v>17</v>
      </c>
      <c r="F449">
        <v>2047</v>
      </c>
      <c r="G449" s="55">
        <f>10^6*IF($E449="charcoal",params!$P$13*INDEX(BAU_Fuel_cons!$E$2:$AS$34,MATCH(D449&amp;"_"&amp;E449,BAU_Fuel_cons!$AT$2:$AT$34,0),MATCH(F449,BAU_Fuel_cons!$E$1:$AS$1,0)),INDEX(BAU_Fuel_cons!$E$2:$AS$34,MATCH(D449&amp;"_"&amp;E449,BAU_Fuel_cons!$AT$2:$AT$34,0),MATCH(F449,BAU_Fuel_cons!$E$1:$AS$1,0)))</f>
        <v>0</v>
      </c>
      <c r="H449" s="55">
        <f>G449+10^6*IF($E449="charcoal",params!$P$13*SUMIFS(nonresidential!$L:$L,nonresidential!$A:$A,$F449,nonresidential!$B:$B,$E449,nonresidential!$C:$C,$D449),SUMIFS(nonresidential!$L:$L,nonresidential!$A:$A,$F449,nonresidential!$B:$B,$E449,nonresidential!$C:$C,$D449))</f>
        <v>0</v>
      </c>
      <c r="I449">
        <f>1</f>
        <v>1</v>
      </c>
    </row>
    <row r="450" spans="1:9">
      <c r="A450" t="s">
        <v>211</v>
      </c>
      <c r="B450" t="s">
        <v>162</v>
      </c>
      <c r="C450" t="s">
        <v>269</v>
      </c>
      <c r="D450" t="s">
        <v>25</v>
      </c>
      <c r="E450" t="s">
        <v>17</v>
      </c>
      <c r="F450">
        <v>2048</v>
      </c>
      <c r="G450" s="55">
        <f>10^6*IF($E450="charcoal",params!$P$13*INDEX(BAU_Fuel_cons!$E$2:$AS$34,MATCH(D450&amp;"_"&amp;E450,BAU_Fuel_cons!$AT$2:$AT$34,0),MATCH(F450,BAU_Fuel_cons!$E$1:$AS$1,0)),INDEX(BAU_Fuel_cons!$E$2:$AS$34,MATCH(D450&amp;"_"&amp;E450,BAU_Fuel_cons!$AT$2:$AT$34,0),MATCH(F450,BAU_Fuel_cons!$E$1:$AS$1,0)))</f>
        <v>0</v>
      </c>
      <c r="H450" s="55">
        <f>G450+10^6*IF($E450="charcoal",params!$P$13*SUMIFS(nonresidential!$L:$L,nonresidential!$A:$A,$F450,nonresidential!$B:$B,$E450,nonresidential!$C:$C,$D450),SUMIFS(nonresidential!$L:$L,nonresidential!$A:$A,$F450,nonresidential!$B:$B,$E450,nonresidential!$C:$C,$D450))</f>
        <v>0</v>
      </c>
      <c r="I450">
        <f>1</f>
        <v>1</v>
      </c>
    </row>
    <row r="451" spans="1:9">
      <c r="A451" t="s">
        <v>211</v>
      </c>
      <c r="B451" t="s">
        <v>162</v>
      </c>
      <c r="C451" t="s">
        <v>269</v>
      </c>
      <c r="D451" t="s">
        <v>25</v>
      </c>
      <c r="E451" t="s">
        <v>17</v>
      </c>
      <c r="F451">
        <v>2049</v>
      </c>
      <c r="G451" s="55">
        <f>10^6*IF($E451="charcoal",params!$P$13*INDEX(BAU_Fuel_cons!$E$2:$AS$34,MATCH(D451&amp;"_"&amp;E451,BAU_Fuel_cons!$AT$2:$AT$34,0),MATCH(F451,BAU_Fuel_cons!$E$1:$AS$1,0)),INDEX(BAU_Fuel_cons!$E$2:$AS$34,MATCH(D451&amp;"_"&amp;E451,BAU_Fuel_cons!$AT$2:$AT$34,0),MATCH(F451,BAU_Fuel_cons!$E$1:$AS$1,0)))</f>
        <v>0</v>
      </c>
      <c r="H451" s="55">
        <f>G451+10^6*IF($E451="charcoal",params!$P$13*SUMIFS(nonresidential!$L:$L,nonresidential!$A:$A,$F451,nonresidential!$B:$B,$E451,nonresidential!$C:$C,$D451),SUMIFS(nonresidential!$L:$L,nonresidential!$A:$A,$F451,nonresidential!$B:$B,$E451,nonresidential!$C:$C,$D451))</f>
        <v>0</v>
      </c>
      <c r="I451">
        <f>1</f>
        <v>1</v>
      </c>
    </row>
    <row r="452" spans="1:9">
      <c r="A452" t="s">
        <v>211</v>
      </c>
      <c r="B452" t="s">
        <v>162</v>
      </c>
      <c r="C452" t="s">
        <v>269</v>
      </c>
      <c r="D452" t="s">
        <v>25</v>
      </c>
      <c r="E452" t="s">
        <v>17</v>
      </c>
      <c r="F452">
        <v>2050</v>
      </c>
      <c r="G452" s="55">
        <f>10^6*IF($E452="charcoal",params!$P$13*INDEX(BAU_Fuel_cons!$E$2:$AS$34,MATCH(D452&amp;"_"&amp;E452,BAU_Fuel_cons!$AT$2:$AT$34,0),MATCH(F452,BAU_Fuel_cons!$E$1:$AS$1,0)),INDEX(BAU_Fuel_cons!$E$2:$AS$34,MATCH(D452&amp;"_"&amp;E452,BAU_Fuel_cons!$AT$2:$AT$34,0),MATCH(F452,BAU_Fuel_cons!$E$1:$AS$1,0)))</f>
        <v>0</v>
      </c>
      <c r="H452" s="55">
        <f>G452+10^6*IF($E452="charcoal",params!$P$13*SUMIFS(nonresidential!$L:$L,nonresidential!$A:$A,$F452,nonresidential!$B:$B,$E452,nonresidential!$C:$C,$D452),SUMIFS(nonresidential!$L:$L,nonresidential!$A:$A,$F452,nonresidential!$B:$B,$E452,nonresidential!$C:$C,$D452))</f>
        <v>0</v>
      </c>
      <c r="I452">
        <f>1</f>
        <v>1</v>
      </c>
    </row>
    <row r="453" spans="1:9">
      <c r="A453" t="s">
        <v>211</v>
      </c>
      <c r="B453" t="s">
        <v>162</v>
      </c>
      <c r="C453" t="s">
        <v>269</v>
      </c>
      <c r="D453" t="s">
        <v>26</v>
      </c>
      <c r="E453" t="s">
        <v>36</v>
      </c>
      <c r="F453">
        <v>2010</v>
      </c>
      <c r="G453" s="55">
        <f>10^6*IF($E453="charcoal",params!$P$13*INDEX(BAU_Fuel_cons!$E$2:$AS$34,MATCH(D453&amp;"_"&amp;E453,BAU_Fuel_cons!$AT$2:$AT$34,0),MATCH(F453,BAU_Fuel_cons!$E$1:$AS$1,0)),INDEX(BAU_Fuel_cons!$E$2:$AS$34,MATCH(D453&amp;"_"&amp;E453,BAU_Fuel_cons!$AT$2:$AT$34,0),MATCH(F453,BAU_Fuel_cons!$E$1:$AS$1,0)))</f>
        <v>6972286.8581636455</v>
      </c>
      <c r="H453" s="55">
        <f>G453+10^6*IF($E453="charcoal",params!$P$13*SUMIFS(nonresidential!$L:$L,nonresidential!$A:$A,$F453,nonresidential!$B:$B,$E453,nonresidential!$C:$C,$D453),SUMIFS(nonresidential!$L:$L,nonresidential!$A:$A,$F453,nonresidential!$B:$B,$E453,nonresidential!$C:$C,$D453))</f>
        <v>8473725.5732761305</v>
      </c>
      <c r="I453">
        <f>1</f>
        <v>1</v>
      </c>
    </row>
    <row r="454" spans="1:9">
      <c r="A454" t="s">
        <v>211</v>
      </c>
      <c r="B454" t="s">
        <v>162</v>
      </c>
      <c r="C454" t="s">
        <v>269</v>
      </c>
      <c r="D454" t="s">
        <v>26</v>
      </c>
      <c r="E454" t="s">
        <v>36</v>
      </c>
      <c r="F454">
        <v>2011</v>
      </c>
      <c r="G454" s="55">
        <f>10^6*IF($E454="charcoal",params!$P$13*INDEX(BAU_Fuel_cons!$E$2:$AS$34,MATCH(D454&amp;"_"&amp;E454,BAU_Fuel_cons!$AT$2:$AT$34,0),MATCH(F454,BAU_Fuel_cons!$E$1:$AS$1,0)),INDEX(BAU_Fuel_cons!$E$2:$AS$34,MATCH(D454&amp;"_"&amp;E454,BAU_Fuel_cons!$AT$2:$AT$34,0),MATCH(F454,BAU_Fuel_cons!$E$1:$AS$1,0)))</f>
        <v>7087497.7375995386</v>
      </c>
      <c r="H454" s="55">
        <f>G454+10^6*IF($E454="charcoal",params!$P$13*SUMIFS(nonresidential!$L:$L,nonresidential!$A:$A,$F454,nonresidential!$B:$B,$E454,nonresidential!$C:$C,$D454),SUMIFS(nonresidential!$L:$L,nonresidential!$A:$A,$F454,nonresidential!$B:$B,$E454,nonresidential!$C:$C,$D454))</f>
        <v>8617849.7184087727</v>
      </c>
      <c r="I454">
        <f>1</f>
        <v>1</v>
      </c>
    </row>
    <row r="455" spans="1:9">
      <c r="A455" t="s">
        <v>211</v>
      </c>
      <c r="B455" t="s">
        <v>162</v>
      </c>
      <c r="C455" t="s">
        <v>269</v>
      </c>
      <c r="D455" t="s">
        <v>26</v>
      </c>
      <c r="E455" t="s">
        <v>36</v>
      </c>
      <c r="F455">
        <v>2012</v>
      </c>
      <c r="G455" s="55">
        <f>10^6*IF($E455="charcoal",params!$P$13*INDEX(BAU_Fuel_cons!$E$2:$AS$34,MATCH(D455&amp;"_"&amp;E455,BAU_Fuel_cons!$AT$2:$AT$34,0),MATCH(F455,BAU_Fuel_cons!$E$1:$AS$1,0)),INDEX(BAU_Fuel_cons!$E$2:$AS$34,MATCH(D455&amp;"_"&amp;E455,BAU_Fuel_cons!$AT$2:$AT$34,0),MATCH(F455,BAU_Fuel_cons!$E$1:$AS$1,0)))</f>
        <v>7200303.1223112317</v>
      </c>
      <c r="H455" s="55">
        <f>G455+10^6*IF($E455="charcoal",params!$P$13*SUMIFS(nonresidential!$L:$L,nonresidential!$A:$A,$F455,nonresidential!$B:$B,$E455,nonresidential!$C:$C,$D455),SUMIFS(nonresidential!$L:$L,nonresidential!$A:$A,$F455,nonresidential!$B:$B,$E455,nonresidential!$C:$C,$D455))</f>
        <v>8759768.7841340061</v>
      </c>
      <c r="I455">
        <f>1</f>
        <v>1</v>
      </c>
    </row>
    <row r="456" spans="1:9">
      <c r="A456" t="s">
        <v>211</v>
      </c>
      <c r="B456" t="s">
        <v>162</v>
      </c>
      <c r="C456" t="s">
        <v>269</v>
      </c>
      <c r="D456" t="s">
        <v>26</v>
      </c>
      <c r="E456" t="s">
        <v>36</v>
      </c>
      <c r="F456">
        <v>2013</v>
      </c>
      <c r="G456" s="55">
        <f>10^6*IF($E456="charcoal",params!$P$13*INDEX(BAU_Fuel_cons!$E$2:$AS$34,MATCH(D456&amp;"_"&amp;E456,BAU_Fuel_cons!$AT$2:$AT$34,0),MATCH(F456,BAU_Fuel_cons!$E$1:$AS$1,0)),INDEX(BAU_Fuel_cons!$E$2:$AS$34,MATCH(D456&amp;"_"&amp;E456,BAU_Fuel_cons!$AT$2:$AT$34,0),MATCH(F456,BAU_Fuel_cons!$E$1:$AS$1,0)))</f>
        <v>7310917.6753232609</v>
      </c>
      <c r="H456" s="55">
        <f>G456+10^6*IF($E456="charcoal",params!$P$13*SUMIFS(nonresidential!$L:$L,nonresidential!$A:$A,$F456,nonresidential!$B:$B,$E456,nonresidential!$C:$C,$D456),SUMIFS(nonresidential!$L:$L,nonresidential!$A:$A,$F456,nonresidential!$B:$B,$E456,nonresidential!$C:$C,$D456))</f>
        <v>8899750.1185286082</v>
      </c>
      <c r="I456">
        <f>1</f>
        <v>1</v>
      </c>
    </row>
    <row r="457" spans="1:9">
      <c r="A457" t="s">
        <v>211</v>
      </c>
      <c r="B457" t="s">
        <v>162</v>
      </c>
      <c r="C457" t="s">
        <v>269</v>
      </c>
      <c r="D457" t="s">
        <v>26</v>
      </c>
      <c r="E457" t="s">
        <v>36</v>
      </c>
      <c r="F457">
        <v>2014</v>
      </c>
      <c r="G457" s="55">
        <f>10^6*IF($E457="charcoal",params!$P$13*INDEX(BAU_Fuel_cons!$E$2:$AS$34,MATCH(D457&amp;"_"&amp;E457,BAU_Fuel_cons!$AT$2:$AT$34,0),MATCH(F457,BAU_Fuel_cons!$E$1:$AS$1,0)),INDEX(BAU_Fuel_cons!$E$2:$AS$34,MATCH(D457&amp;"_"&amp;E457,BAU_Fuel_cons!$AT$2:$AT$34,0),MATCH(F457,BAU_Fuel_cons!$E$1:$AS$1,0)))</f>
        <v>7419833.9403190268</v>
      </c>
      <c r="H457" s="55">
        <f>G457+10^6*IF($E457="charcoal",params!$P$13*SUMIFS(nonresidential!$L:$L,nonresidential!$A:$A,$F457,nonresidential!$B:$B,$E457,nonresidential!$C:$C,$D457),SUMIFS(nonresidential!$L:$L,nonresidential!$A:$A,$F457,nonresidential!$B:$B,$E457,nonresidential!$C:$C,$D457))</f>
        <v>9038385.6776844617</v>
      </c>
      <c r="I457">
        <f>1</f>
        <v>1</v>
      </c>
    </row>
    <row r="458" spans="1:9">
      <c r="A458" t="s">
        <v>211</v>
      </c>
      <c r="B458" t="s">
        <v>162</v>
      </c>
      <c r="C458" t="s">
        <v>269</v>
      </c>
      <c r="D458" t="s">
        <v>26</v>
      </c>
      <c r="E458" t="s">
        <v>36</v>
      </c>
      <c r="F458">
        <v>2015</v>
      </c>
      <c r="G458" s="55">
        <f>10^6*IF($E458="charcoal",params!$P$13*INDEX(BAU_Fuel_cons!$E$2:$AS$34,MATCH(D458&amp;"_"&amp;E458,BAU_Fuel_cons!$AT$2:$AT$34,0),MATCH(F458,BAU_Fuel_cons!$E$1:$AS$1,0)),INDEX(BAU_Fuel_cons!$E$2:$AS$34,MATCH(D458&amp;"_"&amp;E458,BAU_Fuel_cons!$AT$2:$AT$34,0),MATCH(F458,BAU_Fuel_cons!$E$1:$AS$1,0)))</f>
        <v>7527301.3798371619</v>
      </c>
      <c r="H458" s="55">
        <f>G458+10^6*IF($E458="charcoal",params!$P$13*SUMIFS(nonresidential!$L:$L,nonresidential!$A:$A,$F458,nonresidential!$B:$B,$E458,nonresidential!$C:$C,$D458),SUMIFS(nonresidential!$L:$L,nonresidential!$A:$A,$F458,nonresidential!$B:$B,$E458,nonresidential!$C:$C,$D458))</f>
        <v>9175986.6936372761</v>
      </c>
      <c r="I458">
        <f>1</f>
        <v>1</v>
      </c>
    </row>
    <row r="459" spans="1:9">
      <c r="A459" t="s">
        <v>211</v>
      </c>
      <c r="B459" t="s">
        <v>162</v>
      </c>
      <c r="C459" t="s">
        <v>269</v>
      </c>
      <c r="D459" t="s">
        <v>26</v>
      </c>
      <c r="E459" t="s">
        <v>36</v>
      </c>
      <c r="F459">
        <v>2016</v>
      </c>
      <c r="G459" s="55">
        <f>10^6*IF($E459="charcoal",params!$P$13*INDEX(BAU_Fuel_cons!$E$2:$AS$34,MATCH(D459&amp;"_"&amp;E459,BAU_Fuel_cons!$AT$2:$AT$34,0),MATCH(F459,BAU_Fuel_cons!$E$1:$AS$1,0)),INDEX(BAU_Fuel_cons!$E$2:$AS$34,MATCH(D459&amp;"_"&amp;E459,BAU_Fuel_cons!$AT$2:$AT$34,0),MATCH(F459,BAU_Fuel_cons!$E$1:$AS$1,0)))</f>
        <v>7633069.0676839566</v>
      </c>
      <c r="H459" s="55">
        <f>G459+10^6*IF($E459="charcoal",params!$P$13*SUMIFS(nonresidential!$L:$L,nonresidential!$A:$A,$F459,nonresidential!$B:$B,$E459,nonresidential!$C:$C,$D459),SUMIFS(nonresidential!$L:$L,nonresidential!$A:$A,$F459,nonresidential!$B:$B,$E459,nonresidential!$C:$C,$D459))</f>
        <v>9312282.8928788099</v>
      </c>
      <c r="I459">
        <f>1</f>
        <v>1</v>
      </c>
    </row>
    <row r="460" spans="1:9">
      <c r="A460" t="s">
        <v>211</v>
      </c>
      <c r="B460" t="s">
        <v>162</v>
      </c>
      <c r="C460" t="s">
        <v>269</v>
      </c>
      <c r="D460" t="s">
        <v>26</v>
      </c>
      <c r="E460" t="s">
        <v>36</v>
      </c>
      <c r="F460">
        <v>2017</v>
      </c>
      <c r="G460" s="55">
        <f>10^6*IF($E460="charcoal",params!$P$13*INDEX(BAU_Fuel_cons!$E$2:$AS$34,MATCH(D460&amp;"_"&amp;E460,BAU_Fuel_cons!$AT$2:$AT$34,0),MATCH(F460,BAU_Fuel_cons!$E$1:$AS$1,0)),INDEX(BAU_Fuel_cons!$E$2:$AS$34,MATCH(D460&amp;"_"&amp;E460,BAU_Fuel_cons!$AT$2:$AT$34,0),MATCH(F460,BAU_Fuel_cons!$E$1:$AS$1,0)))</f>
        <v>7736564.7982959338</v>
      </c>
      <c r="H460" s="55">
        <f>G460+10^6*IF($E460="charcoal",params!$P$13*SUMIFS(nonresidential!$L:$L,nonresidential!$A:$A,$F460,nonresidential!$B:$B,$E460,nonresidential!$C:$C,$D460),SUMIFS(nonresidential!$L:$L,nonresidential!$A:$A,$F460,nonresidential!$B:$B,$E460,nonresidential!$C:$C,$D460))</f>
        <v>9446627.3090555016</v>
      </c>
      <c r="I460">
        <f>1</f>
        <v>1</v>
      </c>
    </row>
    <row r="461" spans="1:9">
      <c r="A461" t="s">
        <v>211</v>
      </c>
      <c r="B461" t="s">
        <v>162</v>
      </c>
      <c r="C461" t="s">
        <v>269</v>
      </c>
      <c r="D461" t="s">
        <v>26</v>
      </c>
      <c r="E461" t="s">
        <v>36</v>
      </c>
      <c r="F461">
        <v>2018</v>
      </c>
      <c r="G461" s="55">
        <f>10^6*IF($E461="charcoal",params!$P$13*INDEX(BAU_Fuel_cons!$E$2:$AS$34,MATCH(D461&amp;"_"&amp;E461,BAU_Fuel_cons!$AT$2:$AT$34,0),MATCH(F461,BAU_Fuel_cons!$E$1:$AS$1,0)),INDEX(BAU_Fuel_cons!$E$2:$AS$34,MATCH(D461&amp;"_"&amp;E461,BAU_Fuel_cons!$AT$2:$AT$34,0),MATCH(F461,BAU_Fuel_cons!$E$1:$AS$1,0)))</f>
        <v>7837302.3833967345</v>
      </c>
      <c r="H461" s="55">
        <f>G461+10^6*IF($E461="charcoal",params!$P$13*SUMIFS(nonresidential!$L:$L,nonresidential!$A:$A,$F461,nonresidential!$B:$B,$E461,nonresidential!$C:$C,$D461),SUMIFS(nonresidential!$L:$L,nonresidential!$A:$A,$F461,nonresidential!$B:$B,$E461,nonresidential!$C:$C,$D461))</f>
        <v>9578470.0860591494</v>
      </c>
      <c r="I461">
        <f>1</f>
        <v>1</v>
      </c>
    </row>
    <row r="462" spans="1:9">
      <c r="A462" t="s">
        <v>211</v>
      </c>
      <c r="B462" t="s">
        <v>162</v>
      </c>
      <c r="C462" t="s">
        <v>269</v>
      </c>
      <c r="D462" t="s">
        <v>26</v>
      </c>
      <c r="E462" t="s">
        <v>36</v>
      </c>
      <c r="F462">
        <v>2019</v>
      </c>
      <c r="G462" s="55">
        <f>10^6*IF($E462="charcoal",params!$P$13*INDEX(BAU_Fuel_cons!$E$2:$AS$34,MATCH(D462&amp;"_"&amp;E462,BAU_Fuel_cons!$AT$2:$AT$34,0),MATCH(F462,BAU_Fuel_cons!$E$1:$AS$1,0)),INDEX(BAU_Fuel_cons!$E$2:$AS$34,MATCH(D462&amp;"_"&amp;E462,BAU_Fuel_cons!$AT$2:$AT$34,0),MATCH(F462,BAU_Fuel_cons!$E$1:$AS$1,0)))</f>
        <v>7934710.8531834381</v>
      </c>
      <c r="H462" s="55">
        <f>G462+10^6*IF($E462="charcoal",params!$P$13*SUMIFS(nonresidential!$L:$L,nonresidential!$A:$A,$F462,nonresidential!$B:$B,$E462,nonresidential!$C:$C,$D462),SUMIFS(nonresidential!$L:$L,nonresidential!$A:$A,$F462,nonresidential!$B:$B,$E462,nonresidential!$C:$C,$D462))</f>
        <v>9707159.0728063807</v>
      </c>
      <c r="I462">
        <f>1</f>
        <v>1</v>
      </c>
    </row>
    <row r="463" spans="1:9">
      <c r="A463" t="s">
        <v>211</v>
      </c>
      <c r="B463" t="s">
        <v>162</v>
      </c>
      <c r="C463" t="s">
        <v>269</v>
      </c>
      <c r="D463" t="s">
        <v>26</v>
      </c>
      <c r="E463" t="s">
        <v>36</v>
      </c>
      <c r="F463">
        <v>2020</v>
      </c>
      <c r="G463" s="55">
        <f>10^6*IF($E463="charcoal",params!$P$13*INDEX(BAU_Fuel_cons!$E$2:$AS$34,MATCH(D463&amp;"_"&amp;E463,BAU_Fuel_cons!$AT$2:$AT$34,0),MATCH(F463,BAU_Fuel_cons!$E$1:$AS$1,0)),INDEX(BAU_Fuel_cons!$E$2:$AS$34,MATCH(D463&amp;"_"&amp;E463,BAU_Fuel_cons!$AT$2:$AT$34,0),MATCH(F463,BAU_Fuel_cons!$E$1:$AS$1,0)))</f>
        <v>8028334.6130346907</v>
      </c>
      <c r="H463" s="55">
        <f>G463+10^6*IF($E463="charcoal",params!$P$13*SUMIFS(nonresidential!$L:$L,nonresidential!$A:$A,$F463,nonresidential!$B:$B,$E463,nonresidential!$C:$C,$D463),SUMIFS(nonresidential!$L:$L,nonresidential!$A:$A,$F463,nonresidential!$B:$B,$E463,nonresidential!$C:$C,$D463))</f>
        <v>9832173.4505159669</v>
      </c>
      <c r="I463">
        <f>1</f>
        <v>1</v>
      </c>
    </row>
    <row r="464" spans="1:9">
      <c r="A464" t="s">
        <v>211</v>
      </c>
      <c r="B464" t="s">
        <v>162</v>
      </c>
      <c r="C464" t="s">
        <v>269</v>
      </c>
      <c r="D464" t="s">
        <v>26</v>
      </c>
      <c r="E464" t="s">
        <v>36</v>
      </c>
      <c r="F464">
        <v>2021</v>
      </c>
      <c r="G464" s="55">
        <f>10^6*IF($E464="charcoal",params!$P$13*INDEX(BAU_Fuel_cons!$E$2:$AS$34,MATCH(D464&amp;"_"&amp;E464,BAU_Fuel_cons!$AT$2:$AT$34,0),MATCH(F464,BAU_Fuel_cons!$E$1:$AS$1,0)),INDEX(BAU_Fuel_cons!$E$2:$AS$34,MATCH(D464&amp;"_"&amp;E464,BAU_Fuel_cons!$AT$2:$AT$34,0),MATCH(F464,BAU_Fuel_cons!$E$1:$AS$1,0)))</f>
        <v>8117759.2475463441</v>
      </c>
      <c r="H464" s="55">
        <f>G464+10^6*IF($E464="charcoal",params!$P$13*SUMIFS(nonresidential!$L:$L,nonresidential!$A:$A,$F464,nonresidential!$B:$B,$E464,nonresidential!$C:$C,$D464),SUMIFS(nonresidential!$L:$L,nonresidential!$A:$A,$F464,nonresidential!$B:$B,$E464,nonresidential!$C:$C,$D464))</f>
        <v>9953040.9719138984</v>
      </c>
      <c r="I464">
        <f>1</f>
        <v>1</v>
      </c>
    </row>
    <row r="465" spans="1:9">
      <c r="A465" t="s">
        <v>211</v>
      </c>
      <c r="B465" t="s">
        <v>162</v>
      </c>
      <c r="C465" t="s">
        <v>269</v>
      </c>
      <c r="D465" t="s">
        <v>26</v>
      </c>
      <c r="E465" t="s">
        <v>36</v>
      </c>
      <c r="F465">
        <v>2022</v>
      </c>
      <c r="G465" s="55">
        <f>10^6*IF($E465="charcoal",params!$P$13*INDEX(BAU_Fuel_cons!$E$2:$AS$34,MATCH(D465&amp;"_"&amp;E465,BAU_Fuel_cons!$AT$2:$AT$34,0),MATCH(F465,BAU_Fuel_cons!$E$1:$AS$1,0)),INDEX(BAU_Fuel_cons!$E$2:$AS$34,MATCH(D465&amp;"_"&amp;E465,BAU_Fuel_cons!$AT$2:$AT$34,0),MATCH(F465,BAU_Fuel_cons!$E$1:$AS$1,0)))</f>
        <v>8202812.9502107399</v>
      </c>
      <c r="H465" s="55">
        <f>G465+10^6*IF($E465="charcoal",params!$P$13*SUMIFS(nonresidential!$L:$L,nonresidential!$A:$A,$F465,nonresidential!$B:$B,$E465,nonresidential!$C:$C,$D465),SUMIFS(nonresidential!$L:$L,nonresidential!$A:$A,$F465,nonresidential!$B:$B,$E465,nonresidential!$C:$C,$D465))</f>
        <v>10069568.667462377</v>
      </c>
      <c r="I465">
        <f>1</f>
        <v>1</v>
      </c>
    </row>
    <row r="466" spans="1:9">
      <c r="A466" t="s">
        <v>211</v>
      </c>
      <c r="B466" t="s">
        <v>162</v>
      </c>
      <c r="C466" t="s">
        <v>269</v>
      </c>
      <c r="D466" t="s">
        <v>26</v>
      </c>
      <c r="E466" t="s">
        <v>36</v>
      </c>
      <c r="F466">
        <v>2023</v>
      </c>
      <c r="G466" s="55">
        <f>10^6*IF($E466="charcoal",params!$P$13*INDEX(BAU_Fuel_cons!$E$2:$AS$34,MATCH(D466&amp;"_"&amp;E466,BAU_Fuel_cons!$AT$2:$AT$34,0),MATCH(F466,BAU_Fuel_cons!$E$1:$AS$1,0)),INDEX(BAU_Fuel_cons!$E$2:$AS$34,MATCH(D466&amp;"_"&amp;E466,BAU_Fuel_cons!$AT$2:$AT$34,0),MATCH(F466,BAU_Fuel_cons!$E$1:$AS$1,0)))</f>
        <v>8283511.8764600195</v>
      </c>
      <c r="H466" s="55">
        <f>G466+10^6*IF($E466="charcoal",params!$P$13*SUMIFS(nonresidential!$L:$L,nonresidential!$A:$A,$F466,nonresidential!$B:$B,$E466,nonresidential!$C:$C,$D466),SUMIFS(nonresidential!$L:$L,nonresidential!$A:$A,$F466,nonresidential!$B:$B,$E466,nonresidential!$C:$C,$D466))</f>
        <v>10181776.607605437</v>
      </c>
      <c r="I466">
        <f>1</f>
        <v>1</v>
      </c>
    </row>
    <row r="467" spans="1:9">
      <c r="A467" t="s">
        <v>211</v>
      </c>
      <c r="B467" t="s">
        <v>162</v>
      </c>
      <c r="C467" t="s">
        <v>269</v>
      </c>
      <c r="D467" t="s">
        <v>26</v>
      </c>
      <c r="E467" t="s">
        <v>36</v>
      </c>
      <c r="F467">
        <v>2024</v>
      </c>
      <c r="G467" s="55">
        <f>10^6*IF($E467="charcoal",params!$P$13*INDEX(BAU_Fuel_cons!$E$2:$AS$34,MATCH(D467&amp;"_"&amp;E467,BAU_Fuel_cons!$AT$2:$AT$34,0),MATCH(F467,BAU_Fuel_cons!$E$1:$AS$1,0)),INDEX(BAU_Fuel_cons!$E$2:$AS$34,MATCH(D467&amp;"_"&amp;E467,BAU_Fuel_cons!$AT$2:$AT$34,0),MATCH(F467,BAU_Fuel_cons!$E$1:$AS$1,0)))</f>
        <v>8359972.5422317823</v>
      </c>
      <c r="H467" s="55">
        <f>G467+10^6*IF($E467="charcoal",params!$P$13*SUMIFS(nonresidential!$L:$L,nonresidential!$A:$A,$F467,nonresidential!$B:$B,$E467,nonresidential!$C:$C,$D467),SUMIFS(nonresidential!$L:$L,nonresidential!$A:$A,$F467,nonresidential!$B:$B,$E467,nonresidential!$C:$C,$D467))</f>
        <v>10289799.613036161</v>
      </c>
      <c r="I467">
        <f>1</f>
        <v>1</v>
      </c>
    </row>
    <row r="468" spans="1:9">
      <c r="A468" t="s">
        <v>211</v>
      </c>
      <c r="B468" t="s">
        <v>162</v>
      </c>
      <c r="C468" t="s">
        <v>269</v>
      </c>
      <c r="D468" t="s">
        <v>26</v>
      </c>
      <c r="E468" t="s">
        <v>36</v>
      </c>
      <c r="F468">
        <v>2025</v>
      </c>
      <c r="G468" s="55">
        <f>10^6*IF($E468="charcoal",params!$P$13*INDEX(BAU_Fuel_cons!$E$2:$AS$34,MATCH(D468&amp;"_"&amp;E468,BAU_Fuel_cons!$AT$2:$AT$34,0),MATCH(F468,BAU_Fuel_cons!$E$1:$AS$1,0)),INDEX(BAU_Fuel_cons!$E$2:$AS$34,MATCH(D468&amp;"_"&amp;E468,BAU_Fuel_cons!$AT$2:$AT$34,0),MATCH(F468,BAU_Fuel_cons!$E$1:$AS$1,0)))</f>
        <v>8332736.4005895033</v>
      </c>
      <c r="H468" s="55">
        <f>G468+10^6*IF($E468="charcoal",params!$P$13*SUMIFS(nonresidential!$L:$L,nonresidential!$A:$A,$F468,nonresidential!$B:$B,$E468,nonresidential!$C:$C,$D468),SUMIFS(nonresidential!$L:$L,nonresidential!$A:$A,$F468,nonresidential!$B:$B,$E468,nonresidential!$C:$C,$D468))</f>
        <v>10286217.669569599</v>
      </c>
      <c r="I468">
        <f>1</f>
        <v>1</v>
      </c>
    </row>
    <row r="469" spans="1:9">
      <c r="A469" t="s">
        <v>211</v>
      </c>
      <c r="B469" t="s">
        <v>162</v>
      </c>
      <c r="C469" t="s">
        <v>269</v>
      </c>
      <c r="D469" t="s">
        <v>26</v>
      </c>
      <c r="E469" t="s">
        <v>36</v>
      </c>
      <c r="F469">
        <v>2026</v>
      </c>
      <c r="G469" s="55">
        <f>10^6*IF($E469="charcoal",params!$P$13*INDEX(BAU_Fuel_cons!$E$2:$AS$34,MATCH(D469&amp;"_"&amp;E469,BAU_Fuel_cons!$AT$2:$AT$34,0),MATCH(F469,BAU_Fuel_cons!$E$1:$AS$1,0)),INDEX(BAU_Fuel_cons!$E$2:$AS$34,MATCH(D469&amp;"_"&amp;E469,BAU_Fuel_cons!$AT$2:$AT$34,0),MATCH(F469,BAU_Fuel_cons!$E$1:$AS$1,0)))</f>
        <v>8296407.1081483336</v>
      </c>
      <c r="H469" s="55">
        <f>G469+10^6*IF($E469="charcoal",params!$P$13*SUMIFS(nonresidential!$L:$L,nonresidential!$A:$A,$F469,nonresidential!$B:$B,$E469,nonresidential!$C:$C,$D469),SUMIFS(nonresidential!$L:$L,nonresidential!$A:$A,$F469,nonresidential!$B:$B,$E469,nonresidential!$C:$C,$D469))</f>
        <v>10273184.232908936</v>
      </c>
      <c r="I469">
        <f>1</f>
        <v>1</v>
      </c>
    </row>
    <row r="470" spans="1:9">
      <c r="A470" t="s">
        <v>211</v>
      </c>
      <c r="B470" t="s">
        <v>162</v>
      </c>
      <c r="C470" t="s">
        <v>269</v>
      </c>
      <c r="D470" t="s">
        <v>26</v>
      </c>
      <c r="E470" t="s">
        <v>36</v>
      </c>
      <c r="F470">
        <v>2027</v>
      </c>
      <c r="G470" s="55">
        <f>10^6*IF($E470="charcoal",params!$P$13*INDEX(BAU_Fuel_cons!$E$2:$AS$34,MATCH(D470&amp;"_"&amp;E470,BAU_Fuel_cons!$AT$2:$AT$34,0),MATCH(F470,BAU_Fuel_cons!$E$1:$AS$1,0)),INDEX(BAU_Fuel_cons!$E$2:$AS$34,MATCH(D470&amp;"_"&amp;E470,BAU_Fuel_cons!$AT$2:$AT$34,0),MATCH(F470,BAU_Fuel_cons!$E$1:$AS$1,0)))</f>
        <v>8250455.2363307551</v>
      </c>
      <c r="H470" s="55">
        <f>G470+10^6*IF($E470="charcoal",params!$P$13*SUMIFS(nonresidential!$L:$L,nonresidential!$A:$A,$F470,nonresidential!$B:$B,$E470,nonresidential!$C:$C,$D470),SUMIFS(nonresidential!$L:$L,nonresidential!$A:$A,$F470,nonresidential!$B:$B,$E470,nonresidential!$C:$C,$D470))</f>
        <v>10250084.620109171</v>
      </c>
      <c r="I470">
        <f>1</f>
        <v>1</v>
      </c>
    </row>
    <row r="471" spans="1:9">
      <c r="A471" t="s">
        <v>211</v>
      </c>
      <c r="B471" t="s">
        <v>162</v>
      </c>
      <c r="C471" t="s">
        <v>269</v>
      </c>
      <c r="D471" t="s">
        <v>26</v>
      </c>
      <c r="E471" t="s">
        <v>36</v>
      </c>
      <c r="F471">
        <v>2028</v>
      </c>
      <c r="G471" s="55">
        <f>10^6*IF($E471="charcoal",params!$P$13*INDEX(BAU_Fuel_cons!$E$2:$AS$34,MATCH(D471&amp;"_"&amp;E471,BAU_Fuel_cons!$AT$2:$AT$34,0),MATCH(F471,BAU_Fuel_cons!$E$1:$AS$1,0)),INDEX(BAU_Fuel_cons!$E$2:$AS$34,MATCH(D471&amp;"_"&amp;E471,BAU_Fuel_cons!$AT$2:$AT$34,0),MATCH(F471,BAU_Fuel_cons!$E$1:$AS$1,0)))</f>
        <v>8194230.9259712491</v>
      </c>
      <c r="H471" s="55">
        <f>G471+10^6*IF($E471="charcoal",params!$P$13*SUMIFS(nonresidential!$L:$L,nonresidential!$A:$A,$F471,nonresidential!$B:$B,$E471,nonresidential!$C:$C,$D471),SUMIFS(nonresidential!$L:$L,nonresidential!$A:$A,$F471,nonresidential!$B:$B,$E471,nonresidential!$C:$C,$D471))</f>
        <v>10216155.04185785</v>
      </c>
      <c r="I471">
        <f>1</f>
        <v>1</v>
      </c>
    </row>
    <row r="472" spans="1:9">
      <c r="A472" t="s">
        <v>211</v>
      </c>
      <c r="B472" t="s">
        <v>162</v>
      </c>
      <c r="C472" t="s">
        <v>269</v>
      </c>
      <c r="D472" t="s">
        <v>26</v>
      </c>
      <c r="E472" t="s">
        <v>36</v>
      </c>
      <c r="F472">
        <v>2029</v>
      </c>
      <c r="G472" s="55">
        <f>10^6*IF($E472="charcoal",params!$P$13*INDEX(BAU_Fuel_cons!$E$2:$AS$34,MATCH(D472&amp;"_"&amp;E472,BAU_Fuel_cons!$AT$2:$AT$34,0),MATCH(F472,BAU_Fuel_cons!$E$1:$AS$1,0)),INDEX(BAU_Fuel_cons!$E$2:$AS$34,MATCH(D472&amp;"_"&amp;E472,BAU_Fuel_cons!$AT$2:$AT$34,0),MATCH(F472,BAU_Fuel_cons!$E$1:$AS$1,0)))</f>
        <v>8127042.6430079695</v>
      </c>
      <c r="H472" s="55">
        <f>G472+10^6*IF($E472="charcoal",params!$P$13*SUMIFS(nonresidential!$L:$L,nonresidential!$A:$A,$F472,nonresidential!$B:$B,$E472,nonresidential!$C:$C,$D472),SUMIFS(nonresidential!$L:$L,nonresidential!$A:$A,$F472,nonresidential!$B:$B,$E472,nonresidential!$C:$C,$D472))</f>
        <v>10170574.216432841</v>
      </c>
      <c r="I472">
        <f>1</f>
        <v>1</v>
      </c>
    </row>
    <row r="473" spans="1:9">
      <c r="A473" t="s">
        <v>211</v>
      </c>
      <c r="B473" t="s">
        <v>162</v>
      </c>
      <c r="C473" t="s">
        <v>269</v>
      </c>
      <c r="D473" t="s">
        <v>26</v>
      </c>
      <c r="E473" t="s">
        <v>36</v>
      </c>
      <c r="F473">
        <v>2030</v>
      </c>
      <c r="G473" s="55">
        <f>10^6*IF($E473="charcoal",params!$P$13*INDEX(BAU_Fuel_cons!$E$2:$AS$34,MATCH(D473&amp;"_"&amp;E473,BAU_Fuel_cons!$AT$2:$AT$34,0),MATCH(F473,BAU_Fuel_cons!$E$1:$AS$1,0)),INDEX(BAU_Fuel_cons!$E$2:$AS$34,MATCH(D473&amp;"_"&amp;E473,BAU_Fuel_cons!$AT$2:$AT$34,0),MATCH(F473,BAU_Fuel_cons!$E$1:$AS$1,0)))</f>
        <v>8048364.4404207254</v>
      </c>
      <c r="H473" s="55">
        <f>G473+10^6*IF($E473="charcoal",params!$P$13*SUMIFS(nonresidential!$L:$L,nonresidential!$A:$A,$F473,nonresidential!$B:$B,$E473,nonresidential!$C:$C,$D473),SUMIFS(nonresidential!$L:$L,nonresidential!$A:$A,$F473,nonresidential!$B:$B,$E473,nonresidential!$C:$C,$D473))</f>
        <v>10112707.71261126</v>
      </c>
      <c r="I473">
        <f>1</f>
        <v>1</v>
      </c>
    </row>
    <row r="474" spans="1:9">
      <c r="A474" t="s">
        <v>211</v>
      </c>
      <c r="B474" t="s">
        <v>162</v>
      </c>
      <c r="C474" t="s">
        <v>269</v>
      </c>
      <c r="D474" t="s">
        <v>26</v>
      </c>
      <c r="E474" t="s">
        <v>36</v>
      </c>
      <c r="F474">
        <v>2031</v>
      </c>
      <c r="G474" s="55">
        <f>10^6*IF($E474="charcoal",params!$P$13*INDEX(BAU_Fuel_cons!$E$2:$AS$34,MATCH(D474&amp;"_"&amp;E474,BAU_Fuel_cons!$AT$2:$AT$34,0),MATCH(F474,BAU_Fuel_cons!$E$1:$AS$1,0)),INDEX(BAU_Fuel_cons!$E$2:$AS$34,MATCH(D474&amp;"_"&amp;E474,BAU_Fuel_cons!$AT$2:$AT$34,0),MATCH(F474,BAU_Fuel_cons!$E$1:$AS$1,0)))</f>
        <v>7957943.1431431109</v>
      </c>
      <c r="H474" s="55">
        <f>G474+10^6*IF($E474="charcoal",params!$P$13*SUMIFS(nonresidential!$L:$L,nonresidential!$A:$A,$F474,nonresidential!$B:$B,$E474,nonresidential!$C:$C,$D474),SUMIFS(nonresidential!$L:$L,nonresidential!$A:$A,$F474,nonresidential!$B:$B,$E474,nonresidential!$C:$C,$D474))</f>
        <v>10042235.469654905</v>
      </c>
      <c r="I474">
        <f>1</f>
        <v>1</v>
      </c>
    </row>
    <row r="475" spans="1:9">
      <c r="A475" t="s">
        <v>211</v>
      </c>
      <c r="B475" t="s">
        <v>162</v>
      </c>
      <c r="C475" t="s">
        <v>269</v>
      </c>
      <c r="D475" t="s">
        <v>26</v>
      </c>
      <c r="E475" t="s">
        <v>36</v>
      </c>
      <c r="F475">
        <v>2032</v>
      </c>
      <c r="G475" s="55">
        <f>10^6*IF($E475="charcoal",params!$P$13*INDEX(BAU_Fuel_cons!$E$2:$AS$34,MATCH(D475&amp;"_"&amp;E475,BAU_Fuel_cons!$AT$2:$AT$34,0),MATCH(F475,BAU_Fuel_cons!$E$1:$AS$1,0)),INDEX(BAU_Fuel_cons!$E$2:$AS$34,MATCH(D475&amp;"_"&amp;E475,BAU_Fuel_cons!$AT$2:$AT$34,0),MATCH(F475,BAU_Fuel_cons!$E$1:$AS$1,0)))</f>
        <v>7855707.7872457923</v>
      </c>
      <c r="H475" s="55">
        <f>G475+10^6*IF($E475="charcoal",params!$P$13*SUMIFS(nonresidential!$L:$L,nonresidential!$A:$A,$F475,nonresidential!$B:$B,$E475,nonresidential!$C:$C,$D475),SUMIFS(nonresidential!$L:$L,nonresidential!$A:$A,$F475,nonresidential!$B:$B,$E475,nonresidential!$C:$C,$D475))</f>
        <v>9959047.9729009494</v>
      </c>
      <c r="I475">
        <f>1</f>
        <v>1</v>
      </c>
    </row>
    <row r="476" spans="1:9">
      <c r="A476" t="s">
        <v>211</v>
      </c>
      <c r="B476" t="s">
        <v>162</v>
      </c>
      <c r="C476" t="s">
        <v>269</v>
      </c>
      <c r="D476" t="s">
        <v>26</v>
      </c>
      <c r="E476" t="s">
        <v>36</v>
      </c>
      <c r="F476">
        <v>2033</v>
      </c>
      <c r="G476" s="55">
        <f>10^6*IF($E476="charcoal",params!$P$13*INDEX(BAU_Fuel_cons!$E$2:$AS$34,MATCH(D476&amp;"_"&amp;E476,BAU_Fuel_cons!$AT$2:$AT$34,0),MATCH(F476,BAU_Fuel_cons!$E$1:$AS$1,0)),INDEX(BAU_Fuel_cons!$E$2:$AS$34,MATCH(D476&amp;"_"&amp;E476,BAU_Fuel_cons!$AT$2:$AT$34,0),MATCH(F476,BAU_Fuel_cons!$E$1:$AS$1,0)))</f>
        <v>7741615.5825615907</v>
      </c>
      <c r="H476" s="55">
        <f>G476+10^6*IF($E476="charcoal",params!$P$13*SUMIFS(nonresidential!$L:$L,nonresidential!$A:$A,$F476,nonresidential!$B:$B,$E476,nonresidential!$C:$C,$D476),SUMIFS(nonresidential!$L:$L,nonresidential!$A:$A,$F476,nonresidential!$B:$B,$E476,nonresidential!$C:$C,$D476))</f>
        <v>9863062.0892465729</v>
      </c>
      <c r="I476">
        <f>1</f>
        <v>1</v>
      </c>
    </row>
    <row r="477" spans="1:9">
      <c r="A477" t="s">
        <v>211</v>
      </c>
      <c r="B477" t="s">
        <v>162</v>
      </c>
      <c r="C477" t="s">
        <v>269</v>
      </c>
      <c r="D477" t="s">
        <v>26</v>
      </c>
      <c r="E477" t="s">
        <v>36</v>
      </c>
      <c r="F477">
        <v>2034</v>
      </c>
      <c r="G477" s="55">
        <f>10^6*IF($E477="charcoal",params!$P$13*INDEX(BAU_Fuel_cons!$E$2:$AS$34,MATCH(D477&amp;"_"&amp;E477,BAU_Fuel_cons!$AT$2:$AT$34,0),MATCH(F477,BAU_Fuel_cons!$E$1:$AS$1,0)),INDEX(BAU_Fuel_cons!$E$2:$AS$34,MATCH(D477&amp;"_"&amp;E477,BAU_Fuel_cons!$AT$2:$AT$34,0),MATCH(F477,BAU_Fuel_cons!$E$1:$AS$1,0)))</f>
        <v>7615757.3405573526</v>
      </c>
      <c r="H477" s="55">
        <f>G477+10^6*IF($E477="charcoal",params!$P$13*SUMIFS(nonresidential!$L:$L,nonresidential!$A:$A,$F477,nonresidential!$B:$B,$E477,nonresidential!$C:$C,$D477),SUMIFS(nonresidential!$L:$L,nonresidential!$A:$A,$F477,nonresidential!$B:$B,$E477,nonresidential!$C:$C,$D477))</f>
        <v>9754341.6865297295</v>
      </c>
      <c r="I477">
        <f>1</f>
        <v>1</v>
      </c>
    </row>
    <row r="478" spans="1:9">
      <c r="A478" t="s">
        <v>211</v>
      </c>
      <c r="B478" t="s">
        <v>162</v>
      </c>
      <c r="C478" t="s">
        <v>269</v>
      </c>
      <c r="D478" t="s">
        <v>26</v>
      </c>
      <c r="E478" t="s">
        <v>36</v>
      </c>
      <c r="F478">
        <v>2035</v>
      </c>
      <c r="G478" s="55">
        <f>10^6*IF($E478="charcoal",params!$P$13*INDEX(BAU_Fuel_cons!$E$2:$AS$34,MATCH(D478&amp;"_"&amp;E478,BAU_Fuel_cons!$AT$2:$AT$34,0),MATCH(F478,BAU_Fuel_cons!$E$1:$AS$1,0)),INDEX(BAU_Fuel_cons!$E$2:$AS$34,MATCH(D478&amp;"_"&amp;E478,BAU_Fuel_cons!$AT$2:$AT$34,0),MATCH(F478,BAU_Fuel_cons!$E$1:$AS$1,0)))</f>
        <v>7479123.0218264209</v>
      </c>
      <c r="H478" s="55">
        <f>G478+10^6*IF($E478="charcoal",params!$P$13*SUMIFS(nonresidential!$L:$L,nonresidential!$A:$A,$F478,nonresidential!$B:$B,$E478,nonresidential!$C:$C,$D478),SUMIFS(nonresidential!$L:$L,nonresidential!$A:$A,$F478,nonresidential!$B:$B,$E478,nonresidential!$C:$C,$D478))</f>
        <v>9634140.6898239404</v>
      </c>
      <c r="I478">
        <f>1</f>
        <v>1</v>
      </c>
    </row>
    <row r="479" spans="1:9">
      <c r="A479" t="s">
        <v>211</v>
      </c>
      <c r="B479" t="s">
        <v>162</v>
      </c>
      <c r="C479" t="s">
        <v>269</v>
      </c>
      <c r="D479" t="s">
        <v>26</v>
      </c>
      <c r="E479" t="s">
        <v>36</v>
      </c>
      <c r="F479">
        <v>2036</v>
      </c>
      <c r="G479" s="55">
        <f>10^6*IF($E479="charcoal",params!$P$13*INDEX(BAU_Fuel_cons!$E$2:$AS$34,MATCH(D479&amp;"_"&amp;E479,BAU_Fuel_cons!$AT$2:$AT$34,0),MATCH(F479,BAU_Fuel_cons!$E$1:$AS$1,0)),INDEX(BAU_Fuel_cons!$E$2:$AS$34,MATCH(D479&amp;"_"&amp;E479,BAU_Fuel_cons!$AT$2:$AT$34,0),MATCH(F479,BAU_Fuel_cons!$E$1:$AS$1,0)))</f>
        <v>7331787.1773898182</v>
      </c>
      <c r="H479" s="55">
        <f>G479+10^6*IF($E479="charcoal",params!$P$13*SUMIFS(nonresidential!$L:$L,nonresidential!$A:$A,$F479,nonresidential!$B:$B,$E479,nonresidential!$C:$C,$D479),SUMIFS(nonresidential!$L:$L,nonresidential!$A:$A,$F479,nonresidential!$B:$B,$E479,nonresidential!$C:$C,$D479))</f>
        <v>9502514.0568681844</v>
      </c>
      <c r="I479">
        <f>1</f>
        <v>1</v>
      </c>
    </row>
    <row r="480" spans="1:9">
      <c r="A480" t="s">
        <v>211</v>
      </c>
      <c r="B480" t="s">
        <v>162</v>
      </c>
      <c r="C480" t="s">
        <v>269</v>
      </c>
      <c r="D480" t="s">
        <v>26</v>
      </c>
      <c r="E480" t="s">
        <v>36</v>
      </c>
      <c r="F480">
        <v>2037</v>
      </c>
      <c r="G480" s="55">
        <f>10^6*IF($E480="charcoal",params!$P$13*INDEX(BAU_Fuel_cons!$E$2:$AS$34,MATCH(D480&amp;"_"&amp;E480,BAU_Fuel_cons!$AT$2:$AT$34,0),MATCH(F480,BAU_Fuel_cons!$E$1:$AS$1,0)),INDEX(BAU_Fuel_cons!$E$2:$AS$34,MATCH(D480&amp;"_"&amp;E480,BAU_Fuel_cons!$AT$2:$AT$34,0),MATCH(F480,BAU_Fuel_cons!$E$1:$AS$1,0)))</f>
        <v>7173704.6773241004</v>
      </c>
      <c r="H480" s="55">
        <f>G480+10^6*IF($E480="charcoal",params!$P$13*SUMIFS(nonresidential!$L:$L,nonresidential!$A:$A,$F480,nonresidential!$B:$B,$E480,nonresidential!$C:$C,$D480),SUMIFS(nonresidential!$L:$L,nonresidential!$A:$A,$F480,nonresidential!$B:$B,$E480,nonresidential!$C:$C,$D480))</f>
        <v>9359389.4567249008</v>
      </c>
      <c r="I480">
        <f>1</f>
        <v>1</v>
      </c>
    </row>
    <row r="481" spans="1:9">
      <c r="A481" t="s">
        <v>211</v>
      </c>
      <c r="B481" t="s">
        <v>162</v>
      </c>
      <c r="C481" t="s">
        <v>269</v>
      </c>
      <c r="D481" t="s">
        <v>26</v>
      </c>
      <c r="E481" t="s">
        <v>36</v>
      </c>
      <c r="F481">
        <v>2038</v>
      </c>
      <c r="G481" s="55">
        <f>10^6*IF($E481="charcoal",params!$P$13*INDEX(BAU_Fuel_cons!$E$2:$AS$34,MATCH(D481&amp;"_"&amp;E481,BAU_Fuel_cons!$AT$2:$AT$34,0),MATCH(F481,BAU_Fuel_cons!$E$1:$AS$1,0)),INDEX(BAU_Fuel_cons!$E$2:$AS$34,MATCH(D481&amp;"_"&amp;E481,BAU_Fuel_cons!$AT$2:$AT$34,0),MATCH(F481,BAU_Fuel_cons!$E$1:$AS$1,0)))</f>
        <v>7004898.1050808867</v>
      </c>
      <c r="H481" s="55">
        <f>G481+10^6*IF($E481="charcoal",params!$P$13*SUMIFS(nonresidential!$L:$L,nonresidential!$A:$A,$F481,nonresidential!$B:$B,$E481,nonresidential!$C:$C,$D481),SUMIFS(nonresidential!$L:$L,nonresidential!$A:$A,$F481,nonresidential!$B:$B,$E481,nonresidential!$C:$C,$D481))</f>
        <v>9204775.2679719366</v>
      </c>
      <c r="I481">
        <f>1</f>
        <v>1</v>
      </c>
    </row>
    <row r="482" spans="1:9">
      <c r="A482" t="s">
        <v>211</v>
      </c>
      <c r="B482" t="s">
        <v>162</v>
      </c>
      <c r="C482" t="s">
        <v>269</v>
      </c>
      <c r="D482" t="s">
        <v>26</v>
      </c>
      <c r="E482" t="s">
        <v>36</v>
      </c>
      <c r="F482">
        <v>2039</v>
      </c>
      <c r="G482" s="55">
        <f>10^6*IF($E482="charcoal",params!$P$13*INDEX(BAU_Fuel_cons!$E$2:$AS$34,MATCH(D482&amp;"_"&amp;E482,BAU_Fuel_cons!$AT$2:$AT$34,0),MATCH(F482,BAU_Fuel_cons!$E$1:$AS$1,0)),INDEX(BAU_Fuel_cons!$E$2:$AS$34,MATCH(D482&amp;"_"&amp;E482,BAU_Fuel_cons!$AT$2:$AT$34,0),MATCH(F482,BAU_Fuel_cons!$E$1:$AS$1,0)))</f>
        <v>6825408.3432557788</v>
      </c>
      <c r="H482" s="55">
        <f>G482+10^6*IF($E482="charcoal",params!$P$13*SUMIFS(nonresidential!$L:$L,nonresidential!$A:$A,$F482,nonresidential!$B:$B,$E482,nonresidential!$C:$C,$D482),SUMIFS(nonresidential!$L:$L,nonresidential!$A:$A,$F482,nonresidential!$B:$B,$E482,nonresidential!$C:$C,$D482))</f>
        <v>9038699.8951688465</v>
      </c>
      <c r="I482">
        <f>1</f>
        <v>1</v>
      </c>
    </row>
    <row r="483" spans="1:9">
      <c r="A483" t="s">
        <v>211</v>
      </c>
      <c r="B483" t="s">
        <v>162</v>
      </c>
      <c r="C483" t="s">
        <v>269</v>
      </c>
      <c r="D483" t="s">
        <v>26</v>
      </c>
      <c r="E483" t="s">
        <v>36</v>
      </c>
      <c r="F483">
        <v>2040</v>
      </c>
      <c r="G483" s="55">
        <f>10^6*IF($E483="charcoal",params!$P$13*INDEX(BAU_Fuel_cons!$E$2:$AS$34,MATCH(D483&amp;"_"&amp;E483,BAU_Fuel_cons!$AT$2:$AT$34,0),MATCH(F483,BAU_Fuel_cons!$E$1:$AS$1,0)),INDEX(BAU_Fuel_cons!$E$2:$AS$34,MATCH(D483&amp;"_"&amp;E483,BAU_Fuel_cons!$AT$2:$AT$34,0),MATCH(F483,BAU_Fuel_cons!$E$1:$AS$1,0)))</f>
        <v>6635307.4449331444</v>
      </c>
      <c r="H483" s="55">
        <f>G483+10^6*IF($E483="charcoal",params!$P$13*SUMIFS(nonresidential!$L:$L,nonresidential!$A:$A,$F483,nonresidential!$B:$B,$E483,nonresidential!$C:$C,$D483),SUMIFS(nonresidential!$L:$L,nonresidential!$A:$A,$F483,nonresidential!$B:$B,$E483,nonresidential!$C:$C,$D483))</f>
        <v>8861225.5254457314</v>
      </c>
      <c r="I483">
        <f>1</f>
        <v>1</v>
      </c>
    </row>
    <row r="484" spans="1:9">
      <c r="A484" t="s">
        <v>211</v>
      </c>
      <c r="B484" t="s">
        <v>162</v>
      </c>
      <c r="C484" t="s">
        <v>269</v>
      </c>
      <c r="D484" t="s">
        <v>26</v>
      </c>
      <c r="E484" t="s">
        <v>36</v>
      </c>
      <c r="F484">
        <v>2041</v>
      </c>
      <c r="G484" s="55">
        <f>10^6*IF($E484="charcoal",params!$P$13*INDEX(BAU_Fuel_cons!$E$2:$AS$34,MATCH(D484&amp;"_"&amp;E484,BAU_Fuel_cons!$AT$2:$AT$34,0),MATCH(F484,BAU_Fuel_cons!$E$1:$AS$1,0)),INDEX(BAU_Fuel_cons!$E$2:$AS$34,MATCH(D484&amp;"_"&amp;E484,BAU_Fuel_cons!$AT$2:$AT$34,0),MATCH(F484,BAU_Fuel_cons!$E$1:$AS$1,0)))</f>
        <v>6434679.4466390405</v>
      </c>
      <c r="H484" s="55">
        <f>G484+10^6*IF($E484="charcoal",params!$P$13*SUMIFS(nonresidential!$L:$L,nonresidential!$A:$A,$F484,nonresidential!$B:$B,$E484,nonresidential!$C:$C,$D484),SUMIFS(nonresidential!$L:$L,nonresidential!$A:$A,$F484,nonresidential!$B:$B,$E484,nonresidential!$C:$C,$D484))</f>
        <v>8672423.2798848674</v>
      </c>
      <c r="I484">
        <f>1</f>
        <v>1</v>
      </c>
    </row>
    <row r="485" spans="1:9">
      <c r="A485" t="s">
        <v>211</v>
      </c>
      <c r="B485" t="s">
        <v>162</v>
      </c>
      <c r="C485" t="s">
        <v>269</v>
      </c>
      <c r="D485" t="s">
        <v>26</v>
      </c>
      <c r="E485" t="s">
        <v>36</v>
      </c>
      <c r="F485">
        <v>2042</v>
      </c>
      <c r="G485" s="55">
        <f>10^6*IF($E485="charcoal",params!$P$13*INDEX(BAU_Fuel_cons!$E$2:$AS$34,MATCH(D485&amp;"_"&amp;E485,BAU_Fuel_cons!$AT$2:$AT$34,0),MATCH(F485,BAU_Fuel_cons!$E$1:$AS$1,0)),INDEX(BAU_Fuel_cons!$E$2:$AS$34,MATCH(D485&amp;"_"&amp;E485,BAU_Fuel_cons!$AT$2:$AT$34,0),MATCH(F485,BAU_Fuel_cons!$E$1:$AS$1,0)))</f>
        <v>6223626.3450496215</v>
      </c>
      <c r="H485" s="55">
        <f>G485+10^6*IF($E485="charcoal",params!$P$13*SUMIFS(nonresidential!$L:$L,nonresidential!$A:$A,$F485,nonresidential!$B:$B,$E485,nonresidential!$C:$C,$D485),SUMIFS(nonresidential!$L:$L,nonresidential!$A:$A,$F485,nonresidential!$B:$B,$E485,nonresidential!$C:$C,$D485))</f>
        <v>8472381.6686022617</v>
      </c>
      <c r="I485">
        <f>1</f>
        <v>1</v>
      </c>
    </row>
    <row r="486" spans="1:9">
      <c r="A486" t="s">
        <v>211</v>
      </c>
      <c r="B486" t="s">
        <v>162</v>
      </c>
      <c r="C486" t="s">
        <v>269</v>
      </c>
      <c r="D486" t="s">
        <v>26</v>
      </c>
      <c r="E486" t="s">
        <v>36</v>
      </c>
      <c r="F486">
        <v>2043</v>
      </c>
      <c r="G486" s="55">
        <f>10^6*IF($E486="charcoal",params!$P$13*INDEX(BAU_Fuel_cons!$E$2:$AS$34,MATCH(D486&amp;"_"&amp;E486,BAU_Fuel_cons!$AT$2:$AT$34,0),MATCH(F486,BAU_Fuel_cons!$E$1:$AS$1,0)),INDEX(BAU_Fuel_cons!$E$2:$AS$34,MATCH(D486&amp;"_"&amp;E486,BAU_Fuel_cons!$AT$2:$AT$34,0),MATCH(F486,BAU_Fuel_cons!$E$1:$AS$1,0)))</f>
        <v>6002258.5361486422</v>
      </c>
      <c r="H486" s="55">
        <f>G486+10^6*IF($E486="charcoal",params!$P$13*SUMIFS(nonresidential!$L:$L,nonresidential!$A:$A,$F486,nonresidential!$B:$B,$E486,nonresidential!$C:$C,$D486),SUMIFS(nonresidential!$L:$L,nonresidential!$A:$A,$F486,nonresidential!$B:$B,$E486,nonresidential!$C:$C,$D486))</f>
        <v>8261196.412848765</v>
      </c>
      <c r="I486">
        <f>1</f>
        <v>1</v>
      </c>
    </row>
    <row r="487" spans="1:9">
      <c r="A487" t="s">
        <v>211</v>
      </c>
      <c r="B487" t="s">
        <v>162</v>
      </c>
      <c r="C487" t="s">
        <v>269</v>
      </c>
      <c r="D487" t="s">
        <v>26</v>
      </c>
      <c r="E487" t="s">
        <v>36</v>
      </c>
      <c r="F487">
        <v>2044</v>
      </c>
      <c r="G487" s="55">
        <f>10^6*IF($E487="charcoal",params!$P$13*INDEX(BAU_Fuel_cons!$E$2:$AS$34,MATCH(D487&amp;"_"&amp;E487,BAU_Fuel_cons!$AT$2:$AT$34,0),MATCH(F487,BAU_Fuel_cons!$E$1:$AS$1,0)),INDEX(BAU_Fuel_cons!$E$2:$AS$34,MATCH(D487&amp;"_"&amp;E487,BAU_Fuel_cons!$AT$2:$AT$34,0),MATCH(F487,BAU_Fuel_cons!$E$1:$AS$1,0)))</f>
        <v>5770706.5232331632</v>
      </c>
      <c r="H487" s="55">
        <f>G487+10^6*IF($E487="charcoal",params!$P$13*SUMIFS(nonresidential!$L:$L,nonresidential!$A:$A,$F487,nonresidential!$B:$B,$E487,nonresidential!$C:$C,$D487),SUMIFS(nonresidential!$L:$L,nonresidential!$A:$A,$F487,nonresidential!$B:$B,$E487,nonresidential!$C:$C,$D487))</f>
        <v>8038983.2779206624</v>
      </c>
      <c r="I487">
        <f>1</f>
        <v>1</v>
      </c>
    </row>
    <row r="488" spans="1:9">
      <c r="A488" t="s">
        <v>211</v>
      </c>
      <c r="B488" t="s">
        <v>162</v>
      </c>
      <c r="C488" t="s">
        <v>269</v>
      </c>
      <c r="D488" t="s">
        <v>26</v>
      </c>
      <c r="E488" t="s">
        <v>36</v>
      </c>
      <c r="F488">
        <v>2045</v>
      </c>
      <c r="G488" s="55">
        <f>10^6*IF($E488="charcoal",params!$P$13*INDEX(BAU_Fuel_cons!$E$2:$AS$34,MATCH(D488&amp;"_"&amp;E488,BAU_Fuel_cons!$AT$2:$AT$34,0),MATCH(F488,BAU_Fuel_cons!$E$1:$AS$1,0)),INDEX(BAU_Fuel_cons!$E$2:$AS$34,MATCH(D488&amp;"_"&amp;E488,BAU_Fuel_cons!$AT$2:$AT$34,0),MATCH(F488,BAU_Fuel_cons!$E$1:$AS$1,0)))</f>
        <v>5529148.5849278122</v>
      </c>
      <c r="H488" s="55">
        <f>G488+10^6*IF($E488="charcoal",params!$P$13*SUMIFS(nonresidential!$L:$L,nonresidential!$A:$A,$F488,nonresidential!$B:$B,$E488,nonresidential!$C:$C,$D488),SUMIFS(nonresidential!$L:$L,nonresidential!$A:$A,$F488,nonresidential!$B:$B,$E488,nonresidential!$C:$C,$D488))</f>
        <v>7805911.94556682</v>
      </c>
      <c r="I488">
        <f>1</f>
        <v>1</v>
      </c>
    </row>
    <row r="489" spans="1:9">
      <c r="A489" t="s">
        <v>211</v>
      </c>
      <c r="B489" t="s">
        <v>162</v>
      </c>
      <c r="C489" t="s">
        <v>269</v>
      </c>
      <c r="D489" t="s">
        <v>26</v>
      </c>
      <c r="E489" t="s">
        <v>36</v>
      </c>
      <c r="F489">
        <v>2046</v>
      </c>
      <c r="G489" s="55">
        <f>10^6*IF($E489="charcoal",params!$P$13*INDEX(BAU_Fuel_cons!$E$2:$AS$34,MATCH(D489&amp;"_"&amp;E489,BAU_Fuel_cons!$AT$2:$AT$34,0),MATCH(F489,BAU_Fuel_cons!$E$1:$AS$1,0)),INDEX(BAU_Fuel_cons!$E$2:$AS$34,MATCH(D489&amp;"_"&amp;E489,BAU_Fuel_cons!$AT$2:$AT$34,0),MATCH(F489,BAU_Fuel_cons!$E$1:$AS$1,0)))</f>
        <v>5277794.356934065</v>
      </c>
      <c r="H489" s="55">
        <f>G489+10^6*IF($E489="charcoal",params!$P$13*SUMIFS(nonresidential!$L:$L,nonresidential!$A:$A,$F489,nonresidential!$B:$B,$E489,nonresidential!$C:$C,$D489),SUMIFS(nonresidential!$L:$L,nonresidential!$A:$A,$F489,nonresidential!$B:$B,$E489,nonresidential!$C:$C,$D489))</f>
        <v>7562185.9918339849</v>
      </c>
      <c r="I489">
        <f>1</f>
        <v>1</v>
      </c>
    </row>
    <row r="490" spans="1:9">
      <c r="A490" t="s">
        <v>211</v>
      </c>
      <c r="B490" t="s">
        <v>162</v>
      </c>
      <c r="C490" t="s">
        <v>269</v>
      </c>
      <c r="D490" t="s">
        <v>26</v>
      </c>
      <c r="E490" t="s">
        <v>36</v>
      </c>
      <c r="F490">
        <v>2047</v>
      </c>
      <c r="G490" s="55">
        <f>10^6*IF($E490="charcoal",params!$P$13*INDEX(BAU_Fuel_cons!$E$2:$AS$34,MATCH(D490&amp;"_"&amp;E490,BAU_Fuel_cons!$AT$2:$AT$34,0),MATCH(F490,BAU_Fuel_cons!$E$1:$AS$1,0)),INDEX(BAU_Fuel_cons!$E$2:$AS$34,MATCH(D490&amp;"_"&amp;E490,BAU_Fuel_cons!$AT$2:$AT$34,0),MATCH(F490,BAU_Fuel_cons!$E$1:$AS$1,0)))</f>
        <v>5016899.079054472</v>
      </c>
      <c r="H490" s="55">
        <f>G490+10^6*IF($E490="charcoal",params!$P$13*SUMIFS(nonresidential!$L:$L,nonresidential!$A:$A,$F490,nonresidential!$B:$B,$E490,nonresidential!$C:$C,$D490),SUMIFS(nonresidential!$L:$L,nonresidential!$A:$A,$F490,nonresidential!$B:$B,$E490,nonresidential!$C:$C,$D490))</f>
        <v>7308061.0619756915</v>
      </c>
      <c r="I490">
        <f>1</f>
        <v>1</v>
      </c>
    </row>
    <row r="491" spans="1:9">
      <c r="A491" t="s">
        <v>211</v>
      </c>
      <c r="B491" t="s">
        <v>162</v>
      </c>
      <c r="C491" t="s">
        <v>269</v>
      </c>
      <c r="D491" t="s">
        <v>26</v>
      </c>
      <c r="E491" t="s">
        <v>36</v>
      </c>
      <c r="F491">
        <v>2048</v>
      </c>
      <c r="G491" s="55">
        <f>10^6*IF($E491="charcoal",params!$P$13*INDEX(BAU_Fuel_cons!$E$2:$AS$34,MATCH(D491&amp;"_"&amp;E491,BAU_Fuel_cons!$AT$2:$AT$34,0),MATCH(F491,BAU_Fuel_cons!$E$1:$AS$1,0)),INDEX(BAU_Fuel_cons!$E$2:$AS$34,MATCH(D491&amp;"_"&amp;E491,BAU_Fuel_cons!$AT$2:$AT$34,0),MATCH(F491,BAU_Fuel_cons!$E$1:$AS$1,0)))</f>
        <v>4746752.6198837254</v>
      </c>
      <c r="H491" s="55">
        <f>G491+10^6*IF($E491="charcoal",params!$P$13*SUMIFS(nonresidential!$L:$L,nonresidential!$A:$A,$F491,nonresidential!$B:$B,$E491,nonresidential!$C:$C,$D491),SUMIFS(nonresidential!$L:$L,nonresidential!$A:$A,$F491,nonresidential!$B:$B,$E491,nonresidential!$C:$C,$D491))</f>
        <v>7043833.027280001</v>
      </c>
      <c r="I491">
        <f>1</f>
        <v>1</v>
      </c>
    </row>
    <row r="492" spans="1:9">
      <c r="A492" t="s">
        <v>211</v>
      </c>
      <c r="B492" t="s">
        <v>162</v>
      </c>
      <c r="C492" t="s">
        <v>269</v>
      </c>
      <c r="D492" t="s">
        <v>26</v>
      </c>
      <c r="E492" t="s">
        <v>36</v>
      </c>
      <c r="F492">
        <v>2049</v>
      </c>
      <c r="G492" s="55">
        <f>10^6*IF($E492="charcoal",params!$P$13*INDEX(BAU_Fuel_cons!$E$2:$AS$34,MATCH(D492&amp;"_"&amp;E492,BAU_Fuel_cons!$AT$2:$AT$34,0),MATCH(F492,BAU_Fuel_cons!$E$1:$AS$1,0)),INDEX(BAU_Fuel_cons!$E$2:$AS$34,MATCH(D492&amp;"_"&amp;E492,BAU_Fuel_cons!$AT$2:$AT$34,0),MATCH(F492,BAU_Fuel_cons!$E$1:$AS$1,0)))</f>
        <v>4467670.4960117834</v>
      </c>
      <c r="H492" s="55">
        <f>G492+10^6*IF($E492="charcoal",params!$P$13*SUMIFS(nonresidential!$L:$L,nonresidential!$A:$A,$F492,nonresidential!$B:$B,$E492,nonresidential!$C:$C,$D492),SUMIFS(nonresidential!$L:$L,nonresidential!$A:$A,$F492,nonresidential!$B:$B,$E492,nonresidential!$C:$C,$D492))</f>
        <v>6769826.4098320631</v>
      </c>
      <c r="I492">
        <f>1</f>
        <v>1</v>
      </c>
    </row>
    <row r="493" spans="1:9">
      <c r="A493" t="s">
        <v>211</v>
      </c>
      <c r="B493" t="s">
        <v>162</v>
      </c>
      <c r="C493" t="s">
        <v>269</v>
      </c>
      <c r="D493" t="s">
        <v>26</v>
      </c>
      <c r="E493" t="s">
        <v>36</v>
      </c>
      <c r="F493">
        <v>2050</v>
      </c>
      <c r="G493" s="55">
        <f>10^6*IF($E493="charcoal",params!$P$13*INDEX(BAU_Fuel_cons!$E$2:$AS$34,MATCH(D493&amp;"_"&amp;E493,BAU_Fuel_cons!$AT$2:$AT$34,0),MATCH(F493,BAU_Fuel_cons!$E$1:$AS$1,0)),INDEX(BAU_Fuel_cons!$E$2:$AS$34,MATCH(D493&amp;"_"&amp;E493,BAU_Fuel_cons!$AT$2:$AT$34,0),MATCH(F493,BAU_Fuel_cons!$E$1:$AS$1,0)))</f>
        <v>4179975.1533379494</v>
      </c>
      <c r="H493" s="55">
        <f>G493+10^6*IF($E493="charcoal",params!$P$13*SUMIFS(nonresidential!$L:$L,nonresidential!$A:$A,$F493,nonresidential!$B:$B,$E493,nonresidential!$C:$C,$D493),SUMIFS(nonresidential!$L:$L,nonresidential!$A:$A,$F493,nonresidential!$B:$B,$E493,nonresidential!$C:$C,$D493))</f>
        <v>6486371.3406290496</v>
      </c>
      <c r="I493">
        <f>1</f>
        <v>1</v>
      </c>
    </row>
    <row r="494" spans="1:9">
      <c r="A494" t="s">
        <v>211</v>
      </c>
      <c r="B494" t="s">
        <v>162</v>
      </c>
      <c r="C494" t="s">
        <v>269</v>
      </c>
      <c r="D494" t="s">
        <v>26</v>
      </c>
      <c r="E494" t="s">
        <v>8</v>
      </c>
      <c r="F494">
        <v>2010</v>
      </c>
      <c r="G494" s="55">
        <f>10^6*IF($E494="charcoal",params!$P$13*INDEX(BAU_Fuel_cons!$E$2:$AS$34,MATCH(D494&amp;"_"&amp;E494,BAU_Fuel_cons!$AT$2:$AT$34,0),MATCH(F494,BAU_Fuel_cons!$E$1:$AS$1,0)),INDEX(BAU_Fuel_cons!$E$2:$AS$34,MATCH(D494&amp;"_"&amp;E494,BAU_Fuel_cons!$AT$2:$AT$34,0),MATCH(F494,BAU_Fuel_cons!$E$1:$AS$1,0)))</f>
        <v>104281.32656235686</v>
      </c>
      <c r="H494" s="55">
        <f>G494+10^6*IF($E494="charcoal",params!$P$13*SUMIFS(nonresidential!$L:$L,nonresidential!$A:$A,$F494,nonresidential!$B:$B,$E494,nonresidential!$C:$C,$D494),SUMIFS(nonresidential!$L:$L,nonresidential!$A:$A,$F494,nonresidential!$B:$B,$E494,nonresidential!$C:$C,$D494))</f>
        <v>112623.83268734541</v>
      </c>
      <c r="I494">
        <f>1</f>
        <v>1</v>
      </c>
    </row>
    <row r="495" spans="1:9">
      <c r="A495" t="s">
        <v>211</v>
      </c>
      <c r="B495" t="s">
        <v>162</v>
      </c>
      <c r="C495" t="s">
        <v>269</v>
      </c>
      <c r="D495" t="s">
        <v>26</v>
      </c>
      <c r="E495" t="s">
        <v>8</v>
      </c>
      <c r="F495">
        <v>2011</v>
      </c>
      <c r="G495" s="55">
        <f>10^6*IF($E495="charcoal",params!$P$13*INDEX(BAU_Fuel_cons!$E$2:$AS$34,MATCH(D495&amp;"_"&amp;E495,BAU_Fuel_cons!$AT$2:$AT$34,0),MATCH(F495,BAU_Fuel_cons!$E$1:$AS$1,0)),INDEX(BAU_Fuel_cons!$E$2:$AS$34,MATCH(D495&amp;"_"&amp;E495,BAU_Fuel_cons!$AT$2:$AT$34,0),MATCH(F495,BAU_Fuel_cons!$E$1:$AS$1,0)))</f>
        <v>275048.54540140933</v>
      </c>
      <c r="H495" s="55">
        <f>G495+10^6*IF($E495="charcoal",params!$P$13*SUMIFS(nonresidential!$L:$L,nonresidential!$A:$A,$F495,nonresidential!$B:$B,$E495,nonresidential!$C:$C,$D495),SUMIFS(nonresidential!$L:$L,nonresidential!$A:$A,$F495,nonresidential!$B:$B,$E495,nonresidential!$C:$C,$D495))</f>
        <v>297052.42903352209</v>
      </c>
      <c r="I495">
        <f>1</f>
        <v>1</v>
      </c>
    </row>
    <row r="496" spans="1:9">
      <c r="A496" t="s">
        <v>211</v>
      </c>
      <c r="B496" t="s">
        <v>162</v>
      </c>
      <c r="C496" t="s">
        <v>269</v>
      </c>
      <c r="D496" t="s">
        <v>26</v>
      </c>
      <c r="E496" t="s">
        <v>8</v>
      </c>
      <c r="F496">
        <v>2012</v>
      </c>
      <c r="G496" s="55">
        <f>10^6*IF($E496="charcoal",params!$P$13*INDEX(BAU_Fuel_cons!$E$2:$AS$34,MATCH(D496&amp;"_"&amp;E496,BAU_Fuel_cons!$AT$2:$AT$34,0),MATCH(F496,BAU_Fuel_cons!$E$1:$AS$1,0)),INDEX(BAU_Fuel_cons!$E$2:$AS$34,MATCH(D496&amp;"_"&amp;E496,BAU_Fuel_cons!$AT$2:$AT$34,0),MATCH(F496,BAU_Fuel_cons!$E$1:$AS$1,0)))</f>
        <v>455360.7901529735</v>
      </c>
      <c r="H496" s="55">
        <f>G496+10^6*IF($E496="charcoal",params!$P$13*SUMIFS(nonresidential!$L:$L,nonresidential!$A:$A,$F496,nonresidential!$B:$B,$E496,nonresidential!$C:$C,$D496),SUMIFS(nonresidential!$L:$L,nonresidential!$A:$A,$F496,nonresidential!$B:$B,$E496,nonresidential!$C:$C,$D496))</f>
        <v>491789.65336521139</v>
      </c>
      <c r="I496">
        <f>1</f>
        <v>1</v>
      </c>
    </row>
    <row r="497" spans="1:9">
      <c r="A497" t="s">
        <v>211</v>
      </c>
      <c r="B497" t="s">
        <v>162</v>
      </c>
      <c r="C497" t="s">
        <v>269</v>
      </c>
      <c r="D497" t="s">
        <v>26</v>
      </c>
      <c r="E497" t="s">
        <v>8</v>
      </c>
      <c r="F497">
        <v>2013</v>
      </c>
      <c r="G497" s="55">
        <f>10^6*IF($E497="charcoal",params!$P$13*INDEX(BAU_Fuel_cons!$E$2:$AS$34,MATCH(D497&amp;"_"&amp;E497,BAU_Fuel_cons!$AT$2:$AT$34,0),MATCH(F497,BAU_Fuel_cons!$E$1:$AS$1,0)),INDEX(BAU_Fuel_cons!$E$2:$AS$34,MATCH(D497&amp;"_"&amp;E497,BAU_Fuel_cons!$AT$2:$AT$34,0),MATCH(F497,BAU_Fuel_cons!$E$1:$AS$1,0)))</f>
        <v>645416.45133744413</v>
      </c>
      <c r="H497" s="55">
        <f>G497+10^6*IF($E497="charcoal",params!$P$13*SUMIFS(nonresidential!$L:$L,nonresidential!$A:$A,$F497,nonresidential!$B:$B,$E497,nonresidential!$C:$C,$D497),SUMIFS(nonresidential!$L:$L,nonresidential!$A:$A,$F497,nonresidential!$B:$B,$E497,nonresidential!$C:$C,$D497))</f>
        <v>697049.7674444397</v>
      </c>
      <c r="I497">
        <f>1</f>
        <v>1</v>
      </c>
    </row>
    <row r="498" spans="1:9">
      <c r="A498" t="s">
        <v>211</v>
      </c>
      <c r="B498" t="s">
        <v>162</v>
      </c>
      <c r="C498" t="s">
        <v>269</v>
      </c>
      <c r="D498" t="s">
        <v>26</v>
      </c>
      <c r="E498" t="s">
        <v>8</v>
      </c>
      <c r="F498">
        <v>2014</v>
      </c>
      <c r="G498" s="55">
        <f>10^6*IF($E498="charcoal",params!$P$13*INDEX(BAU_Fuel_cons!$E$2:$AS$34,MATCH(D498&amp;"_"&amp;E498,BAU_Fuel_cons!$AT$2:$AT$34,0),MATCH(F498,BAU_Fuel_cons!$E$1:$AS$1,0)),INDEX(BAU_Fuel_cons!$E$2:$AS$34,MATCH(D498&amp;"_"&amp;E498,BAU_Fuel_cons!$AT$2:$AT$34,0),MATCH(F498,BAU_Fuel_cons!$E$1:$AS$1,0)))</f>
        <v>845476.61931889749</v>
      </c>
      <c r="H498" s="55">
        <f>G498+10^6*IF($E498="charcoal",params!$P$13*SUMIFS(nonresidential!$L:$L,nonresidential!$A:$A,$F498,nonresidential!$B:$B,$E498,nonresidential!$C:$C,$D498),SUMIFS(nonresidential!$L:$L,nonresidential!$A:$A,$F498,nonresidential!$B:$B,$E498,nonresidential!$C:$C,$D498))</f>
        <v>913114.74886440928</v>
      </c>
      <c r="I498">
        <f>1</f>
        <v>1</v>
      </c>
    </row>
    <row r="499" spans="1:9">
      <c r="A499" t="s">
        <v>211</v>
      </c>
      <c r="B499" t="s">
        <v>162</v>
      </c>
      <c r="C499" t="s">
        <v>269</v>
      </c>
      <c r="D499" t="s">
        <v>26</v>
      </c>
      <c r="E499" t="s">
        <v>8</v>
      </c>
      <c r="F499">
        <v>2015</v>
      </c>
      <c r="G499" s="55">
        <f>10^6*IF($E499="charcoal",params!$P$13*INDEX(BAU_Fuel_cons!$E$2:$AS$34,MATCH(D499&amp;"_"&amp;E499,BAU_Fuel_cons!$AT$2:$AT$34,0),MATCH(F499,BAU_Fuel_cons!$E$1:$AS$1,0)),INDEX(BAU_Fuel_cons!$E$2:$AS$34,MATCH(D499&amp;"_"&amp;E499,BAU_Fuel_cons!$AT$2:$AT$34,0),MATCH(F499,BAU_Fuel_cons!$E$1:$AS$1,0)))</f>
        <v>1055830.5476361664</v>
      </c>
      <c r="H499" s="55">
        <f>G499+10^6*IF($E499="charcoal",params!$P$13*SUMIFS(nonresidential!$L:$L,nonresidential!$A:$A,$F499,nonresidential!$B:$B,$E499,nonresidential!$C:$C,$D499),SUMIFS(nonresidential!$L:$L,nonresidential!$A:$A,$F499,nonresidential!$B:$B,$E499,nonresidential!$C:$C,$D499))</f>
        <v>1140296.9914470597</v>
      </c>
      <c r="I499">
        <f>1</f>
        <v>1</v>
      </c>
    </row>
    <row r="500" spans="1:9">
      <c r="A500" t="s">
        <v>211</v>
      </c>
      <c r="B500" t="s">
        <v>162</v>
      </c>
      <c r="C500" t="s">
        <v>269</v>
      </c>
      <c r="D500" t="s">
        <v>26</v>
      </c>
      <c r="E500" t="s">
        <v>8</v>
      </c>
      <c r="F500">
        <v>2016</v>
      </c>
      <c r="G500" s="55">
        <f>10^6*IF($E500="charcoal",params!$P$13*INDEX(BAU_Fuel_cons!$E$2:$AS$34,MATCH(D500&amp;"_"&amp;E500,BAU_Fuel_cons!$AT$2:$AT$34,0),MATCH(F500,BAU_Fuel_cons!$E$1:$AS$1,0)),INDEX(BAU_Fuel_cons!$E$2:$AS$34,MATCH(D500&amp;"_"&amp;E500,BAU_Fuel_cons!$AT$2:$AT$34,0),MATCH(F500,BAU_Fuel_cons!$E$1:$AS$1,0)))</f>
        <v>1276723.8071550641</v>
      </c>
      <c r="H500" s="55">
        <f>G500+10^6*IF($E500="charcoal",params!$P$13*SUMIFS(nonresidential!$L:$L,nonresidential!$A:$A,$F500,nonresidential!$B:$B,$E500,nonresidential!$C:$C,$D500),SUMIFS(nonresidential!$L:$L,nonresidential!$A:$A,$F500,nonresidential!$B:$B,$E500,nonresidential!$C:$C,$D500))</f>
        <v>1378861.7117274692</v>
      </c>
      <c r="I500">
        <f>1</f>
        <v>1</v>
      </c>
    </row>
    <row r="501" spans="1:9">
      <c r="A501" t="s">
        <v>211</v>
      </c>
      <c r="B501" t="s">
        <v>162</v>
      </c>
      <c r="C501" t="s">
        <v>269</v>
      </c>
      <c r="D501" t="s">
        <v>26</v>
      </c>
      <c r="E501" t="s">
        <v>8</v>
      </c>
      <c r="F501">
        <v>2017</v>
      </c>
      <c r="G501" s="55">
        <f>10^6*IF($E501="charcoal",params!$P$13*INDEX(BAU_Fuel_cons!$E$2:$AS$34,MATCH(D501&amp;"_"&amp;E501,BAU_Fuel_cons!$AT$2:$AT$34,0),MATCH(F501,BAU_Fuel_cons!$E$1:$AS$1,0)),INDEX(BAU_Fuel_cons!$E$2:$AS$34,MATCH(D501&amp;"_"&amp;E501,BAU_Fuel_cons!$AT$2:$AT$34,0),MATCH(F501,BAU_Fuel_cons!$E$1:$AS$1,0)))</f>
        <v>1508326.5108496274</v>
      </c>
      <c r="H501" s="55">
        <f>G501+10^6*IF($E501="charcoal",params!$P$13*SUMIFS(nonresidential!$L:$L,nonresidential!$A:$A,$F501,nonresidential!$B:$B,$E501,nonresidential!$C:$C,$D501),SUMIFS(nonresidential!$L:$L,nonresidential!$A:$A,$F501,nonresidential!$B:$B,$E501,nonresidential!$C:$C,$D501))</f>
        <v>1628992.6317175976</v>
      </c>
      <c r="I501">
        <f>1</f>
        <v>1</v>
      </c>
    </row>
    <row r="502" spans="1:9">
      <c r="A502" t="s">
        <v>211</v>
      </c>
      <c r="B502" t="s">
        <v>162</v>
      </c>
      <c r="C502" t="s">
        <v>269</v>
      </c>
      <c r="D502" t="s">
        <v>26</v>
      </c>
      <c r="E502" t="s">
        <v>8</v>
      </c>
      <c r="F502">
        <v>2018</v>
      </c>
      <c r="G502" s="55">
        <f>10^6*IF($E502="charcoal",params!$P$13*INDEX(BAU_Fuel_cons!$E$2:$AS$34,MATCH(D502&amp;"_"&amp;E502,BAU_Fuel_cons!$AT$2:$AT$34,0),MATCH(F502,BAU_Fuel_cons!$E$1:$AS$1,0)),INDEX(BAU_Fuel_cons!$E$2:$AS$34,MATCH(D502&amp;"_"&amp;E502,BAU_Fuel_cons!$AT$2:$AT$34,0),MATCH(F502,BAU_Fuel_cons!$E$1:$AS$1,0)))</f>
        <v>1750777.7847773149</v>
      </c>
      <c r="H502" s="55">
        <f>G502+10^6*IF($E502="charcoal",params!$P$13*SUMIFS(nonresidential!$L:$L,nonresidential!$A:$A,$F502,nonresidential!$B:$B,$E502,nonresidential!$C:$C,$D502),SUMIFS(nonresidential!$L:$L,nonresidential!$A:$A,$F502,nonresidential!$B:$B,$E502,nonresidential!$C:$C,$D502))</f>
        <v>1890840.0075595002</v>
      </c>
      <c r="I502">
        <f>1</f>
        <v>1</v>
      </c>
    </row>
    <row r="503" spans="1:9">
      <c r="A503" t="s">
        <v>211</v>
      </c>
      <c r="B503" t="s">
        <v>162</v>
      </c>
      <c r="C503" t="s">
        <v>269</v>
      </c>
      <c r="D503" t="s">
        <v>26</v>
      </c>
      <c r="E503" t="s">
        <v>8</v>
      </c>
      <c r="F503">
        <v>2019</v>
      </c>
      <c r="G503" s="55">
        <f>10^6*IF($E503="charcoal",params!$P$13*INDEX(BAU_Fuel_cons!$E$2:$AS$34,MATCH(D503&amp;"_"&amp;E503,BAU_Fuel_cons!$AT$2:$AT$34,0),MATCH(F503,BAU_Fuel_cons!$E$1:$AS$1,0)),INDEX(BAU_Fuel_cons!$E$2:$AS$34,MATCH(D503&amp;"_"&amp;E503,BAU_Fuel_cons!$AT$2:$AT$34,0),MATCH(F503,BAU_Fuel_cons!$E$1:$AS$1,0)))</f>
        <v>2004151.8251627428</v>
      </c>
      <c r="H503" s="55">
        <f>G503+10^6*IF($E503="charcoal",params!$P$13*SUMIFS(nonresidential!$L:$L,nonresidential!$A:$A,$F503,nonresidential!$B:$B,$E503,nonresidential!$C:$C,$D503),SUMIFS(nonresidential!$L:$L,nonresidential!$A:$A,$F503,nonresidential!$B:$B,$E503,nonresidential!$C:$C,$D503))</f>
        <v>2164483.9711757624</v>
      </c>
      <c r="I503">
        <f>1</f>
        <v>1</v>
      </c>
    </row>
    <row r="504" spans="1:9">
      <c r="A504" t="s">
        <v>211</v>
      </c>
      <c r="B504" t="s">
        <v>162</v>
      </c>
      <c r="C504" t="s">
        <v>269</v>
      </c>
      <c r="D504" t="s">
        <v>26</v>
      </c>
      <c r="E504" t="s">
        <v>8</v>
      </c>
      <c r="F504">
        <v>2020</v>
      </c>
      <c r="G504" s="55">
        <f>10^6*IF($E504="charcoal",params!$P$13*INDEX(BAU_Fuel_cons!$E$2:$AS$34,MATCH(D504&amp;"_"&amp;E504,BAU_Fuel_cons!$AT$2:$AT$34,0),MATCH(F504,BAU_Fuel_cons!$E$1:$AS$1,0)),INDEX(BAU_Fuel_cons!$E$2:$AS$34,MATCH(D504&amp;"_"&amp;E504,BAU_Fuel_cons!$AT$2:$AT$34,0),MATCH(F504,BAU_Fuel_cons!$E$1:$AS$1,0)))</f>
        <v>2268498.7966648834</v>
      </c>
      <c r="H504" s="55">
        <f>G504+10^6*IF($E504="charcoal",params!$P$13*SUMIFS(nonresidential!$L:$L,nonresidential!$A:$A,$F504,nonresidential!$B:$B,$E504,nonresidential!$C:$C,$D504),SUMIFS(nonresidential!$L:$L,nonresidential!$A:$A,$F504,nonresidential!$B:$B,$E504,nonresidential!$C:$C,$D504))</f>
        <v>2449978.700398074</v>
      </c>
      <c r="I504">
        <f>1</f>
        <v>1</v>
      </c>
    </row>
    <row r="505" spans="1:9">
      <c r="A505" t="s">
        <v>211</v>
      </c>
      <c r="B505" t="s">
        <v>162</v>
      </c>
      <c r="C505" t="s">
        <v>269</v>
      </c>
      <c r="D505" t="s">
        <v>26</v>
      </c>
      <c r="E505" t="s">
        <v>8</v>
      </c>
      <c r="F505">
        <v>2021</v>
      </c>
      <c r="G505" s="55">
        <f>10^6*IF($E505="charcoal",params!$P$13*INDEX(BAU_Fuel_cons!$E$2:$AS$34,MATCH(D505&amp;"_"&amp;E505,BAU_Fuel_cons!$AT$2:$AT$34,0),MATCH(F505,BAU_Fuel_cons!$E$1:$AS$1,0)),INDEX(BAU_Fuel_cons!$E$2:$AS$34,MATCH(D505&amp;"_"&amp;E505,BAU_Fuel_cons!$AT$2:$AT$34,0),MATCH(F505,BAU_Fuel_cons!$E$1:$AS$1,0)))</f>
        <v>2543835.4618933336</v>
      </c>
      <c r="H505" s="55">
        <f>G505+10^6*IF($E505="charcoal",params!$P$13*SUMIFS(nonresidential!$L:$L,nonresidential!$A:$A,$F505,nonresidential!$B:$B,$E505,nonresidential!$C:$C,$D505),SUMIFS(nonresidential!$L:$L,nonresidential!$A:$A,$F505,nonresidential!$B:$B,$E505,nonresidential!$C:$C,$D505))</f>
        <v>2747342.2988448003</v>
      </c>
      <c r="I505">
        <f>1</f>
        <v>1</v>
      </c>
    </row>
    <row r="506" spans="1:9">
      <c r="A506" t="s">
        <v>211</v>
      </c>
      <c r="B506" t="s">
        <v>162</v>
      </c>
      <c r="C506" t="s">
        <v>269</v>
      </c>
      <c r="D506" t="s">
        <v>26</v>
      </c>
      <c r="E506" t="s">
        <v>8</v>
      </c>
      <c r="F506">
        <v>2022</v>
      </c>
      <c r="G506" s="55">
        <f>10^6*IF($E506="charcoal",params!$P$13*INDEX(BAU_Fuel_cons!$E$2:$AS$34,MATCH(D506&amp;"_"&amp;E506,BAU_Fuel_cons!$AT$2:$AT$34,0),MATCH(F506,BAU_Fuel_cons!$E$1:$AS$1,0)),INDEX(BAU_Fuel_cons!$E$2:$AS$34,MATCH(D506&amp;"_"&amp;E506,BAU_Fuel_cons!$AT$2:$AT$34,0),MATCH(F506,BAU_Fuel_cons!$E$1:$AS$1,0)))</f>
        <v>2830217.974507296</v>
      </c>
      <c r="H506" s="55">
        <f>G506+10^6*IF($E506="charcoal",params!$P$13*SUMIFS(nonresidential!$L:$L,nonresidential!$A:$A,$F506,nonresidential!$B:$B,$E506,nonresidential!$C:$C,$D506),SUMIFS(nonresidential!$L:$L,nonresidential!$A:$A,$F506,nonresidential!$B:$B,$E506,nonresidential!$C:$C,$D506))</f>
        <v>3056635.4124678797</v>
      </c>
      <c r="I506">
        <f>1</f>
        <v>1</v>
      </c>
    </row>
    <row r="507" spans="1:9">
      <c r="A507" t="s">
        <v>211</v>
      </c>
      <c r="B507" t="s">
        <v>162</v>
      </c>
      <c r="C507" t="s">
        <v>269</v>
      </c>
      <c r="D507" t="s">
        <v>26</v>
      </c>
      <c r="E507" t="s">
        <v>8</v>
      </c>
      <c r="F507">
        <v>2023</v>
      </c>
      <c r="G507" s="55">
        <f>10^6*IF($E507="charcoal",params!$P$13*INDEX(BAU_Fuel_cons!$E$2:$AS$34,MATCH(D507&amp;"_"&amp;E507,BAU_Fuel_cons!$AT$2:$AT$34,0),MATCH(F507,BAU_Fuel_cons!$E$1:$AS$1,0)),INDEX(BAU_Fuel_cons!$E$2:$AS$34,MATCH(D507&amp;"_"&amp;E507,BAU_Fuel_cons!$AT$2:$AT$34,0),MATCH(F507,BAU_Fuel_cons!$E$1:$AS$1,0)))</f>
        <v>3127757.6090777777</v>
      </c>
      <c r="H507" s="55">
        <f>G507+10^6*IF($E507="charcoal",params!$P$13*SUMIFS(nonresidential!$L:$L,nonresidential!$A:$A,$F507,nonresidential!$B:$B,$E507,nonresidential!$C:$C,$D507),SUMIFS(nonresidential!$L:$L,nonresidential!$A:$A,$F507,nonresidential!$B:$B,$E507,nonresidential!$C:$C,$D507))</f>
        <v>3377978.2178039998</v>
      </c>
      <c r="I507">
        <f>1</f>
        <v>1</v>
      </c>
    </row>
    <row r="508" spans="1:9">
      <c r="A508" t="s">
        <v>211</v>
      </c>
      <c r="B508" t="s">
        <v>162</v>
      </c>
      <c r="C508" t="s">
        <v>269</v>
      </c>
      <c r="D508" t="s">
        <v>26</v>
      </c>
      <c r="E508" t="s">
        <v>8</v>
      </c>
      <c r="F508">
        <v>2024</v>
      </c>
      <c r="G508" s="55">
        <f>10^6*IF($E508="charcoal",params!$P$13*INDEX(BAU_Fuel_cons!$E$2:$AS$34,MATCH(D508&amp;"_"&amp;E508,BAU_Fuel_cons!$AT$2:$AT$34,0),MATCH(F508,BAU_Fuel_cons!$E$1:$AS$1,0)),INDEX(BAU_Fuel_cons!$E$2:$AS$34,MATCH(D508&amp;"_"&amp;E508,BAU_Fuel_cons!$AT$2:$AT$34,0),MATCH(F508,BAU_Fuel_cons!$E$1:$AS$1,0)))</f>
        <v>3436615.0895976848</v>
      </c>
      <c r="H508" s="55">
        <f>G508+10^6*IF($E508="charcoal",params!$P$13*SUMIFS(nonresidential!$L:$L,nonresidential!$A:$A,$F508,nonresidential!$B:$B,$E508,nonresidential!$C:$C,$D508),SUMIFS(nonresidential!$L:$L,nonresidential!$A:$A,$F508,nonresidential!$B:$B,$E508,nonresidential!$C:$C,$D508))</f>
        <v>3711544.2967654997</v>
      </c>
      <c r="I508">
        <f>1</f>
        <v>1</v>
      </c>
    </row>
    <row r="509" spans="1:9">
      <c r="A509" t="s">
        <v>211</v>
      </c>
      <c r="B509" t="s">
        <v>162</v>
      </c>
      <c r="C509" t="s">
        <v>269</v>
      </c>
      <c r="D509" t="s">
        <v>26</v>
      </c>
      <c r="E509" t="s">
        <v>8</v>
      </c>
      <c r="F509">
        <v>2025</v>
      </c>
      <c r="G509" s="55">
        <f>10^6*IF($E509="charcoal",params!$P$13*INDEX(BAU_Fuel_cons!$E$2:$AS$34,MATCH(D509&amp;"_"&amp;E509,BAU_Fuel_cons!$AT$2:$AT$34,0),MATCH(F509,BAU_Fuel_cons!$E$1:$AS$1,0)),INDEX(BAU_Fuel_cons!$E$2:$AS$34,MATCH(D509&amp;"_"&amp;E509,BAU_Fuel_cons!$AT$2:$AT$34,0),MATCH(F509,BAU_Fuel_cons!$E$1:$AS$1,0)))</f>
        <v>3929540.8416805351</v>
      </c>
      <c r="H509" s="55">
        <f>G509+10^6*IF($E509="charcoal",params!$P$13*SUMIFS(nonresidential!$L:$L,nonresidential!$A:$A,$F509,nonresidential!$B:$B,$E509,nonresidential!$C:$C,$D509),SUMIFS(nonresidential!$L:$L,nonresidential!$A:$A,$F509,nonresidential!$B:$B,$E509,nonresidential!$C:$C,$D509))</f>
        <v>4243904.1090149777</v>
      </c>
      <c r="I509">
        <f>1</f>
        <v>1</v>
      </c>
    </row>
    <row r="510" spans="1:9">
      <c r="A510" t="s">
        <v>211</v>
      </c>
      <c r="B510" t="s">
        <v>162</v>
      </c>
      <c r="C510" t="s">
        <v>269</v>
      </c>
      <c r="D510" t="s">
        <v>26</v>
      </c>
      <c r="E510" t="s">
        <v>8</v>
      </c>
      <c r="F510">
        <v>2026</v>
      </c>
      <c r="G510" s="55">
        <f>10^6*IF($E510="charcoal",params!$P$13*INDEX(BAU_Fuel_cons!$E$2:$AS$34,MATCH(D510&amp;"_"&amp;E510,BAU_Fuel_cons!$AT$2:$AT$34,0),MATCH(F510,BAU_Fuel_cons!$E$1:$AS$1,0)),INDEX(BAU_Fuel_cons!$E$2:$AS$34,MATCH(D510&amp;"_"&amp;E510,BAU_Fuel_cons!$AT$2:$AT$34,0),MATCH(F510,BAU_Fuel_cons!$E$1:$AS$1,0)))</f>
        <v>4441809.1801260728</v>
      </c>
      <c r="H510" s="55">
        <f>G510+10^6*IF($E510="charcoal",params!$P$13*SUMIFS(nonresidential!$L:$L,nonresidential!$A:$A,$F510,nonresidential!$B:$B,$E510,nonresidential!$C:$C,$D510),SUMIFS(nonresidential!$L:$L,nonresidential!$A:$A,$F510,nonresidential!$B:$B,$E510,nonresidential!$C:$C,$D510))</f>
        <v>4797153.9145361586</v>
      </c>
      <c r="I510">
        <f>1</f>
        <v>1</v>
      </c>
    </row>
    <row r="511" spans="1:9">
      <c r="A511" t="s">
        <v>211</v>
      </c>
      <c r="B511" t="s">
        <v>162</v>
      </c>
      <c r="C511" t="s">
        <v>269</v>
      </c>
      <c r="D511" t="s">
        <v>26</v>
      </c>
      <c r="E511" t="s">
        <v>8</v>
      </c>
      <c r="F511">
        <v>2027</v>
      </c>
      <c r="G511" s="55">
        <f>10^6*IF($E511="charcoal",params!$P$13*INDEX(BAU_Fuel_cons!$E$2:$AS$34,MATCH(D511&amp;"_"&amp;E511,BAU_Fuel_cons!$AT$2:$AT$34,0),MATCH(F511,BAU_Fuel_cons!$E$1:$AS$1,0)),INDEX(BAU_Fuel_cons!$E$2:$AS$34,MATCH(D511&amp;"_"&amp;E511,BAU_Fuel_cons!$AT$2:$AT$34,0),MATCH(F511,BAU_Fuel_cons!$E$1:$AS$1,0)))</f>
        <v>4973306.2568569342</v>
      </c>
      <c r="H511" s="55">
        <f>G511+10^6*IF($E511="charcoal",params!$P$13*SUMIFS(nonresidential!$L:$L,nonresidential!$A:$A,$F511,nonresidential!$B:$B,$E511,nonresidential!$C:$C,$D511),SUMIFS(nonresidential!$L:$L,nonresidential!$A:$A,$F511,nonresidential!$B:$B,$E511,nonresidential!$C:$C,$D511))</f>
        <v>5371170.7574054888</v>
      </c>
      <c r="I511">
        <f>1</f>
        <v>1</v>
      </c>
    </row>
    <row r="512" spans="1:9">
      <c r="A512" t="s">
        <v>211</v>
      </c>
      <c r="B512" t="s">
        <v>162</v>
      </c>
      <c r="C512" t="s">
        <v>269</v>
      </c>
      <c r="D512" t="s">
        <v>26</v>
      </c>
      <c r="E512" t="s">
        <v>8</v>
      </c>
      <c r="F512">
        <v>2028</v>
      </c>
      <c r="G512" s="55">
        <f>10^6*IF($E512="charcoal",params!$P$13*INDEX(BAU_Fuel_cons!$E$2:$AS$34,MATCH(D512&amp;"_"&amp;E512,BAU_Fuel_cons!$AT$2:$AT$34,0),MATCH(F512,BAU_Fuel_cons!$E$1:$AS$1,0)),INDEX(BAU_Fuel_cons!$E$2:$AS$34,MATCH(D512&amp;"_"&amp;E512,BAU_Fuel_cons!$AT$2:$AT$34,0),MATCH(F512,BAU_Fuel_cons!$E$1:$AS$1,0)))</f>
        <v>5523709.8141174642</v>
      </c>
      <c r="H512" s="55">
        <f>G512+10^6*IF($E512="charcoal",params!$P$13*SUMIFS(nonresidential!$L:$L,nonresidential!$A:$A,$F512,nonresidential!$B:$B,$E512,nonresidential!$C:$C,$D512),SUMIFS(nonresidential!$L:$L,nonresidential!$A:$A,$F512,nonresidential!$B:$B,$E512,nonresidential!$C:$C,$D512))</f>
        <v>5965606.5992468614</v>
      </c>
      <c r="I512">
        <f>1</f>
        <v>1</v>
      </c>
    </row>
    <row r="513" spans="1:9">
      <c r="A513" t="s">
        <v>211</v>
      </c>
      <c r="B513" t="s">
        <v>162</v>
      </c>
      <c r="C513" t="s">
        <v>269</v>
      </c>
      <c r="D513" t="s">
        <v>26</v>
      </c>
      <c r="E513" t="s">
        <v>8</v>
      </c>
      <c r="F513">
        <v>2029</v>
      </c>
      <c r="G513" s="55">
        <f>10^6*IF($E513="charcoal",params!$P$13*INDEX(BAU_Fuel_cons!$E$2:$AS$34,MATCH(D513&amp;"_"&amp;E513,BAU_Fuel_cons!$AT$2:$AT$34,0),MATCH(F513,BAU_Fuel_cons!$E$1:$AS$1,0)),INDEX(BAU_Fuel_cons!$E$2:$AS$34,MATCH(D513&amp;"_"&amp;E513,BAU_Fuel_cons!$AT$2:$AT$34,0),MATCH(F513,BAU_Fuel_cons!$E$1:$AS$1,0)))</f>
        <v>6092483.7570715351</v>
      </c>
      <c r="H513" s="55">
        <f>G513+10^6*IF($E513="charcoal",params!$P$13*SUMIFS(nonresidential!$L:$L,nonresidential!$A:$A,$F513,nonresidential!$B:$B,$E513,nonresidential!$C:$C,$D513),SUMIFS(nonresidential!$L:$L,nonresidential!$A:$A,$F513,nonresidential!$B:$B,$E513,nonresidential!$C:$C,$D513))</f>
        <v>6579882.4576372579</v>
      </c>
      <c r="I513">
        <f>1</f>
        <v>1</v>
      </c>
    </row>
    <row r="514" spans="1:9">
      <c r="A514" t="s">
        <v>211</v>
      </c>
      <c r="B514" t="s">
        <v>162</v>
      </c>
      <c r="C514" t="s">
        <v>269</v>
      </c>
      <c r="D514" t="s">
        <v>26</v>
      </c>
      <c r="E514" t="s">
        <v>8</v>
      </c>
      <c r="F514">
        <v>2030</v>
      </c>
      <c r="G514" s="55">
        <f>10^6*IF($E514="charcoal",params!$P$13*INDEX(BAU_Fuel_cons!$E$2:$AS$34,MATCH(D514&amp;"_"&amp;E514,BAU_Fuel_cons!$AT$2:$AT$34,0),MATCH(F514,BAU_Fuel_cons!$E$1:$AS$1,0)),INDEX(BAU_Fuel_cons!$E$2:$AS$34,MATCH(D514&amp;"_"&amp;E514,BAU_Fuel_cons!$AT$2:$AT$34,0),MATCH(F514,BAU_Fuel_cons!$E$1:$AS$1,0)))</f>
        <v>6679005.378279781</v>
      </c>
      <c r="H514" s="55">
        <f>G514+10^6*IF($E514="charcoal",params!$P$13*SUMIFS(nonresidential!$L:$L,nonresidential!$A:$A,$F514,nonresidential!$B:$B,$E514,nonresidential!$C:$C,$D514),SUMIFS(nonresidential!$L:$L,nonresidential!$A:$A,$F514,nonresidential!$B:$B,$E514,nonresidential!$C:$C,$D514))</f>
        <v>7213325.8085421631</v>
      </c>
      <c r="I514">
        <f>1</f>
        <v>1</v>
      </c>
    </row>
    <row r="515" spans="1:9">
      <c r="A515" t="s">
        <v>211</v>
      </c>
      <c r="B515" t="s">
        <v>162</v>
      </c>
      <c r="C515" t="s">
        <v>269</v>
      </c>
      <c r="D515" t="s">
        <v>26</v>
      </c>
      <c r="E515" t="s">
        <v>8</v>
      </c>
      <c r="F515">
        <v>2031</v>
      </c>
      <c r="G515" s="55">
        <f>10^6*IF($E515="charcoal",params!$P$13*INDEX(BAU_Fuel_cons!$E$2:$AS$34,MATCH(D515&amp;"_"&amp;E515,BAU_Fuel_cons!$AT$2:$AT$34,0),MATCH(F515,BAU_Fuel_cons!$E$1:$AS$1,0)),INDEX(BAU_Fuel_cons!$E$2:$AS$34,MATCH(D515&amp;"_"&amp;E515,BAU_Fuel_cons!$AT$2:$AT$34,0),MATCH(F515,BAU_Fuel_cons!$E$1:$AS$1,0)))</f>
        <v>7282698.5417649457</v>
      </c>
      <c r="H515" s="55">
        <f>G515+10^6*IF($E515="charcoal",params!$P$13*SUMIFS(nonresidential!$L:$L,nonresidential!$A:$A,$F515,nonresidential!$B:$B,$E515,nonresidential!$C:$C,$D515),SUMIFS(nonresidential!$L:$L,nonresidential!$A:$A,$F515,nonresidential!$B:$B,$E515,nonresidential!$C:$C,$D515))</f>
        <v>7865314.4251061417</v>
      </c>
      <c r="I515">
        <f>1</f>
        <v>1</v>
      </c>
    </row>
    <row r="516" spans="1:9">
      <c r="A516" t="s">
        <v>211</v>
      </c>
      <c r="B516" t="s">
        <v>162</v>
      </c>
      <c r="C516" t="s">
        <v>269</v>
      </c>
      <c r="D516" t="s">
        <v>26</v>
      </c>
      <c r="E516" t="s">
        <v>8</v>
      </c>
      <c r="F516">
        <v>2032</v>
      </c>
      <c r="G516" s="55">
        <f>10^6*IF($E516="charcoal",params!$P$13*INDEX(BAU_Fuel_cons!$E$2:$AS$34,MATCH(D516&amp;"_"&amp;E516,BAU_Fuel_cons!$AT$2:$AT$34,0),MATCH(F516,BAU_Fuel_cons!$E$1:$AS$1,0)),INDEX(BAU_Fuel_cons!$E$2:$AS$34,MATCH(D516&amp;"_"&amp;E516,BAU_Fuel_cons!$AT$2:$AT$34,0),MATCH(F516,BAU_Fuel_cons!$E$1:$AS$1,0)))</f>
        <v>7903033.2690974474</v>
      </c>
      <c r="H516" s="55">
        <f>G516+10^6*IF($E516="charcoal",params!$P$13*SUMIFS(nonresidential!$L:$L,nonresidential!$A:$A,$F516,nonresidential!$B:$B,$E516,nonresidential!$C:$C,$D516),SUMIFS(nonresidential!$L:$L,nonresidential!$A:$A,$F516,nonresidential!$B:$B,$E516,nonresidential!$C:$C,$D516))</f>
        <v>8535275.9306252431</v>
      </c>
      <c r="I516">
        <f>1</f>
        <v>1</v>
      </c>
    </row>
    <row r="517" spans="1:9">
      <c r="A517" t="s">
        <v>211</v>
      </c>
      <c r="B517" t="s">
        <v>162</v>
      </c>
      <c r="C517" t="s">
        <v>269</v>
      </c>
      <c r="D517" t="s">
        <v>26</v>
      </c>
      <c r="E517" t="s">
        <v>8</v>
      </c>
      <c r="F517">
        <v>2033</v>
      </c>
      <c r="G517" s="55">
        <f>10^6*IF($E517="charcoal",params!$P$13*INDEX(BAU_Fuel_cons!$E$2:$AS$34,MATCH(D517&amp;"_"&amp;E517,BAU_Fuel_cons!$AT$2:$AT$34,0),MATCH(F517,BAU_Fuel_cons!$E$1:$AS$1,0)),INDEX(BAU_Fuel_cons!$E$2:$AS$34,MATCH(D517&amp;"_"&amp;E517,BAU_Fuel_cons!$AT$2:$AT$34,0),MATCH(F517,BAU_Fuel_cons!$E$1:$AS$1,0)))</f>
        <v>8539421.0089099575</v>
      </c>
      <c r="H517" s="55">
        <f>G517+10^6*IF($E517="charcoal",params!$P$13*SUMIFS(nonresidential!$L:$L,nonresidential!$A:$A,$F517,nonresidential!$B:$B,$E517,nonresidential!$C:$C,$D517),SUMIFS(nonresidential!$L:$L,nonresidential!$A:$A,$F517,nonresidential!$B:$B,$E517,nonresidential!$C:$C,$D517))</f>
        <v>9222574.6896227542</v>
      </c>
      <c r="I517">
        <f>1</f>
        <v>1</v>
      </c>
    </row>
    <row r="518" spans="1:9">
      <c r="A518" t="s">
        <v>211</v>
      </c>
      <c r="B518" t="s">
        <v>162</v>
      </c>
      <c r="C518" t="s">
        <v>269</v>
      </c>
      <c r="D518" t="s">
        <v>26</v>
      </c>
      <c r="E518" t="s">
        <v>8</v>
      </c>
      <c r="F518">
        <v>2034</v>
      </c>
      <c r="G518" s="55">
        <f>10^6*IF($E518="charcoal",params!$P$13*INDEX(BAU_Fuel_cons!$E$2:$AS$34,MATCH(D518&amp;"_"&amp;E518,BAU_Fuel_cons!$AT$2:$AT$34,0),MATCH(F518,BAU_Fuel_cons!$E$1:$AS$1,0)),INDEX(BAU_Fuel_cons!$E$2:$AS$34,MATCH(D518&amp;"_"&amp;E518,BAU_Fuel_cons!$AT$2:$AT$34,0),MATCH(F518,BAU_Fuel_cons!$E$1:$AS$1,0)))</f>
        <v>9191340.7938483972</v>
      </c>
      <c r="H518" s="55">
        <f>G518+10^6*IF($E518="charcoal",params!$P$13*SUMIFS(nonresidential!$L:$L,nonresidential!$A:$A,$F518,nonresidential!$B:$B,$E518,nonresidential!$C:$C,$D518),SUMIFS(nonresidential!$L:$L,nonresidential!$A:$A,$F518,nonresidential!$B:$B,$E518,nonresidential!$C:$C,$D518))</f>
        <v>9926648.0573562682</v>
      </c>
      <c r="I518">
        <f>1</f>
        <v>1</v>
      </c>
    </row>
    <row r="519" spans="1:9">
      <c r="A519" t="s">
        <v>211</v>
      </c>
      <c r="B519" t="s">
        <v>162</v>
      </c>
      <c r="C519" t="s">
        <v>269</v>
      </c>
      <c r="D519" t="s">
        <v>26</v>
      </c>
      <c r="E519" t="s">
        <v>8</v>
      </c>
      <c r="F519">
        <v>2035</v>
      </c>
      <c r="G519" s="55">
        <f>10^6*IF($E519="charcoal",params!$P$13*INDEX(BAU_Fuel_cons!$E$2:$AS$34,MATCH(D519&amp;"_"&amp;E519,BAU_Fuel_cons!$AT$2:$AT$34,0),MATCH(F519,BAU_Fuel_cons!$E$1:$AS$1,0)),INDEX(BAU_Fuel_cons!$E$2:$AS$34,MATCH(D519&amp;"_"&amp;E519,BAU_Fuel_cons!$AT$2:$AT$34,0),MATCH(F519,BAU_Fuel_cons!$E$1:$AS$1,0)))</f>
        <v>9859405.8193949889</v>
      </c>
      <c r="H519" s="55">
        <f>G519+10^6*IF($E519="charcoal",params!$P$13*SUMIFS(nonresidential!$L:$L,nonresidential!$A:$A,$F519,nonresidential!$B:$B,$E519,nonresidential!$C:$C,$D519),SUMIFS(nonresidential!$L:$L,nonresidential!$A:$A,$F519,nonresidential!$B:$B,$E519,nonresidential!$C:$C,$D519))</f>
        <v>10648158.284946589</v>
      </c>
      <c r="I519">
        <f>1</f>
        <v>1</v>
      </c>
    </row>
    <row r="520" spans="1:9">
      <c r="A520" t="s">
        <v>211</v>
      </c>
      <c r="B520" t="s">
        <v>162</v>
      </c>
      <c r="C520" t="s">
        <v>269</v>
      </c>
      <c r="D520" t="s">
        <v>26</v>
      </c>
      <c r="E520" t="s">
        <v>8</v>
      </c>
      <c r="F520">
        <v>2036</v>
      </c>
      <c r="G520" s="55">
        <f>10^6*IF($E520="charcoal",params!$P$13*INDEX(BAU_Fuel_cons!$E$2:$AS$34,MATCH(D520&amp;"_"&amp;E520,BAU_Fuel_cons!$AT$2:$AT$34,0),MATCH(F520,BAU_Fuel_cons!$E$1:$AS$1,0)),INDEX(BAU_Fuel_cons!$E$2:$AS$34,MATCH(D520&amp;"_"&amp;E520,BAU_Fuel_cons!$AT$2:$AT$34,0),MATCH(F520,BAU_Fuel_cons!$E$1:$AS$1,0)))</f>
        <v>10543282.868424781</v>
      </c>
      <c r="H520" s="55">
        <f>G520+10^6*IF($E520="charcoal",params!$P$13*SUMIFS(nonresidential!$L:$L,nonresidential!$A:$A,$F520,nonresidential!$B:$B,$E520,nonresidential!$C:$C,$D520),SUMIFS(nonresidential!$L:$L,nonresidential!$A:$A,$F520,nonresidential!$B:$B,$E520,nonresidential!$C:$C,$D520))</f>
        <v>11386745.497898763</v>
      </c>
      <c r="I520">
        <f>1</f>
        <v>1</v>
      </c>
    </row>
    <row r="521" spans="1:9">
      <c r="A521" t="s">
        <v>211</v>
      </c>
      <c r="B521" t="s">
        <v>162</v>
      </c>
      <c r="C521" t="s">
        <v>269</v>
      </c>
      <c r="D521" t="s">
        <v>26</v>
      </c>
      <c r="E521" t="s">
        <v>8</v>
      </c>
      <c r="F521">
        <v>2037</v>
      </c>
      <c r="G521" s="55">
        <f>10^6*IF($E521="charcoal",params!$P$13*INDEX(BAU_Fuel_cons!$E$2:$AS$34,MATCH(D521&amp;"_"&amp;E521,BAU_Fuel_cons!$AT$2:$AT$34,0),MATCH(F521,BAU_Fuel_cons!$E$1:$AS$1,0)),INDEX(BAU_Fuel_cons!$E$2:$AS$34,MATCH(D521&amp;"_"&amp;E521,BAU_Fuel_cons!$AT$2:$AT$34,0),MATCH(F521,BAU_Fuel_cons!$E$1:$AS$1,0)))</f>
        <v>11242420.684174737</v>
      </c>
      <c r="H521" s="55">
        <f>G521+10^6*IF($E521="charcoal",params!$P$13*SUMIFS(nonresidential!$L:$L,nonresidential!$A:$A,$F521,nonresidential!$B:$B,$E521,nonresidential!$C:$C,$D521),SUMIFS(nonresidential!$L:$L,nonresidential!$A:$A,$F521,nonresidential!$B:$B,$E521,nonresidential!$C:$C,$D521))</f>
        <v>12141814.338908715</v>
      </c>
      <c r="I521">
        <f>1</f>
        <v>1</v>
      </c>
    </row>
    <row r="522" spans="1:9">
      <c r="A522" t="s">
        <v>211</v>
      </c>
      <c r="B522" t="s">
        <v>162</v>
      </c>
      <c r="C522" t="s">
        <v>269</v>
      </c>
      <c r="D522" t="s">
        <v>26</v>
      </c>
      <c r="E522" t="s">
        <v>8</v>
      </c>
      <c r="F522">
        <v>2038</v>
      </c>
      <c r="G522" s="55">
        <f>10^6*IF($E522="charcoal",params!$P$13*INDEX(BAU_Fuel_cons!$E$2:$AS$34,MATCH(D522&amp;"_"&amp;E522,BAU_Fuel_cons!$AT$2:$AT$34,0),MATCH(F522,BAU_Fuel_cons!$E$1:$AS$1,0)),INDEX(BAU_Fuel_cons!$E$2:$AS$34,MATCH(D522&amp;"_"&amp;E522,BAU_Fuel_cons!$AT$2:$AT$34,0),MATCH(F522,BAU_Fuel_cons!$E$1:$AS$1,0)))</f>
        <v>11956280.029968785</v>
      </c>
      <c r="H522" s="55">
        <f>G522+10^6*IF($E522="charcoal",params!$P$13*SUMIFS(nonresidential!$L:$L,nonresidential!$A:$A,$F522,nonresidential!$B:$B,$E522,nonresidential!$C:$C,$D522),SUMIFS(nonresidential!$L:$L,nonresidential!$A:$A,$F522,nonresidential!$B:$B,$E522,nonresidential!$C:$C,$D522))</f>
        <v>12912782.432366287</v>
      </c>
      <c r="I522">
        <f>1</f>
        <v>1</v>
      </c>
    </row>
    <row r="523" spans="1:9">
      <c r="A523" t="s">
        <v>211</v>
      </c>
      <c r="B523" t="s">
        <v>162</v>
      </c>
      <c r="C523" t="s">
        <v>269</v>
      </c>
      <c r="D523" t="s">
        <v>26</v>
      </c>
      <c r="E523" t="s">
        <v>8</v>
      </c>
      <c r="F523">
        <v>2039</v>
      </c>
      <c r="G523" s="55">
        <f>10^6*IF($E523="charcoal",params!$P$13*INDEX(BAU_Fuel_cons!$E$2:$AS$34,MATCH(D523&amp;"_"&amp;E523,BAU_Fuel_cons!$AT$2:$AT$34,0),MATCH(F523,BAU_Fuel_cons!$E$1:$AS$1,0)),INDEX(BAU_Fuel_cons!$E$2:$AS$34,MATCH(D523&amp;"_"&amp;E523,BAU_Fuel_cons!$AT$2:$AT$34,0),MATCH(F523,BAU_Fuel_cons!$E$1:$AS$1,0)))</f>
        <v>12684271.165722501</v>
      </c>
      <c r="H523" s="55">
        <f>G523+10^6*IF($E523="charcoal",params!$P$13*SUMIFS(nonresidential!$L:$L,nonresidential!$A:$A,$F523,nonresidential!$B:$B,$E523,nonresidential!$C:$C,$D523),SUMIFS(nonresidential!$L:$L,nonresidential!$A:$A,$F523,nonresidential!$B:$B,$E523,nonresidential!$C:$C,$D523))</f>
        <v>13699012.8589803</v>
      </c>
      <c r="I523">
        <f>1</f>
        <v>1</v>
      </c>
    </row>
    <row r="524" spans="1:9">
      <c r="A524" t="s">
        <v>211</v>
      </c>
      <c r="B524" t="s">
        <v>162</v>
      </c>
      <c r="C524" t="s">
        <v>269</v>
      </c>
      <c r="D524" t="s">
        <v>26</v>
      </c>
      <c r="E524" t="s">
        <v>8</v>
      </c>
      <c r="F524">
        <v>2040</v>
      </c>
      <c r="G524" s="55">
        <f>10^6*IF($E524="charcoal",params!$P$13*INDEX(BAU_Fuel_cons!$E$2:$AS$34,MATCH(D524&amp;"_"&amp;E524,BAU_Fuel_cons!$AT$2:$AT$34,0),MATCH(F524,BAU_Fuel_cons!$E$1:$AS$1,0)),INDEX(BAU_Fuel_cons!$E$2:$AS$34,MATCH(D524&amp;"_"&amp;E524,BAU_Fuel_cons!$AT$2:$AT$34,0),MATCH(F524,BAU_Fuel_cons!$E$1:$AS$1,0)))</f>
        <v>13425776.236937871</v>
      </c>
      <c r="H524" s="55">
        <f>G524+10^6*IF($E524="charcoal",params!$P$13*SUMIFS(nonresidential!$L:$L,nonresidential!$A:$A,$F524,nonresidential!$B:$B,$E524,nonresidential!$C:$C,$D524),SUMIFS(nonresidential!$L:$L,nonresidential!$A:$A,$F524,nonresidential!$B:$B,$E524,nonresidential!$C:$C,$D524))</f>
        <v>14499838.335892901</v>
      </c>
      <c r="I524">
        <f>1</f>
        <v>1</v>
      </c>
    </row>
    <row r="525" spans="1:9">
      <c r="A525" t="s">
        <v>211</v>
      </c>
      <c r="B525" t="s">
        <v>162</v>
      </c>
      <c r="C525" t="s">
        <v>269</v>
      </c>
      <c r="D525" t="s">
        <v>26</v>
      </c>
      <c r="E525" t="s">
        <v>8</v>
      </c>
      <c r="F525">
        <v>2041</v>
      </c>
      <c r="G525" s="55">
        <f>10^6*IF($E525="charcoal",params!$P$13*INDEX(BAU_Fuel_cons!$E$2:$AS$34,MATCH(D525&amp;"_"&amp;E525,BAU_Fuel_cons!$AT$2:$AT$34,0),MATCH(F525,BAU_Fuel_cons!$E$1:$AS$1,0)),INDEX(BAU_Fuel_cons!$E$2:$AS$34,MATCH(D525&amp;"_"&amp;E525,BAU_Fuel_cons!$AT$2:$AT$34,0),MATCH(F525,BAU_Fuel_cons!$E$1:$AS$1,0)))</f>
        <v>14180113.923882261</v>
      </c>
      <c r="H525" s="55">
        <f>G525+10^6*IF($E525="charcoal",params!$P$13*SUMIFS(nonresidential!$L:$L,nonresidential!$A:$A,$F525,nonresidential!$B:$B,$E525,nonresidential!$C:$C,$D525),SUMIFS(nonresidential!$L:$L,nonresidential!$A:$A,$F525,nonresidential!$B:$B,$E525,nonresidential!$C:$C,$D525))</f>
        <v>15314523.037792841</v>
      </c>
      <c r="I525">
        <f>1</f>
        <v>1</v>
      </c>
    </row>
    <row r="526" spans="1:9">
      <c r="A526" t="s">
        <v>211</v>
      </c>
      <c r="B526" t="s">
        <v>162</v>
      </c>
      <c r="C526" t="s">
        <v>269</v>
      </c>
      <c r="D526" t="s">
        <v>26</v>
      </c>
      <c r="E526" t="s">
        <v>8</v>
      </c>
      <c r="F526">
        <v>2042</v>
      </c>
      <c r="G526" s="55">
        <f>10^6*IF($E526="charcoal",params!$P$13*INDEX(BAU_Fuel_cons!$E$2:$AS$34,MATCH(D526&amp;"_"&amp;E526,BAU_Fuel_cons!$AT$2:$AT$34,0),MATCH(F526,BAU_Fuel_cons!$E$1:$AS$1,0)),INDEX(BAU_Fuel_cons!$E$2:$AS$34,MATCH(D526&amp;"_"&amp;E526,BAU_Fuel_cons!$AT$2:$AT$34,0),MATCH(F526,BAU_Fuel_cons!$E$1:$AS$1,0)))</f>
        <v>14946543.768568901</v>
      </c>
      <c r="H526" s="55">
        <f>G526+10^6*IF($E526="charcoal",params!$P$13*SUMIFS(nonresidential!$L:$L,nonresidential!$A:$A,$F526,nonresidential!$B:$B,$E526,nonresidential!$C:$C,$D526),SUMIFS(nonresidential!$L:$L,nonresidential!$A:$A,$F526,nonresidential!$B:$B,$E526,nonresidential!$C:$C,$D526))</f>
        <v>16142267.270054413</v>
      </c>
      <c r="I526">
        <f>1</f>
        <v>1</v>
      </c>
    </row>
    <row r="527" spans="1:9">
      <c r="A527" t="s">
        <v>211</v>
      </c>
      <c r="B527" t="s">
        <v>162</v>
      </c>
      <c r="C527" t="s">
        <v>269</v>
      </c>
      <c r="D527" t="s">
        <v>26</v>
      </c>
      <c r="E527" t="s">
        <v>8</v>
      </c>
      <c r="F527">
        <v>2043</v>
      </c>
      <c r="G527" s="55">
        <f>10^6*IF($E527="charcoal",params!$P$13*INDEX(BAU_Fuel_cons!$E$2:$AS$34,MATCH(D527&amp;"_"&amp;E527,BAU_Fuel_cons!$AT$2:$AT$34,0),MATCH(F527,BAU_Fuel_cons!$E$1:$AS$1,0)),INDEX(BAU_Fuel_cons!$E$2:$AS$34,MATCH(D527&amp;"_"&amp;E527,BAU_Fuel_cons!$AT$2:$AT$34,0),MATCH(F527,BAU_Fuel_cons!$E$1:$AS$1,0)))</f>
        <v>15724234.540634779</v>
      </c>
      <c r="H527" s="55">
        <f>G527+10^6*IF($E527="charcoal",params!$P$13*SUMIFS(nonresidential!$L:$L,nonresidential!$A:$A,$F527,nonresidential!$B:$B,$E527,nonresidential!$C:$C,$D527),SUMIFS(nonresidential!$L:$L,nonresidential!$A:$A,$F527,nonresidential!$B:$B,$E527,nonresidential!$C:$C,$D527))</f>
        <v>16982173.30388556</v>
      </c>
      <c r="I527">
        <f>1</f>
        <v>1</v>
      </c>
    </row>
    <row r="528" spans="1:9">
      <c r="A528" t="s">
        <v>211</v>
      </c>
      <c r="B528" t="s">
        <v>162</v>
      </c>
      <c r="C528" t="s">
        <v>269</v>
      </c>
      <c r="D528" t="s">
        <v>26</v>
      </c>
      <c r="E528" t="s">
        <v>8</v>
      </c>
      <c r="F528">
        <v>2044</v>
      </c>
      <c r="G528" s="55">
        <f>10^6*IF($E528="charcoal",params!$P$13*INDEX(BAU_Fuel_cons!$E$2:$AS$34,MATCH(D528&amp;"_"&amp;E528,BAU_Fuel_cons!$AT$2:$AT$34,0),MATCH(F528,BAU_Fuel_cons!$E$1:$AS$1,0)),INDEX(BAU_Fuel_cons!$E$2:$AS$34,MATCH(D528&amp;"_"&amp;E528,BAU_Fuel_cons!$AT$2:$AT$34,0),MATCH(F528,BAU_Fuel_cons!$E$1:$AS$1,0)))</f>
        <v>16512277.465610346</v>
      </c>
      <c r="H528" s="55">
        <f>G528+10^6*IF($E528="charcoal",params!$P$13*SUMIFS(nonresidential!$L:$L,nonresidential!$A:$A,$F528,nonresidential!$B:$B,$E528,nonresidential!$C:$C,$D528),SUMIFS(nonresidential!$L:$L,nonresidential!$A:$A,$F528,nonresidential!$B:$B,$E528,nonresidential!$C:$C,$D528))</f>
        <v>17833259.662859172</v>
      </c>
      <c r="I528">
        <f>1</f>
        <v>1</v>
      </c>
    </row>
    <row r="529" spans="1:9">
      <c r="A529" t="s">
        <v>211</v>
      </c>
      <c r="B529" t="s">
        <v>162</v>
      </c>
      <c r="C529" t="s">
        <v>269</v>
      </c>
      <c r="D529" t="s">
        <v>26</v>
      </c>
      <c r="E529" t="s">
        <v>8</v>
      </c>
      <c r="F529">
        <v>2045</v>
      </c>
      <c r="G529" s="55">
        <f>10^6*IF($E529="charcoal",params!$P$13*INDEX(BAU_Fuel_cons!$E$2:$AS$34,MATCH(D529&amp;"_"&amp;E529,BAU_Fuel_cons!$AT$2:$AT$34,0),MATCH(F529,BAU_Fuel_cons!$E$1:$AS$1,0)),INDEX(BAU_Fuel_cons!$E$2:$AS$34,MATCH(D529&amp;"_"&amp;E529,BAU_Fuel_cons!$AT$2:$AT$34,0),MATCH(F529,BAU_Fuel_cons!$E$1:$AS$1,0)))</f>
        <v>17309761.395017039</v>
      </c>
      <c r="H529" s="55">
        <f>G529+10^6*IF($E529="charcoal",params!$P$13*SUMIFS(nonresidential!$L:$L,nonresidential!$A:$A,$F529,nonresidential!$B:$B,$E529,nonresidential!$C:$C,$D529),SUMIFS(nonresidential!$L:$L,nonresidential!$A:$A,$F529,nonresidential!$B:$B,$E529,nonresidential!$C:$C,$D529))</f>
        <v>18694542.306618404</v>
      </c>
      <c r="I529">
        <f>1</f>
        <v>1</v>
      </c>
    </row>
    <row r="530" spans="1:9">
      <c r="A530" t="s">
        <v>211</v>
      </c>
      <c r="B530" t="s">
        <v>162</v>
      </c>
      <c r="C530" t="s">
        <v>269</v>
      </c>
      <c r="D530" t="s">
        <v>26</v>
      </c>
      <c r="E530" t="s">
        <v>8</v>
      </c>
      <c r="F530">
        <v>2046</v>
      </c>
      <c r="G530" s="55">
        <f>10^6*IF($E530="charcoal",params!$P$13*INDEX(BAU_Fuel_cons!$E$2:$AS$34,MATCH(D530&amp;"_"&amp;E530,BAU_Fuel_cons!$AT$2:$AT$34,0),MATCH(F530,BAU_Fuel_cons!$E$1:$AS$1,0)),INDEX(BAU_Fuel_cons!$E$2:$AS$34,MATCH(D530&amp;"_"&amp;E530,BAU_Fuel_cons!$AT$2:$AT$34,0),MATCH(F530,BAU_Fuel_cons!$E$1:$AS$1,0)))</f>
        <v>18115742.6010499</v>
      </c>
      <c r="H530" s="55">
        <f>G530+10^6*IF($E530="charcoal",params!$P$13*SUMIFS(nonresidential!$L:$L,nonresidential!$A:$A,$F530,nonresidential!$B:$B,$E530,nonresidential!$C:$C,$D530),SUMIFS(nonresidential!$L:$L,nonresidential!$A:$A,$F530,nonresidential!$B:$B,$E530,nonresidential!$C:$C,$D530))</f>
        <v>19565002.00913389</v>
      </c>
      <c r="I530">
        <f>1</f>
        <v>1</v>
      </c>
    </row>
    <row r="531" spans="1:9">
      <c r="A531" t="s">
        <v>211</v>
      </c>
      <c r="B531" t="s">
        <v>162</v>
      </c>
      <c r="C531" t="s">
        <v>269</v>
      </c>
      <c r="D531" t="s">
        <v>26</v>
      </c>
      <c r="E531" t="s">
        <v>8</v>
      </c>
      <c r="F531">
        <v>2047</v>
      </c>
      <c r="G531" s="55">
        <f>10^6*IF($E531="charcoal",params!$P$13*INDEX(BAU_Fuel_cons!$E$2:$AS$34,MATCH(D531&amp;"_"&amp;E531,BAU_Fuel_cons!$AT$2:$AT$34,0),MATCH(F531,BAU_Fuel_cons!$E$1:$AS$1,0)),INDEX(BAU_Fuel_cons!$E$2:$AS$34,MATCH(D531&amp;"_"&amp;E531,BAU_Fuel_cons!$AT$2:$AT$34,0),MATCH(F531,BAU_Fuel_cons!$E$1:$AS$1,0)))</f>
        <v>18929306.815693818</v>
      </c>
      <c r="H531" s="55">
        <f>G531+10^6*IF($E531="charcoal",params!$P$13*SUMIFS(nonresidential!$L:$L,nonresidential!$A:$A,$F531,nonresidential!$B:$B,$E531,nonresidential!$C:$C,$D531),SUMIFS(nonresidential!$L:$L,nonresidential!$A:$A,$F531,nonresidential!$B:$B,$E531,nonresidential!$C:$C,$D531))</f>
        <v>20443651.360949323</v>
      </c>
      <c r="I531">
        <f>1</f>
        <v>1</v>
      </c>
    </row>
    <row r="532" spans="1:9">
      <c r="A532" t="s">
        <v>211</v>
      </c>
      <c r="B532" t="s">
        <v>162</v>
      </c>
      <c r="C532" t="s">
        <v>269</v>
      </c>
      <c r="D532" t="s">
        <v>26</v>
      </c>
      <c r="E532" t="s">
        <v>8</v>
      </c>
      <c r="F532">
        <v>2048</v>
      </c>
      <c r="G532" s="55">
        <f>10^6*IF($E532="charcoal",params!$P$13*INDEX(BAU_Fuel_cons!$E$2:$AS$34,MATCH(D532&amp;"_"&amp;E532,BAU_Fuel_cons!$AT$2:$AT$34,0),MATCH(F532,BAU_Fuel_cons!$E$1:$AS$1,0)),INDEX(BAU_Fuel_cons!$E$2:$AS$34,MATCH(D532&amp;"_"&amp;E532,BAU_Fuel_cons!$AT$2:$AT$34,0),MATCH(F532,BAU_Fuel_cons!$E$1:$AS$1,0)))</f>
        <v>19749562.875635177</v>
      </c>
      <c r="H532" s="55">
        <f>G532+10^6*IF($E532="charcoal",params!$P$13*SUMIFS(nonresidential!$L:$L,nonresidential!$A:$A,$F532,nonresidential!$B:$B,$E532,nonresidential!$C:$C,$D532),SUMIFS(nonresidential!$L:$L,nonresidential!$A:$A,$F532,nonresidential!$B:$B,$E532,nonresidential!$C:$C,$D532))</f>
        <v>21329527.905685991</v>
      </c>
      <c r="I532">
        <f>1</f>
        <v>1</v>
      </c>
    </row>
    <row r="533" spans="1:9">
      <c r="A533" t="s">
        <v>211</v>
      </c>
      <c r="B533" t="s">
        <v>162</v>
      </c>
      <c r="C533" t="s">
        <v>269</v>
      </c>
      <c r="D533" t="s">
        <v>26</v>
      </c>
      <c r="E533" t="s">
        <v>8</v>
      </c>
      <c r="F533">
        <v>2049</v>
      </c>
      <c r="G533" s="55">
        <f>10^6*IF($E533="charcoal",params!$P$13*INDEX(BAU_Fuel_cons!$E$2:$AS$34,MATCH(D533&amp;"_"&amp;E533,BAU_Fuel_cons!$AT$2:$AT$34,0),MATCH(F533,BAU_Fuel_cons!$E$1:$AS$1,0)),INDEX(BAU_Fuel_cons!$E$2:$AS$34,MATCH(D533&amp;"_"&amp;E533,BAU_Fuel_cons!$AT$2:$AT$34,0),MATCH(F533,BAU_Fuel_cons!$E$1:$AS$1,0)))</f>
        <v>20575633.687361579</v>
      </c>
      <c r="H533" s="55">
        <f>G533+10^6*IF($E533="charcoal",params!$P$13*SUMIFS(nonresidential!$L:$L,nonresidential!$A:$A,$F533,nonresidential!$B:$B,$E533,nonresidential!$C:$C,$D533),SUMIFS(nonresidential!$L:$L,nonresidential!$A:$A,$F533,nonresidential!$B:$B,$E533,nonresidential!$C:$C,$D533))</f>
        <v>22221684.382350504</v>
      </c>
      <c r="I533">
        <f>1</f>
        <v>1</v>
      </c>
    </row>
    <row r="534" spans="1:9">
      <c r="A534" t="s">
        <v>211</v>
      </c>
      <c r="B534" t="s">
        <v>162</v>
      </c>
      <c r="C534" t="s">
        <v>269</v>
      </c>
      <c r="D534" t="s">
        <v>26</v>
      </c>
      <c r="E534" t="s">
        <v>8</v>
      </c>
      <c r="F534">
        <v>2050</v>
      </c>
      <c r="G534" s="55">
        <f>10^6*IF($E534="charcoal",params!$P$13*INDEX(BAU_Fuel_cons!$E$2:$AS$34,MATCH(D534&amp;"_"&amp;E534,BAU_Fuel_cons!$AT$2:$AT$34,0),MATCH(F534,BAU_Fuel_cons!$E$1:$AS$1,0)),INDEX(BAU_Fuel_cons!$E$2:$AS$34,MATCH(D534&amp;"_"&amp;E534,BAU_Fuel_cons!$AT$2:$AT$34,0),MATCH(F534,BAU_Fuel_cons!$E$1:$AS$1,0)))</f>
        <v>21406585.003105495</v>
      </c>
      <c r="H534" s="55">
        <f>G534+10^6*IF($E534="charcoal",params!$P$13*SUMIFS(nonresidential!$L:$L,nonresidential!$A:$A,$F534,nonresidential!$B:$B,$E534,nonresidential!$C:$C,$D534),SUMIFS(nonresidential!$L:$L,nonresidential!$A:$A,$F534,nonresidential!$B:$B,$E534,nonresidential!$C:$C,$D534))</f>
        <v>23119111.803353935</v>
      </c>
      <c r="I534">
        <f>1</f>
        <v>1</v>
      </c>
    </row>
    <row r="535" spans="1:9">
      <c r="A535" t="s">
        <v>211</v>
      </c>
      <c r="B535" t="s">
        <v>162</v>
      </c>
      <c r="C535" t="s">
        <v>269</v>
      </c>
      <c r="D535" t="s">
        <v>26</v>
      </c>
      <c r="E535" t="s">
        <v>37</v>
      </c>
      <c r="F535">
        <v>2010</v>
      </c>
      <c r="G535" s="55">
        <f>10^6*IF($E535="charcoal",params!$P$13*INDEX(BAU_Fuel_cons!$E$2:$AS$34,MATCH(D535&amp;"_"&amp;E535,BAU_Fuel_cons!$AT$2:$AT$34,0),MATCH(F535,BAU_Fuel_cons!$E$1:$AS$1,0)),INDEX(BAU_Fuel_cons!$E$2:$AS$34,MATCH(D535&amp;"_"&amp;E535,BAU_Fuel_cons!$AT$2:$AT$34,0),MATCH(F535,BAU_Fuel_cons!$E$1:$AS$1,0)))</f>
        <v>0</v>
      </c>
      <c r="H535" s="55">
        <f>G535+10^6*IF($E535="charcoal",params!$P$13*SUMIFS(nonresidential!$L:$L,nonresidential!$A:$A,$F535,nonresidential!$B:$B,$E535,nonresidential!$C:$C,$D535),SUMIFS(nonresidential!$L:$L,nonresidential!$A:$A,$F535,nonresidential!$B:$B,$E535,nonresidential!$C:$C,$D535))</f>
        <v>0</v>
      </c>
      <c r="I535">
        <f>1</f>
        <v>1</v>
      </c>
    </row>
    <row r="536" spans="1:9">
      <c r="A536" t="s">
        <v>211</v>
      </c>
      <c r="B536" t="s">
        <v>162</v>
      </c>
      <c r="C536" t="s">
        <v>269</v>
      </c>
      <c r="D536" t="s">
        <v>26</v>
      </c>
      <c r="E536" t="s">
        <v>37</v>
      </c>
      <c r="F536">
        <v>2011</v>
      </c>
      <c r="G536" s="55">
        <f>10^6*IF($E536="charcoal",params!$P$13*INDEX(BAU_Fuel_cons!$E$2:$AS$34,MATCH(D536&amp;"_"&amp;E536,BAU_Fuel_cons!$AT$2:$AT$34,0),MATCH(F536,BAU_Fuel_cons!$E$1:$AS$1,0)),INDEX(BAU_Fuel_cons!$E$2:$AS$34,MATCH(D536&amp;"_"&amp;E536,BAU_Fuel_cons!$AT$2:$AT$34,0),MATCH(F536,BAU_Fuel_cons!$E$1:$AS$1,0)))</f>
        <v>0</v>
      </c>
      <c r="H536" s="55">
        <f>G536+10^6*IF($E536="charcoal",params!$P$13*SUMIFS(nonresidential!$L:$L,nonresidential!$A:$A,$F536,nonresidential!$B:$B,$E536,nonresidential!$C:$C,$D536),SUMIFS(nonresidential!$L:$L,nonresidential!$A:$A,$F536,nonresidential!$B:$B,$E536,nonresidential!$C:$C,$D536))</f>
        <v>0</v>
      </c>
      <c r="I536">
        <f>1</f>
        <v>1</v>
      </c>
    </row>
    <row r="537" spans="1:9">
      <c r="A537" t="s">
        <v>211</v>
      </c>
      <c r="B537" t="s">
        <v>162</v>
      </c>
      <c r="C537" t="s">
        <v>269</v>
      </c>
      <c r="D537" t="s">
        <v>26</v>
      </c>
      <c r="E537" t="s">
        <v>37</v>
      </c>
      <c r="F537">
        <v>2012</v>
      </c>
      <c r="G537" s="55">
        <f>10^6*IF($E537="charcoal",params!$P$13*INDEX(BAU_Fuel_cons!$E$2:$AS$34,MATCH(D537&amp;"_"&amp;E537,BAU_Fuel_cons!$AT$2:$AT$34,0),MATCH(F537,BAU_Fuel_cons!$E$1:$AS$1,0)),INDEX(BAU_Fuel_cons!$E$2:$AS$34,MATCH(D537&amp;"_"&amp;E537,BAU_Fuel_cons!$AT$2:$AT$34,0),MATCH(F537,BAU_Fuel_cons!$E$1:$AS$1,0)))</f>
        <v>0</v>
      </c>
      <c r="H537" s="55">
        <f>G537+10^6*IF($E537="charcoal",params!$P$13*SUMIFS(nonresidential!$L:$L,nonresidential!$A:$A,$F537,nonresidential!$B:$B,$E537,nonresidential!$C:$C,$D537),SUMIFS(nonresidential!$L:$L,nonresidential!$A:$A,$F537,nonresidential!$B:$B,$E537,nonresidential!$C:$C,$D537))</f>
        <v>0</v>
      </c>
      <c r="I537">
        <f>1</f>
        <v>1</v>
      </c>
    </row>
    <row r="538" spans="1:9">
      <c r="A538" t="s">
        <v>211</v>
      </c>
      <c r="B538" t="s">
        <v>162</v>
      </c>
      <c r="C538" t="s">
        <v>269</v>
      </c>
      <c r="D538" t="s">
        <v>26</v>
      </c>
      <c r="E538" t="s">
        <v>37</v>
      </c>
      <c r="F538">
        <v>2013</v>
      </c>
      <c r="G538" s="55">
        <f>10^6*IF($E538="charcoal",params!$P$13*INDEX(BAU_Fuel_cons!$E$2:$AS$34,MATCH(D538&amp;"_"&amp;E538,BAU_Fuel_cons!$AT$2:$AT$34,0),MATCH(F538,BAU_Fuel_cons!$E$1:$AS$1,0)),INDEX(BAU_Fuel_cons!$E$2:$AS$34,MATCH(D538&amp;"_"&amp;E538,BAU_Fuel_cons!$AT$2:$AT$34,0),MATCH(F538,BAU_Fuel_cons!$E$1:$AS$1,0)))</f>
        <v>0</v>
      </c>
      <c r="H538" s="55">
        <f>G538+10^6*IF($E538="charcoal",params!$P$13*SUMIFS(nonresidential!$L:$L,nonresidential!$A:$A,$F538,nonresidential!$B:$B,$E538,nonresidential!$C:$C,$D538),SUMIFS(nonresidential!$L:$L,nonresidential!$A:$A,$F538,nonresidential!$B:$B,$E538,nonresidential!$C:$C,$D538))</f>
        <v>0</v>
      </c>
      <c r="I538">
        <f>1</f>
        <v>1</v>
      </c>
    </row>
    <row r="539" spans="1:9">
      <c r="A539" t="s">
        <v>211</v>
      </c>
      <c r="B539" t="s">
        <v>162</v>
      </c>
      <c r="C539" t="s">
        <v>269</v>
      </c>
      <c r="D539" t="s">
        <v>26</v>
      </c>
      <c r="E539" t="s">
        <v>37</v>
      </c>
      <c r="F539">
        <v>2014</v>
      </c>
      <c r="G539" s="55">
        <f>10^6*IF($E539="charcoal",params!$P$13*INDEX(BAU_Fuel_cons!$E$2:$AS$34,MATCH(D539&amp;"_"&amp;E539,BAU_Fuel_cons!$AT$2:$AT$34,0),MATCH(F539,BAU_Fuel_cons!$E$1:$AS$1,0)),INDEX(BAU_Fuel_cons!$E$2:$AS$34,MATCH(D539&amp;"_"&amp;E539,BAU_Fuel_cons!$AT$2:$AT$34,0),MATCH(F539,BAU_Fuel_cons!$E$1:$AS$1,0)))</f>
        <v>0</v>
      </c>
      <c r="H539" s="55">
        <f>G539+10^6*IF($E539="charcoal",params!$P$13*SUMIFS(nonresidential!$L:$L,nonresidential!$A:$A,$F539,nonresidential!$B:$B,$E539,nonresidential!$C:$C,$D539),SUMIFS(nonresidential!$L:$L,nonresidential!$A:$A,$F539,nonresidential!$B:$B,$E539,nonresidential!$C:$C,$D539))</f>
        <v>0</v>
      </c>
      <c r="I539">
        <f>1</f>
        <v>1</v>
      </c>
    </row>
    <row r="540" spans="1:9">
      <c r="A540" t="s">
        <v>211</v>
      </c>
      <c r="B540" t="s">
        <v>162</v>
      </c>
      <c r="C540" t="s">
        <v>269</v>
      </c>
      <c r="D540" t="s">
        <v>26</v>
      </c>
      <c r="E540" t="s">
        <v>37</v>
      </c>
      <c r="F540">
        <v>2015</v>
      </c>
      <c r="G540" s="55">
        <f>10^6*IF($E540="charcoal",params!$P$13*INDEX(BAU_Fuel_cons!$E$2:$AS$34,MATCH(D540&amp;"_"&amp;E540,BAU_Fuel_cons!$AT$2:$AT$34,0),MATCH(F540,BAU_Fuel_cons!$E$1:$AS$1,0)),INDEX(BAU_Fuel_cons!$E$2:$AS$34,MATCH(D540&amp;"_"&amp;E540,BAU_Fuel_cons!$AT$2:$AT$34,0),MATCH(F540,BAU_Fuel_cons!$E$1:$AS$1,0)))</f>
        <v>0</v>
      </c>
      <c r="H540" s="55">
        <f>G540+10^6*IF($E540="charcoal",params!$P$13*SUMIFS(nonresidential!$L:$L,nonresidential!$A:$A,$F540,nonresidential!$B:$B,$E540,nonresidential!$C:$C,$D540),SUMIFS(nonresidential!$L:$L,nonresidential!$A:$A,$F540,nonresidential!$B:$B,$E540,nonresidential!$C:$C,$D540))</f>
        <v>0</v>
      </c>
      <c r="I540">
        <f>1</f>
        <v>1</v>
      </c>
    </row>
    <row r="541" spans="1:9">
      <c r="A541" t="s">
        <v>211</v>
      </c>
      <c r="B541" t="s">
        <v>162</v>
      </c>
      <c r="C541" t="s">
        <v>269</v>
      </c>
      <c r="D541" t="s">
        <v>26</v>
      </c>
      <c r="E541" t="s">
        <v>37</v>
      </c>
      <c r="F541">
        <v>2016</v>
      </c>
      <c r="G541" s="55">
        <f>10^6*IF($E541="charcoal",params!$P$13*INDEX(BAU_Fuel_cons!$E$2:$AS$34,MATCH(D541&amp;"_"&amp;E541,BAU_Fuel_cons!$AT$2:$AT$34,0),MATCH(F541,BAU_Fuel_cons!$E$1:$AS$1,0)),INDEX(BAU_Fuel_cons!$E$2:$AS$34,MATCH(D541&amp;"_"&amp;E541,BAU_Fuel_cons!$AT$2:$AT$34,0),MATCH(F541,BAU_Fuel_cons!$E$1:$AS$1,0)))</f>
        <v>0</v>
      </c>
      <c r="H541" s="55">
        <f>G541+10^6*IF($E541="charcoal",params!$P$13*SUMIFS(nonresidential!$L:$L,nonresidential!$A:$A,$F541,nonresidential!$B:$B,$E541,nonresidential!$C:$C,$D541),SUMIFS(nonresidential!$L:$L,nonresidential!$A:$A,$F541,nonresidential!$B:$B,$E541,nonresidential!$C:$C,$D541))</f>
        <v>0</v>
      </c>
      <c r="I541">
        <f>1</f>
        <v>1</v>
      </c>
    </row>
    <row r="542" spans="1:9">
      <c r="A542" t="s">
        <v>211</v>
      </c>
      <c r="B542" t="s">
        <v>162</v>
      </c>
      <c r="C542" t="s">
        <v>269</v>
      </c>
      <c r="D542" t="s">
        <v>26</v>
      </c>
      <c r="E542" t="s">
        <v>37</v>
      </c>
      <c r="F542">
        <v>2017</v>
      </c>
      <c r="G542" s="55">
        <f>10^6*IF($E542="charcoal",params!$P$13*INDEX(BAU_Fuel_cons!$E$2:$AS$34,MATCH(D542&amp;"_"&amp;E542,BAU_Fuel_cons!$AT$2:$AT$34,0),MATCH(F542,BAU_Fuel_cons!$E$1:$AS$1,0)),INDEX(BAU_Fuel_cons!$E$2:$AS$34,MATCH(D542&amp;"_"&amp;E542,BAU_Fuel_cons!$AT$2:$AT$34,0),MATCH(F542,BAU_Fuel_cons!$E$1:$AS$1,0)))</f>
        <v>0</v>
      </c>
      <c r="H542" s="55">
        <f>G542+10^6*IF($E542="charcoal",params!$P$13*SUMIFS(nonresidential!$L:$L,nonresidential!$A:$A,$F542,nonresidential!$B:$B,$E542,nonresidential!$C:$C,$D542),SUMIFS(nonresidential!$L:$L,nonresidential!$A:$A,$F542,nonresidential!$B:$B,$E542,nonresidential!$C:$C,$D542))</f>
        <v>0</v>
      </c>
      <c r="I542">
        <f>1</f>
        <v>1</v>
      </c>
    </row>
    <row r="543" spans="1:9">
      <c r="A543" t="s">
        <v>211</v>
      </c>
      <c r="B543" t="s">
        <v>162</v>
      </c>
      <c r="C543" t="s">
        <v>269</v>
      </c>
      <c r="D543" t="s">
        <v>26</v>
      </c>
      <c r="E543" t="s">
        <v>37</v>
      </c>
      <c r="F543">
        <v>2018</v>
      </c>
      <c r="G543" s="55">
        <f>10^6*IF($E543="charcoal",params!$P$13*INDEX(BAU_Fuel_cons!$E$2:$AS$34,MATCH(D543&amp;"_"&amp;E543,BAU_Fuel_cons!$AT$2:$AT$34,0),MATCH(F543,BAU_Fuel_cons!$E$1:$AS$1,0)),INDEX(BAU_Fuel_cons!$E$2:$AS$34,MATCH(D543&amp;"_"&amp;E543,BAU_Fuel_cons!$AT$2:$AT$34,0),MATCH(F543,BAU_Fuel_cons!$E$1:$AS$1,0)))</f>
        <v>0</v>
      </c>
      <c r="H543" s="55">
        <f>G543+10^6*IF($E543="charcoal",params!$P$13*SUMIFS(nonresidential!$L:$L,nonresidential!$A:$A,$F543,nonresidential!$B:$B,$E543,nonresidential!$C:$C,$D543),SUMIFS(nonresidential!$L:$L,nonresidential!$A:$A,$F543,nonresidential!$B:$B,$E543,nonresidential!$C:$C,$D543))</f>
        <v>0</v>
      </c>
      <c r="I543">
        <f>1</f>
        <v>1</v>
      </c>
    </row>
    <row r="544" spans="1:9">
      <c r="A544" t="s">
        <v>211</v>
      </c>
      <c r="B544" t="s">
        <v>162</v>
      </c>
      <c r="C544" t="s">
        <v>269</v>
      </c>
      <c r="D544" t="s">
        <v>26</v>
      </c>
      <c r="E544" t="s">
        <v>37</v>
      </c>
      <c r="F544">
        <v>2019</v>
      </c>
      <c r="G544" s="55">
        <f>10^6*IF($E544="charcoal",params!$P$13*INDEX(BAU_Fuel_cons!$E$2:$AS$34,MATCH(D544&amp;"_"&amp;E544,BAU_Fuel_cons!$AT$2:$AT$34,0),MATCH(F544,BAU_Fuel_cons!$E$1:$AS$1,0)),INDEX(BAU_Fuel_cons!$E$2:$AS$34,MATCH(D544&amp;"_"&amp;E544,BAU_Fuel_cons!$AT$2:$AT$34,0),MATCH(F544,BAU_Fuel_cons!$E$1:$AS$1,0)))</f>
        <v>0</v>
      </c>
      <c r="H544" s="55">
        <f>G544+10^6*IF($E544="charcoal",params!$P$13*SUMIFS(nonresidential!$L:$L,nonresidential!$A:$A,$F544,nonresidential!$B:$B,$E544,nonresidential!$C:$C,$D544),SUMIFS(nonresidential!$L:$L,nonresidential!$A:$A,$F544,nonresidential!$B:$B,$E544,nonresidential!$C:$C,$D544))</f>
        <v>0</v>
      </c>
      <c r="I544">
        <f>1</f>
        <v>1</v>
      </c>
    </row>
    <row r="545" spans="1:9">
      <c r="A545" t="s">
        <v>211</v>
      </c>
      <c r="B545" t="s">
        <v>162</v>
      </c>
      <c r="C545" t="s">
        <v>269</v>
      </c>
      <c r="D545" t="s">
        <v>26</v>
      </c>
      <c r="E545" t="s">
        <v>37</v>
      </c>
      <c r="F545">
        <v>2020</v>
      </c>
      <c r="G545" s="55">
        <f>10^6*IF($E545="charcoal",params!$P$13*INDEX(BAU_Fuel_cons!$E$2:$AS$34,MATCH(D545&amp;"_"&amp;E545,BAU_Fuel_cons!$AT$2:$AT$34,0),MATCH(F545,BAU_Fuel_cons!$E$1:$AS$1,0)),INDEX(BAU_Fuel_cons!$E$2:$AS$34,MATCH(D545&amp;"_"&amp;E545,BAU_Fuel_cons!$AT$2:$AT$34,0),MATCH(F545,BAU_Fuel_cons!$E$1:$AS$1,0)))</f>
        <v>0</v>
      </c>
      <c r="H545" s="55">
        <f>G545+10^6*IF($E545="charcoal",params!$P$13*SUMIFS(nonresidential!$L:$L,nonresidential!$A:$A,$F545,nonresidential!$B:$B,$E545,nonresidential!$C:$C,$D545),SUMIFS(nonresidential!$L:$L,nonresidential!$A:$A,$F545,nonresidential!$B:$B,$E545,nonresidential!$C:$C,$D545))</f>
        <v>0</v>
      </c>
      <c r="I545">
        <f>1</f>
        <v>1</v>
      </c>
    </row>
    <row r="546" spans="1:9">
      <c r="A546" t="s">
        <v>211</v>
      </c>
      <c r="B546" t="s">
        <v>162</v>
      </c>
      <c r="C546" t="s">
        <v>269</v>
      </c>
      <c r="D546" t="s">
        <v>26</v>
      </c>
      <c r="E546" t="s">
        <v>37</v>
      </c>
      <c r="F546">
        <v>2021</v>
      </c>
      <c r="G546" s="55">
        <f>10^6*IF($E546="charcoal",params!$P$13*INDEX(BAU_Fuel_cons!$E$2:$AS$34,MATCH(D546&amp;"_"&amp;E546,BAU_Fuel_cons!$AT$2:$AT$34,0),MATCH(F546,BAU_Fuel_cons!$E$1:$AS$1,0)),INDEX(BAU_Fuel_cons!$E$2:$AS$34,MATCH(D546&amp;"_"&amp;E546,BAU_Fuel_cons!$AT$2:$AT$34,0),MATCH(F546,BAU_Fuel_cons!$E$1:$AS$1,0)))</f>
        <v>0</v>
      </c>
      <c r="H546" s="55">
        <f>G546+10^6*IF($E546="charcoal",params!$P$13*SUMIFS(nonresidential!$L:$L,nonresidential!$A:$A,$F546,nonresidential!$B:$B,$E546,nonresidential!$C:$C,$D546),SUMIFS(nonresidential!$L:$L,nonresidential!$A:$A,$F546,nonresidential!$B:$B,$E546,nonresidential!$C:$C,$D546))</f>
        <v>0</v>
      </c>
      <c r="I546">
        <f>1</f>
        <v>1</v>
      </c>
    </row>
    <row r="547" spans="1:9">
      <c r="A547" t="s">
        <v>211</v>
      </c>
      <c r="B547" t="s">
        <v>162</v>
      </c>
      <c r="C547" t="s">
        <v>269</v>
      </c>
      <c r="D547" t="s">
        <v>26</v>
      </c>
      <c r="E547" t="s">
        <v>37</v>
      </c>
      <c r="F547">
        <v>2022</v>
      </c>
      <c r="G547" s="55">
        <f>10^6*IF($E547="charcoal",params!$P$13*INDEX(BAU_Fuel_cons!$E$2:$AS$34,MATCH(D547&amp;"_"&amp;E547,BAU_Fuel_cons!$AT$2:$AT$34,0),MATCH(F547,BAU_Fuel_cons!$E$1:$AS$1,0)),INDEX(BAU_Fuel_cons!$E$2:$AS$34,MATCH(D547&amp;"_"&amp;E547,BAU_Fuel_cons!$AT$2:$AT$34,0),MATCH(F547,BAU_Fuel_cons!$E$1:$AS$1,0)))</f>
        <v>0</v>
      </c>
      <c r="H547" s="55">
        <f>G547+10^6*IF($E547="charcoal",params!$P$13*SUMIFS(nonresidential!$L:$L,nonresidential!$A:$A,$F547,nonresidential!$B:$B,$E547,nonresidential!$C:$C,$D547),SUMIFS(nonresidential!$L:$L,nonresidential!$A:$A,$F547,nonresidential!$B:$B,$E547,nonresidential!$C:$C,$D547))</f>
        <v>0</v>
      </c>
      <c r="I547">
        <f>1</f>
        <v>1</v>
      </c>
    </row>
    <row r="548" spans="1:9">
      <c r="A548" t="s">
        <v>211</v>
      </c>
      <c r="B548" t="s">
        <v>162</v>
      </c>
      <c r="C548" t="s">
        <v>269</v>
      </c>
      <c r="D548" t="s">
        <v>26</v>
      </c>
      <c r="E548" t="s">
        <v>37</v>
      </c>
      <c r="F548">
        <v>2023</v>
      </c>
      <c r="G548" s="55">
        <f>10^6*IF($E548="charcoal",params!$P$13*INDEX(BAU_Fuel_cons!$E$2:$AS$34,MATCH(D548&amp;"_"&amp;E548,BAU_Fuel_cons!$AT$2:$AT$34,0),MATCH(F548,BAU_Fuel_cons!$E$1:$AS$1,0)),INDEX(BAU_Fuel_cons!$E$2:$AS$34,MATCH(D548&amp;"_"&amp;E548,BAU_Fuel_cons!$AT$2:$AT$34,0),MATCH(F548,BAU_Fuel_cons!$E$1:$AS$1,0)))</f>
        <v>0</v>
      </c>
      <c r="H548" s="55">
        <f>G548+10^6*IF($E548="charcoal",params!$P$13*SUMIFS(nonresidential!$L:$L,nonresidential!$A:$A,$F548,nonresidential!$B:$B,$E548,nonresidential!$C:$C,$D548),SUMIFS(nonresidential!$L:$L,nonresidential!$A:$A,$F548,nonresidential!$B:$B,$E548,nonresidential!$C:$C,$D548))</f>
        <v>0</v>
      </c>
      <c r="I548">
        <f>1</f>
        <v>1</v>
      </c>
    </row>
    <row r="549" spans="1:9">
      <c r="A549" t="s">
        <v>211</v>
      </c>
      <c r="B549" t="s">
        <v>162</v>
      </c>
      <c r="C549" t="s">
        <v>269</v>
      </c>
      <c r="D549" t="s">
        <v>26</v>
      </c>
      <c r="E549" t="s">
        <v>37</v>
      </c>
      <c r="F549">
        <v>2024</v>
      </c>
      <c r="G549" s="55">
        <f>10^6*IF($E549="charcoal",params!$P$13*INDEX(BAU_Fuel_cons!$E$2:$AS$34,MATCH(D549&amp;"_"&amp;E549,BAU_Fuel_cons!$AT$2:$AT$34,0),MATCH(F549,BAU_Fuel_cons!$E$1:$AS$1,0)),INDEX(BAU_Fuel_cons!$E$2:$AS$34,MATCH(D549&amp;"_"&amp;E549,BAU_Fuel_cons!$AT$2:$AT$34,0),MATCH(F549,BAU_Fuel_cons!$E$1:$AS$1,0)))</f>
        <v>0</v>
      </c>
      <c r="H549" s="55">
        <f>G549+10^6*IF($E549="charcoal",params!$P$13*SUMIFS(nonresidential!$L:$L,nonresidential!$A:$A,$F549,nonresidential!$B:$B,$E549,nonresidential!$C:$C,$D549),SUMIFS(nonresidential!$L:$L,nonresidential!$A:$A,$F549,nonresidential!$B:$B,$E549,nonresidential!$C:$C,$D549))</f>
        <v>0</v>
      </c>
      <c r="I549">
        <f>1</f>
        <v>1</v>
      </c>
    </row>
    <row r="550" spans="1:9">
      <c r="A550" t="s">
        <v>211</v>
      </c>
      <c r="B550" t="s">
        <v>162</v>
      </c>
      <c r="C550" t="s">
        <v>269</v>
      </c>
      <c r="D550" t="s">
        <v>26</v>
      </c>
      <c r="E550" t="s">
        <v>37</v>
      </c>
      <c r="F550">
        <v>2025</v>
      </c>
      <c r="G550" s="55">
        <f>10^6*IF($E550="charcoal",params!$P$13*INDEX(BAU_Fuel_cons!$E$2:$AS$34,MATCH(D550&amp;"_"&amp;E550,BAU_Fuel_cons!$AT$2:$AT$34,0),MATCH(F550,BAU_Fuel_cons!$E$1:$AS$1,0)),INDEX(BAU_Fuel_cons!$E$2:$AS$34,MATCH(D550&amp;"_"&amp;E550,BAU_Fuel_cons!$AT$2:$AT$34,0),MATCH(F550,BAU_Fuel_cons!$E$1:$AS$1,0)))</f>
        <v>0</v>
      </c>
      <c r="H550" s="55">
        <f>G550+10^6*IF($E550="charcoal",params!$P$13*SUMIFS(nonresidential!$L:$L,nonresidential!$A:$A,$F550,nonresidential!$B:$B,$E550,nonresidential!$C:$C,$D550),SUMIFS(nonresidential!$L:$L,nonresidential!$A:$A,$F550,nonresidential!$B:$B,$E550,nonresidential!$C:$C,$D550))</f>
        <v>0</v>
      </c>
      <c r="I550">
        <f>1</f>
        <v>1</v>
      </c>
    </row>
    <row r="551" spans="1:9">
      <c r="A551" t="s">
        <v>211</v>
      </c>
      <c r="B551" t="s">
        <v>162</v>
      </c>
      <c r="C551" t="s">
        <v>269</v>
      </c>
      <c r="D551" t="s">
        <v>26</v>
      </c>
      <c r="E551" t="s">
        <v>37</v>
      </c>
      <c r="F551">
        <v>2026</v>
      </c>
      <c r="G551" s="55">
        <f>10^6*IF($E551="charcoal",params!$P$13*INDEX(BAU_Fuel_cons!$E$2:$AS$34,MATCH(D551&amp;"_"&amp;E551,BAU_Fuel_cons!$AT$2:$AT$34,0),MATCH(F551,BAU_Fuel_cons!$E$1:$AS$1,0)),INDEX(BAU_Fuel_cons!$E$2:$AS$34,MATCH(D551&amp;"_"&amp;E551,BAU_Fuel_cons!$AT$2:$AT$34,0),MATCH(F551,BAU_Fuel_cons!$E$1:$AS$1,0)))</f>
        <v>0</v>
      </c>
      <c r="H551" s="55">
        <f>G551+10^6*IF($E551="charcoal",params!$P$13*SUMIFS(nonresidential!$L:$L,nonresidential!$A:$A,$F551,nonresidential!$B:$B,$E551,nonresidential!$C:$C,$D551),SUMIFS(nonresidential!$L:$L,nonresidential!$A:$A,$F551,nonresidential!$B:$B,$E551,nonresidential!$C:$C,$D551))</f>
        <v>0</v>
      </c>
      <c r="I551">
        <f>1</f>
        <v>1</v>
      </c>
    </row>
    <row r="552" spans="1:9">
      <c r="A552" t="s">
        <v>211</v>
      </c>
      <c r="B552" t="s">
        <v>162</v>
      </c>
      <c r="C552" t="s">
        <v>269</v>
      </c>
      <c r="D552" t="s">
        <v>26</v>
      </c>
      <c r="E552" t="s">
        <v>37</v>
      </c>
      <c r="F552">
        <v>2027</v>
      </c>
      <c r="G552" s="55">
        <f>10^6*IF($E552="charcoal",params!$P$13*INDEX(BAU_Fuel_cons!$E$2:$AS$34,MATCH(D552&amp;"_"&amp;E552,BAU_Fuel_cons!$AT$2:$AT$34,0),MATCH(F552,BAU_Fuel_cons!$E$1:$AS$1,0)),INDEX(BAU_Fuel_cons!$E$2:$AS$34,MATCH(D552&amp;"_"&amp;E552,BAU_Fuel_cons!$AT$2:$AT$34,0),MATCH(F552,BAU_Fuel_cons!$E$1:$AS$1,0)))</f>
        <v>0</v>
      </c>
      <c r="H552" s="55">
        <f>G552+10^6*IF($E552="charcoal",params!$P$13*SUMIFS(nonresidential!$L:$L,nonresidential!$A:$A,$F552,nonresidential!$B:$B,$E552,nonresidential!$C:$C,$D552),SUMIFS(nonresidential!$L:$L,nonresidential!$A:$A,$F552,nonresidential!$B:$B,$E552,nonresidential!$C:$C,$D552))</f>
        <v>0</v>
      </c>
      <c r="I552">
        <f>1</f>
        <v>1</v>
      </c>
    </row>
    <row r="553" spans="1:9">
      <c r="A553" t="s">
        <v>211</v>
      </c>
      <c r="B553" t="s">
        <v>162</v>
      </c>
      <c r="C553" t="s">
        <v>269</v>
      </c>
      <c r="D553" t="s">
        <v>26</v>
      </c>
      <c r="E553" t="s">
        <v>37</v>
      </c>
      <c r="F553">
        <v>2028</v>
      </c>
      <c r="G553" s="55">
        <f>10^6*IF($E553="charcoal",params!$P$13*INDEX(BAU_Fuel_cons!$E$2:$AS$34,MATCH(D553&amp;"_"&amp;E553,BAU_Fuel_cons!$AT$2:$AT$34,0),MATCH(F553,BAU_Fuel_cons!$E$1:$AS$1,0)),INDEX(BAU_Fuel_cons!$E$2:$AS$34,MATCH(D553&amp;"_"&amp;E553,BAU_Fuel_cons!$AT$2:$AT$34,0),MATCH(F553,BAU_Fuel_cons!$E$1:$AS$1,0)))</f>
        <v>0</v>
      </c>
      <c r="H553" s="55">
        <f>G553+10^6*IF($E553="charcoal",params!$P$13*SUMIFS(nonresidential!$L:$L,nonresidential!$A:$A,$F553,nonresidential!$B:$B,$E553,nonresidential!$C:$C,$D553),SUMIFS(nonresidential!$L:$L,nonresidential!$A:$A,$F553,nonresidential!$B:$B,$E553,nonresidential!$C:$C,$D553))</f>
        <v>0</v>
      </c>
      <c r="I553">
        <f>1</f>
        <v>1</v>
      </c>
    </row>
    <row r="554" spans="1:9">
      <c r="A554" t="s">
        <v>211</v>
      </c>
      <c r="B554" t="s">
        <v>162</v>
      </c>
      <c r="C554" t="s">
        <v>269</v>
      </c>
      <c r="D554" t="s">
        <v>26</v>
      </c>
      <c r="E554" t="s">
        <v>37</v>
      </c>
      <c r="F554">
        <v>2029</v>
      </c>
      <c r="G554" s="55">
        <f>10^6*IF($E554="charcoal",params!$P$13*INDEX(BAU_Fuel_cons!$E$2:$AS$34,MATCH(D554&amp;"_"&amp;E554,BAU_Fuel_cons!$AT$2:$AT$34,0),MATCH(F554,BAU_Fuel_cons!$E$1:$AS$1,0)),INDEX(BAU_Fuel_cons!$E$2:$AS$34,MATCH(D554&amp;"_"&amp;E554,BAU_Fuel_cons!$AT$2:$AT$34,0),MATCH(F554,BAU_Fuel_cons!$E$1:$AS$1,0)))</f>
        <v>0</v>
      </c>
      <c r="H554" s="55">
        <f>G554+10^6*IF($E554="charcoal",params!$P$13*SUMIFS(nonresidential!$L:$L,nonresidential!$A:$A,$F554,nonresidential!$B:$B,$E554,nonresidential!$C:$C,$D554),SUMIFS(nonresidential!$L:$L,nonresidential!$A:$A,$F554,nonresidential!$B:$B,$E554,nonresidential!$C:$C,$D554))</f>
        <v>0</v>
      </c>
      <c r="I554">
        <f>1</f>
        <v>1</v>
      </c>
    </row>
    <row r="555" spans="1:9">
      <c r="A555" t="s">
        <v>211</v>
      </c>
      <c r="B555" t="s">
        <v>162</v>
      </c>
      <c r="C555" t="s">
        <v>269</v>
      </c>
      <c r="D555" t="s">
        <v>26</v>
      </c>
      <c r="E555" t="s">
        <v>37</v>
      </c>
      <c r="F555">
        <v>2030</v>
      </c>
      <c r="G555" s="55">
        <f>10^6*IF($E555="charcoal",params!$P$13*INDEX(BAU_Fuel_cons!$E$2:$AS$34,MATCH(D555&amp;"_"&amp;E555,BAU_Fuel_cons!$AT$2:$AT$34,0),MATCH(F555,BAU_Fuel_cons!$E$1:$AS$1,0)),INDEX(BAU_Fuel_cons!$E$2:$AS$34,MATCH(D555&amp;"_"&amp;E555,BAU_Fuel_cons!$AT$2:$AT$34,0),MATCH(F555,BAU_Fuel_cons!$E$1:$AS$1,0)))</f>
        <v>0</v>
      </c>
      <c r="H555" s="55">
        <f>G555+10^6*IF($E555="charcoal",params!$P$13*SUMIFS(nonresidential!$L:$L,nonresidential!$A:$A,$F555,nonresidential!$B:$B,$E555,nonresidential!$C:$C,$D555),SUMIFS(nonresidential!$L:$L,nonresidential!$A:$A,$F555,nonresidential!$B:$B,$E555,nonresidential!$C:$C,$D555))</f>
        <v>0</v>
      </c>
      <c r="I555">
        <f>1</f>
        <v>1</v>
      </c>
    </row>
    <row r="556" spans="1:9">
      <c r="A556" t="s">
        <v>211</v>
      </c>
      <c r="B556" t="s">
        <v>162</v>
      </c>
      <c r="C556" t="s">
        <v>269</v>
      </c>
      <c r="D556" t="s">
        <v>26</v>
      </c>
      <c r="E556" t="s">
        <v>37</v>
      </c>
      <c r="F556">
        <v>2031</v>
      </c>
      <c r="G556" s="55">
        <f>10^6*IF($E556="charcoal",params!$P$13*INDEX(BAU_Fuel_cons!$E$2:$AS$34,MATCH(D556&amp;"_"&amp;E556,BAU_Fuel_cons!$AT$2:$AT$34,0),MATCH(F556,BAU_Fuel_cons!$E$1:$AS$1,0)),INDEX(BAU_Fuel_cons!$E$2:$AS$34,MATCH(D556&amp;"_"&amp;E556,BAU_Fuel_cons!$AT$2:$AT$34,0),MATCH(F556,BAU_Fuel_cons!$E$1:$AS$1,0)))</f>
        <v>0</v>
      </c>
      <c r="H556" s="55">
        <f>G556+10^6*IF($E556="charcoal",params!$P$13*SUMIFS(nonresidential!$L:$L,nonresidential!$A:$A,$F556,nonresidential!$B:$B,$E556,nonresidential!$C:$C,$D556),SUMIFS(nonresidential!$L:$L,nonresidential!$A:$A,$F556,nonresidential!$B:$B,$E556,nonresidential!$C:$C,$D556))</f>
        <v>0</v>
      </c>
      <c r="I556">
        <f>1</f>
        <v>1</v>
      </c>
    </row>
    <row r="557" spans="1:9">
      <c r="A557" t="s">
        <v>211</v>
      </c>
      <c r="B557" t="s">
        <v>162</v>
      </c>
      <c r="C557" t="s">
        <v>269</v>
      </c>
      <c r="D557" t="s">
        <v>26</v>
      </c>
      <c r="E557" t="s">
        <v>37</v>
      </c>
      <c r="F557">
        <v>2032</v>
      </c>
      <c r="G557" s="55">
        <f>10^6*IF($E557="charcoal",params!$P$13*INDEX(BAU_Fuel_cons!$E$2:$AS$34,MATCH(D557&amp;"_"&amp;E557,BAU_Fuel_cons!$AT$2:$AT$34,0),MATCH(F557,BAU_Fuel_cons!$E$1:$AS$1,0)),INDEX(BAU_Fuel_cons!$E$2:$AS$34,MATCH(D557&amp;"_"&amp;E557,BAU_Fuel_cons!$AT$2:$AT$34,0),MATCH(F557,BAU_Fuel_cons!$E$1:$AS$1,0)))</f>
        <v>0</v>
      </c>
      <c r="H557" s="55">
        <f>G557+10^6*IF($E557="charcoal",params!$P$13*SUMIFS(nonresidential!$L:$L,nonresidential!$A:$A,$F557,nonresidential!$B:$B,$E557,nonresidential!$C:$C,$D557),SUMIFS(nonresidential!$L:$L,nonresidential!$A:$A,$F557,nonresidential!$B:$B,$E557,nonresidential!$C:$C,$D557))</f>
        <v>0</v>
      </c>
      <c r="I557">
        <f>1</f>
        <v>1</v>
      </c>
    </row>
    <row r="558" spans="1:9">
      <c r="A558" t="s">
        <v>211</v>
      </c>
      <c r="B558" t="s">
        <v>162</v>
      </c>
      <c r="C558" t="s">
        <v>269</v>
      </c>
      <c r="D558" t="s">
        <v>26</v>
      </c>
      <c r="E558" t="s">
        <v>37</v>
      </c>
      <c r="F558">
        <v>2033</v>
      </c>
      <c r="G558" s="55">
        <f>10^6*IF($E558="charcoal",params!$P$13*INDEX(BAU_Fuel_cons!$E$2:$AS$34,MATCH(D558&amp;"_"&amp;E558,BAU_Fuel_cons!$AT$2:$AT$34,0),MATCH(F558,BAU_Fuel_cons!$E$1:$AS$1,0)),INDEX(BAU_Fuel_cons!$E$2:$AS$34,MATCH(D558&amp;"_"&amp;E558,BAU_Fuel_cons!$AT$2:$AT$34,0),MATCH(F558,BAU_Fuel_cons!$E$1:$AS$1,0)))</f>
        <v>0</v>
      </c>
      <c r="H558" s="55">
        <f>G558+10^6*IF($E558="charcoal",params!$P$13*SUMIFS(nonresidential!$L:$L,nonresidential!$A:$A,$F558,nonresidential!$B:$B,$E558,nonresidential!$C:$C,$D558),SUMIFS(nonresidential!$L:$L,nonresidential!$A:$A,$F558,nonresidential!$B:$B,$E558,nonresidential!$C:$C,$D558))</f>
        <v>0</v>
      </c>
      <c r="I558">
        <f>1</f>
        <v>1</v>
      </c>
    </row>
    <row r="559" spans="1:9">
      <c r="A559" t="s">
        <v>211</v>
      </c>
      <c r="B559" t="s">
        <v>162</v>
      </c>
      <c r="C559" t="s">
        <v>269</v>
      </c>
      <c r="D559" t="s">
        <v>26</v>
      </c>
      <c r="E559" t="s">
        <v>37</v>
      </c>
      <c r="F559">
        <v>2034</v>
      </c>
      <c r="G559" s="55">
        <f>10^6*IF($E559="charcoal",params!$P$13*INDEX(BAU_Fuel_cons!$E$2:$AS$34,MATCH(D559&amp;"_"&amp;E559,BAU_Fuel_cons!$AT$2:$AT$34,0),MATCH(F559,BAU_Fuel_cons!$E$1:$AS$1,0)),INDEX(BAU_Fuel_cons!$E$2:$AS$34,MATCH(D559&amp;"_"&amp;E559,BAU_Fuel_cons!$AT$2:$AT$34,0),MATCH(F559,BAU_Fuel_cons!$E$1:$AS$1,0)))</f>
        <v>0</v>
      </c>
      <c r="H559" s="55">
        <f>G559+10^6*IF($E559="charcoal",params!$P$13*SUMIFS(nonresidential!$L:$L,nonresidential!$A:$A,$F559,nonresidential!$B:$B,$E559,nonresidential!$C:$C,$D559),SUMIFS(nonresidential!$L:$L,nonresidential!$A:$A,$F559,nonresidential!$B:$B,$E559,nonresidential!$C:$C,$D559))</f>
        <v>0</v>
      </c>
      <c r="I559">
        <f>1</f>
        <v>1</v>
      </c>
    </row>
    <row r="560" spans="1:9">
      <c r="A560" t="s">
        <v>211</v>
      </c>
      <c r="B560" t="s">
        <v>162</v>
      </c>
      <c r="C560" t="s">
        <v>269</v>
      </c>
      <c r="D560" t="s">
        <v>26</v>
      </c>
      <c r="E560" t="s">
        <v>37</v>
      </c>
      <c r="F560">
        <v>2035</v>
      </c>
      <c r="G560" s="55">
        <f>10^6*IF($E560="charcoal",params!$P$13*INDEX(BAU_Fuel_cons!$E$2:$AS$34,MATCH(D560&amp;"_"&amp;E560,BAU_Fuel_cons!$AT$2:$AT$34,0),MATCH(F560,BAU_Fuel_cons!$E$1:$AS$1,0)),INDEX(BAU_Fuel_cons!$E$2:$AS$34,MATCH(D560&amp;"_"&amp;E560,BAU_Fuel_cons!$AT$2:$AT$34,0),MATCH(F560,BAU_Fuel_cons!$E$1:$AS$1,0)))</f>
        <v>0</v>
      </c>
      <c r="H560" s="55">
        <f>G560+10^6*IF($E560="charcoal",params!$P$13*SUMIFS(nonresidential!$L:$L,nonresidential!$A:$A,$F560,nonresidential!$B:$B,$E560,nonresidential!$C:$C,$D560),SUMIFS(nonresidential!$L:$L,nonresidential!$A:$A,$F560,nonresidential!$B:$B,$E560,nonresidential!$C:$C,$D560))</f>
        <v>0</v>
      </c>
      <c r="I560">
        <f>1</f>
        <v>1</v>
      </c>
    </row>
    <row r="561" spans="1:9">
      <c r="A561" t="s">
        <v>211</v>
      </c>
      <c r="B561" t="s">
        <v>162</v>
      </c>
      <c r="C561" t="s">
        <v>269</v>
      </c>
      <c r="D561" t="s">
        <v>26</v>
      </c>
      <c r="E561" t="s">
        <v>37</v>
      </c>
      <c r="F561">
        <v>2036</v>
      </c>
      <c r="G561" s="55">
        <f>10^6*IF($E561="charcoal",params!$P$13*INDEX(BAU_Fuel_cons!$E$2:$AS$34,MATCH(D561&amp;"_"&amp;E561,BAU_Fuel_cons!$AT$2:$AT$34,0),MATCH(F561,BAU_Fuel_cons!$E$1:$AS$1,0)),INDEX(BAU_Fuel_cons!$E$2:$AS$34,MATCH(D561&amp;"_"&amp;E561,BAU_Fuel_cons!$AT$2:$AT$34,0),MATCH(F561,BAU_Fuel_cons!$E$1:$AS$1,0)))</f>
        <v>0</v>
      </c>
      <c r="H561" s="55">
        <f>G561+10^6*IF($E561="charcoal",params!$P$13*SUMIFS(nonresidential!$L:$L,nonresidential!$A:$A,$F561,nonresidential!$B:$B,$E561,nonresidential!$C:$C,$D561),SUMIFS(nonresidential!$L:$L,nonresidential!$A:$A,$F561,nonresidential!$B:$B,$E561,nonresidential!$C:$C,$D561))</f>
        <v>0</v>
      </c>
      <c r="I561">
        <f>1</f>
        <v>1</v>
      </c>
    </row>
    <row r="562" spans="1:9">
      <c r="A562" t="s">
        <v>211</v>
      </c>
      <c r="B562" t="s">
        <v>162</v>
      </c>
      <c r="C562" t="s">
        <v>269</v>
      </c>
      <c r="D562" t="s">
        <v>26</v>
      </c>
      <c r="E562" t="s">
        <v>37</v>
      </c>
      <c r="F562">
        <v>2037</v>
      </c>
      <c r="G562" s="55">
        <f>10^6*IF($E562="charcoal",params!$P$13*INDEX(BAU_Fuel_cons!$E$2:$AS$34,MATCH(D562&amp;"_"&amp;E562,BAU_Fuel_cons!$AT$2:$AT$34,0),MATCH(F562,BAU_Fuel_cons!$E$1:$AS$1,0)),INDEX(BAU_Fuel_cons!$E$2:$AS$34,MATCH(D562&amp;"_"&amp;E562,BAU_Fuel_cons!$AT$2:$AT$34,0),MATCH(F562,BAU_Fuel_cons!$E$1:$AS$1,0)))</f>
        <v>0</v>
      </c>
      <c r="H562" s="55">
        <f>G562+10^6*IF($E562="charcoal",params!$P$13*SUMIFS(nonresidential!$L:$L,nonresidential!$A:$A,$F562,nonresidential!$B:$B,$E562,nonresidential!$C:$C,$D562),SUMIFS(nonresidential!$L:$L,nonresidential!$A:$A,$F562,nonresidential!$B:$B,$E562,nonresidential!$C:$C,$D562))</f>
        <v>0</v>
      </c>
      <c r="I562">
        <f>1</f>
        <v>1</v>
      </c>
    </row>
    <row r="563" spans="1:9">
      <c r="A563" t="s">
        <v>211</v>
      </c>
      <c r="B563" t="s">
        <v>162</v>
      </c>
      <c r="C563" t="s">
        <v>269</v>
      </c>
      <c r="D563" t="s">
        <v>26</v>
      </c>
      <c r="E563" t="s">
        <v>37</v>
      </c>
      <c r="F563">
        <v>2038</v>
      </c>
      <c r="G563" s="55">
        <f>10^6*IF($E563="charcoal",params!$P$13*INDEX(BAU_Fuel_cons!$E$2:$AS$34,MATCH(D563&amp;"_"&amp;E563,BAU_Fuel_cons!$AT$2:$AT$34,0),MATCH(F563,BAU_Fuel_cons!$E$1:$AS$1,0)),INDEX(BAU_Fuel_cons!$E$2:$AS$34,MATCH(D563&amp;"_"&amp;E563,BAU_Fuel_cons!$AT$2:$AT$34,0),MATCH(F563,BAU_Fuel_cons!$E$1:$AS$1,0)))</f>
        <v>0</v>
      </c>
      <c r="H563" s="55">
        <f>G563+10^6*IF($E563="charcoal",params!$P$13*SUMIFS(nonresidential!$L:$L,nonresidential!$A:$A,$F563,nonresidential!$B:$B,$E563,nonresidential!$C:$C,$D563),SUMIFS(nonresidential!$L:$L,nonresidential!$A:$A,$F563,nonresidential!$B:$B,$E563,nonresidential!$C:$C,$D563))</f>
        <v>0</v>
      </c>
      <c r="I563">
        <f>1</f>
        <v>1</v>
      </c>
    </row>
    <row r="564" spans="1:9">
      <c r="A564" t="s">
        <v>211</v>
      </c>
      <c r="B564" t="s">
        <v>162</v>
      </c>
      <c r="C564" t="s">
        <v>269</v>
      </c>
      <c r="D564" t="s">
        <v>26</v>
      </c>
      <c r="E564" t="s">
        <v>37</v>
      </c>
      <c r="F564">
        <v>2039</v>
      </c>
      <c r="G564" s="55">
        <f>10^6*IF($E564="charcoal",params!$P$13*INDEX(BAU_Fuel_cons!$E$2:$AS$34,MATCH(D564&amp;"_"&amp;E564,BAU_Fuel_cons!$AT$2:$AT$34,0),MATCH(F564,BAU_Fuel_cons!$E$1:$AS$1,0)),INDEX(BAU_Fuel_cons!$E$2:$AS$34,MATCH(D564&amp;"_"&amp;E564,BAU_Fuel_cons!$AT$2:$AT$34,0),MATCH(F564,BAU_Fuel_cons!$E$1:$AS$1,0)))</f>
        <v>0</v>
      </c>
      <c r="H564" s="55">
        <f>G564+10^6*IF($E564="charcoal",params!$P$13*SUMIFS(nonresidential!$L:$L,nonresidential!$A:$A,$F564,nonresidential!$B:$B,$E564,nonresidential!$C:$C,$D564),SUMIFS(nonresidential!$L:$L,nonresidential!$A:$A,$F564,nonresidential!$B:$B,$E564,nonresidential!$C:$C,$D564))</f>
        <v>0</v>
      </c>
      <c r="I564">
        <f>1</f>
        <v>1</v>
      </c>
    </row>
    <row r="565" spans="1:9">
      <c r="A565" t="s">
        <v>211</v>
      </c>
      <c r="B565" t="s">
        <v>162</v>
      </c>
      <c r="C565" t="s">
        <v>269</v>
      </c>
      <c r="D565" t="s">
        <v>26</v>
      </c>
      <c r="E565" t="s">
        <v>37</v>
      </c>
      <c r="F565">
        <v>2040</v>
      </c>
      <c r="G565" s="55">
        <f>10^6*IF($E565="charcoal",params!$P$13*INDEX(BAU_Fuel_cons!$E$2:$AS$34,MATCH(D565&amp;"_"&amp;E565,BAU_Fuel_cons!$AT$2:$AT$34,0),MATCH(F565,BAU_Fuel_cons!$E$1:$AS$1,0)),INDEX(BAU_Fuel_cons!$E$2:$AS$34,MATCH(D565&amp;"_"&amp;E565,BAU_Fuel_cons!$AT$2:$AT$34,0),MATCH(F565,BAU_Fuel_cons!$E$1:$AS$1,0)))</f>
        <v>0</v>
      </c>
      <c r="H565" s="55">
        <f>G565+10^6*IF($E565="charcoal",params!$P$13*SUMIFS(nonresidential!$L:$L,nonresidential!$A:$A,$F565,nonresidential!$B:$B,$E565,nonresidential!$C:$C,$D565),SUMIFS(nonresidential!$L:$L,nonresidential!$A:$A,$F565,nonresidential!$B:$B,$E565,nonresidential!$C:$C,$D565))</f>
        <v>0</v>
      </c>
      <c r="I565">
        <f>1</f>
        <v>1</v>
      </c>
    </row>
    <row r="566" spans="1:9">
      <c r="A566" t="s">
        <v>211</v>
      </c>
      <c r="B566" t="s">
        <v>162</v>
      </c>
      <c r="C566" t="s">
        <v>269</v>
      </c>
      <c r="D566" t="s">
        <v>26</v>
      </c>
      <c r="E566" t="s">
        <v>37</v>
      </c>
      <c r="F566">
        <v>2041</v>
      </c>
      <c r="G566" s="55">
        <f>10^6*IF($E566="charcoal",params!$P$13*INDEX(BAU_Fuel_cons!$E$2:$AS$34,MATCH(D566&amp;"_"&amp;E566,BAU_Fuel_cons!$AT$2:$AT$34,0),MATCH(F566,BAU_Fuel_cons!$E$1:$AS$1,0)),INDEX(BAU_Fuel_cons!$E$2:$AS$34,MATCH(D566&amp;"_"&amp;E566,BAU_Fuel_cons!$AT$2:$AT$34,0),MATCH(F566,BAU_Fuel_cons!$E$1:$AS$1,0)))</f>
        <v>0</v>
      </c>
      <c r="H566" s="55">
        <f>G566+10^6*IF($E566="charcoal",params!$P$13*SUMIFS(nonresidential!$L:$L,nonresidential!$A:$A,$F566,nonresidential!$B:$B,$E566,nonresidential!$C:$C,$D566),SUMIFS(nonresidential!$L:$L,nonresidential!$A:$A,$F566,nonresidential!$B:$B,$E566,nonresidential!$C:$C,$D566))</f>
        <v>0</v>
      </c>
      <c r="I566">
        <f>1</f>
        <v>1</v>
      </c>
    </row>
    <row r="567" spans="1:9">
      <c r="A567" t="s">
        <v>211</v>
      </c>
      <c r="B567" t="s">
        <v>162</v>
      </c>
      <c r="C567" t="s">
        <v>269</v>
      </c>
      <c r="D567" t="s">
        <v>26</v>
      </c>
      <c r="E567" t="s">
        <v>37</v>
      </c>
      <c r="F567">
        <v>2042</v>
      </c>
      <c r="G567" s="55">
        <f>10^6*IF($E567="charcoal",params!$P$13*INDEX(BAU_Fuel_cons!$E$2:$AS$34,MATCH(D567&amp;"_"&amp;E567,BAU_Fuel_cons!$AT$2:$AT$34,0),MATCH(F567,BAU_Fuel_cons!$E$1:$AS$1,0)),INDEX(BAU_Fuel_cons!$E$2:$AS$34,MATCH(D567&amp;"_"&amp;E567,BAU_Fuel_cons!$AT$2:$AT$34,0),MATCH(F567,BAU_Fuel_cons!$E$1:$AS$1,0)))</f>
        <v>0</v>
      </c>
      <c r="H567" s="55">
        <f>G567+10^6*IF($E567="charcoal",params!$P$13*SUMIFS(nonresidential!$L:$L,nonresidential!$A:$A,$F567,nonresidential!$B:$B,$E567,nonresidential!$C:$C,$D567),SUMIFS(nonresidential!$L:$L,nonresidential!$A:$A,$F567,nonresidential!$B:$B,$E567,nonresidential!$C:$C,$D567))</f>
        <v>0</v>
      </c>
      <c r="I567">
        <f>1</f>
        <v>1</v>
      </c>
    </row>
    <row r="568" spans="1:9">
      <c r="A568" t="s">
        <v>211</v>
      </c>
      <c r="B568" t="s">
        <v>162</v>
      </c>
      <c r="C568" t="s">
        <v>269</v>
      </c>
      <c r="D568" t="s">
        <v>26</v>
      </c>
      <c r="E568" t="s">
        <v>37</v>
      </c>
      <c r="F568">
        <v>2043</v>
      </c>
      <c r="G568" s="55">
        <f>10^6*IF($E568="charcoal",params!$P$13*INDEX(BAU_Fuel_cons!$E$2:$AS$34,MATCH(D568&amp;"_"&amp;E568,BAU_Fuel_cons!$AT$2:$AT$34,0),MATCH(F568,BAU_Fuel_cons!$E$1:$AS$1,0)),INDEX(BAU_Fuel_cons!$E$2:$AS$34,MATCH(D568&amp;"_"&amp;E568,BAU_Fuel_cons!$AT$2:$AT$34,0),MATCH(F568,BAU_Fuel_cons!$E$1:$AS$1,0)))</f>
        <v>0</v>
      </c>
      <c r="H568" s="55">
        <f>G568+10^6*IF($E568="charcoal",params!$P$13*SUMIFS(nonresidential!$L:$L,nonresidential!$A:$A,$F568,nonresidential!$B:$B,$E568,nonresidential!$C:$C,$D568),SUMIFS(nonresidential!$L:$L,nonresidential!$A:$A,$F568,nonresidential!$B:$B,$E568,nonresidential!$C:$C,$D568))</f>
        <v>0</v>
      </c>
      <c r="I568">
        <f>1</f>
        <v>1</v>
      </c>
    </row>
    <row r="569" spans="1:9">
      <c r="A569" t="s">
        <v>211</v>
      </c>
      <c r="B569" t="s">
        <v>162</v>
      </c>
      <c r="C569" t="s">
        <v>269</v>
      </c>
      <c r="D569" t="s">
        <v>26</v>
      </c>
      <c r="E569" t="s">
        <v>37</v>
      </c>
      <c r="F569">
        <v>2044</v>
      </c>
      <c r="G569" s="55">
        <f>10^6*IF($E569="charcoal",params!$P$13*INDEX(BAU_Fuel_cons!$E$2:$AS$34,MATCH(D569&amp;"_"&amp;E569,BAU_Fuel_cons!$AT$2:$AT$34,0),MATCH(F569,BAU_Fuel_cons!$E$1:$AS$1,0)),INDEX(BAU_Fuel_cons!$E$2:$AS$34,MATCH(D569&amp;"_"&amp;E569,BAU_Fuel_cons!$AT$2:$AT$34,0),MATCH(F569,BAU_Fuel_cons!$E$1:$AS$1,0)))</f>
        <v>0</v>
      </c>
      <c r="H569" s="55">
        <f>G569+10^6*IF($E569="charcoal",params!$P$13*SUMIFS(nonresidential!$L:$L,nonresidential!$A:$A,$F569,nonresidential!$B:$B,$E569,nonresidential!$C:$C,$D569),SUMIFS(nonresidential!$L:$L,nonresidential!$A:$A,$F569,nonresidential!$B:$B,$E569,nonresidential!$C:$C,$D569))</f>
        <v>0</v>
      </c>
      <c r="I569">
        <f>1</f>
        <v>1</v>
      </c>
    </row>
    <row r="570" spans="1:9">
      <c r="A570" t="s">
        <v>211</v>
      </c>
      <c r="B570" t="s">
        <v>162</v>
      </c>
      <c r="C570" t="s">
        <v>269</v>
      </c>
      <c r="D570" t="s">
        <v>26</v>
      </c>
      <c r="E570" t="s">
        <v>37</v>
      </c>
      <c r="F570">
        <v>2045</v>
      </c>
      <c r="G570" s="55">
        <f>10^6*IF($E570="charcoal",params!$P$13*INDEX(BAU_Fuel_cons!$E$2:$AS$34,MATCH(D570&amp;"_"&amp;E570,BAU_Fuel_cons!$AT$2:$AT$34,0),MATCH(F570,BAU_Fuel_cons!$E$1:$AS$1,0)),INDEX(BAU_Fuel_cons!$E$2:$AS$34,MATCH(D570&amp;"_"&amp;E570,BAU_Fuel_cons!$AT$2:$AT$34,0),MATCH(F570,BAU_Fuel_cons!$E$1:$AS$1,0)))</f>
        <v>0</v>
      </c>
      <c r="H570" s="55">
        <f>G570+10^6*IF($E570="charcoal",params!$P$13*SUMIFS(nonresidential!$L:$L,nonresidential!$A:$A,$F570,nonresidential!$B:$B,$E570,nonresidential!$C:$C,$D570),SUMIFS(nonresidential!$L:$L,nonresidential!$A:$A,$F570,nonresidential!$B:$B,$E570,nonresidential!$C:$C,$D570))</f>
        <v>0</v>
      </c>
      <c r="I570">
        <f>1</f>
        <v>1</v>
      </c>
    </row>
    <row r="571" spans="1:9">
      <c r="A571" t="s">
        <v>211</v>
      </c>
      <c r="B571" t="s">
        <v>162</v>
      </c>
      <c r="C571" t="s">
        <v>269</v>
      </c>
      <c r="D571" t="s">
        <v>26</v>
      </c>
      <c r="E571" t="s">
        <v>37</v>
      </c>
      <c r="F571">
        <v>2046</v>
      </c>
      <c r="G571" s="55">
        <f>10^6*IF($E571="charcoal",params!$P$13*INDEX(BAU_Fuel_cons!$E$2:$AS$34,MATCH(D571&amp;"_"&amp;E571,BAU_Fuel_cons!$AT$2:$AT$34,0),MATCH(F571,BAU_Fuel_cons!$E$1:$AS$1,0)),INDEX(BAU_Fuel_cons!$E$2:$AS$34,MATCH(D571&amp;"_"&amp;E571,BAU_Fuel_cons!$AT$2:$AT$34,0),MATCH(F571,BAU_Fuel_cons!$E$1:$AS$1,0)))</f>
        <v>0</v>
      </c>
      <c r="H571" s="55">
        <f>G571+10^6*IF($E571="charcoal",params!$P$13*SUMIFS(nonresidential!$L:$L,nonresidential!$A:$A,$F571,nonresidential!$B:$B,$E571,nonresidential!$C:$C,$D571),SUMIFS(nonresidential!$L:$L,nonresidential!$A:$A,$F571,nonresidential!$B:$B,$E571,nonresidential!$C:$C,$D571))</f>
        <v>0</v>
      </c>
      <c r="I571">
        <f>1</f>
        <v>1</v>
      </c>
    </row>
    <row r="572" spans="1:9">
      <c r="A572" t="s">
        <v>211</v>
      </c>
      <c r="B572" t="s">
        <v>162</v>
      </c>
      <c r="C572" t="s">
        <v>269</v>
      </c>
      <c r="D572" t="s">
        <v>26</v>
      </c>
      <c r="E572" t="s">
        <v>37</v>
      </c>
      <c r="F572">
        <v>2047</v>
      </c>
      <c r="G572" s="55">
        <f>10^6*IF($E572="charcoal",params!$P$13*INDEX(BAU_Fuel_cons!$E$2:$AS$34,MATCH(D572&amp;"_"&amp;E572,BAU_Fuel_cons!$AT$2:$AT$34,0),MATCH(F572,BAU_Fuel_cons!$E$1:$AS$1,0)),INDEX(BAU_Fuel_cons!$E$2:$AS$34,MATCH(D572&amp;"_"&amp;E572,BAU_Fuel_cons!$AT$2:$AT$34,0),MATCH(F572,BAU_Fuel_cons!$E$1:$AS$1,0)))</f>
        <v>0</v>
      </c>
      <c r="H572" s="55">
        <f>G572+10^6*IF($E572="charcoal",params!$P$13*SUMIFS(nonresidential!$L:$L,nonresidential!$A:$A,$F572,nonresidential!$B:$B,$E572,nonresidential!$C:$C,$D572),SUMIFS(nonresidential!$L:$L,nonresidential!$A:$A,$F572,nonresidential!$B:$B,$E572,nonresidential!$C:$C,$D572))</f>
        <v>0</v>
      </c>
      <c r="I572">
        <f>1</f>
        <v>1</v>
      </c>
    </row>
    <row r="573" spans="1:9">
      <c r="A573" t="s">
        <v>211</v>
      </c>
      <c r="B573" t="s">
        <v>162</v>
      </c>
      <c r="C573" t="s">
        <v>269</v>
      </c>
      <c r="D573" t="s">
        <v>26</v>
      </c>
      <c r="E573" t="s">
        <v>37</v>
      </c>
      <c r="F573">
        <v>2048</v>
      </c>
      <c r="G573" s="55">
        <f>10^6*IF($E573="charcoal",params!$P$13*INDEX(BAU_Fuel_cons!$E$2:$AS$34,MATCH(D573&amp;"_"&amp;E573,BAU_Fuel_cons!$AT$2:$AT$34,0),MATCH(F573,BAU_Fuel_cons!$E$1:$AS$1,0)),INDEX(BAU_Fuel_cons!$E$2:$AS$34,MATCH(D573&amp;"_"&amp;E573,BAU_Fuel_cons!$AT$2:$AT$34,0),MATCH(F573,BAU_Fuel_cons!$E$1:$AS$1,0)))</f>
        <v>0</v>
      </c>
      <c r="H573" s="55">
        <f>G573+10^6*IF($E573="charcoal",params!$P$13*SUMIFS(nonresidential!$L:$L,nonresidential!$A:$A,$F573,nonresidential!$B:$B,$E573,nonresidential!$C:$C,$D573),SUMIFS(nonresidential!$L:$L,nonresidential!$A:$A,$F573,nonresidential!$B:$B,$E573,nonresidential!$C:$C,$D573))</f>
        <v>0</v>
      </c>
      <c r="I573">
        <f>1</f>
        <v>1</v>
      </c>
    </row>
    <row r="574" spans="1:9">
      <c r="A574" t="s">
        <v>211</v>
      </c>
      <c r="B574" t="s">
        <v>162</v>
      </c>
      <c r="C574" t="s">
        <v>269</v>
      </c>
      <c r="D574" t="s">
        <v>26</v>
      </c>
      <c r="E574" t="s">
        <v>37</v>
      </c>
      <c r="F574">
        <v>2049</v>
      </c>
      <c r="G574" s="55">
        <f>10^6*IF($E574="charcoal",params!$P$13*INDEX(BAU_Fuel_cons!$E$2:$AS$34,MATCH(D574&amp;"_"&amp;E574,BAU_Fuel_cons!$AT$2:$AT$34,0),MATCH(F574,BAU_Fuel_cons!$E$1:$AS$1,0)),INDEX(BAU_Fuel_cons!$E$2:$AS$34,MATCH(D574&amp;"_"&amp;E574,BAU_Fuel_cons!$AT$2:$AT$34,0),MATCH(F574,BAU_Fuel_cons!$E$1:$AS$1,0)))</f>
        <v>0</v>
      </c>
      <c r="H574" s="55">
        <f>G574+10^6*IF($E574="charcoal",params!$P$13*SUMIFS(nonresidential!$L:$L,nonresidential!$A:$A,$F574,nonresidential!$B:$B,$E574,nonresidential!$C:$C,$D574),SUMIFS(nonresidential!$L:$L,nonresidential!$A:$A,$F574,nonresidential!$B:$B,$E574,nonresidential!$C:$C,$D574))</f>
        <v>0</v>
      </c>
      <c r="I574">
        <f>1</f>
        <v>1</v>
      </c>
    </row>
    <row r="575" spans="1:9">
      <c r="A575" t="s">
        <v>211</v>
      </c>
      <c r="B575" t="s">
        <v>162</v>
      </c>
      <c r="C575" t="s">
        <v>269</v>
      </c>
      <c r="D575" t="s">
        <v>26</v>
      </c>
      <c r="E575" t="s">
        <v>37</v>
      </c>
      <c r="F575">
        <v>2050</v>
      </c>
      <c r="G575" s="55">
        <f>10^6*IF($E575="charcoal",params!$P$13*INDEX(BAU_Fuel_cons!$E$2:$AS$34,MATCH(D575&amp;"_"&amp;E575,BAU_Fuel_cons!$AT$2:$AT$34,0),MATCH(F575,BAU_Fuel_cons!$E$1:$AS$1,0)),INDEX(BAU_Fuel_cons!$E$2:$AS$34,MATCH(D575&amp;"_"&amp;E575,BAU_Fuel_cons!$AT$2:$AT$34,0),MATCH(F575,BAU_Fuel_cons!$E$1:$AS$1,0)))</f>
        <v>0</v>
      </c>
      <c r="H575" s="55">
        <f>G575+10^6*IF($E575="charcoal",params!$P$13*SUMIFS(nonresidential!$L:$L,nonresidential!$A:$A,$F575,nonresidential!$B:$B,$E575,nonresidential!$C:$C,$D575),SUMIFS(nonresidential!$L:$L,nonresidential!$A:$A,$F575,nonresidential!$B:$B,$E575,nonresidential!$C:$C,$D575))</f>
        <v>0</v>
      </c>
      <c r="I575">
        <f>1</f>
        <v>1</v>
      </c>
    </row>
    <row r="576" spans="1:9">
      <c r="A576" t="s">
        <v>211</v>
      </c>
      <c r="B576" t="s">
        <v>162</v>
      </c>
      <c r="C576" t="s">
        <v>269</v>
      </c>
      <c r="D576" t="s">
        <v>26</v>
      </c>
      <c r="E576" t="s">
        <v>10</v>
      </c>
      <c r="F576">
        <v>2010</v>
      </c>
      <c r="G576" s="55">
        <f>10^6*IF($E576="charcoal",params!$P$13*INDEX(BAU_Fuel_cons!$E$2:$AS$34,MATCH(D576&amp;"_"&amp;E576,BAU_Fuel_cons!$AT$2:$AT$34,0),MATCH(F576,BAU_Fuel_cons!$E$1:$AS$1,0)),INDEX(BAU_Fuel_cons!$E$2:$AS$34,MATCH(D576&amp;"_"&amp;E576,BAU_Fuel_cons!$AT$2:$AT$34,0),MATCH(F576,BAU_Fuel_cons!$E$1:$AS$1,0)))</f>
        <v>0</v>
      </c>
      <c r="H576" s="55">
        <f>G576+10^6*IF($E576="charcoal",params!$P$13*SUMIFS(nonresidential!$L:$L,nonresidential!$A:$A,$F576,nonresidential!$B:$B,$E576,nonresidential!$C:$C,$D576),SUMIFS(nonresidential!$L:$L,nonresidential!$A:$A,$F576,nonresidential!$B:$B,$E576,nonresidential!$C:$C,$D576))</f>
        <v>0</v>
      </c>
      <c r="I576">
        <f>1</f>
        <v>1</v>
      </c>
    </row>
    <row r="577" spans="1:9">
      <c r="A577" t="s">
        <v>211</v>
      </c>
      <c r="B577" t="s">
        <v>162</v>
      </c>
      <c r="C577" t="s">
        <v>269</v>
      </c>
      <c r="D577" t="s">
        <v>26</v>
      </c>
      <c r="E577" t="s">
        <v>10</v>
      </c>
      <c r="F577">
        <v>2011</v>
      </c>
      <c r="G577" s="55">
        <f>10^6*IF($E577="charcoal",params!$P$13*INDEX(BAU_Fuel_cons!$E$2:$AS$34,MATCH(D577&amp;"_"&amp;E577,BAU_Fuel_cons!$AT$2:$AT$34,0),MATCH(F577,BAU_Fuel_cons!$E$1:$AS$1,0)),INDEX(BAU_Fuel_cons!$E$2:$AS$34,MATCH(D577&amp;"_"&amp;E577,BAU_Fuel_cons!$AT$2:$AT$34,0),MATCH(F577,BAU_Fuel_cons!$E$1:$AS$1,0)))</f>
        <v>0</v>
      </c>
      <c r="H577" s="55">
        <f>G577+10^6*IF($E577="charcoal",params!$P$13*SUMIFS(nonresidential!$L:$L,nonresidential!$A:$A,$F577,nonresidential!$B:$B,$E577,nonresidential!$C:$C,$D577),SUMIFS(nonresidential!$L:$L,nonresidential!$A:$A,$F577,nonresidential!$B:$B,$E577,nonresidential!$C:$C,$D577))</f>
        <v>0</v>
      </c>
      <c r="I577">
        <f>1</f>
        <v>1</v>
      </c>
    </row>
    <row r="578" spans="1:9">
      <c r="A578" t="s">
        <v>211</v>
      </c>
      <c r="B578" t="s">
        <v>162</v>
      </c>
      <c r="C578" t="s">
        <v>269</v>
      </c>
      <c r="D578" t="s">
        <v>26</v>
      </c>
      <c r="E578" t="s">
        <v>10</v>
      </c>
      <c r="F578">
        <v>2012</v>
      </c>
      <c r="G578" s="55">
        <f>10^6*IF($E578="charcoal",params!$P$13*INDEX(BAU_Fuel_cons!$E$2:$AS$34,MATCH(D578&amp;"_"&amp;E578,BAU_Fuel_cons!$AT$2:$AT$34,0),MATCH(F578,BAU_Fuel_cons!$E$1:$AS$1,0)),INDEX(BAU_Fuel_cons!$E$2:$AS$34,MATCH(D578&amp;"_"&amp;E578,BAU_Fuel_cons!$AT$2:$AT$34,0),MATCH(F578,BAU_Fuel_cons!$E$1:$AS$1,0)))</f>
        <v>0</v>
      </c>
      <c r="H578" s="55">
        <f>G578+10^6*IF($E578="charcoal",params!$P$13*SUMIFS(nonresidential!$L:$L,nonresidential!$A:$A,$F578,nonresidential!$B:$B,$E578,nonresidential!$C:$C,$D578),SUMIFS(nonresidential!$L:$L,nonresidential!$A:$A,$F578,nonresidential!$B:$B,$E578,nonresidential!$C:$C,$D578))</f>
        <v>0</v>
      </c>
      <c r="I578">
        <f>1</f>
        <v>1</v>
      </c>
    </row>
    <row r="579" spans="1:9">
      <c r="A579" t="s">
        <v>211</v>
      </c>
      <c r="B579" t="s">
        <v>162</v>
      </c>
      <c r="C579" t="s">
        <v>269</v>
      </c>
      <c r="D579" t="s">
        <v>26</v>
      </c>
      <c r="E579" t="s">
        <v>10</v>
      </c>
      <c r="F579">
        <v>2013</v>
      </c>
      <c r="G579" s="55">
        <f>10^6*IF($E579="charcoal",params!$P$13*INDEX(BAU_Fuel_cons!$E$2:$AS$34,MATCH(D579&amp;"_"&amp;E579,BAU_Fuel_cons!$AT$2:$AT$34,0),MATCH(F579,BAU_Fuel_cons!$E$1:$AS$1,0)),INDEX(BAU_Fuel_cons!$E$2:$AS$34,MATCH(D579&amp;"_"&amp;E579,BAU_Fuel_cons!$AT$2:$AT$34,0),MATCH(F579,BAU_Fuel_cons!$E$1:$AS$1,0)))</f>
        <v>0</v>
      </c>
      <c r="H579" s="55">
        <f>G579+10^6*IF($E579="charcoal",params!$P$13*SUMIFS(nonresidential!$L:$L,nonresidential!$A:$A,$F579,nonresidential!$B:$B,$E579,nonresidential!$C:$C,$D579),SUMIFS(nonresidential!$L:$L,nonresidential!$A:$A,$F579,nonresidential!$B:$B,$E579,nonresidential!$C:$C,$D579))</f>
        <v>0</v>
      </c>
      <c r="I579">
        <f>1</f>
        <v>1</v>
      </c>
    </row>
    <row r="580" spans="1:9">
      <c r="A580" t="s">
        <v>211</v>
      </c>
      <c r="B580" t="s">
        <v>162</v>
      </c>
      <c r="C580" t="s">
        <v>269</v>
      </c>
      <c r="D580" t="s">
        <v>26</v>
      </c>
      <c r="E580" t="s">
        <v>10</v>
      </c>
      <c r="F580">
        <v>2014</v>
      </c>
      <c r="G580" s="55">
        <f>10^6*IF($E580="charcoal",params!$P$13*INDEX(BAU_Fuel_cons!$E$2:$AS$34,MATCH(D580&amp;"_"&amp;E580,BAU_Fuel_cons!$AT$2:$AT$34,0),MATCH(F580,BAU_Fuel_cons!$E$1:$AS$1,0)),INDEX(BAU_Fuel_cons!$E$2:$AS$34,MATCH(D580&amp;"_"&amp;E580,BAU_Fuel_cons!$AT$2:$AT$34,0),MATCH(F580,BAU_Fuel_cons!$E$1:$AS$1,0)))</f>
        <v>0</v>
      </c>
      <c r="H580" s="55">
        <f>G580+10^6*IF($E580="charcoal",params!$P$13*SUMIFS(nonresidential!$L:$L,nonresidential!$A:$A,$F580,nonresidential!$B:$B,$E580,nonresidential!$C:$C,$D580),SUMIFS(nonresidential!$L:$L,nonresidential!$A:$A,$F580,nonresidential!$B:$B,$E580,nonresidential!$C:$C,$D580))</f>
        <v>0</v>
      </c>
      <c r="I580">
        <f>1</f>
        <v>1</v>
      </c>
    </row>
    <row r="581" spans="1:9">
      <c r="A581" t="s">
        <v>211</v>
      </c>
      <c r="B581" t="s">
        <v>162</v>
      </c>
      <c r="C581" t="s">
        <v>269</v>
      </c>
      <c r="D581" t="s">
        <v>26</v>
      </c>
      <c r="E581" t="s">
        <v>10</v>
      </c>
      <c r="F581">
        <v>2015</v>
      </c>
      <c r="G581" s="55">
        <f>10^6*IF($E581="charcoal",params!$P$13*INDEX(BAU_Fuel_cons!$E$2:$AS$34,MATCH(D581&amp;"_"&amp;E581,BAU_Fuel_cons!$AT$2:$AT$34,0),MATCH(F581,BAU_Fuel_cons!$E$1:$AS$1,0)),INDEX(BAU_Fuel_cons!$E$2:$AS$34,MATCH(D581&amp;"_"&amp;E581,BAU_Fuel_cons!$AT$2:$AT$34,0),MATCH(F581,BAU_Fuel_cons!$E$1:$AS$1,0)))</f>
        <v>0</v>
      </c>
      <c r="H581" s="55">
        <f>G581+10^6*IF($E581="charcoal",params!$P$13*SUMIFS(nonresidential!$L:$L,nonresidential!$A:$A,$F581,nonresidential!$B:$B,$E581,nonresidential!$C:$C,$D581),SUMIFS(nonresidential!$L:$L,nonresidential!$A:$A,$F581,nonresidential!$B:$B,$E581,nonresidential!$C:$C,$D581))</f>
        <v>0</v>
      </c>
      <c r="I581">
        <f>1</f>
        <v>1</v>
      </c>
    </row>
    <row r="582" spans="1:9">
      <c r="A582" t="s">
        <v>211</v>
      </c>
      <c r="B582" t="s">
        <v>162</v>
      </c>
      <c r="C582" t="s">
        <v>269</v>
      </c>
      <c r="D582" t="s">
        <v>26</v>
      </c>
      <c r="E582" t="s">
        <v>10</v>
      </c>
      <c r="F582">
        <v>2016</v>
      </c>
      <c r="G582" s="55">
        <f>10^6*IF($E582="charcoal",params!$P$13*INDEX(BAU_Fuel_cons!$E$2:$AS$34,MATCH(D582&amp;"_"&amp;E582,BAU_Fuel_cons!$AT$2:$AT$34,0),MATCH(F582,BAU_Fuel_cons!$E$1:$AS$1,0)),INDEX(BAU_Fuel_cons!$E$2:$AS$34,MATCH(D582&amp;"_"&amp;E582,BAU_Fuel_cons!$AT$2:$AT$34,0),MATCH(F582,BAU_Fuel_cons!$E$1:$AS$1,0)))</f>
        <v>0</v>
      </c>
      <c r="H582" s="55">
        <f>G582+10^6*IF($E582="charcoal",params!$P$13*SUMIFS(nonresidential!$L:$L,nonresidential!$A:$A,$F582,nonresidential!$B:$B,$E582,nonresidential!$C:$C,$D582),SUMIFS(nonresidential!$L:$L,nonresidential!$A:$A,$F582,nonresidential!$B:$B,$E582,nonresidential!$C:$C,$D582))</f>
        <v>0</v>
      </c>
      <c r="I582">
        <f>1</f>
        <v>1</v>
      </c>
    </row>
    <row r="583" spans="1:9">
      <c r="A583" t="s">
        <v>211</v>
      </c>
      <c r="B583" t="s">
        <v>162</v>
      </c>
      <c r="C583" t="s">
        <v>269</v>
      </c>
      <c r="D583" t="s">
        <v>26</v>
      </c>
      <c r="E583" t="s">
        <v>10</v>
      </c>
      <c r="F583">
        <v>2017</v>
      </c>
      <c r="G583" s="55">
        <f>10^6*IF($E583="charcoal",params!$P$13*INDEX(BAU_Fuel_cons!$E$2:$AS$34,MATCH(D583&amp;"_"&amp;E583,BAU_Fuel_cons!$AT$2:$AT$34,0),MATCH(F583,BAU_Fuel_cons!$E$1:$AS$1,0)),INDEX(BAU_Fuel_cons!$E$2:$AS$34,MATCH(D583&amp;"_"&amp;E583,BAU_Fuel_cons!$AT$2:$AT$34,0),MATCH(F583,BAU_Fuel_cons!$E$1:$AS$1,0)))</f>
        <v>0</v>
      </c>
      <c r="H583" s="55">
        <f>G583+10^6*IF($E583="charcoal",params!$P$13*SUMIFS(nonresidential!$L:$L,nonresidential!$A:$A,$F583,nonresidential!$B:$B,$E583,nonresidential!$C:$C,$D583),SUMIFS(nonresidential!$L:$L,nonresidential!$A:$A,$F583,nonresidential!$B:$B,$E583,nonresidential!$C:$C,$D583))</f>
        <v>0</v>
      </c>
      <c r="I583">
        <f>1</f>
        <v>1</v>
      </c>
    </row>
    <row r="584" spans="1:9">
      <c r="A584" t="s">
        <v>211</v>
      </c>
      <c r="B584" t="s">
        <v>162</v>
      </c>
      <c r="C584" t="s">
        <v>269</v>
      </c>
      <c r="D584" t="s">
        <v>26</v>
      </c>
      <c r="E584" t="s">
        <v>10</v>
      </c>
      <c r="F584">
        <v>2018</v>
      </c>
      <c r="G584" s="55">
        <f>10^6*IF($E584="charcoal",params!$P$13*INDEX(BAU_Fuel_cons!$E$2:$AS$34,MATCH(D584&amp;"_"&amp;E584,BAU_Fuel_cons!$AT$2:$AT$34,0),MATCH(F584,BAU_Fuel_cons!$E$1:$AS$1,0)),INDEX(BAU_Fuel_cons!$E$2:$AS$34,MATCH(D584&amp;"_"&amp;E584,BAU_Fuel_cons!$AT$2:$AT$34,0),MATCH(F584,BAU_Fuel_cons!$E$1:$AS$1,0)))</f>
        <v>0</v>
      </c>
      <c r="H584" s="55">
        <f>G584+10^6*IF($E584="charcoal",params!$P$13*SUMIFS(nonresidential!$L:$L,nonresidential!$A:$A,$F584,nonresidential!$B:$B,$E584,nonresidential!$C:$C,$D584),SUMIFS(nonresidential!$L:$L,nonresidential!$A:$A,$F584,nonresidential!$B:$B,$E584,nonresidential!$C:$C,$D584))</f>
        <v>0</v>
      </c>
      <c r="I584">
        <f>1</f>
        <v>1</v>
      </c>
    </row>
    <row r="585" spans="1:9">
      <c r="A585" t="s">
        <v>211</v>
      </c>
      <c r="B585" t="s">
        <v>162</v>
      </c>
      <c r="C585" t="s">
        <v>269</v>
      </c>
      <c r="D585" t="s">
        <v>26</v>
      </c>
      <c r="E585" t="s">
        <v>10</v>
      </c>
      <c r="F585">
        <v>2019</v>
      </c>
      <c r="G585" s="55">
        <f>10^6*IF($E585="charcoal",params!$P$13*INDEX(BAU_Fuel_cons!$E$2:$AS$34,MATCH(D585&amp;"_"&amp;E585,BAU_Fuel_cons!$AT$2:$AT$34,0),MATCH(F585,BAU_Fuel_cons!$E$1:$AS$1,0)),INDEX(BAU_Fuel_cons!$E$2:$AS$34,MATCH(D585&amp;"_"&amp;E585,BAU_Fuel_cons!$AT$2:$AT$34,0),MATCH(F585,BAU_Fuel_cons!$E$1:$AS$1,0)))</f>
        <v>0</v>
      </c>
      <c r="H585" s="55">
        <f>G585+10^6*IF($E585="charcoal",params!$P$13*SUMIFS(nonresidential!$L:$L,nonresidential!$A:$A,$F585,nonresidential!$B:$B,$E585,nonresidential!$C:$C,$D585),SUMIFS(nonresidential!$L:$L,nonresidential!$A:$A,$F585,nonresidential!$B:$B,$E585,nonresidential!$C:$C,$D585))</f>
        <v>0</v>
      </c>
      <c r="I585">
        <f>1</f>
        <v>1</v>
      </c>
    </row>
    <row r="586" spans="1:9">
      <c r="A586" t="s">
        <v>211</v>
      </c>
      <c r="B586" t="s">
        <v>162</v>
      </c>
      <c r="C586" t="s">
        <v>269</v>
      </c>
      <c r="D586" t="s">
        <v>26</v>
      </c>
      <c r="E586" t="s">
        <v>10</v>
      </c>
      <c r="F586">
        <v>2020</v>
      </c>
      <c r="G586" s="55">
        <f>10^6*IF($E586="charcoal",params!$P$13*INDEX(BAU_Fuel_cons!$E$2:$AS$34,MATCH(D586&amp;"_"&amp;E586,BAU_Fuel_cons!$AT$2:$AT$34,0),MATCH(F586,BAU_Fuel_cons!$E$1:$AS$1,0)),INDEX(BAU_Fuel_cons!$E$2:$AS$34,MATCH(D586&amp;"_"&amp;E586,BAU_Fuel_cons!$AT$2:$AT$34,0),MATCH(F586,BAU_Fuel_cons!$E$1:$AS$1,0)))</f>
        <v>0</v>
      </c>
      <c r="H586" s="55">
        <f>G586+10^6*IF($E586="charcoal",params!$P$13*SUMIFS(nonresidential!$L:$L,nonresidential!$A:$A,$F586,nonresidential!$B:$B,$E586,nonresidential!$C:$C,$D586),SUMIFS(nonresidential!$L:$L,nonresidential!$A:$A,$F586,nonresidential!$B:$B,$E586,nonresidential!$C:$C,$D586))</f>
        <v>0</v>
      </c>
      <c r="I586">
        <f>1</f>
        <v>1</v>
      </c>
    </row>
    <row r="587" spans="1:9">
      <c r="A587" t="s">
        <v>211</v>
      </c>
      <c r="B587" t="s">
        <v>162</v>
      </c>
      <c r="C587" t="s">
        <v>269</v>
      </c>
      <c r="D587" t="s">
        <v>26</v>
      </c>
      <c r="E587" t="s">
        <v>10</v>
      </c>
      <c r="F587">
        <v>2021</v>
      </c>
      <c r="G587" s="55">
        <f>10^6*IF($E587="charcoal",params!$P$13*INDEX(BAU_Fuel_cons!$E$2:$AS$34,MATCH(D587&amp;"_"&amp;E587,BAU_Fuel_cons!$AT$2:$AT$34,0),MATCH(F587,BAU_Fuel_cons!$E$1:$AS$1,0)),INDEX(BAU_Fuel_cons!$E$2:$AS$34,MATCH(D587&amp;"_"&amp;E587,BAU_Fuel_cons!$AT$2:$AT$34,0),MATCH(F587,BAU_Fuel_cons!$E$1:$AS$1,0)))</f>
        <v>0</v>
      </c>
      <c r="H587" s="55">
        <f>G587+10^6*IF($E587="charcoal",params!$P$13*SUMIFS(nonresidential!$L:$L,nonresidential!$A:$A,$F587,nonresidential!$B:$B,$E587,nonresidential!$C:$C,$D587),SUMIFS(nonresidential!$L:$L,nonresidential!$A:$A,$F587,nonresidential!$B:$B,$E587,nonresidential!$C:$C,$D587))</f>
        <v>0</v>
      </c>
      <c r="I587">
        <f>1</f>
        <v>1</v>
      </c>
    </row>
    <row r="588" spans="1:9">
      <c r="A588" t="s">
        <v>211</v>
      </c>
      <c r="B588" t="s">
        <v>162</v>
      </c>
      <c r="C588" t="s">
        <v>269</v>
      </c>
      <c r="D588" t="s">
        <v>26</v>
      </c>
      <c r="E588" t="s">
        <v>10</v>
      </c>
      <c r="F588">
        <v>2022</v>
      </c>
      <c r="G588" s="55">
        <f>10^6*IF($E588="charcoal",params!$P$13*INDEX(BAU_Fuel_cons!$E$2:$AS$34,MATCH(D588&amp;"_"&amp;E588,BAU_Fuel_cons!$AT$2:$AT$34,0),MATCH(F588,BAU_Fuel_cons!$E$1:$AS$1,0)),INDEX(BAU_Fuel_cons!$E$2:$AS$34,MATCH(D588&amp;"_"&amp;E588,BAU_Fuel_cons!$AT$2:$AT$34,0),MATCH(F588,BAU_Fuel_cons!$E$1:$AS$1,0)))</f>
        <v>0</v>
      </c>
      <c r="H588" s="55">
        <f>G588+10^6*IF($E588="charcoal",params!$P$13*SUMIFS(nonresidential!$L:$L,nonresidential!$A:$A,$F588,nonresidential!$B:$B,$E588,nonresidential!$C:$C,$D588),SUMIFS(nonresidential!$L:$L,nonresidential!$A:$A,$F588,nonresidential!$B:$B,$E588,nonresidential!$C:$C,$D588))</f>
        <v>0</v>
      </c>
      <c r="I588">
        <f>1</f>
        <v>1</v>
      </c>
    </row>
    <row r="589" spans="1:9">
      <c r="A589" t="s">
        <v>211</v>
      </c>
      <c r="B589" t="s">
        <v>162</v>
      </c>
      <c r="C589" t="s">
        <v>269</v>
      </c>
      <c r="D589" t="s">
        <v>26</v>
      </c>
      <c r="E589" t="s">
        <v>10</v>
      </c>
      <c r="F589">
        <v>2023</v>
      </c>
      <c r="G589" s="55">
        <f>10^6*IF($E589="charcoal",params!$P$13*INDEX(BAU_Fuel_cons!$E$2:$AS$34,MATCH(D589&amp;"_"&amp;E589,BAU_Fuel_cons!$AT$2:$AT$34,0),MATCH(F589,BAU_Fuel_cons!$E$1:$AS$1,0)),INDEX(BAU_Fuel_cons!$E$2:$AS$34,MATCH(D589&amp;"_"&amp;E589,BAU_Fuel_cons!$AT$2:$AT$34,0),MATCH(F589,BAU_Fuel_cons!$E$1:$AS$1,0)))</f>
        <v>0</v>
      </c>
      <c r="H589" s="55">
        <f>G589+10^6*IF($E589="charcoal",params!$P$13*SUMIFS(nonresidential!$L:$L,nonresidential!$A:$A,$F589,nonresidential!$B:$B,$E589,nonresidential!$C:$C,$D589),SUMIFS(nonresidential!$L:$L,nonresidential!$A:$A,$F589,nonresidential!$B:$B,$E589,nonresidential!$C:$C,$D589))</f>
        <v>0</v>
      </c>
      <c r="I589">
        <f>1</f>
        <v>1</v>
      </c>
    </row>
    <row r="590" spans="1:9">
      <c r="A590" t="s">
        <v>211</v>
      </c>
      <c r="B590" t="s">
        <v>162</v>
      </c>
      <c r="C590" t="s">
        <v>269</v>
      </c>
      <c r="D590" t="s">
        <v>26</v>
      </c>
      <c r="E590" t="s">
        <v>10</v>
      </c>
      <c r="F590">
        <v>2024</v>
      </c>
      <c r="G590" s="55">
        <f>10^6*IF($E590="charcoal",params!$P$13*INDEX(BAU_Fuel_cons!$E$2:$AS$34,MATCH(D590&amp;"_"&amp;E590,BAU_Fuel_cons!$AT$2:$AT$34,0),MATCH(F590,BAU_Fuel_cons!$E$1:$AS$1,0)),INDEX(BAU_Fuel_cons!$E$2:$AS$34,MATCH(D590&amp;"_"&amp;E590,BAU_Fuel_cons!$AT$2:$AT$34,0),MATCH(F590,BAU_Fuel_cons!$E$1:$AS$1,0)))</f>
        <v>0</v>
      </c>
      <c r="H590" s="55">
        <f>G590+10^6*IF($E590="charcoal",params!$P$13*SUMIFS(nonresidential!$L:$L,nonresidential!$A:$A,$F590,nonresidential!$B:$B,$E590,nonresidential!$C:$C,$D590),SUMIFS(nonresidential!$L:$L,nonresidential!$A:$A,$F590,nonresidential!$B:$B,$E590,nonresidential!$C:$C,$D590))</f>
        <v>0</v>
      </c>
      <c r="I590">
        <f>1</f>
        <v>1</v>
      </c>
    </row>
    <row r="591" spans="1:9">
      <c r="A591" t="s">
        <v>211</v>
      </c>
      <c r="B591" t="s">
        <v>162</v>
      </c>
      <c r="C591" t="s">
        <v>269</v>
      </c>
      <c r="D591" t="s">
        <v>26</v>
      </c>
      <c r="E591" t="s">
        <v>10</v>
      </c>
      <c r="F591">
        <v>2025</v>
      </c>
      <c r="G591" s="55">
        <f>10^6*IF($E591="charcoal",params!$P$13*INDEX(BAU_Fuel_cons!$E$2:$AS$34,MATCH(D591&amp;"_"&amp;E591,BAU_Fuel_cons!$AT$2:$AT$34,0),MATCH(F591,BAU_Fuel_cons!$E$1:$AS$1,0)),INDEX(BAU_Fuel_cons!$E$2:$AS$34,MATCH(D591&amp;"_"&amp;E591,BAU_Fuel_cons!$AT$2:$AT$34,0),MATCH(F591,BAU_Fuel_cons!$E$1:$AS$1,0)))</f>
        <v>0</v>
      </c>
      <c r="H591" s="55">
        <f>G591+10^6*IF($E591="charcoal",params!$P$13*SUMIFS(nonresidential!$L:$L,nonresidential!$A:$A,$F591,nonresidential!$B:$B,$E591,nonresidential!$C:$C,$D591),SUMIFS(nonresidential!$L:$L,nonresidential!$A:$A,$F591,nonresidential!$B:$B,$E591,nonresidential!$C:$C,$D591))</f>
        <v>0</v>
      </c>
      <c r="I591">
        <f>1</f>
        <v>1</v>
      </c>
    </row>
    <row r="592" spans="1:9">
      <c r="A592" t="s">
        <v>211</v>
      </c>
      <c r="B592" t="s">
        <v>162</v>
      </c>
      <c r="C592" t="s">
        <v>269</v>
      </c>
      <c r="D592" t="s">
        <v>26</v>
      </c>
      <c r="E592" t="s">
        <v>10</v>
      </c>
      <c r="F592">
        <v>2026</v>
      </c>
      <c r="G592" s="55">
        <f>10^6*IF($E592="charcoal",params!$P$13*INDEX(BAU_Fuel_cons!$E$2:$AS$34,MATCH(D592&amp;"_"&amp;E592,BAU_Fuel_cons!$AT$2:$AT$34,0),MATCH(F592,BAU_Fuel_cons!$E$1:$AS$1,0)),INDEX(BAU_Fuel_cons!$E$2:$AS$34,MATCH(D592&amp;"_"&amp;E592,BAU_Fuel_cons!$AT$2:$AT$34,0),MATCH(F592,BAU_Fuel_cons!$E$1:$AS$1,0)))</f>
        <v>0</v>
      </c>
      <c r="H592" s="55">
        <f>G592+10^6*IF($E592="charcoal",params!$P$13*SUMIFS(nonresidential!$L:$L,nonresidential!$A:$A,$F592,nonresidential!$B:$B,$E592,nonresidential!$C:$C,$D592),SUMIFS(nonresidential!$L:$L,nonresidential!$A:$A,$F592,nonresidential!$B:$B,$E592,nonresidential!$C:$C,$D592))</f>
        <v>0</v>
      </c>
      <c r="I592">
        <f>1</f>
        <v>1</v>
      </c>
    </row>
    <row r="593" spans="1:9">
      <c r="A593" t="s">
        <v>211</v>
      </c>
      <c r="B593" t="s">
        <v>162</v>
      </c>
      <c r="C593" t="s">
        <v>269</v>
      </c>
      <c r="D593" t="s">
        <v>26</v>
      </c>
      <c r="E593" t="s">
        <v>10</v>
      </c>
      <c r="F593">
        <v>2027</v>
      </c>
      <c r="G593" s="55">
        <f>10^6*IF($E593="charcoal",params!$P$13*INDEX(BAU_Fuel_cons!$E$2:$AS$34,MATCH(D593&amp;"_"&amp;E593,BAU_Fuel_cons!$AT$2:$AT$34,0),MATCH(F593,BAU_Fuel_cons!$E$1:$AS$1,0)),INDEX(BAU_Fuel_cons!$E$2:$AS$34,MATCH(D593&amp;"_"&amp;E593,BAU_Fuel_cons!$AT$2:$AT$34,0),MATCH(F593,BAU_Fuel_cons!$E$1:$AS$1,0)))</f>
        <v>0</v>
      </c>
      <c r="H593" s="55">
        <f>G593+10^6*IF($E593="charcoal",params!$P$13*SUMIFS(nonresidential!$L:$L,nonresidential!$A:$A,$F593,nonresidential!$B:$B,$E593,nonresidential!$C:$C,$D593),SUMIFS(nonresidential!$L:$L,nonresidential!$A:$A,$F593,nonresidential!$B:$B,$E593,nonresidential!$C:$C,$D593))</f>
        <v>0</v>
      </c>
      <c r="I593">
        <f>1</f>
        <v>1</v>
      </c>
    </row>
    <row r="594" spans="1:9">
      <c r="A594" t="s">
        <v>211</v>
      </c>
      <c r="B594" t="s">
        <v>162</v>
      </c>
      <c r="C594" t="s">
        <v>269</v>
      </c>
      <c r="D594" t="s">
        <v>26</v>
      </c>
      <c r="E594" t="s">
        <v>10</v>
      </c>
      <c r="F594">
        <v>2028</v>
      </c>
      <c r="G594" s="55">
        <f>10^6*IF($E594="charcoal",params!$P$13*INDEX(BAU_Fuel_cons!$E$2:$AS$34,MATCH(D594&amp;"_"&amp;E594,BAU_Fuel_cons!$AT$2:$AT$34,0),MATCH(F594,BAU_Fuel_cons!$E$1:$AS$1,0)),INDEX(BAU_Fuel_cons!$E$2:$AS$34,MATCH(D594&amp;"_"&amp;E594,BAU_Fuel_cons!$AT$2:$AT$34,0),MATCH(F594,BAU_Fuel_cons!$E$1:$AS$1,0)))</f>
        <v>0</v>
      </c>
      <c r="H594" s="55">
        <f>G594+10^6*IF($E594="charcoal",params!$P$13*SUMIFS(nonresidential!$L:$L,nonresidential!$A:$A,$F594,nonresidential!$B:$B,$E594,nonresidential!$C:$C,$D594),SUMIFS(nonresidential!$L:$L,nonresidential!$A:$A,$F594,nonresidential!$B:$B,$E594,nonresidential!$C:$C,$D594))</f>
        <v>0</v>
      </c>
      <c r="I594">
        <f>1</f>
        <v>1</v>
      </c>
    </row>
    <row r="595" spans="1:9">
      <c r="A595" t="s">
        <v>211</v>
      </c>
      <c r="B595" t="s">
        <v>162</v>
      </c>
      <c r="C595" t="s">
        <v>269</v>
      </c>
      <c r="D595" t="s">
        <v>26</v>
      </c>
      <c r="E595" t="s">
        <v>10</v>
      </c>
      <c r="F595">
        <v>2029</v>
      </c>
      <c r="G595" s="55">
        <f>10^6*IF($E595="charcoal",params!$P$13*INDEX(BAU_Fuel_cons!$E$2:$AS$34,MATCH(D595&amp;"_"&amp;E595,BAU_Fuel_cons!$AT$2:$AT$34,0),MATCH(F595,BAU_Fuel_cons!$E$1:$AS$1,0)),INDEX(BAU_Fuel_cons!$E$2:$AS$34,MATCH(D595&amp;"_"&amp;E595,BAU_Fuel_cons!$AT$2:$AT$34,0),MATCH(F595,BAU_Fuel_cons!$E$1:$AS$1,0)))</f>
        <v>0</v>
      </c>
      <c r="H595" s="55">
        <f>G595+10^6*IF($E595="charcoal",params!$P$13*SUMIFS(nonresidential!$L:$L,nonresidential!$A:$A,$F595,nonresidential!$B:$B,$E595,nonresidential!$C:$C,$D595),SUMIFS(nonresidential!$L:$L,nonresidential!$A:$A,$F595,nonresidential!$B:$B,$E595,nonresidential!$C:$C,$D595))</f>
        <v>0</v>
      </c>
      <c r="I595">
        <f>1</f>
        <v>1</v>
      </c>
    </row>
    <row r="596" spans="1:9">
      <c r="A596" t="s">
        <v>211</v>
      </c>
      <c r="B596" t="s">
        <v>162</v>
      </c>
      <c r="C596" t="s">
        <v>269</v>
      </c>
      <c r="D596" t="s">
        <v>26</v>
      </c>
      <c r="E596" t="s">
        <v>10</v>
      </c>
      <c r="F596">
        <v>2030</v>
      </c>
      <c r="G596" s="55">
        <f>10^6*IF($E596="charcoal",params!$P$13*INDEX(BAU_Fuel_cons!$E$2:$AS$34,MATCH(D596&amp;"_"&amp;E596,BAU_Fuel_cons!$AT$2:$AT$34,0),MATCH(F596,BAU_Fuel_cons!$E$1:$AS$1,0)),INDEX(BAU_Fuel_cons!$E$2:$AS$34,MATCH(D596&amp;"_"&amp;E596,BAU_Fuel_cons!$AT$2:$AT$34,0),MATCH(F596,BAU_Fuel_cons!$E$1:$AS$1,0)))</f>
        <v>0</v>
      </c>
      <c r="H596" s="55">
        <f>G596+10^6*IF($E596="charcoal",params!$P$13*SUMIFS(nonresidential!$L:$L,nonresidential!$A:$A,$F596,nonresidential!$B:$B,$E596,nonresidential!$C:$C,$D596),SUMIFS(nonresidential!$L:$L,nonresidential!$A:$A,$F596,nonresidential!$B:$B,$E596,nonresidential!$C:$C,$D596))</f>
        <v>0</v>
      </c>
      <c r="I596">
        <f>1</f>
        <v>1</v>
      </c>
    </row>
    <row r="597" spans="1:9">
      <c r="A597" t="s">
        <v>211</v>
      </c>
      <c r="B597" t="s">
        <v>162</v>
      </c>
      <c r="C597" t="s">
        <v>269</v>
      </c>
      <c r="D597" t="s">
        <v>26</v>
      </c>
      <c r="E597" t="s">
        <v>10</v>
      </c>
      <c r="F597">
        <v>2031</v>
      </c>
      <c r="G597" s="55">
        <f>10^6*IF($E597="charcoal",params!$P$13*INDEX(BAU_Fuel_cons!$E$2:$AS$34,MATCH(D597&amp;"_"&amp;E597,BAU_Fuel_cons!$AT$2:$AT$34,0),MATCH(F597,BAU_Fuel_cons!$E$1:$AS$1,0)),INDEX(BAU_Fuel_cons!$E$2:$AS$34,MATCH(D597&amp;"_"&amp;E597,BAU_Fuel_cons!$AT$2:$AT$34,0),MATCH(F597,BAU_Fuel_cons!$E$1:$AS$1,0)))</f>
        <v>0</v>
      </c>
      <c r="H597" s="55">
        <f>G597+10^6*IF($E597="charcoal",params!$P$13*SUMIFS(nonresidential!$L:$L,nonresidential!$A:$A,$F597,nonresidential!$B:$B,$E597,nonresidential!$C:$C,$D597),SUMIFS(nonresidential!$L:$L,nonresidential!$A:$A,$F597,nonresidential!$B:$B,$E597,nonresidential!$C:$C,$D597))</f>
        <v>0</v>
      </c>
      <c r="I597">
        <f>1</f>
        <v>1</v>
      </c>
    </row>
    <row r="598" spans="1:9">
      <c r="A598" t="s">
        <v>211</v>
      </c>
      <c r="B598" t="s">
        <v>162</v>
      </c>
      <c r="C598" t="s">
        <v>269</v>
      </c>
      <c r="D598" t="s">
        <v>26</v>
      </c>
      <c r="E598" t="s">
        <v>10</v>
      </c>
      <c r="F598">
        <v>2032</v>
      </c>
      <c r="G598" s="55">
        <f>10^6*IF($E598="charcoal",params!$P$13*INDEX(BAU_Fuel_cons!$E$2:$AS$34,MATCH(D598&amp;"_"&amp;E598,BAU_Fuel_cons!$AT$2:$AT$34,0),MATCH(F598,BAU_Fuel_cons!$E$1:$AS$1,0)),INDEX(BAU_Fuel_cons!$E$2:$AS$34,MATCH(D598&amp;"_"&amp;E598,BAU_Fuel_cons!$AT$2:$AT$34,0),MATCH(F598,BAU_Fuel_cons!$E$1:$AS$1,0)))</f>
        <v>0</v>
      </c>
      <c r="H598" s="55">
        <f>G598+10^6*IF($E598="charcoal",params!$P$13*SUMIFS(nonresidential!$L:$L,nonresidential!$A:$A,$F598,nonresidential!$B:$B,$E598,nonresidential!$C:$C,$D598),SUMIFS(nonresidential!$L:$L,nonresidential!$A:$A,$F598,nonresidential!$B:$B,$E598,nonresidential!$C:$C,$D598))</f>
        <v>0</v>
      </c>
      <c r="I598">
        <f>1</f>
        <v>1</v>
      </c>
    </row>
    <row r="599" spans="1:9">
      <c r="A599" t="s">
        <v>211</v>
      </c>
      <c r="B599" t="s">
        <v>162</v>
      </c>
      <c r="C599" t="s">
        <v>269</v>
      </c>
      <c r="D599" t="s">
        <v>26</v>
      </c>
      <c r="E599" t="s">
        <v>10</v>
      </c>
      <c r="F599">
        <v>2033</v>
      </c>
      <c r="G599" s="55">
        <f>10^6*IF($E599="charcoal",params!$P$13*INDEX(BAU_Fuel_cons!$E$2:$AS$34,MATCH(D599&amp;"_"&amp;E599,BAU_Fuel_cons!$AT$2:$AT$34,0),MATCH(F599,BAU_Fuel_cons!$E$1:$AS$1,0)),INDEX(BAU_Fuel_cons!$E$2:$AS$34,MATCH(D599&amp;"_"&amp;E599,BAU_Fuel_cons!$AT$2:$AT$34,0),MATCH(F599,BAU_Fuel_cons!$E$1:$AS$1,0)))</f>
        <v>0</v>
      </c>
      <c r="H599" s="55">
        <f>G599+10^6*IF($E599="charcoal",params!$P$13*SUMIFS(nonresidential!$L:$L,nonresidential!$A:$A,$F599,nonresidential!$B:$B,$E599,nonresidential!$C:$C,$D599),SUMIFS(nonresidential!$L:$L,nonresidential!$A:$A,$F599,nonresidential!$B:$B,$E599,nonresidential!$C:$C,$D599))</f>
        <v>0</v>
      </c>
      <c r="I599">
        <f>1</f>
        <v>1</v>
      </c>
    </row>
    <row r="600" spans="1:9">
      <c r="A600" t="s">
        <v>211</v>
      </c>
      <c r="B600" t="s">
        <v>162</v>
      </c>
      <c r="C600" t="s">
        <v>269</v>
      </c>
      <c r="D600" t="s">
        <v>26</v>
      </c>
      <c r="E600" t="s">
        <v>10</v>
      </c>
      <c r="F600">
        <v>2034</v>
      </c>
      <c r="G600" s="55">
        <f>10^6*IF($E600="charcoal",params!$P$13*INDEX(BAU_Fuel_cons!$E$2:$AS$34,MATCH(D600&amp;"_"&amp;E600,BAU_Fuel_cons!$AT$2:$AT$34,0),MATCH(F600,BAU_Fuel_cons!$E$1:$AS$1,0)),INDEX(BAU_Fuel_cons!$E$2:$AS$34,MATCH(D600&amp;"_"&amp;E600,BAU_Fuel_cons!$AT$2:$AT$34,0),MATCH(F600,BAU_Fuel_cons!$E$1:$AS$1,0)))</f>
        <v>0</v>
      </c>
      <c r="H600" s="55">
        <f>G600+10^6*IF($E600="charcoal",params!$P$13*SUMIFS(nonresidential!$L:$L,nonresidential!$A:$A,$F600,nonresidential!$B:$B,$E600,nonresidential!$C:$C,$D600),SUMIFS(nonresidential!$L:$L,nonresidential!$A:$A,$F600,nonresidential!$B:$B,$E600,nonresidential!$C:$C,$D600))</f>
        <v>0</v>
      </c>
      <c r="I600">
        <f>1</f>
        <v>1</v>
      </c>
    </row>
    <row r="601" spans="1:9">
      <c r="A601" t="s">
        <v>211</v>
      </c>
      <c r="B601" t="s">
        <v>162</v>
      </c>
      <c r="C601" t="s">
        <v>269</v>
      </c>
      <c r="D601" t="s">
        <v>26</v>
      </c>
      <c r="E601" t="s">
        <v>10</v>
      </c>
      <c r="F601">
        <v>2035</v>
      </c>
      <c r="G601" s="55">
        <f>10^6*IF($E601="charcoal",params!$P$13*INDEX(BAU_Fuel_cons!$E$2:$AS$34,MATCH(D601&amp;"_"&amp;E601,BAU_Fuel_cons!$AT$2:$AT$34,0),MATCH(F601,BAU_Fuel_cons!$E$1:$AS$1,0)),INDEX(BAU_Fuel_cons!$E$2:$AS$34,MATCH(D601&amp;"_"&amp;E601,BAU_Fuel_cons!$AT$2:$AT$34,0),MATCH(F601,BAU_Fuel_cons!$E$1:$AS$1,0)))</f>
        <v>0</v>
      </c>
      <c r="H601" s="55">
        <f>G601+10^6*IF($E601="charcoal",params!$P$13*SUMIFS(nonresidential!$L:$L,nonresidential!$A:$A,$F601,nonresidential!$B:$B,$E601,nonresidential!$C:$C,$D601),SUMIFS(nonresidential!$L:$L,nonresidential!$A:$A,$F601,nonresidential!$B:$B,$E601,nonresidential!$C:$C,$D601))</f>
        <v>0</v>
      </c>
      <c r="I601">
        <f>1</f>
        <v>1</v>
      </c>
    </row>
    <row r="602" spans="1:9">
      <c r="A602" t="s">
        <v>211</v>
      </c>
      <c r="B602" t="s">
        <v>162</v>
      </c>
      <c r="C602" t="s">
        <v>269</v>
      </c>
      <c r="D602" t="s">
        <v>26</v>
      </c>
      <c r="E602" t="s">
        <v>10</v>
      </c>
      <c r="F602">
        <v>2036</v>
      </c>
      <c r="G602" s="55">
        <f>10^6*IF($E602="charcoal",params!$P$13*INDEX(BAU_Fuel_cons!$E$2:$AS$34,MATCH(D602&amp;"_"&amp;E602,BAU_Fuel_cons!$AT$2:$AT$34,0),MATCH(F602,BAU_Fuel_cons!$E$1:$AS$1,0)),INDEX(BAU_Fuel_cons!$E$2:$AS$34,MATCH(D602&amp;"_"&amp;E602,BAU_Fuel_cons!$AT$2:$AT$34,0),MATCH(F602,BAU_Fuel_cons!$E$1:$AS$1,0)))</f>
        <v>0</v>
      </c>
      <c r="H602" s="55">
        <f>G602+10^6*IF($E602="charcoal",params!$P$13*SUMIFS(nonresidential!$L:$L,nonresidential!$A:$A,$F602,nonresidential!$B:$B,$E602,nonresidential!$C:$C,$D602),SUMIFS(nonresidential!$L:$L,nonresidential!$A:$A,$F602,nonresidential!$B:$B,$E602,nonresidential!$C:$C,$D602))</f>
        <v>0</v>
      </c>
      <c r="I602">
        <f>1</f>
        <v>1</v>
      </c>
    </row>
    <row r="603" spans="1:9">
      <c r="A603" t="s">
        <v>211</v>
      </c>
      <c r="B603" t="s">
        <v>162</v>
      </c>
      <c r="C603" t="s">
        <v>269</v>
      </c>
      <c r="D603" t="s">
        <v>26</v>
      </c>
      <c r="E603" t="s">
        <v>10</v>
      </c>
      <c r="F603">
        <v>2037</v>
      </c>
      <c r="G603" s="55">
        <f>10^6*IF($E603="charcoal",params!$P$13*INDEX(BAU_Fuel_cons!$E$2:$AS$34,MATCH(D603&amp;"_"&amp;E603,BAU_Fuel_cons!$AT$2:$AT$34,0),MATCH(F603,BAU_Fuel_cons!$E$1:$AS$1,0)),INDEX(BAU_Fuel_cons!$E$2:$AS$34,MATCH(D603&amp;"_"&amp;E603,BAU_Fuel_cons!$AT$2:$AT$34,0),MATCH(F603,BAU_Fuel_cons!$E$1:$AS$1,0)))</f>
        <v>0</v>
      </c>
      <c r="H603" s="55">
        <f>G603+10^6*IF($E603="charcoal",params!$P$13*SUMIFS(nonresidential!$L:$L,nonresidential!$A:$A,$F603,nonresidential!$B:$B,$E603,nonresidential!$C:$C,$D603),SUMIFS(nonresidential!$L:$L,nonresidential!$A:$A,$F603,nonresidential!$B:$B,$E603,nonresidential!$C:$C,$D603))</f>
        <v>0</v>
      </c>
      <c r="I603">
        <f>1</f>
        <v>1</v>
      </c>
    </row>
    <row r="604" spans="1:9">
      <c r="A604" t="s">
        <v>211</v>
      </c>
      <c r="B604" t="s">
        <v>162</v>
      </c>
      <c r="C604" t="s">
        <v>269</v>
      </c>
      <c r="D604" t="s">
        <v>26</v>
      </c>
      <c r="E604" t="s">
        <v>10</v>
      </c>
      <c r="F604">
        <v>2038</v>
      </c>
      <c r="G604" s="55">
        <f>10^6*IF($E604="charcoal",params!$P$13*INDEX(BAU_Fuel_cons!$E$2:$AS$34,MATCH(D604&amp;"_"&amp;E604,BAU_Fuel_cons!$AT$2:$AT$34,0),MATCH(F604,BAU_Fuel_cons!$E$1:$AS$1,0)),INDEX(BAU_Fuel_cons!$E$2:$AS$34,MATCH(D604&amp;"_"&amp;E604,BAU_Fuel_cons!$AT$2:$AT$34,0),MATCH(F604,BAU_Fuel_cons!$E$1:$AS$1,0)))</f>
        <v>0</v>
      </c>
      <c r="H604" s="55">
        <f>G604+10^6*IF($E604="charcoal",params!$P$13*SUMIFS(nonresidential!$L:$L,nonresidential!$A:$A,$F604,nonresidential!$B:$B,$E604,nonresidential!$C:$C,$D604),SUMIFS(nonresidential!$L:$L,nonresidential!$A:$A,$F604,nonresidential!$B:$B,$E604,nonresidential!$C:$C,$D604))</f>
        <v>0</v>
      </c>
      <c r="I604">
        <f>1</f>
        <v>1</v>
      </c>
    </row>
    <row r="605" spans="1:9">
      <c r="A605" t="s">
        <v>211</v>
      </c>
      <c r="B605" t="s">
        <v>162</v>
      </c>
      <c r="C605" t="s">
        <v>269</v>
      </c>
      <c r="D605" t="s">
        <v>26</v>
      </c>
      <c r="E605" t="s">
        <v>10</v>
      </c>
      <c r="F605">
        <v>2039</v>
      </c>
      <c r="G605" s="55">
        <f>10^6*IF($E605="charcoal",params!$P$13*INDEX(BAU_Fuel_cons!$E$2:$AS$34,MATCH(D605&amp;"_"&amp;E605,BAU_Fuel_cons!$AT$2:$AT$34,0),MATCH(F605,BAU_Fuel_cons!$E$1:$AS$1,0)),INDEX(BAU_Fuel_cons!$E$2:$AS$34,MATCH(D605&amp;"_"&amp;E605,BAU_Fuel_cons!$AT$2:$AT$34,0),MATCH(F605,BAU_Fuel_cons!$E$1:$AS$1,0)))</f>
        <v>0</v>
      </c>
      <c r="H605" s="55">
        <f>G605+10^6*IF($E605="charcoal",params!$P$13*SUMIFS(nonresidential!$L:$L,nonresidential!$A:$A,$F605,nonresidential!$B:$B,$E605,nonresidential!$C:$C,$D605),SUMIFS(nonresidential!$L:$L,nonresidential!$A:$A,$F605,nonresidential!$B:$B,$E605,nonresidential!$C:$C,$D605))</f>
        <v>0</v>
      </c>
      <c r="I605">
        <f>1</f>
        <v>1</v>
      </c>
    </row>
    <row r="606" spans="1:9">
      <c r="A606" t="s">
        <v>211</v>
      </c>
      <c r="B606" t="s">
        <v>162</v>
      </c>
      <c r="C606" t="s">
        <v>269</v>
      </c>
      <c r="D606" t="s">
        <v>26</v>
      </c>
      <c r="E606" t="s">
        <v>10</v>
      </c>
      <c r="F606">
        <v>2040</v>
      </c>
      <c r="G606" s="55">
        <f>10^6*IF($E606="charcoal",params!$P$13*INDEX(BAU_Fuel_cons!$E$2:$AS$34,MATCH(D606&amp;"_"&amp;E606,BAU_Fuel_cons!$AT$2:$AT$34,0),MATCH(F606,BAU_Fuel_cons!$E$1:$AS$1,0)),INDEX(BAU_Fuel_cons!$E$2:$AS$34,MATCH(D606&amp;"_"&amp;E606,BAU_Fuel_cons!$AT$2:$AT$34,0),MATCH(F606,BAU_Fuel_cons!$E$1:$AS$1,0)))</f>
        <v>0</v>
      </c>
      <c r="H606" s="55">
        <f>G606+10^6*IF($E606="charcoal",params!$P$13*SUMIFS(nonresidential!$L:$L,nonresidential!$A:$A,$F606,nonresidential!$B:$B,$E606,nonresidential!$C:$C,$D606),SUMIFS(nonresidential!$L:$L,nonresidential!$A:$A,$F606,nonresidential!$B:$B,$E606,nonresidential!$C:$C,$D606))</f>
        <v>0</v>
      </c>
      <c r="I606">
        <f>1</f>
        <v>1</v>
      </c>
    </row>
    <row r="607" spans="1:9">
      <c r="A607" t="s">
        <v>211</v>
      </c>
      <c r="B607" t="s">
        <v>162</v>
      </c>
      <c r="C607" t="s">
        <v>269</v>
      </c>
      <c r="D607" t="s">
        <v>26</v>
      </c>
      <c r="E607" t="s">
        <v>10</v>
      </c>
      <c r="F607">
        <v>2041</v>
      </c>
      <c r="G607" s="55">
        <f>10^6*IF($E607="charcoal",params!$P$13*INDEX(BAU_Fuel_cons!$E$2:$AS$34,MATCH(D607&amp;"_"&amp;E607,BAU_Fuel_cons!$AT$2:$AT$34,0),MATCH(F607,BAU_Fuel_cons!$E$1:$AS$1,0)),INDEX(BAU_Fuel_cons!$E$2:$AS$34,MATCH(D607&amp;"_"&amp;E607,BAU_Fuel_cons!$AT$2:$AT$34,0),MATCH(F607,BAU_Fuel_cons!$E$1:$AS$1,0)))</f>
        <v>0</v>
      </c>
      <c r="H607" s="55">
        <f>G607+10^6*IF($E607="charcoal",params!$P$13*SUMIFS(nonresidential!$L:$L,nonresidential!$A:$A,$F607,nonresidential!$B:$B,$E607,nonresidential!$C:$C,$D607),SUMIFS(nonresidential!$L:$L,nonresidential!$A:$A,$F607,nonresidential!$B:$B,$E607,nonresidential!$C:$C,$D607))</f>
        <v>0</v>
      </c>
      <c r="I607">
        <f>1</f>
        <v>1</v>
      </c>
    </row>
    <row r="608" spans="1:9">
      <c r="A608" t="s">
        <v>211</v>
      </c>
      <c r="B608" t="s">
        <v>162</v>
      </c>
      <c r="C608" t="s">
        <v>269</v>
      </c>
      <c r="D608" t="s">
        <v>26</v>
      </c>
      <c r="E608" t="s">
        <v>10</v>
      </c>
      <c r="F608">
        <v>2042</v>
      </c>
      <c r="G608" s="55">
        <f>10^6*IF($E608="charcoal",params!$P$13*INDEX(BAU_Fuel_cons!$E$2:$AS$34,MATCH(D608&amp;"_"&amp;E608,BAU_Fuel_cons!$AT$2:$AT$34,0),MATCH(F608,BAU_Fuel_cons!$E$1:$AS$1,0)),INDEX(BAU_Fuel_cons!$E$2:$AS$34,MATCH(D608&amp;"_"&amp;E608,BAU_Fuel_cons!$AT$2:$AT$34,0),MATCH(F608,BAU_Fuel_cons!$E$1:$AS$1,0)))</f>
        <v>0</v>
      </c>
      <c r="H608" s="55">
        <f>G608+10^6*IF($E608="charcoal",params!$P$13*SUMIFS(nonresidential!$L:$L,nonresidential!$A:$A,$F608,nonresidential!$B:$B,$E608,nonresidential!$C:$C,$D608),SUMIFS(nonresidential!$L:$L,nonresidential!$A:$A,$F608,nonresidential!$B:$B,$E608,nonresidential!$C:$C,$D608))</f>
        <v>0</v>
      </c>
      <c r="I608">
        <f>1</f>
        <v>1</v>
      </c>
    </row>
    <row r="609" spans="1:9">
      <c r="A609" t="s">
        <v>211</v>
      </c>
      <c r="B609" t="s">
        <v>162</v>
      </c>
      <c r="C609" t="s">
        <v>269</v>
      </c>
      <c r="D609" t="s">
        <v>26</v>
      </c>
      <c r="E609" t="s">
        <v>10</v>
      </c>
      <c r="F609">
        <v>2043</v>
      </c>
      <c r="G609" s="55">
        <f>10^6*IF($E609="charcoal",params!$P$13*INDEX(BAU_Fuel_cons!$E$2:$AS$34,MATCH(D609&amp;"_"&amp;E609,BAU_Fuel_cons!$AT$2:$AT$34,0),MATCH(F609,BAU_Fuel_cons!$E$1:$AS$1,0)),INDEX(BAU_Fuel_cons!$E$2:$AS$34,MATCH(D609&amp;"_"&amp;E609,BAU_Fuel_cons!$AT$2:$AT$34,0),MATCH(F609,BAU_Fuel_cons!$E$1:$AS$1,0)))</f>
        <v>0</v>
      </c>
      <c r="H609" s="55">
        <f>G609+10^6*IF($E609="charcoal",params!$P$13*SUMIFS(nonresidential!$L:$L,nonresidential!$A:$A,$F609,nonresidential!$B:$B,$E609,nonresidential!$C:$C,$D609),SUMIFS(nonresidential!$L:$L,nonresidential!$A:$A,$F609,nonresidential!$B:$B,$E609,nonresidential!$C:$C,$D609))</f>
        <v>0</v>
      </c>
      <c r="I609">
        <f>1</f>
        <v>1</v>
      </c>
    </row>
    <row r="610" spans="1:9">
      <c r="A610" t="s">
        <v>211</v>
      </c>
      <c r="B610" t="s">
        <v>162</v>
      </c>
      <c r="C610" t="s">
        <v>269</v>
      </c>
      <c r="D610" t="s">
        <v>26</v>
      </c>
      <c r="E610" t="s">
        <v>10</v>
      </c>
      <c r="F610">
        <v>2044</v>
      </c>
      <c r="G610" s="55">
        <f>10^6*IF($E610="charcoal",params!$P$13*INDEX(BAU_Fuel_cons!$E$2:$AS$34,MATCH(D610&amp;"_"&amp;E610,BAU_Fuel_cons!$AT$2:$AT$34,0),MATCH(F610,BAU_Fuel_cons!$E$1:$AS$1,0)),INDEX(BAU_Fuel_cons!$E$2:$AS$34,MATCH(D610&amp;"_"&amp;E610,BAU_Fuel_cons!$AT$2:$AT$34,0),MATCH(F610,BAU_Fuel_cons!$E$1:$AS$1,0)))</f>
        <v>0</v>
      </c>
      <c r="H610" s="55">
        <f>G610+10^6*IF($E610="charcoal",params!$P$13*SUMIFS(nonresidential!$L:$L,nonresidential!$A:$A,$F610,nonresidential!$B:$B,$E610,nonresidential!$C:$C,$D610),SUMIFS(nonresidential!$L:$L,nonresidential!$A:$A,$F610,nonresidential!$B:$B,$E610,nonresidential!$C:$C,$D610))</f>
        <v>0</v>
      </c>
      <c r="I610">
        <f>1</f>
        <v>1</v>
      </c>
    </row>
    <row r="611" spans="1:9">
      <c r="A611" t="s">
        <v>211</v>
      </c>
      <c r="B611" t="s">
        <v>162</v>
      </c>
      <c r="C611" t="s">
        <v>269</v>
      </c>
      <c r="D611" t="s">
        <v>26</v>
      </c>
      <c r="E611" t="s">
        <v>10</v>
      </c>
      <c r="F611">
        <v>2045</v>
      </c>
      <c r="G611" s="55">
        <f>10^6*IF($E611="charcoal",params!$P$13*INDEX(BAU_Fuel_cons!$E$2:$AS$34,MATCH(D611&amp;"_"&amp;E611,BAU_Fuel_cons!$AT$2:$AT$34,0),MATCH(F611,BAU_Fuel_cons!$E$1:$AS$1,0)),INDEX(BAU_Fuel_cons!$E$2:$AS$34,MATCH(D611&amp;"_"&amp;E611,BAU_Fuel_cons!$AT$2:$AT$34,0),MATCH(F611,BAU_Fuel_cons!$E$1:$AS$1,0)))</f>
        <v>0</v>
      </c>
      <c r="H611" s="55">
        <f>G611+10^6*IF($E611="charcoal",params!$P$13*SUMIFS(nonresidential!$L:$L,nonresidential!$A:$A,$F611,nonresidential!$B:$B,$E611,nonresidential!$C:$C,$D611),SUMIFS(nonresidential!$L:$L,nonresidential!$A:$A,$F611,nonresidential!$B:$B,$E611,nonresidential!$C:$C,$D611))</f>
        <v>0</v>
      </c>
      <c r="I611">
        <f>1</f>
        <v>1</v>
      </c>
    </row>
    <row r="612" spans="1:9">
      <c r="A612" t="s">
        <v>211</v>
      </c>
      <c r="B612" t="s">
        <v>162</v>
      </c>
      <c r="C612" t="s">
        <v>269</v>
      </c>
      <c r="D612" t="s">
        <v>26</v>
      </c>
      <c r="E612" t="s">
        <v>10</v>
      </c>
      <c r="F612">
        <v>2046</v>
      </c>
      <c r="G612" s="55">
        <f>10^6*IF($E612="charcoal",params!$P$13*INDEX(BAU_Fuel_cons!$E$2:$AS$34,MATCH(D612&amp;"_"&amp;E612,BAU_Fuel_cons!$AT$2:$AT$34,0),MATCH(F612,BAU_Fuel_cons!$E$1:$AS$1,0)),INDEX(BAU_Fuel_cons!$E$2:$AS$34,MATCH(D612&amp;"_"&amp;E612,BAU_Fuel_cons!$AT$2:$AT$34,0),MATCH(F612,BAU_Fuel_cons!$E$1:$AS$1,0)))</f>
        <v>0</v>
      </c>
      <c r="H612" s="55">
        <f>G612+10^6*IF($E612="charcoal",params!$P$13*SUMIFS(nonresidential!$L:$L,nonresidential!$A:$A,$F612,nonresidential!$B:$B,$E612,nonresidential!$C:$C,$D612),SUMIFS(nonresidential!$L:$L,nonresidential!$A:$A,$F612,nonresidential!$B:$B,$E612,nonresidential!$C:$C,$D612))</f>
        <v>0</v>
      </c>
      <c r="I612">
        <f>1</f>
        <v>1</v>
      </c>
    </row>
    <row r="613" spans="1:9">
      <c r="A613" t="s">
        <v>211</v>
      </c>
      <c r="B613" t="s">
        <v>162</v>
      </c>
      <c r="C613" t="s">
        <v>269</v>
      </c>
      <c r="D613" t="s">
        <v>26</v>
      </c>
      <c r="E613" t="s">
        <v>10</v>
      </c>
      <c r="F613">
        <v>2047</v>
      </c>
      <c r="G613" s="55">
        <f>10^6*IF($E613="charcoal",params!$P$13*INDEX(BAU_Fuel_cons!$E$2:$AS$34,MATCH(D613&amp;"_"&amp;E613,BAU_Fuel_cons!$AT$2:$AT$34,0),MATCH(F613,BAU_Fuel_cons!$E$1:$AS$1,0)),INDEX(BAU_Fuel_cons!$E$2:$AS$34,MATCH(D613&amp;"_"&amp;E613,BAU_Fuel_cons!$AT$2:$AT$34,0),MATCH(F613,BAU_Fuel_cons!$E$1:$AS$1,0)))</f>
        <v>0</v>
      </c>
      <c r="H613" s="55">
        <f>G613+10^6*IF($E613="charcoal",params!$P$13*SUMIFS(nonresidential!$L:$L,nonresidential!$A:$A,$F613,nonresidential!$B:$B,$E613,nonresidential!$C:$C,$D613),SUMIFS(nonresidential!$L:$L,nonresidential!$A:$A,$F613,nonresidential!$B:$B,$E613,nonresidential!$C:$C,$D613))</f>
        <v>0</v>
      </c>
      <c r="I613">
        <f>1</f>
        <v>1</v>
      </c>
    </row>
    <row r="614" spans="1:9">
      <c r="A614" t="s">
        <v>211</v>
      </c>
      <c r="B614" t="s">
        <v>162</v>
      </c>
      <c r="C614" t="s">
        <v>269</v>
      </c>
      <c r="D614" t="s">
        <v>26</v>
      </c>
      <c r="E614" t="s">
        <v>10</v>
      </c>
      <c r="F614">
        <v>2048</v>
      </c>
      <c r="G614" s="55">
        <f>10^6*IF($E614="charcoal",params!$P$13*INDEX(BAU_Fuel_cons!$E$2:$AS$34,MATCH(D614&amp;"_"&amp;E614,BAU_Fuel_cons!$AT$2:$AT$34,0),MATCH(F614,BAU_Fuel_cons!$E$1:$AS$1,0)),INDEX(BAU_Fuel_cons!$E$2:$AS$34,MATCH(D614&amp;"_"&amp;E614,BAU_Fuel_cons!$AT$2:$AT$34,0),MATCH(F614,BAU_Fuel_cons!$E$1:$AS$1,0)))</f>
        <v>0</v>
      </c>
      <c r="H614" s="55">
        <f>G614+10^6*IF($E614="charcoal",params!$P$13*SUMIFS(nonresidential!$L:$L,nonresidential!$A:$A,$F614,nonresidential!$B:$B,$E614,nonresidential!$C:$C,$D614),SUMIFS(nonresidential!$L:$L,nonresidential!$A:$A,$F614,nonresidential!$B:$B,$E614,nonresidential!$C:$C,$D614))</f>
        <v>0</v>
      </c>
      <c r="I614">
        <f>1</f>
        <v>1</v>
      </c>
    </row>
    <row r="615" spans="1:9">
      <c r="A615" t="s">
        <v>211</v>
      </c>
      <c r="B615" t="s">
        <v>162</v>
      </c>
      <c r="C615" t="s">
        <v>269</v>
      </c>
      <c r="D615" t="s">
        <v>26</v>
      </c>
      <c r="E615" t="s">
        <v>10</v>
      </c>
      <c r="F615">
        <v>2049</v>
      </c>
      <c r="G615" s="55">
        <f>10^6*IF($E615="charcoal",params!$P$13*INDEX(BAU_Fuel_cons!$E$2:$AS$34,MATCH(D615&amp;"_"&amp;E615,BAU_Fuel_cons!$AT$2:$AT$34,0),MATCH(F615,BAU_Fuel_cons!$E$1:$AS$1,0)),INDEX(BAU_Fuel_cons!$E$2:$AS$34,MATCH(D615&amp;"_"&amp;E615,BAU_Fuel_cons!$AT$2:$AT$34,0),MATCH(F615,BAU_Fuel_cons!$E$1:$AS$1,0)))</f>
        <v>0</v>
      </c>
      <c r="H615" s="55">
        <f>G615+10^6*IF($E615="charcoal",params!$P$13*SUMIFS(nonresidential!$L:$L,nonresidential!$A:$A,$F615,nonresidential!$B:$B,$E615,nonresidential!$C:$C,$D615),SUMIFS(nonresidential!$L:$L,nonresidential!$A:$A,$F615,nonresidential!$B:$B,$E615,nonresidential!$C:$C,$D615))</f>
        <v>0</v>
      </c>
      <c r="I615">
        <f>1</f>
        <v>1</v>
      </c>
    </row>
    <row r="616" spans="1:9">
      <c r="A616" t="s">
        <v>211</v>
      </c>
      <c r="B616" t="s">
        <v>162</v>
      </c>
      <c r="C616" t="s">
        <v>269</v>
      </c>
      <c r="D616" t="s">
        <v>26</v>
      </c>
      <c r="E616" t="s">
        <v>10</v>
      </c>
      <c r="F616">
        <v>2050</v>
      </c>
      <c r="G616" s="55">
        <f>10^6*IF($E616="charcoal",params!$P$13*INDEX(BAU_Fuel_cons!$E$2:$AS$34,MATCH(D616&amp;"_"&amp;E616,BAU_Fuel_cons!$AT$2:$AT$34,0),MATCH(F616,BAU_Fuel_cons!$E$1:$AS$1,0)),INDEX(BAU_Fuel_cons!$E$2:$AS$34,MATCH(D616&amp;"_"&amp;E616,BAU_Fuel_cons!$AT$2:$AT$34,0),MATCH(F616,BAU_Fuel_cons!$E$1:$AS$1,0)))</f>
        <v>0</v>
      </c>
      <c r="H616" s="55">
        <f>G616+10^6*IF($E616="charcoal",params!$P$13*SUMIFS(nonresidential!$L:$L,nonresidential!$A:$A,$F616,nonresidential!$B:$B,$E616,nonresidential!$C:$C,$D616),SUMIFS(nonresidential!$L:$L,nonresidential!$A:$A,$F616,nonresidential!$B:$B,$E616,nonresidential!$C:$C,$D616))</f>
        <v>0</v>
      </c>
      <c r="I616">
        <f>1</f>
        <v>1</v>
      </c>
    </row>
    <row r="617" spans="1:9">
      <c r="A617" t="s">
        <v>211</v>
      </c>
      <c r="B617" t="s">
        <v>162</v>
      </c>
      <c r="C617" t="s">
        <v>269</v>
      </c>
      <c r="D617" t="s">
        <v>26</v>
      </c>
      <c r="E617" t="s">
        <v>43</v>
      </c>
      <c r="F617">
        <v>2010</v>
      </c>
      <c r="G617" s="55">
        <f>10^6*IF($E617="charcoal",params!$P$13*INDEX(BAU_Fuel_cons!$E$2:$AS$34,MATCH(D617&amp;"_"&amp;E617,BAU_Fuel_cons!$AT$2:$AT$34,0),MATCH(F617,BAU_Fuel_cons!$E$1:$AS$1,0)),INDEX(BAU_Fuel_cons!$E$2:$AS$34,MATCH(D617&amp;"_"&amp;E617,BAU_Fuel_cons!$AT$2:$AT$34,0),MATCH(F617,BAU_Fuel_cons!$E$1:$AS$1,0)))</f>
        <v>100.31991454441227</v>
      </c>
      <c r="H617" s="55">
        <f>G617+10^6*IF($E617="charcoal",params!$P$13*SUMIFS(nonresidential!$L:$L,nonresidential!$A:$A,$F617,nonresidential!$B:$B,$E617,nonresidential!$C:$C,$D617),SUMIFS(nonresidential!$L:$L,nonresidential!$A:$A,$F617,nonresidential!$B:$B,$E617,nonresidential!$C:$C,$D617))</f>
        <v>100.31991454441227</v>
      </c>
      <c r="I617">
        <f>1</f>
        <v>1</v>
      </c>
    </row>
    <row r="618" spans="1:9">
      <c r="A618" t="s">
        <v>211</v>
      </c>
      <c r="B618" t="s">
        <v>162</v>
      </c>
      <c r="C618" t="s">
        <v>269</v>
      </c>
      <c r="D618" t="s">
        <v>26</v>
      </c>
      <c r="E618" t="s">
        <v>43</v>
      </c>
      <c r="F618">
        <v>2011</v>
      </c>
      <c r="G618" s="55">
        <f>10^6*IF($E618="charcoal",params!$P$13*INDEX(BAU_Fuel_cons!$E$2:$AS$34,MATCH(D618&amp;"_"&amp;E618,BAU_Fuel_cons!$AT$2:$AT$34,0),MATCH(F618,BAU_Fuel_cons!$E$1:$AS$1,0)),INDEX(BAU_Fuel_cons!$E$2:$AS$34,MATCH(D618&amp;"_"&amp;E618,BAU_Fuel_cons!$AT$2:$AT$34,0),MATCH(F618,BAU_Fuel_cons!$E$1:$AS$1,0)))</f>
        <v>100.39493622897028</v>
      </c>
      <c r="H618" s="55">
        <f>G618+10^6*IF($E618="charcoal",params!$P$13*SUMIFS(nonresidential!$L:$L,nonresidential!$A:$A,$F618,nonresidential!$B:$B,$E618,nonresidential!$C:$C,$D618),SUMIFS(nonresidential!$L:$L,nonresidential!$A:$A,$F618,nonresidential!$B:$B,$E618,nonresidential!$C:$C,$D618))</f>
        <v>100.39493622897028</v>
      </c>
      <c r="I618">
        <f>1</f>
        <v>1</v>
      </c>
    </row>
    <row r="619" spans="1:9">
      <c r="A619" t="s">
        <v>211</v>
      </c>
      <c r="B619" t="s">
        <v>162</v>
      </c>
      <c r="C619" t="s">
        <v>269</v>
      </c>
      <c r="D619" t="s">
        <v>26</v>
      </c>
      <c r="E619" t="s">
        <v>43</v>
      </c>
      <c r="F619">
        <v>2012</v>
      </c>
      <c r="G619" s="55">
        <f>10^6*IF($E619="charcoal",params!$P$13*INDEX(BAU_Fuel_cons!$E$2:$AS$34,MATCH(D619&amp;"_"&amp;E619,BAU_Fuel_cons!$AT$2:$AT$34,0),MATCH(F619,BAU_Fuel_cons!$E$1:$AS$1,0)),INDEX(BAU_Fuel_cons!$E$2:$AS$34,MATCH(D619&amp;"_"&amp;E619,BAU_Fuel_cons!$AT$2:$AT$34,0),MATCH(F619,BAU_Fuel_cons!$E$1:$AS$1,0)))</f>
        <v>100.34564452308554</v>
      </c>
      <c r="H619" s="55">
        <f>G619+10^6*IF($E619="charcoal",params!$P$13*SUMIFS(nonresidential!$L:$L,nonresidential!$A:$A,$F619,nonresidential!$B:$B,$E619,nonresidential!$C:$C,$D619),SUMIFS(nonresidential!$L:$L,nonresidential!$A:$A,$F619,nonresidential!$B:$B,$E619,nonresidential!$C:$C,$D619))</f>
        <v>100.34564452308554</v>
      </c>
      <c r="I619">
        <f>1</f>
        <v>1</v>
      </c>
    </row>
    <row r="620" spans="1:9">
      <c r="A620" t="s">
        <v>211</v>
      </c>
      <c r="B620" t="s">
        <v>162</v>
      </c>
      <c r="C620" t="s">
        <v>269</v>
      </c>
      <c r="D620" t="s">
        <v>26</v>
      </c>
      <c r="E620" t="s">
        <v>43</v>
      </c>
      <c r="F620">
        <v>2013</v>
      </c>
      <c r="G620" s="55">
        <f>10^6*IF($E620="charcoal",params!$P$13*INDEX(BAU_Fuel_cons!$E$2:$AS$34,MATCH(D620&amp;"_"&amp;E620,BAU_Fuel_cons!$AT$2:$AT$34,0),MATCH(F620,BAU_Fuel_cons!$E$1:$AS$1,0)),INDEX(BAU_Fuel_cons!$E$2:$AS$34,MATCH(D620&amp;"_"&amp;E620,BAU_Fuel_cons!$AT$2:$AT$34,0),MATCH(F620,BAU_Fuel_cons!$E$1:$AS$1,0)))</f>
        <v>100.17330070672485</v>
      </c>
      <c r="H620" s="55">
        <f>G620+10^6*IF($E620="charcoal",params!$P$13*SUMIFS(nonresidential!$L:$L,nonresidential!$A:$A,$F620,nonresidential!$B:$B,$E620,nonresidential!$C:$C,$D620),SUMIFS(nonresidential!$L:$L,nonresidential!$A:$A,$F620,nonresidential!$B:$B,$E620,nonresidential!$C:$C,$D620))</f>
        <v>100.17330070672485</v>
      </c>
      <c r="I620">
        <f>1</f>
        <v>1</v>
      </c>
    </row>
    <row r="621" spans="1:9">
      <c r="A621" t="s">
        <v>211</v>
      </c>
      <c r="B621" t="s">
        <v>162</v>
      </c>
      <c r="C621" t="s">
        <v>269</v>
      </c>
      <c r="D621" t="s">
        <v>26</v>
      </c>
      <c r="E621" t="s">
        <v>43</v>
      </c>
      <c r="F621">
        <v>2014</v>
      </c>
      <c r="G621" s="55">
        <f>10^6*IF($E621="charcoal",params!$P$13*INDEX(BAU_Fuel_cons!$E$2:$AS$34,MATCH(D621&amp;"_"&amp;E621,BAU_Fuel_cons!$AT$2:$AT$34,0),MATCH(F621,BAU_Fuel_cons!$E$1:$AS$1,0)),INDEX(BAU_Fuel_cons!$E$2:$AS$34,MATCH(D621&amp;"_"&amp;E621,BAU_Fuel_cons!$AT$2:$AT$34,0),MATCH(F621,BAU_Fuel_cons!$E$1:$AS$1,0)))</f>
        <v>99.882616196533363</v>
      </c>
      <c r="H621" s="55">
        <f>G621+10^6*IF($E621="charcoal",params!$P$13*SUMIFS(nonresidential!$L:$L,nonresidential!$A:$A,$F621,nonresidential!$B:$B,$E621,nonresidential!$C:$C,$D621),SUMIFS(nonresidential!$L:$L,nonresidential!$A:$A,$F621,nonresidential!$B:$B,$E621,nonresidential!$C:$C,$D621))</f>
        <v>99.882616196533363</v>
      </c>
      <c r="I621">
        <f>1</f>
        <v>1</v>
      </c>
    </row>
    <row r="622" spans="1:9">
      <c r="A622" t="s">
        <v>211</v>
      </c>
      <c r="B622" t="s">
        <v>162</v>
      </c>
      <c r="C622" t="s">
        <v>269</v>
      </c>
      <c r="D622" t="s">
        <v>26</v>
      </c>
      <c r="E622" t="s">
        <v>43</v>
      </c>
      <c r="F622">
        <v>2015</v>
      </c>
      <c r="G622" s="55">
        <f>10^6*IF($E622="charcoal",params!$P$13*INDEX(BAU_Fuel_cons!$E$2:$AS$34,MATCH(D622&amp;"_"&amp;E622,BAU_Fuel_cons!$AT$2:$AT$34,0),MATCH(F622,BAU_Fuel_cons!$E$1:$AS$1,0)),INDEX(BAU_Fuel_cons!$E$2:$AS$34,MATCH(D622&amp;"_"&amp;E622,BAU_Fuel_cons!$AT$2:$AT$34,0),MATCH(F622,BAU_Fuel_cons!$E$1:$AS$1,0)))</f>
        <v>99.474507148452417</v>
      </c>
      <c r="H622" s="55">
        <f>G622+10^6*IF($E622="charcoal",params!$P$13*SUMIFS(nonresidential!$L:$L,nonresidential!$A:$A,$F622,nonresidential!$B:$B,$E622,nonresidential!$C:$C,$D622),SUMIFS(nonresidential!$L:$L,nonresidential!$A:$A,$F622,nonresidential!$B:$B,$E622,nonresidential!$C:$C,$D622))</f>
        <v>99.474507148452417</v>
      </c>
      <c r="I622">
        <f>1</f>
        <v>1</v>
      </c>
    </row>
    <row r="623" spans="1:9">
      <c r="A623" t="s">
        <v>211</v>
      </c>
      <c r="B623" t="s">
        <v>162</v>
      </c>
      <c r="C623" t="s">
        <v>269</v>
      </c>
      <c r="D623" t="s">
        <v>26</v>
      </c>
      <c r="E623" t="s">
        <v>43</v>
      </c>
      <c r="F623">
        <v>2016</v>
      </c>
      <c r="G623" s="55">
        <f>10^6*IF($E623="charcoal",params!$P$13*INDEX(BAU_Fuel_cons!$E$2:$AS$34,MATCH(D623&amp;"_"&amp;E623,BAU_Fuel_cons!$AT$2:$AT$34,0),MATCH(F623,BAU_Fuel_cons!$E$1:$AS$1,0)),INDEX(BAU_Fuel_cons!$E$2:$AS$34,MATCH(D623&amp;"_"&amp;E623,BAU_Fuel_cons!$AT$2:$AT$34,0),MATCH(F623,BAU_Fuel_cons!$E$1:$AS$1,0)))</f>
        <v>98.943028844590287</v>
      </c>
      <c r="H623" s="55">
        <f>G623+10^6*IF($E623="charcoal",params!$P$13*SUMIFS(nonresidential!$L:$L,nonresidential!$A:$A,$F623,nonresidential!$B:$B,$E623,nonresidential!$C:$C,$D623),SUMIFS(nonresidential!$L:$L,nonresidential!$A:$A,$F623,nonresidential!$B:$B,$E623,nonresidential!$C:$C,$D623))</f>
        <v>98.943028844590287</v>
      </c>
      <c r="I623">
        <f>1</f>
        <v>1</v>
      </c>
    </row>
    <row r="624" spans="1:9">
      <c r="A624" t="s">
        <v>211</v>
      </c>
      <c r="B624" t="s">
        <v>162</v>
      </c>
      <c r="C624" t="s">
        <v>269</v>
      </c>
      <c r="D624" t="s">
        <v>26</v>
      </c>
      <c r="E624" t="s">
        <v>43</v>
      </c>
      <c r="F624">
        <v>2017</v>
      </c>
      <c r="G624" s="55">
        <f>10^6*IF($E624="charcoal",params!$P$13*INDEX(BAU_Fuel_cons!$E$2:$AS$34,MATCH(D624&amp;"_"&amp;E624,BAU_Fuel_cons!$AT$2:$AT$34,0),MATCH(F624,BAU_Fuel_cons!$E$1:$AS$1,0)),INDEX(BAU_Fuel_cons!$E$2:$AS$34,MATCH(D624&amp;"_"&amp;E624,BAU_Fuel_cons!$AT$2:$AT$34,0),MATCH(F624,BAU_Fuel_cons!$E$1:$AS$1,0)))</f>
        <v>98.278275363376906</v>
      </c>
      <c r="H624" s="55">
        <f>G624+10^6*IF($E624="charcoal",params!$P$13*SUMIFS(nonresidential!$L:$L,nonresidential!$A:$A,$F624,nonresidential!$B:$B,$E624,nonresidential!$C:$C,$D624),SUMIFS(nonresidential!$L:$L,nonresidential!$A:$A,$F624,nonresidential!$B:$B,$E624,nonresidential!$C:$C,$D624))</f>
        <v>98.278275363376906</v>
      </c>
      <c r="I624">
        <f>1</f>
        <v>1</v>
      </c>
    </row>
    <row r="625" spans="1:9">
      <c r="A625" t="s">
        <v>211</v>
      </c>
      <c r="B625" t="s">
        <v>162</v>
      </c>
      <c r="C625" t="s">
        <v>269</v>
      </c>
      <c r="D625" t="s">
        <v>26</v>
      </c>
      <c r="E625" t="s">
        <v>43</v>
      </c>
      <c r="F625">
        <v>2018</v>
      </c>
      <c r="G625" s="55">
        <f>10^6*IF($E625="charcoal",params!$P$13*INDEX(BAU_Fuel_cons!$E$2:$AS$34,MATCH(D625&amp;"_"&amp;E625,BAU_Fuel_cons!$AT$2:$AT$34,0),MATCH(F625,BAU_Fuel_cons!$E$1:$AS$1,0)),INDEX(BAU_Fuel_cons!$E$2:$AS$34,MATCH(D625&amp;"_"&amp;E625,BAU_Fuel_cons!$AT$2:$AT$34,0),MATCH(F625,BAU_Fuel_cons!$E$1:$AS$1,0)))</f>
        <v>97.471880592980412</v>
      </c>
      <c r="H625" s="55">
        <f>G625+10^6*IF($E625="charcoal",params!$P$13*SUMIFS(nonresidential!$L:$L,nonresidential!$A:$A,$F625,nonresidential!$B:$B,$E625,nonresidential!$C:$C,$D625),SUMIFS(nonresidential!$L:$L,nonresidential!$A:$A,$F625,nonresidential!$B:$B,$E625,nonresidential!$C:$C,$D625))</f>
        <v>97.471880592980412</v>
      </c>
      <c r="I625">
        <f>1</f>
        <v>1</v>
      </c>
    </row>
    <row r="626" spans="1:9">
      <c r="A626" t="s">
        <v>211</v>
      </c>
      <c r="B626" t="s">
        <v>162</v>
      </c>
      <c r="C626" t="s">
        <v>269</v>
      </c>
      <c r="D626" t="s">
        <v>26</v>
      </c>
      <c r="E626" t="s">
        <v>43</v>
      </c>
      <c r="F626">
        <v>2019</v>
      </c>
      <c r="G626" s="55">
        <f>10^6*IF($E626="charcoal",params!$P$13*INDEX(BAU_Fuel_cons!$E$2:$AS$34,MATCH(D626&amp;"_"&amp;E626,BAU_Fuel_cons!$AT$2:$AT$34,0),MATCH(F626,BAU_Fuel_cons!$E$1:$AS$1,0)),INDEX(BAU_Fuel_cons!$E$2:$AS$34,MATCH(D626&amp;"_"&amp;E626,BAU_Fuel_cons!$AT$2:$AT$34,0),MATCH(F626,BAU_Fuel_cons!$E$1:$AS$1,0)))</f>
        <v>96.514854586731161</v>
      </c>
      <c r="H626" s="55">
        <f>G626+10^6*IF($E626="charcoal",params!$P$13*SUMIFS(nonresidential!$L:$L,nonresidential!$A:$A,$F626,nonresidential!$B:$B,$E626,nonresidential!$C:$C,$D626),SUMIFS(nonresidential!$L:$L,nonresidential!$A:$A,$F626,nonresidential!$B:$B,$E626,nonresidential!$C:$C,$D626))</f>
        <v>96.514854586731161</v>
      </c>
      <c r="I626">
        <f>1</f>
        <v>1</v>
      </c>
    </row>
    <row r="627" spans="1:9">
      <c r="A627" t="s">
        <v>211</v>
      </c>
      <c r="B627" t="s">
        <v>162</v>
      </c>
      <c r="C627" t="s">
        <v>269</v>
      </c>
      <c r="D627" t="s">
        <v>26</v>
      </c>
      <c r="E627" t="s">
        <v>43</v>
      </c>
      <c r="F627">
        <v>2020</v>
      </c>
      <c r="G627" s="55">
        <f>10^6*IF($E627="charcoal",params!$P$13*INDEX(BAU_Fuel_cons!$E$2:$AS$34,MATCH(D627&amp;"_"&amp;E627,BAU_Fuel_cons!$AT$2:$AT$34,0),MATCH(F627,BAU_Fuel_cons!$E$1:$AS$1,0)),INDEX(BAU_Fuel_cons!$E$2:$AS$34,MATCH(D627&amp;"_"&amp;E627,BAU_Fuel_cons!$AT$2:$AT$34,0),MATCH(F627,BAU_Fuel_cons!$E$1:$AS$1,0)))</f>
        <v>95.400108611729223</v>
      </c>
      <c r="H627" s="55">
        <f>G627+10^6*IF($E627="charcoal",params!$P$13*SUMIFS(nonresidential!$L:$L,nonresidential!$A:$A,$F627,nonresidential!$B:$B,$E627,nonresidential!$C:$C,$D627),SUMIFS(nonresidential!$L:$L,nonresidential!$A:$A,$F627,nonresidential!$B:$B,$E627,nonresidential!$C:$C,$D627))</f>
        <v>95.400108611729223</v>
      </c>
      <c r="I627">
        <f>1</f>
        <v>1</v>
      </c>
    </row>
    <row r="628" spans="1:9">
      <c r="A628" t="s">
        <v>211</v>
      </c>
      <c r="B628" t="s">
        <v>162</v>
      </c>
      <c r="C628" t="s">
        <v>269</v>
      </c>
      <c r="D628" t="s">
        <v>26</v>
      </c>
      <c r="E628" t="s">
        <v>43</v>
      </c>
      <c r="F628">
        <v>2021</v>
      </c>
      <c r="G628" s="55">
        <f>10^6*IF($E628="charcoal",params!$P$13*INDEX(BAU_Fuel_cons!$E$2:$AS$34,MATCH(D628&amp;"_"&amp;E628,BAU_Fuel_cons!$AT$2:$AT$34,0),MATCH(F628,BAU_Fuel_cons!$E$1:$AS$1,0)),INDEX(BAU_Fuel_cons!$E$2:$AS$34,MATCH(D628&amp;"_"&amp;E628,BAU_Fuel_cons!$AT$2:$AT$34,0),MATCH(F628,BAU_Fuel_cons!$E$1:$AS$1,0)))</f>
        <v>94.121464930595039</v>
      </c>
      <c r="H628" s="55">
        <f>G628+10^6*IF($E628="charcoal",params!$P$13*SUMIFS(nonresidential!$L:$L,nonresidential!$A:$A,$F628,nonresidential!$B:$B,$E628,nonresidential!$C:$C,$D628),SUMIFS(nonresidential!$L:$L,nonresidential!$A:$A,$F628,nonresidential!$B:$B,$E628,nonresidential!$C:$C,$D628))</f>
        <v>94.121464930595039</v>
      </c>
      <c r="I628">
        <f>1</f>
        <v>1</v>
      </c>
    </row>
    <row r="629" spans="1:9">
      <c r="A629" t="s">
        <v>211</v>
      </c>
      <c r="B629" t="s">
        <v>162</v>
      </c>
      <c r="C629" t="s">
        <v>269</v>
      </c>
      <c r="D629" t="s">
        <v>26</v>
      </c>
      <c r="E629" t="s">
        <v>43</v>
      </c>
      <c r="F629">
        <v>2022</v>
      </c>
      <c r="G629" s="55">
        <f>10^6*IF($E629="charcoal",params!$P$13*INDEX(BAU_Fuel_cons!$E$2:$AS$34,MATCH(D629&amp;"_"&amp;E629,BAU_Fuel_cons!$AT$2:$AT$34,0),MATCH(F629,BAU_Fuel_cons!$E$1:$AS$1,0)),INDEX(BAU_Fuel_cons!$E$2:$AS$34,MATCH(D629&amp;"_"&amp;E629,BAU_Fuel_cons!$AT$2:$AT$34,0),MATCH(F629,BAU_Fuel_cons!$E$1:$AS$1,0)))</f>
        <v>92.675901728729698</v>
      </c>
      <c r="H629" s="55">
        <f>G629+10^6*IF($E629="charcoal",params!$P$13*SUMIFS(nonresidential!$L:$L,nonresidential!$A:$A,$F629,nonresidential!$B:$B,$E629,nonresidential!$C:$C,$D629),SUMIFS(nonresidential!$L:$L,nonresidential!$A:$A,$F629,nonresidential!$B:$B,$E629,nonresidential!$C:$C,$D629))</f>
        <v>92.675901728729698</v>
      </c>
      <c r="I629">
        <f>1</f>
        <v>1</v>
      </c>
    </row>
    <row r="630" spans="1:9">
      <c r="A630" t="s">
        <v>211</v>
      </c>
      <c r="B630" t="s">
        <v>162</v>
      </c>
      <c r="C630" t="s">
        <v>269</v>
      </c>
      <c r="D630" t="s">
        <v>26</v>
      </c>
      <c r="E630" t="s">
        <v>43</v>
      </c>
      <c r="F630">
        <v>2023</v>
      </c>
      <c r="G630" s="55">
        <f>10^6*IF($E630="charcoal",params!$P$13*INDEX(BAU_Fuel_cons!$E$2:$AS$34,MATCH(D630&amp;"_"&amp;E630,BAU_Fuel_cons!$AT$2:$AT$34,0),MATCH(F630,BAU_Fuel_cons!$E$1:$AS$1,0)),INDEX(BAU_Fuel_cons!$E$2:$AS$34,MATCH(D630&amp;"_"&amp;E630,BAU_Fuel_cons!$AT$2:$AT$34,0),MATCH(F630,BAU_Fuel_cons!$E$1:$AS$1,0)))</f>
        <v>91.062611909909748</v>
      </c>
      <c r="H630" s="55">
        <f>G630+10^6*IF($E630="charcoal",params!$P$13*SUMIFS(nonresidential!$L:$L,nonresidential!$A:$A,$F630,nonresidential!$B:$B,$E630,nonresidential!$C:$C,$D630),SUMIFS(nonresidential!$L:$L,nonresidential!$A:$A,$F630,nonresidential!$B:$B,$E630,nonresidential!$C:$C,$D630))</f>
        <v>91.062611909909748</v>
      </c>
      <c r="I630">
        <f>1</f>
        <v>1</v>
      </c>
    </row>
    <row r="631" spans="1:9">
      <c r="A631" t="s">
        <v>211</v>
      </c>
      <c r="B631" t="s">
        <v>162</v>
      </c>
      <c r="C631" t="s">
        <v>269</v>
      </c>
      <c r="D631" t="s">
        <v>26</v>
      </c>
      <c r="E631" t="s">
        <v>43</v>
      </c>
      <c r="F631">
        <v>2024</v>
      </c>
      <c r="G631" s="55">
        <f>10^6*IF($E631="charcoal",params!$P$13*INDEX(BAU_Fuel_cons!$E$2:$AS$34,MATCH(D631&amp;"_"&amp;E631,BAU_Fuel_cons!$AT$2:$AT$34,0),MATCH(F631,BAU_Fuel_cons!$E$1:$AS$1,0)),INDEX(BAU_Fuel_cons!$E$2:$AS$34,MATCH(D631&amp;"_"&amp;E631,BAU_Fuel_cons!$AT$2:$AT$34,0),MATCH(F631,BAU_Fuel_cons!$E$1:$AS$1,0)))</f>
        <v>89.281783486019862</v>
      </c>
      <c r="H631" s="55">
        <f>G631+10^6*IF($E631="charcoal",params!$P$13*SUMIFS(nonresidential!$L:$L,nonresidential!$A:$A,$F631,nonresidential!$B:$B,$E631,nonresidential!$C:$C,$D631),SUMIFS(nonresidential!$L:$L,nonresidential!$A:$A,$F631,nonresidential!$B:$B,$E631,nonresidential!$C:$C,$D631))</f>
        <v>89.281783486019862</v>
      </c>
      <c r="I631">
        <f>1</f>
        <v>1</v>
      </c>
    </row>
    <row r="632" spans="1:9">
      <c r="A632" t="s">
        <v>211</v>
      </c>
      <c r="B632" t="s">
        <v>162</v>
      </c>
      <c r="C632" t="s">
        <v>269</v>
      </c>
      <c r="D632" t="s">
        <v>26</v>
      </c>
      <c r="E632" t="s">
        <v>43</v>
      </c>
      <c r="F632">
        <v>2025</v>
      </c>
      <c r="G632" s="55">
        <f>10^6*IF($E632="charcoal",params!$P$13*INDEX(BAU_Fuel_cons!$E$2:$AS$34,MATCH(D632&amp;"_"&amp;E632,BAU_Fuel_cons!$AT$2:$AT$34,0),MATCH(F632,BAU_Fuel_cons!$E$1:$AS$1,0)),INDEX(BAU_Fuel_cons!$E$2:$AS$34,MATCH(D632&amp;"_"&amp;E632,BAU_Fuel_cons!$AT$2:$AT$34,0),MATCH(F632,BAU_Fuel_cons!$E$1:$AS$1,0)))</f>
        <v>87.847875400583959</v>
      </c>
      <c r="H632" s="55">
        <f>G632+10^6*IF($E632="charcoal",params!$P$13*SUMIFS(nonresidential!$L:$L,nonresidential!$A:$A,$F632,nonresidential!$B:$B,$E632,nonresidential!$C:$C,$D632),SUMIFS(nonresidential!$L:$L,nonresidential!$A:$A,$F632,nonresidential!$B:$B,$E632,nonresidential!$C:$C,$D632))</f>
        <v>87.847875400583959</v>
      </c>
      <c r="I632">
        <f>1</f>
        <v>1</v>
      </c>
    </row>
    <row r="633" spans="1:9">
      <c r="A633" t="s">
        <v>211</v>
      </c>
      <c r="B633" t="s">
        <v>162</v>
      </c>
      <c r="C633" t="s">
        <v>269</v>
      </c>
      <c r="D633" t="s">
        <v>26</v>
      </c>
      <c r="E633" t="s">
        <v>43</v>
      </c>
      <c r="F633">
        <v>2026</v>
      </c>
      <c r="G633" s="55">
        <f>10^6*IF($E633="charcoal",params!$P$13*INDEX(BAU_Fuel_cons!$E$2:$AS$34,MATCH(D633&amp;"_"&amp;E633,BAU_Fuel_cons!$AT$2:$AT$34,0),MATCH(F633,BAU_Fuel_cons!$E$1:$AS$1,0)),INDEX(BAU_Fuel_cons!$E$2:$AS$34,MATCH(D633&amp;"_"&amp;E633,BAU_Fuel_cons!$AT$2:$AT$34,0),MATCH(F633,BAU_Fuel_cons!$E$1:$AS$1,0)))</f>
        <v>86.264522996059185</v>
      </c>
      <c r="H633" s="55">
        <f>G633+10^6*IF($E633="charcoal",params!$P$13*SUMIFS(nonresidential!$L:$L,nonresidential!$A:$A,$F633,nonresidential!$B:$B,$E633,nonresidential!$C:$C,$D633),SUMIFS(nonresidential!$L:$L,nonresidential!$A:$A,$F633,nonresidential!$B:$B,$E633,nonresidential!$C:$C,$D633))</f>
        <v>86.264522996059185</v>
      </c>
      <c r="I633">
        <f>1</f>
        <v>1</v>
      </c>
    </row>
    <row r="634" spans="1:9">
      <c r="A634" t="s">
        <v>211</v>
      </c>
      <c r="B634" t="s">
        <v>162</v>
      </c>
      <c r="C634" t="s">
        <v>269</v>
      </c>
      <c r="D634" t="s">
        <v>26</v>
      </c>
      <c r="E634" t="s">
        <v>43</v>
      </c>
      <c r="F634">
        <v>2027</v>
      </c>
      <c r="G634" s="55">
        <f>10^6*IF($E634="charcoal",params!$P$13*INDEX(BAU_Fuel_cons!$E$2:$AS$34,MATCH(D634&amp;"_"&amp;E634,BAU_Fuel_cons!$AT$2:$AT$34,0),MATCH(F634,BAU_Fuel_cons!$E$1:$AS$1,0)),INDEX(BAU_Fuel_cons!$E$2:$AS$34,MATCH(D634&amp;"_"&amp;E634,BAU_Fuel_cons!$AT$2:$AT$34,0),MATCH(F634,BAU_Fuel_cons!$E$1:$AS$1,0)))</f>
        <v>84.525836818218366</v>
      </c>
      <c r="H634" s="55">
        <f>G634+10^6*IF($E634="charcoal",params!$P$13*SUMIFS(nonresidential!$L:$L,nonresidential!$A:$A,$F634,nonresidential!$B:$B,$E634,nonresidential!$C:$C,$D634),SUMIFS(nonresidential!$L:$L,nonresidential!$A:$A,$F634,nonresidential!$B:$B,$E634,nonresidential!$C:$C,$D634))</f>
        <v>84.525836818218366</v>
      </c>
      <c r="I634">
        <f>1</f>
        <v>1</v>
      </c>
    </row>
    <row r="635" spans="1:9">
      <c r="A635" t="s">
        <v>211</v>
      </c>
      <c r="B635" t="s">
        <v>162</v>
      </c>
      <c r="C635" t="s">
        <v>269</v>
      </c>
      <c r="D635" t="s">
        <v>26</v>
      </c>
      <c r="E635" t="s">
        <v>43</v>
      </c>
      <c r="F635">
        <v>2028</v>
      </c>
      <c r="G635" s="55">
        <f>10^6*IF($E635="charcoal",params!$P$13*INDEX(BAU_Fuel_cons!$E$2:$AS$34,MATCH(D635&amp;"_"&amp;E635,BAU_Fuel_cons!$AT$2:$AT$34,0),MATCH(F635,BAU_Fuel_cons!$E$1:$AS$1,0)),INDEX(BAU_Fuel_cons!$E$2:$AS$34,MATCH(D635&amp;"_"&amp;E635,BAU_Fuel_cons!$AT$2:$AT$34,0),MATCH(F635,BAU_Fuel_cons!$E$1:$AS$1,0)))</f>
        <v>82.62500154675736</v>
      </c>
      <c r="H635" s="55">
        <f>G635+10^6*IF($E635="charcoal",params!$P$13*SUMIFS(nonresidential!$L:$L,nonresidential!$A:$A,$F635,nonresidential!$B:$B,$E635,nonresidential!$C:$C,$D635),SUMIFS(nonresidential!$L:$L,nonresidential!$A:$A,$F635,nonresidential!$B:$B,$E635,nonresidential!$C:$C,$D635))</f>
        <v>82.62500154675736</v>
      </c>
      <c r="I635">
        <f>1</f>
        <v>1</v>
      </c>
    </row>
    <row r="636" spans="1:9">
      <c r="A636" t="s">
        <v>211</v>
      </c>
      <c r="B636" t="s">
        <v>162</v>
      </c>
      <c r="C636" t="s">
        <v>269</v>
      </c>
      <c r="D636" t="s">
        <v>26</v>
      </c>
      <c r="E636" t="s">
        <v>43</v>
      </c>
      <c r="F636">
        <v>2029</v>
      </c>
      <c r="G636" s="55">
        <f>10^6*IF($E636="charcoal",params!$P$13*INDEX(BAU_Fuel_cons!$E$2:$AS$34,MATCH(D636&amp;"_"&amp;E636,BAU_Fuel_cons!$AT$2:$AT$34,0),MATCH(F636,BAU_Fuel_cons!$E$1:$AS$1,0)),INDEX(BAU_Fuel_cons!$E$2:$AS$34,MATCH(D636&amp;"_"&amp;E636,BAU_Fuel_cons!$AT$2:$AT$34,0),MATCH(F636,BAU_Fuel_cons!$E$1:$AS$1,0)))</f>
        <v>80.555202792452107</v>
      </c>
      <c r="H636" s="55">
        <f>G636+10^6*IF($E636="charcoal",params!$P$13*SUMIFS(nonresidential!$L:$L,nonresidential!$A:$A,$F636,nonresidential!$B:$B,$E636,nonresidential!$C:$C,$D636),SUMIFS(nonresidential!$L:$L,nonresidential!$A:$A,$F636,nonresidential!$B:$B,$E636,nonresidential!$C:$C,$D636))</f>
        <v>80.555202792452107</v>
      </c>
      <c r="I636">
        <f>1</f>
        <v>1</v>
      </c>
    </row>
    <row r="637" spans="1:9">
      <c r="A637" t="s">
        <v>211</v>
      </c>
      <c r="B637" t="s">
        <v>162</v>
      </c>
      <c r="C637" t="s">
        <v>269</v>
      </c>
      <c r="D637" t="s">
        <v>26</v>
      </c>
      <c r="E637" t="s">
        <v>43</v>
      </c>
      <c r="F637">
        <v>2030</v>
      </c>
      <c r="G637" s="55">
        <f>10^6*IF($E637="charcoal",params!$P$13*INDEX(BAU_Fuel_cons!$E$2:$AS$34,MATCH(D637&amp;"_"&amp;E637,BAU_Fuel_cons!$AT$2:$AT$34,0),MATCH(F637,BAU_Fuel_cons!$E$1:$AS$1,0)),INDEX(BAU_Fuel_cons!$E$2:$AS$34,MATCH(D637&amp;"_"&amp;E637,BAU_Fuel_cons!$AT$2:$AT$34,0),MATCH(F637,BAU_Fuel_cons!$E$1:$AS$1,0)))</f>
        <v>78.311745304444727</v>
      </c>
      <c r="H637" s="55">
        <f>G637+10^6*IF($E637="charcoal",params!$P$13*SUMIFS(nonresidential!$L:$L,nonresidential!$A:$A,$F637,nonresidential!$B:$B,$E637,nonresidential!$C:$C,$D637),SUMIFS(nonresidential!$L:$L,nonresidential!$A:$A,$F637,nonresidential!$B:$B,$E637,nonresidential!$C:$C,$D637))</f>
        <v>78.311745304444727</v>
      </c>
      <c r="I637">
        <f>1</f>
        <v>1</v>
      </c>
    </row>
    <row r="638" spans="1:9">
      <c r="A638" t="s">
        <v>211</v>
      </c>
      <c r="B638" t="s">
        <v>162</v>
      </c>
      <c r="C638" t="s">
        <v>269</v>
      </c>
      <c r="D638" t="s">
        <v>26</v>
      </c>
      <c r="E638" t="s">
        <v>43</v>
      </c>
      <c r="F638">
        <v>2031</v>
      </c>
      <c r="G638" s="55">
        <f>10^6*IF($E638="charcoal",params!$P$13*INDEX(BAU_Fuel_cons!$E$2:$AS$34,MATCH(D638&amp;"_"&amp;E638,BAU_Fuel_cons!$AT$2:$AT$34,0),MATCH(F638,BAU_Fuel_cons!$E$1:$AS$1,0)),INDEX(BAU_Fuel_cons!$E$2:$AS$34,MATCH(D638&amp;"_"&amp;E638,BAU_Fuel_cons!$AT$2:$AT$34,0),MATCH(F638,BAU_Fuel_cons!$E$1:$AS$1,0)))</f>
        <v>75.892995595762656</v>
      </c>
      <c r="H638" s="55">
        <f>G638+10^6*IF($E638="charcoal",params!$P$13*SUMIFS(nonresidential!$L:$L,nonresidential!$A:$A,$F638,nonresidential!$B:$B,$E638,nonresidential!$C:$C,$D638),SUMIFS(nonresidential!$L:$L,nonresidential!$A:$A,$F638,nonresidential!$B:$B,$E638,nonresidential!$C:$C,$D638))</f>
        <v>75.892995595762656</v>
      </c>
      <c r="I638">
        <f>1</f>
        <v>1</v>
      </c>
    </row>
    <row r="639" spans="1:9">
      <c r="A639" t="s">
        <v>211</v>
      </c>
      <c r="B639" t="s">
        <v>162</v>
      </c>
      <c r="C639" t="s">
        <v>269</v>
      </c>
      <c r="D639" t="s">
        <v>26</v>
      </c>
      <c r="E639" t="s">
        <v>43</v>
      </c>
      <c r="F639">
        <v>2032</v>
      </c>
      <c r="G639" s="55">
        <f>10^6*IF($E639="charcoal",params!$P$13*INDEX(BAU_Fuel_cons!$E$2:$AS$34,MATCH(D639&amp;"_"&amp;E639,BAU_Fuel_cons!$AT$2:$AT$34,0),MATCH(F639,BAU_Fuel_cons!$E$1:$AS$1,0)),INDEX(BAU_Fuel_cons!$E$2:$AS$34,MATCH(D639&amp;"_"&amp;E639,BAU_Fuel_cons!$AT$2:$AT$34,0),MATCH(F639,BAU_Fuel_cons!$E$1:$AS$1,0)))</f>
        <v>73.299331312504876</v>
      </c>
      <c r="H639" s="55">
        <f>G639+10^6*IF($E639="charcoal",params!$P$13*SUMIFS(nonresidential!$L:$L,nonresidential!$A:$A,$F639,nonresidential!$B:$B,$E639,nonresidential!$C:$C,$D639),SUMIFS(nonresidential!$L:$L,nonresidential!$A:$A,$F639,nonresidential!$B:$B,$E639,nonresidential!$C:$C,$D639))</f>
        <v>73.299331312504876</v>
      </c>
      <c r="I639">
        <f>1</f>
        <v>1</v>
      </c>
    </row>
    <row r="640" spans="1:9">
      <c r="A640" t="s">
        <v>211</v>
      </c>
      <c r="B640" t="s">
        <v>162</v>
      </c>
      <c r="C640" t="s">
        <v>269</v>
      </c>
      <c r="D640" t="s">
        <v>26</v>
      </c>
      <c r="E640" t="s">
        <v>43</v>
      </c>
      <c r="F640">
        <v>2033</v>
      </c>
      <c r="G640" s="55">
        <f>10^6*IF($E640="charcoal",params!$P$13*INDEX(BAU_Fuel_cons!$E$2:$AS$34,MATCH(D640&amp;"_"&amp;E640,BAU_Fuel_cons!$AT$2:$AT$34,0),MATCH(F640,BAU_Fuel_cons!$E$1:$AS$1,0)),INDEX(BAU_Fuel_cons!$E$2:$AS$34,MATCH(D640&amp;"_"&amp;E640,BAU_Fuel_cons!$AT$2:$AT$34,0),MATCH(F640,BAU_Fuel_cons!$E$1:$AS$1,0)))</f>
        <v>70.531590054352492</v>
      </c>
      <c r="H640" s="55">
        <f>G640+10^6*IF($E640="charcoal",params!$P$13*SUMIFS(nonresidential!$L:$L,nonresidential!$A:$A,$F640,nonresidential!$B:$B,$E640,nonresidential!$C:$C,$D640),SUMIFS(nonresidential!$L:$L,nonresidential!$A:$A,$F640,nonresidential!$B:$B,$E640,nonresidential!$C:$C,$D640))</f>
        <v>70.531590054352492</v>
      </c>
      <c r="I640">
        <f>1</f>
        <v>1</v>
      </c>
    </row>
    <row r="641" spans="1:9">
      <c r="A641" t="s">
        <v>211</v>
      </c>
      <c r="B641" t="s">
        <v>162</v>
      </c>
      <c r="C641" t="s">
        <v>269</v>
      </c>
      <c r="D641" t="s">
        <v>26</v>
      </c>
      <c r="E641" t="s">
        <v>43</v>
      </c>
      <c r="F641">
        <v>2034</v>
      </c>
      <c r="G641" s="55">
        <f>10^6*IF($E641="charcoal",params!$P$13*INDEX(BAU_Fuel_cons!$E$2:$AS$34,MATCH(D641&amp;"_"&amp;E641,BAU_Fuel_cons!$AT$2:$AT$34,0),MATCH(F641,BAU_Fuel_cons!$E$1:$AS$1,0)),INDEX(BAU_Fuel_cons!$E$2:$AS$34,MATCH(D641&amp;"_"&amp;E641,BAU_Fuel_cons!$AT$2:$AT$34,0),MATCH(F641,BAU_Fuel_cons!$E$1:$AS$1,0)))</f>
        <v>67.592007530903331</v>
      </c>
      <c r="H641" s="55">
        <f>G641+10^6*IF($E641="charcoal",params!$P$13*SUMIFS(nonresidential!$L:$L,nonresidential!$A:$A,$F641,nonresidential!$B:$B,$E641,nonresidential!$C:$C,$D641),SUMIFS(nonresidential!$L:$L,nonresidential!$A:$A,$F641,nonresidential!$B:$B,$E641,nonresidential!$C:$C,$D641))</f>
        <v>67.592007530903331</v>
      </c>
      <c r="I641">
        <f>1</f>
        <v>1</v>
      </c>
    </row>
    <row r="642" spans="1:9">
      <c r="A642" t="s">
        <v>211</v>
      </c>
      <c r="B642" t="s">
        <v>162</v>
      </c>
      <c r="C642" t="s">
        <v>269</v>
      </c>
      <c r="D642" t="s">
        <v>26</v>
      </c>
      <c r="E642" t="s">
        <v>43</v>
      </c>
      <c r="F642">
        <v>2035</v>
      </c>
      <c r="G642" s="55">
        <f>10^6*IF($E642="charcoal",params!$P$13*INDEX(BAU_Fuel_cons!$E$2:$AS$34,MATCH(D642&amp;"_"&amp;E642,BAU_Fuel_cons!$AT$2:$AT$34,0),MATCH(F642,BAU_Fuel_cons!$E$1:$AS$1,0)),INDEX(BAU_Fuel_cons!$E$2:$AS$34,MATCH(D642&amp;"_"&amp;E642,BAU_Fuel_cons!$AT$2:$AT$34,0),MATCH(F642,BAU_Fuel_cons!$E$1:$AS$1,0)))</f>
        <v>64.490688568545721</v>
      </c>
      <c r="H642" s="55">
        <f>G642+10^6*IF($E642="charcoal",params!$P$13*SUMIFS(nonresidential!$L:$L,nonresidential!$A:$A,$F642,nonresidential!$B:$B,$E642,nonresidential!$C:$C,$D642),SUMIFS(nonresidential!$L:$L,nonresidential!$A:$A,$F642,nonresidential!$B:$B,$E642,nonresidential!$C:$C,$D642))</f>
        <v>64.490688568545721</v>
      </c>
      <c r="I642">
        <f>1</f>
        <v>1</v>
      </c>
    </row>
    <row r="643" spans="1:9">
      <c r="A643" t="s">
        <v>211</v>
      </c>
      <c r="B643" t="s">
        <v>162</v>
      </c>
      <c r="C643" t="s">
        <v>269</v>
      </c>
      <c r="D643" t="s">
        <v>26</v>
      </c>
      <c r="E643" t="s">
        <v>43</v>
      </c>
      <c r="F643">
        <v>2036</v>
      </c>
      <c r="G643" s="55">
        <f>10^6*IF($E643="charcoal",params!$P$13*INDEX(BAU_Fuel_cons!$E$2:$AS$34,MATCH(D643&amp;"_"&amp;E643,BAU_Fuel_cons!$AT$2:$AT$34,0),MATCH(F643,BAU_Fuel_cons!$E$1:$AS$1,0)),INDEX(BAU_Fuel_cons!$E$2:$AS$34,MATCH(D643&amp;"_"&amp;E643,BAU_Fuel_cons!$AT$2:$AT$34,0),MATCH(F643,BAU_Fuel_cons!$E$1:$AS$1,0)))</f>
        <v>61.229254363994471</v>
      </c>
      <c r="H643" s="55">
        <f>G643+10^6*IF($E643="charcoal",params!$P$13*SUMIFS(nonresidential!$L:$L,nonresidential!$A:$A,$F643,nonresidential!$B:$B,$E643,nonresidential!$C:$C,$D643),SUMIFS(nonresidential!$L:$L,nonresidential!$A:$A,$F643,nonresidential!$B:$B,$E643,nonresidential!$C:$C,$D643))</f>
        <v>61.229254363994471</v>
      </c>
      <c r="I643">
        <f>1</f>
        <v>1</v>
      </c>
    </row>
    <row r="644" spans="1:9">
      <c r="A644" t="s">
        <v>211</v>
      </c>
      <c r="B644" t="s">
        <v>162</v>
      </c>
      <c r="C644" t="s">
        <v>269</v>
      </c>
      <c r="D644" t="s">
        <v>26</v>
      </c>
      <c r="E644" t="s">
        <v>43</v>
      </c>
      <c r="F644">
        <v>2037</v>
      </c>
      <c r="G644" s="55">
        <f>10^6*IF($E644="charcoal",params!$P$13*INDEX(BAU_Fuel_cons!$E$2:$AS$34,MATCH(D644&amp;"_"&amp;E644,BAU_Fuel_cons!$AT$2:$AT$34,0),MATCH(F644,BAU_Fuel_cons!$E$1:$AS$1,0)),INDEX(BAU_Fuel_cons!$E$2:$AS$34,MATCH(D644&amp;"_"&amp;E644,BAU_Fuel_cons!$AT$2:$AT$34,0),MATCH(F644,BAU_Fuel_cons!$E$1:$AS$1,0)))</f>
        <v>57.80843078731565</v>
      </c>
      <c r="H644" s="55">
        <f>G644+10^6*IF($E644="charcoal",params!$P$13*SUMIFS(nonresidential!$L:$L,nonresidential!$A:$A,$F644,nonresidential!$B:$B,$E644,nonresidential!$C:$C,$D644),SUMIFS(nonresidential!$L:$L,nonresidential!$A:$A,$F644,nonresidential!$B:$B,$E644,nonresidential!$C:$C,$D644))</f>
        <v>57.80843078731565</v>
      </c>
      <c r="I644">
        <f>1</f>
        <v>1</v>
      </c>
    </row>
    <row r="645" spans="1:9">
      <c r="A645" t="s">
        <v>211</v>
      </c>
      <c r="B645" t="s">
        <v>162</v>
      </c>
      <c r="C645" t="s">
        <v>269</v>
      </c>
      <c r="D645" t="s">
        <v>26</v>
      </c>
      <c r="E645" t="s">
        <v>43</v>
      </c>
      <c r="F645">
        <v>2038</v>
      </c>
      <c r="G645" s="55">
        <f>10^6*IF($E645="charcoal",params!$P$13*INDEX(BAU_Fuel_cons!$E$2:$AS$34,MATCH(D645&amp;"_"&amp;E645,BAU_Fuel_cons!$AT$2:$AT$34,0),MATCH(F645,BAU_Fuel_cons!$E$1:$AS$1,0)),INDEX(BAU_Fuel_cons!$E$2:$AS$34,MATCH(D645&amp;"_"&amp;E645,BAU_Fuel_cons!$AT$2:$AT$34,0),MATCH(F645,BAU_Fuel_cons!$E$1:$AS$1,0)))</f>
        <v>54.229702725093702</v>
      </c>
      <c r="H645" s="55">
        <f>G645+10^6*IF($E645="charcoal",params!$P$13*SUMIFS(nonresidential!$L:$L,nonresidential!$A:$A,$F645,nonresidential!$B:$B,$E645,nonresidential!$C:$C,$D645),SUMIFS(nonresidential!$L:$L,nonresidential!$A:$A,$F645,nonresidential!$B:$B,$E645,nonresidential!$C:$C,$D645))</f>
        <v>54.229702725093702</v>
      </c>
      <c r="I645">
        <f>1</f>
        <v>1</v>
      </c>
    </row>
    <row r="646" spans="1:9">
      <c r="A646" t="s">
        <v>211</v>
      </c>
      <c r="B646" t="s">
        <v>162</v>
      </c>
      <c r="C646" t="s">
        <v>269</v>
      </c>
      <c r="D646" t="s">
        <v>26</v>
      </c>
      <c r="E646" t="s">
        <v>43</v>
      </c>
      <c r="F646">
        <v>2039</v>
      </c>
      <c r="G646" s="55">
        <f>10^6*IF($E646="charcoal",params!$P$13*INDEX(BAU_Fuel_cons!$E$2:$AS$34,MATCH(D646&amp;"_"&amp;E646,BAU_Fuel_cons!$AT$2:$AT$34,0),MATCH(F646,BAU_Fuel_cons!$E$1:$AS$1,0)),INDEX(BAU_Fuel_cons!$E$2:$AS$34,MATCH(D646&amp;"_"&amp;E646,BAU_Fuel_cons!$AT$2:$AT$34,0),MATCH(F646,BAU_Fuel_cons!$E$1:$AS$1,0)))</f>
        <v>50.494882059253257</v>
      </c>
      <c r="H646" s="55">
        <f>G646+10^6*IF($E646="charcoal",params!$P$13*SUMIFS(nonresidential!$L:$L,nonresidential!$A:$A,$F646,nonresidential!$B:$B,$E646,nonresidential!$C:$C,$D646),SUMIFS(nonresidential!$L:$L,nonresidential!$A:$A,$F646,nonresidential!$B:$B,$E646,nonresidential!$C:$C,$D646))</f>
        <v>50.494882059253257</v>
      </c>
      <c r="I646">
        <f>1</f>
        <v>1</v>
      </c>
    </row>
    <row r="647" spans="1:9">
      <c r="A647" t="s">
        <v>211</v>
      </c>
      <c r="B647" t="s">
        <v>162</v>
      </c>
      <c r="C647" t="s">
        <v>269</v>
      </c>
      <c r="D647" t="s">
        <v>26</v>
      </c>
      <c r="E647" t="s">
        <v>43</v>
      </c>
      <c r="F647">
        <v>2040</v>
      </c>
      <c r="G647" s="55">
        <f>10^6*IF($E647="charcoal",params!$P$13*INDEX(BAU_Fuel_cons!$E$2:$AS$34,MATCH(D647&amp;"_"&amp;E647,BAU_Fuel_cons!$AT$2:$AT$34,0),MATCH(F647,BAU_Fuel_cons!$E$1:$AS$1,0)),INDEX(BAU_Fuel_cons!$E$2:$AS$34,MATCH(D647&amp;"_"&amp;E647,BAU_Fuel_cons!$AT$2:$AT$34,0),MATCH(F647,BAU_Fuel_cons!$E$1:$AS$1,0)))</f>
        <v>46.606206361552431</v>
      </c>
      <c r="H647" s="55">
        <f>G647+10^6*IF($E647="charcoal",params!$P$13*SUMIFS(nonresidential!$L:$L,nonresidential!$A:$A,$F647,nonresidential!$B:$B,$E647,nonresidential!$C:$C,$D647),SUMIFS(nonresidential!$L:$L,nonresidential!$A:$A,$F647,nonresidential!$B:$B,$E647,nonresidential!$C:$C,$D647))</f>
        <v>46.606206361552431</v>
      </c>
      <c r="I647">
        <f>1</f>
        <v>1</v>
      </c>
    </row>
    <row r="648" spans="1:9">
      <c r="A648" t="s">
        <v>211</v>
      </c>
      <c r="B648" t="s">
        <v>162</v>
      </c>
      <c r="C648" t="s">
        <v>269</v>
      </c>
      <c r="D648" t="s">
        <v>26</v>
      </c>
      <c r="E648" t="s">
        <v>43</v>
      </c>
      <c r="F648">
        <v>2041</v>
      </c>
      <c r="G648" s="55">
        <f>10^6*IF($E648="charcoal",params!$P$13*INDEX(BAU_Fuel_cons!$E$2:$AS$34,MATCH(D648&amp;"_"&amp;E648,BAU_Fuel_cons!$AT$2:$AT$34,0),MATCH(F648,BAU_Fuel_cons!$E$1:$AS$1,0)),INDEX(BAU_Fuel_cons!$E$2:$AS$34,MATCH(D648&amp;"_"&amp;E648,BAU_Fuel_cons!$AT$2:$AT$34,0),MATCH(F648,BAU_Fuel_cons!$E$1:$AS$1,0)))</f>
        <v>42.566196252107517</v>
      </c>
      <c r="H648" s="55">
        <f>G648+10^6*IF($E648="charcoal",params!$P$13*SUMIFS(nonresidential!$L:$L,nonresidential!$A:$A,$F648,nonresidential!$B:$B,$E648,nonresidential!$C:$C,$D648),SUMIFS(nonresidential!$L:$L,nonresidential!$A:$A,$F648,nonresidential!$B:$B,$E648,nonresidential!$C:$C,$D648))</f>
        <v>42.566196252107517</v>
      </c>
      <c r="I648">
        <f>1</f>
        <v>1</v>
      </c>
    </row>
    <row r="649" spans="1:9">
      <c r="A649" t="s">
        <v>211</v>
      </c>
      <c r="B649" t="s">
        <v>162</v>
      </c>
      <c r="C649" t="s">
        <v>269</v>
      </c>
      <c r="D649" t="s">
        <v>26</v>
      </c>
      <c r="E649" t="s">
        <v>43</v>
      </c>
      <c r="F649">
        <v>2042</v>
      </c>
      <c r="G649" s="55">
        <f>10^6*IF($E649="charcoal",params!$P$13*INDEX(BAU_Fuel_cons!$E$2:$AS$34,MATCH(D649&amp;"_"&amp;E649,BAU_Fuel_cons!$AT$2:$AT$34,0),MATCH(F649,BAU_Fuel_cons!$E$1:$AS$1,0)),INDEX(BAU_Fuel_cons!$E$2:$AS$34,MATCH(D649&amp;"_"&amp;E649,BAU_Fuel_cons!$AT$2:$AT$34,0),MATCH(F649,BAU_Fuel_cons!$E$1:$AS$1,0)))</f>
        <v>38.37771498852112</v>
      </c>
      <c r="H649" s="55">
        <f>G649+10^6*IF($E649="charcoal",params!$P$13*SUMIFS(nonresidential!$L:$L,nonresidential!$A:$A,$F649,nonresidential!$B:$B,$E649,nonresidential!$C:$C,$D649),SUMIFS(nonresidential!$L:$L,nonresidential!$A:$A,$F649,nonresidential!$B:$B,$E649,nonresidential!$C:$C,$D649))</f>
        <v>38.37771498852112</v>
      </c>
      <c r="I649">
        <f>1</f>
        <v>1</v>
      </c>
    </row>
    <row r="650" spans="1:9">
      <c r="A650" t="s">
        <v>211</v>
      </c>
      <c r="B650" t="s">
        <v>162</v>
      </c>
      <c r="C650" t="s">
        <v>269</v>
      </c>
      <c r="D650" t="s">
        <v>26</v>
      </c>
      <c r="E650" t="s">
        <v>43</v>
      </c>
      <c r="F650">
        <v>2043</v>
      </c>
      <c r="G650" s="55">
        <f>10^6*IF($E650="charcoal",params!$P$13*INDEX(BAU_Fuel_cons!$E$2:$AS$34,MATCH(D650&amp;"_"&amp;E650,BAU_Fuel_cons!$AT$2:$AT$34,0),MATCH(F650,BAU_Fuel_cons!$E$1:$AS$1,0)),INDEX(BAU_Fuel_cons!$E$2:$AS$34,MATCH(D650&amp;"_"&amp;E650,BAU_Fuel_cons!$AT$2:$AT$34,0),MATCH(F650,BAU_Fuel_cons!$E$1:$AS$1,0)))</f>
        <v>34.043929174300743</v>
      </c>
      <c r="H650" s="55">
        <f>G650+10^6*IF($E650="charcoal",params!$P$13*SUMIFS(nonresidential!$L:$L,nonresidential!$A:$A,$F650,nonresidential!$B:$B,$E650,nonresidential!$C:$C,$D650),SUMIFS(nonresidential!$L:$L,nonresidential!$A:$A,$F650,nonresidential!$B:$B,$E650,nonresidential!$C:$C,$D650))</f>
        <v>34.043929174300743</v>
      </c>
      <c r="I650">
        <f>1</f>
        <v>1</v>
      </c>
    </row>
    <row r="651" spans="1:9">
      <c r="A651" t="s">
        <v>211</v>
      </c>
      <c r="B651" t="s">
        <v>162</v>
      </c>
      <c r="C651" t="s">
        <v>269</v>
      </c>
      <c r="D651" t="s">
        <v>26</v>
      </c>
      <c r="E651" t="s">
        <v>43</v>
      </c>
      <c r="F651">
        <v>2044</v>
      </c>
      <c r="G651" s="55">
        <f>10^6*IF($E651="charcoal",params!$P$13*INDEX(BAU_Fuel_cons!$E$2:$AS$34,MATCH(D651&amp;"_"&amp;E651,BAU_Fuel_cons!$AT$2:$AT$34,0),MATCH(F651,BAU_Fuel_cons!$E$1:$AS$1,0)),INDEX(BAU_Fuel_cons!$E$2:$AS$34,MATCH(D651&amp;"_"&amp;E651,BAU_Fuel_cons!$AT$2:$AT$34,0),MATCH(F651,BAU_Fuel_cons!$E$1:$AS$1,0)))</f>
        <v>29.568414715777187</v>
      </c>
      <c r="H651" s="55">
        <f>G651+10^6*IF($E651="charcoal",params!$P$13*SUMIFS(nonresidential!$L:$L,nonresidential!$A:$A,$F651,nonresidential!$B:$B,$E651,nonresidential!$C:$C,$D651),SUMIFS(nonresidential!$L:$L,nonresidential!$A:$A,$F651,nonresidential!$B:$B,$E651,nonresidential!$C:$C,$D651))</f>
        <v>29.568414715777187</v>
      </c>
      <c r="I651">
        <f>1</f>
        <v>1</v>
      </c>
    </row>
    <row r="652" spans="1:9">
      <c r="A652" t="s">
        <v>211</v>
      </c>
      <c r="B652" t="s">
        <v>162</v>
      </c>
      <c r="C652" t="s">
        <v>269</v>
      </c>
      <c r="D652" t="s">
        <v>26</v>
      </c>
      <c r="E652" t="s">
        <v>43</v>
      </c>
      <c r="F652">
        <v>2045</v>
      </c>
      <c r="G652" s="55">
        <f>10^6*IF($E652="charcoal",params!$P$13*INDEX(BAU_Fuel_cons!$E$2:$AS$34,MATCH(D652&amp;"_"&amp;E652,BAU_Fuel_cons!$AT$2:$AT$34,0),MATCH(F652,BAU_Fuel_cons!$E$1:$AS$1,0)),INDEX(BAU_Fuel_cons!$E$2:$AS$34,MATCH(D652&amp;"_"&amp;E652,BAU_Fuel_cons!$AT$2:$AT$34,0),MATCH(F652,BAU_Fuel_cons!$E$1:$AS$1,0)))</f>
        <v>24.955307657084877</v>
      </c>
      <c r="H652" s="55">
        <f>G652+10^6*IF($E652="charcoal",params!$P$13*SUMIFS(nonresidential!$L:$L,nonresidential!$A:$A,$F652,nonresidential!$B:$B,$E652,nonresidential!$C:$C,$D652),SUMIFS(nonresidential!$L:$L,nonresidential!$A:$A,$F652,nonresidential!$B:$B,$E652,nonresidential!$C:$C,$D652))</f>
        <v>24.955307657084877</v>
      </c>
      <c r="I652">
        <f>1</f>
        <v>1</v>
      </c>
    </row>
    <row r="653" spans="1:9">
      <c r="A653" t="s">
        <v>211</v>
      </c>
      <c r="B653" t="s">
        <v>162</v>
      </c>
      <c r="C653" t="s">
        <v>269</v>
      </c>
      <c r="D653" t="s">
        <v>26</v>
      </c>
      <c r="E653" t="s">
        <v>43</v>
      </c>
      <c r="F653">
        <v>2046</v>
      </c>
      <c r="G653" s="55">
        <f>10^6*IF($E653="charcoal",params!$P$13*INDEX(BAU_Fuel_cons!$E$2:$AS$34,MATCH(D653&amp;"_"&amp;E653,BAU_Fuel_cons!$AT$2:$AT$34,0),MATCH(F653,BAU_Fuel_cons!$E$1:$AS$1,0)),INDEX(BAU_Fuel_cons!$E$2:$AS$34,MATCH(D653&amp;"_"&amp;E653,BAU_Fuel_cons!$AT$2:$AT$34,0),MATCH(F653,BAU_Fuel_cons!$E$1:$AS$1,0)))</f>
        <v>20.209182022449362</v>
      </c>
      <c r="H653" s="55">
        <f>G653+10^6*IF($E653="charcoal",params!$P$13*SUMIFS(nonresidential!$L:$L,nonresidential!$A:$A,$F653,nonresidential!$B:$B,$E653,nonresidential!$C:$C,$D653),SUMIFS(nonresidential!$L:$L,nonresidential!$A:$A,$F653,nonresidential!$B:$B,$E653,nonresidential!$C:$C,$D653))</f>
        <v>20.209182022449362</v>
      </c>
      <c r="I653">
        <f>1</f>
        <v>1</v>
      </c>
    </row>
    <row r="654" spans="1:9">
      <c r="A654" t="s">
        <v>211</v>
      </c>
      <c r="B654" t="s">
        <v>162</v>
      </c>
      <c r="C654" t="s">
        <v>269</v>
      </c>
      <c r="D654" t="s">
        <v>26</v>
      </c>
      <c r="E654" t="s">
        <v>43</v>
      </c>
      <c r="F654">
        <v>2047</v>
      </c>
      <c r="G654" s="55">
        <f>10^6*IF($E654="charcoal",params!$P$13*INDEX(BAU_Fuel_cons!$E$2:$AS$34,MATCH(D654&amp;"_"&amp;E654,BAU_Fuel_cons!$AT$2:$AT$34,0),MATCH(F654,BAU_Fuel_cons!$E$1:$AS$1,0)),INDEX(BAU_Fuel_cons!$E$2:$AS$34,MATCH(D654&amp;"_"&amp;E654,BAU_Fuel_cons!$AT$2:$AT$34,0),MATCH(F654,BAU_Fuel_cons!$E$1:$AS$1,0)))</f>
        <v>15.335074582918672</v>
      </c>
      <c r="H654" s="55">
        <f>G654+10^6*IF($E654="charcoal",params!$P$13*SUMIFS(nonresidential!$L:$L,nonresidential!$A:$A,$F654,nonresidential!$B:$B,$E654,nonresidential!$C:$C,$D654),SUMIFS(nonresidential!$L:$L,nonresidential!$A:$A,$F654,nonresidential!$B:$B,$E654,nonresidential!$C:$C,$D654))</f>
        <v>15.335074582918672</v>
      </c>
      <c r="I654">
        <f>1</f>
        <v>1</v>
      </c>
    </row>
    <row r="655" spans="1:9">
      <c r="A655" t="s">
        <v>211</v>
      </c>
      <c r="B655" t="s">
        <v>162</v>
      </c>
      <c r="C655" t="s">
        <v>269</v>
      </c>
      <c r="D655" t="s">
        <v>26</v>
      </c>
      <c r="E655" t="s">
        <v>43</v>
      </c>
      <c r="F655">
        <v>2048</v>
      </c>
      <c r="G655" s="55">
        <f>10^6*IF($E655="charcoal",params!$P$13*INDEX(BAU_Fuel_cons!$E$2:$AS$34,MATCH(D655&amp;"_"&amp;E655,BAU_Fuel_cons!$AT$2:$AT$34,0),MATCH(F655,BAU_Fuel_cons!$E$1:$AS$1,0)),INDEX(BAU_Fuel_cons!$E$2:$AS$34,MATCH(D655&amp;"_"&amp;E655,BAU_Fuel_cons!$AT$2:$AT$34,0),MATCH(F655,BAU_Fuel_cons!$E$1:$AS$1,0)))</f>
        <v>10.338371823236049</v>
      </c>
      <c r="H655" s="55">
        <f>G655+10^6*IF($E655="charcoal",params!$P$13*SUMIFS(nonresidential!$L:$L,nonresidential!$A:$A,$F655,nonresidential!$B:$B,$E655,nonresidential!$C:$C,$D655),SUMIFS(nonresidential!$L:$L,nonresidential!$A:$A,$F655,nonresidential!$B:$B,$E655,nonresidential!$C:$C,$D655))</f>
        <v>10.338371823236049</v>
      </c>
      <c r="I655">
        <f>1</f>
        <v>1</v>
      </c>
    </row>
    <row r="656" spans="1:9">
      <c r="A656" t="s">
        <v>211</v>
      </c>
      <c r="B656" t="s">
        <v>162</v>
      </c>
      <c r="C656" t="s">
        <v>269</v>
      </c>
      <c r="D656" t="s">
        <v>26</v>
      </c>
      <c r="E656" t="s">
        <v>43</v>
      </c>
      <c r="F656">
        <v>2049</v>
      </c>
      <c r="G656" s="55">
        <f>10^6*IF($E656="charcoal",params!$P$13*INDEX(BAU_Fuel_cons!$E$2:$AS$34,MATCH(D656&amp;"_"&amp;E656,BAU_Fuel_cons!$AT$2:$AT$34,0),MATCH(F656,BAU_Fuel_cons!$E$1:$AS$1,0)),INDEX(BAU_Fuel_cons!$E$2:$AS$34,MATCH(D656&amp;"_"&amp;E656,BAU_Fuel_cons!$AT$2:$AT$34,0),MATCH(F656,BAU_Fuel_cons!$E$1:$AS$1,0)))</f>
        <v>5.224726144628641</v>
      </c>
      <c r="H656" s="55">
        <f>G656+10^6*IF($E656="charcoal",params!$P$13*SUMIFS(nonresidential!$L:$L,nonresidential!$A:$A,$F656,nonresidential!$B:$B,$E656,nonresidential!$C:$C,$D656),SUMIFS(nonresidential!$L:$L,nonresidential!$A:$A,$F656,nonresidential!$B:$B,$E656,nonresidential!$C:$C,$D656))</f>
        <v>5.224726144628641</v>
      </c>
      <c r="I656">
        <f>1</f>
        <v>1</v>
      </c>
    </row>
    <row r="657" spans="1:9">
      <c r="A657" t="s">
        <v>211</v>
      </c>
      <c r="B657" t="s">
        <v>162</v>
      </c>
      <c r="C657" t="s">
        <v>269</v>
      </c>
      <c r="D657" t="s">
        <v>26</v>
      </c>
      <c r="E657" t="s">
        <v>43</v>
      </c>
      <c r="F657">
        <v>2050</v>
      </c>
      <c r="G657" s="55">
        <f>10^6*IF($E657="charcoal",params!$P$13*INDEX(BAU_Fuel_cons!$E$2:$AS$34,MATCH(D657&amp;"_"&amp;E657,BAU_Fuel_cons!$AT$2:$AT$34,0),MATCH(F657,BAU_Fuel_cons!$E$1:$AS$1,0)),INDEX(BAU_Fuel_cons!$E$2:$AS$34,MATCH(D657&amp;"_"&amp;E657,BAU_Fuel_cons!$AT$2:$AT$34,0),MATCH(F657,BAU_Fuel_cons!$E$1:$AS$1,0)))</f>
        <v>0</v>
      </c>
      <c r="H657" s="55">
        <f>G657+10^6*IF($E657="charcoal",params!$P$13*SUMIFS(nonresidential!$L:$L,nonresidential!$A:$A,$F657,nonresidential!$B:$B,$E657,nonresidential!$C:$C,$D657),SUMIFS(nonresidential!$L:$L,nonresidential!$A:$A,$F657,nonresidential!$B:$B,$E657,nonresidential!$C:$C,$D657))</f>
        <v>0</v>
      </c>
      <c r="I657">
        <f>1</f>
        <v>1</v>
      </c>
    </row>
    <row r="658" spans="1:9">
      <c r="A658" t="s">
        <v>211</v>
      </c>
      <c r="B658" t="s">
        <v>162</v>
      </c>
      <c r="C658" t="s">
        <v>269</v>
      </c>
      <c r="D658" t="s">
        <v>26</v>
      </c>
      <c r="E658" t="s">
        <v>12</v>
      </c>
      <c r="F658">
        <v>2010</v>
      </c>
      <c r="G658" s="55">
        <f>10^6*IF($E658="charcoal",params!$P$13*INDEX(BAU_Fuel_cons!$E$2:$AS$34,MATCH(D658&amp;"_"&amp;E658,BAU_Fuel_cons!$AT$2:$AT$34,0),MATCH(F658,BAU_Fuel_cons!$E$1:$AS$1,0)),INDEX(BAU_Fuel_cons!$E$2:$AS$34,MATCH(D658&amp;"_"&amp;E658,BAU_Fuel_cons!$AT$2:$AT$34,0),MATCH(F658,BAU_Fuel_cons!$E$1:$AS$1,0)))</f>
        <v>0</v>
      </c>
      <c r="H658" s="55">
        <f>G658+10^6*IF($E658="charcoal",params!$P$13*SUMIFS(nonresidential!$L:$L,nonresidential!$A:$A,$F658,nonresidential!$B:$B,$E658,nonresidential!$C:$C,$D658),SUMIFS(nonresidential!$L:$L,nonresidential!$A:$A,$F658,nonresidential!$B:$B,$E658,nonresidential!$C:$C,$D658))</f>
        <v>0</v>
      </c>
      <c r="I658">
        <f>1</f>
        <v>1</v>
      </c>
    </row>
    <row r="659" spans="1:9">
      <c r="A659" t="s">
        <v>211</v>
      </c>
      <c r="B659" t="s">
        <v>162</v>
      </c>
      <c r="C659" t="s">
        <v>269</v>
      </c>
      <c r="D659" t="s">
        <v>26</v>
      </c>
      <c r="E659" t="s">
        <v>12</v>
      </c>
      <c r="F659">
        <v>2011</v>
      </c>
      <c r="G659" s="55">
        <f>10^6*IF($E659="charcoal",params!$P$13*INDEX(BAU_Fuel_cons!$E$2:$AS$34,MATCH(D659&amp;"_"&amp;E659,BAU_Fuel_cons!$AT$2:$AT$34,0),MATCH(F659,BAU_Fuel_cons!$E$1:$AS$1,0)),INDEX(BAU_Fuel_cons!$E$2:$AS$34,MATCH(D659&amp;"_"&amp;E659,BAU_Fuel_cons!$AT$2:$AT$34,0),MATCH(F659,BAU_Fuel_cons!$E$1:$AS$1,0)))</f>
        <v>0</v>
      </c>
      <c r="H659" s="55">
        <f>G659+10^6*IF($E659="charcoal",params!$P$13*SUMIFS(nonresidential!$L:$L,nonresidential!$A:$A,$F659,nonresidential!$B:$B,$E659,nonresidential!$C:$C,$D659),SUMIFS(nonresidential!$L:$L,nonresidential!$A:$A,$F659,nonresidential!$B:$B,$E659,nonresidential!$C:$C,$D659))</f>
        <v>0</v>
      </c>
      <c r="I659">
        <f>1</f>
        <v>1</v>
      </c>
    </row>
    <row r="660" spans="1:9">
      <c r="A660" t="s">
        <v>211</v>
      </c>
      <c r="B660" t="s">
        <v>162</v>
      </c>
      <c r="C660" t="s">
        <v>269</v>
      </c>
      <c r="D660" t="s">
        <v>26</v>
      </c>
      <c r="E660" t="s">
        <v>12</v>
      </c>
      <c r="F660">
        <v>2012</v>
      </c>
      <c r="G660" s="55">
        <f>10^6*IF($E660="charcoal",params!$P$13*INDEX(BAU_Fuel_cons!$E$2:$AS$34,MATCH(D660&amp;"_"&amp;E660,BAU_Fuel_cons!$AT$2:$AT$34,0),MATCH(F660,BAU_Fuel_cons!$E$1:$AS$1,0)),INDEX(BAU_Fuel_cons!$E$2:$AS$34,MATCH(D660&amp;"_"&amp;E660,BAU_Fuel_cons!$AT$2:$AT$34,0),MATCH(F660,BAU_Fuel_cons!$E$1:$AS$1,0)))</f>
        <v>0</v>
      </c>
      <c r="H660" s="55">
        <f>G660+10^6*IF($E660="charcoal",params!$P$13*SUMIFS(nonresidential!$L:$L,nonresidential!$A:$A,$F660,nonresidential!$B:$B,$E660,nonresidential!$C:$C,$D660),SUMIFS(nonresidential!$L:$L,nonresidential!$A:$A,$F660,nonresidential!$B:$B,$E660,nonresidential!$C:$C,$D660))</f>
        <v>0</v>
      </c>
      <c r="I660">
        <f>1</f>
        <v>1</v>
      </c>
    </row>
    <row r="661" spans="1:9">
      <c r="A661" t="s">
        <v>211</v>
      </c>
      <c r="B661" t="s">
        <v>162</v>
      </c>
      <c r="C661" t="s">
        <v>269</v>
      </c>
      <c r="D661" t="s">
        <v>26</v>
      </c>
      <c r="E661" t="s">
        <v>12</v>
      </c>
      <c r="F661">
        <v>2013</v>
      </c>
      <c r="G661" s="55">
        <f>10^6*IF($E661="charcoal",params!$P$13*INDEX(BAU_Fuel_cons!$E$2:$AS$34,MATCH(D661&amp;"_"&amp;E661,BAU_Fuel_cons!$AT$2:$AT$34,0),MATCH(F661,BAU_Fuel_cons!$E$1:$AS$1,0)),INDEX(BAU_Fuel_cons!$E$2:$AS$34,MATCH(D661&amp;"_"&amp;E661,BAU_Fuel_cons!$AT$2:$AT$34,0),MATCH(F661,BAU_Fuel_cons!$E$1:$AS$1,0)))</f>
        <v>0</v>
      </c>
      <c r="H661" s="55">
        <f>G661+10^6*IF($E661="charcoal",params!$P$13*SUMIFS(nonresidential!$L:$L,nonresidential!$A:$A,$F661,nonresidential!$B:$B,$E661,nonresidential!$C:$C,$D661),SUMIFS(nonresidential!$L:$L,nonresidential!$A:$A,$F661,nonresidential!$B:$B,$E661,nonresidential!$C:$C,$D661))</f>
        <v>0</v>
      </c>
      <c r="I661">
        <f>1</f>
        <v>1</v>
      </c>
    </row>
    <row r="662" spans="1:9">
      <c r="A662" t="s">
        <v>211</v>
      </c>
      <c r="B662" t="s">
        <v>162</v>
      </c>
      <c r="C662" t="s">
        <v>269</v>
      </c>
      <c r="D662" t="s">
        <v>26</v>
      </c>
      <c r="E662" t="s">
        <v>12</v>
      </c>
      <c r="F662">
        <v>2014</v>
      </c>
      <c r="G662" s="55">
        <f>10^6*IF($E662="charcoal",params!$P$13*INDEX(BAU_Fuel_cons!$E$2:$AS$34,MATCH(D662&amp;"_"&amp;E662,BAU_Fuel_cons!$AT$2:$AT$34,0),MATCH(F662,BAU_Fuel_cons!$E$1:$AS$1,0)),INDEX(BAU_Fuel_cons!$E$2:$AS$34,MATCH(D662&amp;"_"&amp;E662,BAU_Fuel_cons!$AT$2:$AT$34,0),MATCH(F662,BAU_Fuel_cons!$E$1:$AS$1,0)))</f>
        <v>0</v>
      </c>
      <c r="H662" s="55">
        <f>G662+10^6*IF($E662="charcoal",params!$P$13*SUMIFS(nonresidential!$L:$L,nonresidential!$A:$A,$F662,nonresidential!$B:$B,$E662,nonresidential!$C:$C,$D662),SUMIFS(nonresidential!$L:$L,nonresidential!$A:$A,$F662,nonresidential!$B:$B,$E662,nonresidential!$C:$C,$D662))</f>
        <v>0</v>
      </c>
      <c r="I662">
        <f>1</f>
        <v>1</v>
      </c>
    </row>
    <row r="663" spans="1:9">
      <c r="A663" t="s">
        <v>211</v>
      </c>
      <c r="B663" t="s">
        <v>162</v>
      </c>
      <c r="C663" t="s">
        <v>269</v>
      </c>
      <c r="D663" t="s">
        <v>26</v>
      </c>
      <c r="E663" t="s">
        <v>12</v>
      </c>
      <c r="F663">
        <v>2015</v>
      </c>
      <c r="G663" s="55">
        <f>10^6*IF($E663="charcoal",params!$P$13*INDEX(BAU_Fuel_cons!$E$2:$AS$34,MATCH(D663&amp;"_"&amp;E663,BAU_Fuel_cons!$AT$2:$AT$34,0),MATCH(F663,BAU_Fuel_cons!$E$1:$AS$1,0)),INDEX(BAU_Fuel_cons!$E$2:$AS$34,MATCH(D663&amp;"_"&amp;E663,BAU_Fuel_cons!$AT$2:$AT$34,0),MATCH(F663,BAU_Fuel_cons!$E$1:$AS$1,0)))</f>
        <v>0</v>
      </c>
      <c r="H663" s="55">
        <f>G663+10^6*IF($E663="charcoal",params!$P$13*SUMIFS(nonresidential!$L:$L,nonresidential!$A:$A,$F663,nonresidential!$B:$B,$E663,nonresidential!$C:$C,$D663),SUMIFS(nonresidential!$L:$L,nonresidential!$A:$A,$F663,nonresidential!$B:$B,$E663,nonresidential!$C:$C,$D663))</f>
        <v>0</v>
      </c>
      <c r="I663">
        <f>1</f>
        <v>1</v>
      </c>
    </row>
    <row r="664" spans="1:9">
      <c r="A664" t="s">
        <v>211</v>
      </c>
      <c r="B664" t="s">
        <v>162</v>
      </c>
      <c r="C664" t="s">
        <v>269</v>
      </c>
      <c r="D664" t="s">
        <v>26</v>
      </c>
      <c r="E664" t="s">
        <v>12</v>
      </c>
      <c r="F664">
        <v>2016</v>
      </c>
      <c r="G664" s="55">
        <f>10^6*IF($E664="charcoal",params!$P$13*INDEX(BAU_Fuel_cons!$E$2:$AS$34,MATCH(D664&amp;"_"&amp;E664,BAU_Fuel_cons!$AT$2:$AT$34,0),MATCH(F664,BAU_Fuel_cons!$E$1:$AS$1,0)),INDEX(BAU_Fuel_cons!$E$2:$AS$34,MATCH(D664&amp;"_"&amp;E664,BAU_Fuel_cons!$AT$2:$AT$34,0),MATCH(F664,BAU_Fuel_cons!$E$1:$AS$1,0)))</f>
        <v>0</v>
      </c>
      <c r="H664" s="55">
        <f>G664+10^6*IF($E664="charcoal",params!$P$13*SUMIFS(nonresidential!$L:$L,nonresidential!$A:$A,$F664,nonresidential!$B:$B,$E664,nonresidential!$C:$C,$D664),SUMIFS(nonresidential!$L:$L,nonresidential!$A:$A,$F664,nonresidential!$B:$B,$E664,nonresidential!$C:$C,$D664))</f>
        <v>0</v>
      </c>
      <c r="I664">
        <f>1</f>
        <v>1</v>
      </c>
    </row>
    <row r="665" spans="1:9">
      <c r="A665" t="s">
        <v>211</v>
      </c>
      <c r="B665" t="s">
        <v>162</v>
      </c>
      <c r="C665" t="s">
        <v>269</v>
      </c>
      <c r="D665" t="s">
        <v>26</v>
      </c>
      <c r="E665" t="s">
        <v>12</v>
      </c>
      <c r="F665">
        <v>2017</v>
      </c>
      <c r="G665" s="55">
        <f>10^6*IF($E665="charcoal",params!$P$13*INDEX(BAU_Fuel_cons!$E$2:$AS$34,MATCH(D665&amp;"_"&amp;E665,BAU_Fuel_cons!$AT$2:$AT$34,0),MATCH(F665,BAU_Fuel_cons!$E$1:$AS$1,0)),INDEX(BAU_Fuel_cons!$E$2:$AS$34,MATCH(D665&amp;"_"&amp;E665,BAU_Fuel_cons!$AT$2:$AT$34,0),MATCH(F665,BAU_Fuel_cons!$E$1:$AS$1,0)))</f>
        <v>0</v>
      </c>
      <c r="H665" s="55">
        <f>G665+10^6*IF($E665="charcoal",params!$P$13*SUMIFS(nonresidential!$L:$L,nonresidential!$A:$A,$F665,nonresidential!$B:$B,$E665,nonresidential!$C:$C,$D665),SUMIFS(nonresidential!$L:$L,nonresidential!$A:$A,$F665,nonresidential!$B:$B,$E665,nonresidential!$C:$C,$D665))</f>
        <v>0</v>
      </c>
      <c r="I665">
        <f>1</f>
        <v>1</v>
      </c>
    </row>
    <row r="666" spans="1:9">
      <c r="A666" t="s">
        <v>211</v>
      </c>
      <c r="B666" t="s">
        <v>162</v>
      </c>
      <c r="C666" t="s">
        <v>269</v>
      </c>
      <c r="D666" t="s">
        <v>26</v>
      </c>
      <c r="E666" t="s">
        <v>12</v>
      </c>
      <c r="F666">
        <v>2018</v>
      </c>
      <c r="G666" s="55">
        <f>10^6*IF($E666="charcoal",params!$P$13*INDEX(BAU_Fuel_cons!$E$2:$AS$34,MATCH(D666&amp;"_"&amp;E666,BAU_Fuel_cons!$AT$2:$AT$34,0),MATCH(F666,BAU_Fuel_cons!$E$1:$AS$1,0)),INDEX(BAU_Fuel_cons!$E$2:$AS$34,MATCH(D666&amp;"_"&amp;E666,BAU_Fuel_cons!$AT$2:$AT$34,0),MATCH(F666,BAU_Fuel_cons!$E$1:$AS$1,0)))</f>
        <v>0</v>
      </c>
      <c r="H666" s="55">
        <f>G666+10^6*IF($E666="charcoal",params!$P$13*SUMIFS(nonresidential!$L:$L,nonresidential!$A:$A,$F666,nonresidential!$B:$B,$E666,nonresidential!$C:$C,$D666),SUMIFS(nonresidential!$L:$L,nonresidential!$A:$A,$F666,nonresidential!$B:$B,$E666,nonresidential!$C:$C,$D666))</f>
        <v>0</v>
      </c>
      <c r="I666">
        <f>1</f>
        <v>1</v>
      </c>
    </row>
    <row r="667" spans="1:9">
      <c r="A667" t="s">
        <v>211</v>
      </c>
      <c r="B667" t="s">
        <v>162</v>
      </c>
      <c r="C667" t="s">
        <v>269</v>
      </c>
      <c r="D667" t="s">
        <v>26</v>
      </c>
      <c r="E667" t="s">
        <v>12</v>
      </c>
      <c r="F667">
        <v>2019</v>
      </c>
      <c r="G667" s="55">
        <f>10^6*IF($E667="charcoal",params!$P$13*INDEX(BAU_Fuel_cons!$E$2:$AS$34,MATCH(D667&amp;"_"&amp;E667,BAU_Fuel_cons!$AT$2:$AT$34,0),MATCH(F667,BAU_Fuel_cons!$E$1:$AS$1,0)),INDEX(BAU_Fuel_cons!$E$2:$AS$34,MATCH(D667&amp;"_"&amp;E667,BAU_Fuel_cons!$AT$2:$AT$34,0),MATCH(F667,BAU_Fuel_cons!$E$1:$AS$1,0)))</f>
        <v>0</v>
      </c>
      <c r="H667" s="55">
        <f>G667+10^6*IF($E667="charcoal",params!$P$13*SUMIFS(nonresidential!$L:$L,nonresidential!$A:$A,$F667,nonresidential!$B:$B,$E667,nonresidential!$C:$C,$D667),SUMIFS(nonresidential!$L:$L,nonresidential!$A:$A,$F667,nonresidential!$B:$B,$E667,nonresidential!$C:$C,$D667))</f>
        <v>0</v>
      </c>
      <c r="I667">
        <f>1</f>
        <v>1</v>
      </c>
    </row>
    <row r="668" spans="1:9">
      <c r="A668" t="s">
        <v>211</v>
      </c>
      <c r="B668" t="s">
        <v>162</v>
      </c>
      <c r="C668" t="s">
        <v>269</v>
      </c>
      <c r="D668" t="s">
        <v>26</v>
      </c>
      <c r="E668" t="s">
        <v>12</v>
      </c>
      <c r="F668">
        <v>2020</v>
      </c>
      <c r="G668" s="55">
        <f>10^6*IF($E668="charcoal",params!$P$13*INDEX(BAU_Fuel_cons!$E$2:$AS$34,MATCH(D668&amp;"_"&amp;E668,BAU_Fuel_cons!$AT$2:$AT$34,0),MATCH(F668,BAU_Fuel_cons!$E$1:$AS$1,0)),INDEX(BAU_Fuel_cons!$E$2:$AS$34,MATCH(D668&amp;"_"&amp;E668,BAU_Fuel_cons!$AT$2:$AT$34,0),MATCH(F668,BAU_Fuel_cons!$E$1:$AS$1,0)))</f>
        <v>0</v>
      </c>
      <c r="H668" s="55">
        <f>G668+10^6*IF($E668="charcoal",params!$P$13*SUMIFS(nonresidential!$L:$L,nonresidential!$A:$A,$F668,nonresidential!$B:$B,$E668,nonresidential!$C:$C,$D668),SUMIFS(nonresidential!$L:$L,nonresidential!$A:$A,$F668,nonresidential!$B:$B,$E668,nonresidential!$C:$C,$D668))</f>
        <v>0</v>
      </c>
      <c r="I668">
        <f>1</f>
        <v>1</v>
      </c>
    </row>
    <row r="669" spans="1:9">
      <c r="A669" t="s">
        <v>211</v>
      </c>
      <c r="B669" t="s">
        <v>162</v>
      </c>
      <c r="C669" t="s">
        <v>269</v>
      </c>
      <c r="D669" t="s">
        <v>26</v>
      </c>
      <c r="E669" t="s">
        <v>12</v>
      </c>
      <c r="F669">
        <v>2021</v>
      </c>
      <c r="G669" s="55">
        <f>10^6*IF($E669="charcoal",params!$P$13*INDEX(BAU_Fuel_cons!$E$2:$AS$34,MATCH(D669&amp;"_"&amp;E669,BAU_Fuel_cons!$AT$2:$AT$34,0),MATCH(F669,BAU_Fuel_cons!$E$1:$AS$1,0)),INDEX(BAU_Fuel_cons!$E$2:$AS$34,MATCH(D669&amp;"_"&amp;E669,BAU_Fuel_cons!$AT$2:$AT$34,0),MATCH(F669,BAU_Fuel_cons!$E$1:$AS$1,0)))</f>
        <v>0</v>
      </c>
      <c r="H669" s="55">
        <f>G669+10^6*IF($E669="charcoal",params!$P$13*SUMIFS(nonresidential!$L:$L,nonresidential!$A:$A,$F669,nonresidential!$B:$B,$E669,nonresidential!$C:$C,$D669),SUMIFS(nonresidential!$L:$L,nonresidential!$A:$A,$F669,nonresidential!$B:$B,$E669,nonresidential!$C:$C,$D669))</f>
        <v>0</v>
      </c>
      <c r="I669">
        <f>1</f>
        <v>1</v>
      </c>
    </row>
    <row r="670" spans="1:9">
      <c r="A670" t="s">
        <v>211</v>
      </c>
      <c r="B670" t="s">
        <v>162</v>
      </c>
      <c r="C670" t="s">
        <v>269</v>
      </c>
      <c r="D670" t="s">
        <v>26</v>
      </c>
      <c r="E670" t="s">
        <v>12</v>
      </c>
      <c r="F670">
        <v>2022</v>
      </c>
      <c r="G670" s="55">
        <f>10^6*IF($E670="charcoal",params!$P$13*INDEX(BAU_Fuel_cons!$E$2:$AS$34,MATCH(D670&amp;"_"&amp;E670,BAU_Fuel_cons!$AT$2:$AT$34,0),MATCH(F670,BAU_Fuel_cons!$E$1:$AS$1,0)),INDEX(BAU_Fuel_cons!$E$2:$AS$34,MATCH(D670&amp;"_"&amp;E670,BAU_Fuel_cons!$AT$2:$AT$34,0),MATCH(F670,BAU_Fuel_cons!$E$1:$AS$1,0)))</f>
        <v>0</v>
      </c>
      <c r="H670" s="55">
        <f>G670+10^6*IF($E670="charcoal",params!$P$13*SUMIFS(nonresidential!$L:$L,nonresidential!$A:$A,$F670,nonresidential!$B:$B,$E670,nonresidential!$C:$C,$D670),SUMIFS(nonresidential!$L:$L,nonresidential!$A:$A,$F670,nonresidential!$B:$B,$E670,nonresidential!$C:$C,$D670))</f>
        <v>0</v>
      </c>
      <c r="I670">
        <f>1</f>
        <v>1</v>
      </c>
    </row>
    <row r="671" spans="1:9">
      <c r="A671" t="s">
        <v>211</v>
      </c>
      <c r="B671" t="s">
        <v>162</v>
      </c>
      <c r="C671" t="s">
        <v>269</v>
      </c>
      <c r="D671" t="s">
        <v>26</v>
      </c>
      <c r="E671" t="s">
        <v>12</v>
      </c>
      <c r="F671">
        <v>2023</v>
      </c>
      <c r="G671" s="55">
        <f>10^6*IF($E671="charcoal",params!$P$13*INDEX(BAU_Fuel_cons!$E$2:$AS$34,MATCH(D671&amp;"_"&amp;E671,BAU_Fuel_cons!$AT$2:$AT$34,0),MATCH(F671,BAU_Fuel_cons!$E$1:$AS$1,0)),INDEX(BAU_Fuel_cons!$E$2:$AS$34,MATCH(D671&amp;"_"&amp;E671,BAU_Fuel_cons!$AT$2:$AT$34,0),MATCH(F671,BAU_Fuel_cons!$E$1:$AS$1,0)))</f>
        <v>0</v>
      </c>
      <c r="H671" s="55">
        <f>G671+10^6*IF($E671="charcoal",params!$P$13*SUMIFS(nonresidential!$L:$L,nonresidential!$A:$A,$F671,nonresidential!$B:$B,$E671,nonresidential!$C:$C,$D671),SUMIFS(nonresidential!$L:$L,nonresidential!$A:$A,$F671,nonresidential!$B:$B,$E671,nonresidential!$C:$C,$D671))</f>
        <v>0</v>
      </c>
      <c r="I671">
        <f>1</f>
        <v>1</v>
      </c>
    </row>
    <row r="672" spans="1:9">
      <c r="A672" t="s">
        <v>211</v>
      </c>
      <c r="B672" t="s">
        <v>162</v>
      </c>
      <c r="C672" t="s">
        <v>269</v>
      </c>
      <c r="D672" t="s">
        <v>26</v>
      </c>
      <c r="E672" t="s">
        <v>12</v>
      </c>
      <c r="F672">
        <v>2024</v>
      </c>
      <c r="G672" s="55">
        <f>10^6*IF($E672="charcoal",params!$P$13*INDEX(BAU_Fuel_cons!$E$2:$AS$34,MATCH(D672&amp;"_"&amp;E672,BAU_Fuel_cons!$AT$2:$AT$34,0),MATCH(F672,BAU_Fuel_cons!$E$1:$AS$1,0)),INDEX(BAU_Fuel_cons!$E$2:$AS$34,MATCH(D672&amp;"_"&amp;E672,BAU_Fuel_cons!$AT$2:$AT$34,0),MATCH(F672,BAU_Fuel_cons!$E$1:$AS$1,0)))</f>
        <v>0</v>
      </c>
      <c r="H672" s="55">
        <f>G672+10^6*IF($E672="charcoal",params!$P$13*SUMIFS(nonresidential!$L:$L,nonresidential!$A:$A,$F672,nonresidential!$B:$B,$E672,nonresidential!$C:$C,$D672),SUMIFS(nonresidential!$L:$L,nonresidential!$A:$A,$F672,nonresidential!$B:$B,$E672,nonresidential!$C:$C,$D672))</f>
        <v>0</v>
      </c>
      <c r="I672">
        <f>1</f>
        <v>1</v>
      </c>
    </row>
    <row r="673" spans="1:9">
      <c r="A673" t="s">
        <v>211</v>
      </c>
      <c r="B673" t="s">
        <v>162</v>
      </c>
      <c r="C673" t="s">
        <v>269</v>
      </c>
      <c r="D673" t="s">
        <v>26</v>
      </c>
      <c r="E673" t="s">
        <v>12</v>
      </c>
      <c r="F673">
        <v>2025</v>
      </c>
      <c r="G673" s="55">
        <f>10^6*IF($E673="charcoal",params!$P$13*INDEX(BAU_Fuel_cons!$E$2:$AS$34,MATCH(D673&amp;"_"&amp;E673,BAU_Fuel_cons!$AT$2:$AT$34,0),MATCH(F673,BAU_Fuel_cons!$E$1:$AS$1,0)),INDEX(BAU_Fuel_cons!$E$2:$AS$34,MATCH(D673&amp;"_"&amp;E673,BAU_Fuel_cons!$AT$2:$AT$34,0),MATCH(F673,BAU_Fuel_cons!$E$1:$AS$1,0)))</f>
        <v>0</v>
      </c>
      <c r="H673" s="55">
        <f>G673+10^6*IF($E673="charcoal",params!$P$13*SUMIFS(nonresidential!$L:$L,nonresidential!$A:$A,$F673,nonresidential!$B:$B,$E673,nonresidential!$C:$C,$D673),SUMIFS(nonresidential!$L:$L,nonresidential!$A:$A,$F673,nonresidential!$B:$B,$E673,nonresidential!$C:$C,$D673))</f>
        <v>0</v>
      </c>
      <c r="I673">
        <f>1</f>
        <v>1</v>
      </c>
    </row>
    <row r="674" spans="1:9">
      <c r="A674" t="s">
        <v>211</v>
      </c>
      <c r="B674" t="s">
        <v>162</v>
      </c>
      <c r="C674" t="s">
        <v>269</v>
      </c>
      <c r="D674" t="s">
        <v>26</v>
      </c>
      <c r="E674" t="s">
        <v>12</v>
      </c>
      <c r="F674">
        <v>2026</v>
      </c>
      <c r="G674" s="55">
        <f>10^6*IF($E674="charcoal",params!$P$13*INDEX(BAU_Fuel_cons!$E$2:$AS$34,MATCH(D674&amp;"_"&amp;E674,BAU_Fuel_cons!$AT$2:$AT$34,0),MATCH(F674,BAU_Fuel_cons!$E$1:$AS$1,0)),INDEX(BAU_Fuel_cons!$E$2:$AS$34,MATCH(D674&amp;"_"&amp;E674,BAU_Fuel_cons!$AT$2:$AT$34,0),MATCH(F674,BAU_Fuel_cons!$E$1:$AS$1,0)))</f>
        <v>0</v>
      </c>
      <c r="H674" s="55">
        <f>G674+10^6*IF($E674="charcoal",params!$P$13*SUMIFS(nonresidential!$L:$L,nonresidential!$A:$A,$F674,nonresidential!$B:$B,$E674,nonresidential!$C:$C,$D674),SUMIFS(nonresidential!$L:$L,nonresidential!$A:$A,$F674,nonresidential!$B:$B,$E674,nonresidential!$C:$C,$D674))</f>
        <v>0</v>
      </c>
      <c r="I674">
        <f>1</f>
        <v>1</v>
      </c>
    </row>
    <row r="675" spans="1:9">
      <c r="A675" t="s">
        <v>211</v>
      </c>
      <c r="B675" t="s">
        <v>162</v>
      </c>
      <c r="C675" t="s">
        <v>269</v>
      </c>
      <c r="D675" t="s">
        <v>26</v>
      </c>
      <c r="E675" t="s">
        <v>12</v>
      </c>
      <c r="F675">
        <v>2027</v>
      </c>
      <c r="G675" s="55">
        <f>10^6*IF($E675="charcoal",params!$P$13*INDEX(BAU_Fuel_cons!$E$2:$AS$34,MATCH(D675&amp;"_"&amp;E675,BAU_Fuel_cons!$AT$2:$AT$34,0),MATCH(F675,BAU_Fuel_cons!$E$1:$AS$1,0)),INDEX(BAU_Fuel_cons!$E$2:$AS$34,MATCH(D675&amp;"_"&amp;E675,BAU_Fuel_cons!$AT$2:$AT$34,0),MATCH(F675,BAU_Fuel_cons!$E$1:$AS$1,0)))</f>
        <v>0</v>
      </c>
      <c r="H675" s="55">
        <f>G675+10^6*IF($E675="charcoal",params!$P$13*SUMIFS(nonresidential!$L:$L,nonresidential!$A:$A,$F675,nonresidential!$B:$B,$E675,nonresidential!$C:$C,$D675),SUMIFS(nonresidential!$L:$L,nonresidential!$A:$A,$F675,nonresidential!$B:$B,$E675,nonresidential!$C:$C,$D675))</f>
        <v>0</v>
      </c>
      <c r="I675">
        <f>1</f>
        <v>1</v>
      </c>
    </row>
    <row r="676" spans="1:9">
      <c r="A676" t="s">
        <v>211</v>
      </c>
      <c r="B676" t="s">
        <v>162</v>
      </c>
      <c r="C676" t="s">
        <v>269</v>
      </c>
      <c r="D676" t="s">
        <v>26</v>
      </c>
      <c r="E676" t="s">
        <v>12</v>
      </c>
      <c r="F676">
        <v>2028</v>
      </c>
      <c r="G676" s="55">
        <f>10^6*IF($E676="charcoal",params!$P$13*INDEX(BAU_Fuel_cons!$E$2:$AS$34,MATCH(D676&amp;"_"&amp;E676,BAU_Fuel_cons!$AT$2:$AT$34,0),MATCH(F676,BAU_Fuel_cons!$E$1:$AS$1,0)),INDEX(BAU_Fuel_cons!$E$2:$AS$34,MATCH(D676&amp;"_"&amp;E676,BAU_Fuel_cons!$AT$2:$AT$34,0),MATCH(F676,BAU_Fuel_cons!$E$1:$AS$1,0)))</f>
        <v>0</v>
      </c>
      <c r="H676" s="55">
        <f>G676+10^6*IF($E676="charcoal",params!$P$13*SUMIFS(nonresidential!$L:$L,nonresidential!$A:$A,$F676,nonresidential!$B:$B,$E676,nonresidential!$C:$C,$D676),SUMIFS(nonresidential!$L:$L,nonresidential!$A:$A,$F676,nonresidential!$B:$B,$E676,nonresidential!$C:$C,$D676))</f>
        <v>0</v>
      </c>
      <c r="I676">
        <f>1</f>
        <v>1</v>
      </c>
    </row>
    <row r="677" spans="1:9">
      <c r="A677" t="s">
        <v>211</v>
      </c>
      <c r="B677" t="s">
        <v>162</v>
      </c>
      <c r="C677" t="s">
        <v>269</v>
      </c>
      <c r="D677" t="s">
        <v>26</v>
      </c>
      <c r="E677" t="s">
        <v>12</v>
      </c>
      <c r="F677">
        <v>2029</v>
      </c>
      <c r="G677" s="55">
        <f>10^6*IF($E677="charcoal",params!$P$13*INDEX(BAU_Fuel_cons!$E$2:$AS$34,MATCH(D677&amp;"_"&amp;E677,BAU_Fuel_cons!$AT$2:$AT$34,0),MATCH(F677,BAU_Fuel_cons!$E$1:$AS$1,0)),INDEX(BAU_Fuel_cons!$E$2:$AS$34,MATCH(D677&amp;"_"&amp;E677,BAU_Fuel_cons!$AT$2:$AT$34,0),MATCH(F677,BAU_Fuel_cons!$E$1:$AS$1,0)))</f>
        <v>0</v>
      </c>
      <c r="H677" s="55">
        <f>G677+10^6*IF($E677="charcoal",params!$P$13*SUMIFS(nonresidential!$L:$L,nonresidential!$A:$A,$F677,nonresidential!$B:$B,$E677,nonresidential!$C:$C,$D677),SUMIFS(nonresidential!$L:$L,nonresidential!$A:$A,$F677,nonresidential!$B:$B,$E677,nonresidential!$C:$C,$D677))</f>
        <v>0</v>
      </c>
      <c r="I677">
        <f>1</f>
        <v>1</v>
      </c>
    </row>
    <row r="678" spans="1:9">
      <c r="A678" t="s">
        <v>211</v>
      </c>
      <c r="B678" t="s">
        <v>162</v>
      </c>
      <c r="C678" t="s">
        <v>269</v>
      </c>
      <c r="D678" t="s">
        <v>26</v>
      </c>
      <c r="E678" t="s">
        <v>12</v>
      </c>
      <c r="F678">
        <v>2030</v>
      </c>
      <c r="G678" s="55">
        <f>10^6*IF($E678="charcoal",params!$P$13*INDEX(BAU_Fuel_cons!$E$2:$AS$34,MATCH(D678&amp;"_"&amp;E678,BAU_Fuel_cons!$AT$2:$AT$34,0),MATCH(F678,BAU_Fuel_cons!$E$1:$AS$1,0)),INDEX(BAU_Fuel_cons!$E$2:$AS$34,MATCH(D678&amp;"_"&amp;E678,BAU_Fuel_cons!$AT$2:$AT$34,0),MATCH(F678,BAU_Fuel_cons!$E$1:$AS$1,0)))</f>
        <v>0</v>
      </c>
      <c r="H678" s="55">
        <f>G678+10^6*IF($E678="charcoal",params!$P$13*SUMIFS(nonresidential!$L:$L,nonresidential!$A:$A,$F678,nonresidential!$B:$B,$E678,nonresidential!$C:$C,$D678),SUMIFS(nonresidential!$L:$L,nonresidential!$A:$A,$F678,nonresidential!$B:$B,$E678,nonresidential!$C:$C,$D678))</f>
        <v>0</v>
      </c>
      <c r="I678">
        <f>1</f>
        <v>1</v>
      </c>
    </row>
    <row r="679" spans="1:9">
      <c r="A679" t="s">
        <v>211</v>
      </c>
      <c r="B679" t="s">
        <v>162</v>
      </c>
      <c r="C679" t="s">
        <v>269</v>
      </c>
      <c r="D679" t="s">
        <v>26</v>
      </c>
      <c r="E679" t="s">
        <v>12</v>
      </c>
      <c r="F679">
        <v>2031</v>
      </c>
      <c r="G679" s="55">
        <f>10^6*IF($E679="charcoal",params!$P$13*INDEX(BAU_Fuel_cons!$E$2:$AS$34,MATCH(D679&amp;"_"&amp;E679,BAU_Fuel_cons!$AT$2:$AT$34,0),MATCH(F679,BAU_Fuel_cons!$E$1:$AS$1,0)),INDEX(BAU_Fuel_cons!$E$2:$AS$34,MATCH(D679&amp;"_"&amp;E679,BAU_Fuel_cons!$AT$2:$AT$34,0),MATCH(F679,BAU_Fuel_cons!$E$1:$AS$1,0)))</f>
        <v>0</v>
      </c>
      <c r="H679" s="55">
        <f>G679+10^6*IF($E679="charcoal",params!$P$13*SUMIFS(nonresidential!$L:$L,nonresidential!$A:$A,$F679,nonresidential!$B:$B,$E679,nonresidential!$C:$C,$D679),SUMIFS(nonresidential!$L:$L,nonresidential!$A:$A,$F679,nonresidential!$B:$B,$E679,nonresidential!$C:$C,$D679))</f>
        <v>0</v>
      </c>
      <c r="I679">
        <f>1</f>
        <v>1</v>
      </c>
    </row>
    <row r="680" spans="1:9">
      <c r="A680" t="s">
        <v>211</v>
      </c>
      <c r="B680" t="s">
        <v>162</v>
      </c>
      <c r="C680" t="s">
        <v>269</v>
      </c>
      <c r="D680" t="s">
        <v>26</v>
      </c>
      <c r="E680" t="s">
        <v>12</v>
      </c>
      <c r="F680">
        <v>2032</v>
      </c>
      <c r="G680" s="55">
        <f>10^6*IF($E680="charcoal",params!$P$13*INDEX(BAU_Fuel_cons!$E$2:$AS$34,MATCH(D680&amp;"_"&amp;E680,BAU_Fuel_cons!$AT$2:$AT$34,0),MATCH(F680,BAU_Fuel_cons!$E$1:$AS$1,0)),INDEX(BAU_Fuel_cons!$E$2:$AS$34,MATCH(D680&amp;"_"&amp;E680,BAU_Fuel_cons!$AT$2:$AT$34,0),MATCH(F680,BAU_Fuel_cons!$E$1:$AS$1,0)))</f>
        <v>0</v>
      </c>
      <c r="H680" s="55">
        <f>G680+10^6*IF($E680="charcoal",params!$P$13*SUMIFS(nonresidential!$L:$L,nonresidential!$A:$A,$F680,nonresidential!$B:$B,$E680,nonresidential!$C:$C,$D680),SUMIFS(nonresidential!$L:$L,nonresidential!$A:$A,$F680,nonresidential!$B:$B,$E680,nonresidential!$C:$C,$D680))</f>
        <v>0</v>
      </c>
      <c r="I680">
        <f>1</f>
        <v>1</v>
      </c>
    </row>
    <row r="681" spans="1:9">
      <c r="A681" t="s">
        <v>211</v>
      </c>
      <c r="B681" t="s">
        <v>162</v>
      </c>
      <c r="C681" t="s">
        <v>269</v>
      </c>
      <c r="D681" t="s">
        <v>26</v>
      </c>
      <c r="E681" t="s">
        <v>12</v>
      </c>
      <c r="F681">
        <v>2033</v>
      </c>
      <c r="G681" s="55">
        <f>10^6*IF($E681="charcoal",params!$P$13*INDEX(BAU_Fuel_cons!$E$2:$AS$34,MATCH(D681&amp;"_"&amp;E681,BAU_Fuel_cons!$AT$2:$AT$34,0),MATCH(F681,BAU_Fuel_cons!$E$1:$AS$1,0)),INDEX(BAU_Fuel_cons!$E$2:$AS$34,MATCH(D681&amp;"_"&amp;E681,BAU_Fuel_cons!$AT$2:$AT$34,0),MATCH(F681,BAU_Fuel_cons!$E$1:$AS$1,0)))</f>
        <v>0</v>
      </c>
      <c r="H681" s="55">
        <f>G681+10^6*IF($E681="charcoal",params!$P$13*SUMIFS(nonresidential!$L:$L,nonresidential!$A:$A,$F681,nonresidential!$B:$B,$E681,nonresidential!$C:$C,$D681),SUMIFS(nonresidential!$L:$L,nonresidential!$A:$A,$F681,nonresidential!$B:$B,$E681,nonresidential!$C:$C,$D681))</f>
        <v>0</v>
      </c>
      <c r="I681">
        <f>1</f>
        <v>1</v>
      </c>
    </row>
    <row r="682" spans="1:9">
      <c r="A682" t="s">
        <v>211</v>
      </c>
      <c r="B682" t="s">
        <v>162</v>
      </c>
      <c r="C682" t="s">
        <v>269</v>
      </c>
      <c r="D682" t="s">
        <v>26</v>
      </c>
      <c r="E682" t="s">
        <v>12</v>
      </c>
      <c r="F682">
        <v>2034</v>
      </c>
      <c r="G682" s="55">
        <f>10^6*IF($E682="charcoal",params!$P$13*INDEX(BAU_Fuel_cons!$E$2:$AS$34,MATCH(D682&amp;"_"&amp;E682,BAU_Fuel_cons!$AT$2:$AT$34,0),MATCH(F682,BAU_Fuel_cons!$E$1:$AS$1,0)),INDEX(BAU_Fuel_cons!$E$2:$AS$34,MATCH(D682&amp;"_"&amp;E682,BAU_Fuel_cons!$AT$2:$AT$34,0),MATCH(F682,BAU_Fuel_cons!$E$1:$AS$1,0)))</f>
        <v>0</v>
      </c>
      <c r="H682" s="55">
        <f>G682+10^6*IF($E682="charcoal",params!$P$13*SUMIFS(nonresidential!$L:$L,nonresidential!$A:$A,$F682,nonresidential!$B:$B,$E682,nonresidential!$C:$C,$D682),SUMIFS(nonresidential!$L:$L,nonresidential!$A:$A,$F682,nonresidential!$B:$B,$E682,nonresidential!$C:$C,$D682))</f>
        <v>0</v>
      </c>
      <c r="I682">
        <f>1</f>
        <v>1</v>
      </c>
    </row>
    <row r="683" spans="1:9">
      <c r="A683" t="s">
        <v>211</v>
      </c>
      <c r="B683" t="s">
        <v>162</v>
      </c>
      <c r="C683" t="s">
        <v>269</v>
      </c>
      <c r="D683" t="s">
        <v>26</v>
      </c>
      <c r="E683" t="s">
        <v>12</v>
      </c>
      <c r="F683">
        <v>2035</v>
      </c>
      <c r="G683" s="55">
        <f>10^6*IF($E683="charcoal",params!$P$13*INDEX(BAU_Fuel_cons!$E$2:$AS$34,MATCH(D683&amp;"_"&amp;E683,BAU_Fuel_cons!$AT$2:$AT$34,0),MATCH(F683,BAU_Fuel_cons!$E$1:$AS$1,0)),INDEX(BAU_Fuel_cons!$E$2:$AS$34,MATCH(D683&amp;"_"&amp;E683,BAU_Fuel_cons!$AT$2:$AT$34,0),MATCH(F683,BAU_Fuel_cons!$E$1:$AS$1,0)))</f>
        <v>0</v>
      </c>
      <c r="H683" s="55">
        <f>G683+10^6*IF($E683="charcoal",params!$P$13*SUMIFS(nonresidential!$L:$L,nonresidential!$A:$A,$F683,nonresidential!$B:$B,$E683,nonresidential!$C:$C,$D683),SUMIFS(nonresidential!$L:$L,nonresidential!$A:$A,$F683,nonresidential!$B:$B,$E683,nonresidential!$C:$C,$D683))</f>
        <v>0</v>
      </c>
      <c r="I683">
        <f>1</f>
        <v>1</v>
      </c>
    </row>
    <row r="684" spans="1:9">
      <c r="A684" t="s">
        <v>211</v>
      </c>
      <c r="B684" t="s">
        <v>162</v>
      </c>
      <c r="C684" t="s">
        <v>269</v>
      </c>
      <c r="D684" t="s">
        <v>26</v>
      </c>
      <c r="E684" t="s">
        <v>12</v>
      </c>
      <c r="F684">
        <v>2036</v>
      </c>
      <c r="G684" s="55">
        <f>10^6*IF($E684="charcoal",params!$P$13*INDEX(BAU_Fuel_cons!$E$2:$AS$34,MATCH(D684&amp;"_"&amp;E684,BAU_Fuel_cons!$AT$2:$AT$34,0),MATCH(F684,BAU_Fuel_cons!$E$1:$AS$1,0)),INDEX(BAU_Fuel_cons!$E$2:$AS$34,MATCH(D684&amp;"_"&amp;E684,BAU_Fuel_cons!$AT$2:$AT$34,0),MATCH(F684,BAU_Fuel_cons!$E$1:$AS$1,0)))</f>
        <v>0</v>
      </c>
      <c r="H684" s="55">
        <f>G684+10^6*IF($E684="charcoal",params!$P$13*SUMIFS(nonresidential!$L:$L,nonresidential!$A:$A,$F684,nonresidential!$B:$B,$E684,nonresidential!$C:$C,$D684),SUMIFS(nonresidential!$L:$L,nonresidential!$A:$A,$F684,nonresidential!$B:$B,$E684,nonresidential!$C:$C,$D684))</f>
        <v>0</v>
      </c>
      <c r="I684">
        <f>1</f>
        <v>1</v>
      </c>
    </row>
    <row r="685" spans="1:9">
      <c r="A685" t="s">
        <v>211</v>
      </c>
      <c r="B685" t="s">
        <v>162</v>
      </c>
      <c r="C685" t="s">
        <v>269</v>
      </c>
      <c r="D685" t="s">
        <v>26</v>
      </c>
      <c r="E685" t="s">
        <v>12</v>
      </c>
      <c r="F685">
        <v>2037</v>
      </c>
      <c r="G685" s="55">
        <f>10^6*IF($E685="charcoal",params!$P$13*INDEX(BAU_Fuel_cons!$E$2:$AS$34,MATCH(D685&amp;"_"&amp;E685,BAU_Fuel_cons!$AT$2:$AT$34,0),MATCH(F685,BAU_Fuel_cons!$E$1:$AS$1,0)),INDEX(BAU_Fuel_cons!$E$2:$AS$34,MATCH(D685&amp;"_"&amp;E685,BAU_Fuel_cons!$AT$2:$AT$34,0),MATCH(F685,BAU_Fuel_cons!$E$1:$AS$1,0)))</f>
        <v>0</v>
      </c>
      <c r="H685" s="55">
        <f>G685+10^6*IF($E685="charcoal",params!$P$13*SUMIFS(nonresidential!$L:$L,nonresidential!$A:$A,$F685,nonresidential!$B:$B,$E685,nonresidential!$C:$C,$D685),SUMIFS(nonresidential!$L:$L,nonresidential!$A:$A,$F685,nonresidential!$B:$B,$E685,nonresidential!$C:$C,$D685))</f>
        <v>0</v>
      </c>
      <c r="I685">
        <f>1</f>
        <v>1</v>
      </c>
    </row>
    <row r="686" spans="1:9">
      <c r="A686" t="s">
        <v>211</v>
      </c>
      <c r="B686" t="s">
        <v>162</v>
      </c>
      <c r="C686" t="s">
        <v>269</v>
      </c>
      <c r="D686" t="s">
        <v>26</v>
      </c>
      <c r="E686" t="s">
        <v>12</v>
      </c>
      <c r="F686">
        <v>2038</v>
      </c>
      <c r="G686" s="55">
        <f>10^6*IF($E686="charcoal",params!$P$13*INDEX(BAU_Fuel_cons!$E$2:$AS$34,MATCH(D686&amp;"_"&amp;E686,BAU_Fuel_cons!$AT$2:$AT$34,0),MATCH(F686,BAU_Fuel_cons!$E$1:$AS$1,0)),INDEX(BAU_Fuel_cons!$E$2:$AS$34,MATCH(D686&amp;"_"&amp;E686,BAU_Fuel_cons!$AT$2:$AT$34,0),MATCH(F686,BAU_Fuel_cons!$E$1:$AS$1,0)))</f>
        <v>0</v>
      </c>
      <c r="H686" s="55">
        <f>G686+10^6*IF($E686="charcoal",params!$P$13*SUMIFS(nonresidential!$L:$L,nonresidential!$A:$A,$F686,nonresidential!$B:$B,$E686,nonresidential!$C:$C,$D686),SUMIFS(nonresidential!$L:$L,nonresidential!$A:$A,$F686,nonresidential!$B:$B,$E686,nonresidential!$C:$C,$D686))</f>
        <v>0</v>
      </c>
      <c r="I686">
        <f>1</f>
        <v>1</v>
      </c>
    </row>
    <row r="687" spans="1:9">
      <c r="A687" t="s">
        <v>211</v>
      </c>
      <c r="B687" t="s">
        <v>162</v>
      </c>
      <c r="C687" t="s">
        <v>269</v>
      </c>
      <c r="D687" t="s">
        <v>26</v>
      </c>
      <c r="E687" t="s">
        <v>12</v>
      </c>
      <c r="F687">
        <v>2039</v>
      </c>
      <c r="G687" s="55">
        <f>10^6*IF($E687="charcoal",params!$P$13*INDEX(BAU_Fuel_cons!$E$2:$AS$34,MATCH(D687&amp;"_"&amp;E687,BAU_Fuel_cons!$AT$2:$AT$34,0),MATCH(F687,BAU_Fuel_cons!$E$1:$AS$1,0)),INDEX(BAU_Fuel_cons!$E$2:$AS$34,MATCH(D687&amp;"_"&amp;E687,BAU_Fuel_cons!$AT$2:$AT$34,0),MATCH(F687,BAU_Fuel_cons!$E$1:$AS$1,0)))</f>
        <v>0</v>
      </c>
      <c r="H687" s="55">
        <f>G687+10^6*IF($E687="charcoal",params!$P$13*SUMIFS(nonresidential!$L:$L,nonresidential!$A:$A,$F687,nonresidential!$B:$B,$E687,nonresidential!$C:$C,$D687),SUMIFS(nonresidential!$L:$L,nonresidential!$A:$A,$F687,nonresidential!$B:$B,$E687,nonresidential!$C:$C,$D687))</f>
        <v>0</v>
      </c>
      <c r="I687">
        <f>1</f>
        <v>1</v>
      </c>
    </row>
    <row r="688" spans="1:9">
      <c r="A688" t="s">
        <v>211</v>
      </c>
      <c r="B688" t="s">
        <v>162</v>
      </c>
      <c r="C688" t="s">
        <v>269</v>
      </c>
      <c r="D688" t="s">
        <v>26</v>
      </c>
      <c r="E688" t="s">
        <v>12</v>
      </c>
      <c r="F688">
        <v>2040</v>
      </c>
      <c r="G688" s="55">
        <f>10^6*IF($E688="charcoal",params!$P$13*INDEX(BAU_Fuel_cons!$E$2:$AS$34,MATCH(D688&amp;"_"&amp;E688,BAU_Fuel_cons!$AT$2:$AT$34,0),MATCH(F688,BAU_Fuel_cons!$E$1:$AS$1,0)),INDEX(BAU_Fuel_cons!$E$2:$AS$34,MATCH(D688&amp;"_"&amp;E688,BAU_Fuel_cons!$AT$2:$AT$34,0),MATCH(F688,BAU_Fuel_cons!$E$1:$AS$1,0)))</f>
        <v>0</v>
      </c>
      <c r="H688" s="55">
        <f>G688+10^6*IF($E688="charcoal",params!$P$13*SUMIFS(nonresidential!$L:$L,nonresidential!$A:$A,$F688,nonresidential!$B:$B,$E688,nonresidential!$C:$C,$D688),SUMIFS(nonresidential!$L:$L,nonresidential!$A:$A,$F688,nonresidential!$B:$B,$E688,nonresidential!$C:$C,$D688))</f>
        <v>0</v>
      </c>
      <c r="I688">
        <f>1</f>
        <v>1</v>
      </c>
    </row>
    <row r="689" spans="1:9">
      <c r="A689" t="s">
        <v>211</v>
      </c>
      <c r="B689" t="s">
        <v>162</v>
      </c>
      <c r="C689" t="s">
        <v>269</v>
      </c>
      <c r="D689" t="s">
        <v>26</v>
      </c>
      <c r="E689" t="s">
        <v>12</v>
      </c>
      <c r="F689">
        <v>2041</v>
      </c>
      <c r="G689" s="55">
        <f>10^6*IF($E689="charcoal",params!$P$13*INDEX(BAU_Fuel_cons!$E$2:$AS$34,MATCH(D689&amp;"_"&amp;E689,BAU_Fuel_cons!$AT$2:$AT$34,0),MATCH(F689,BAU_Fuel_cons!$E$1:$AS$1,0)),INDEX(BAU_Fuel_cons!$E$2:$AS$34,MATCH(D689&amp;"_"&amp;E689,BAU_Fuel_cons!$AT$2:$AT$34,0),MATCH(F689,BAU_Fuel_cons!$E$1:$AS$1,0)))</f>
        <v>0</v>
      </c>
      <c r="H689" s="55">
        <f>G689+10^6*IF($E689="charcoal",params!$P$13*SUMIFS(nonresidential!$L:$L,nonresidential!$A:$A,$F689,nonresidential!$B:$B,$E689,nonresidential!$C:$C,$D689),SUMIFS(nonresidential!$L:$L,nonresidential!$A:$A,$F689,nonresidential!$B:$B,$E689,nonresidential!$C:$C,$D689))</f>
        <v>0</v>
      </c>
      <c r="I689">
        <f>1</f>
        <v>1</v>
      </c>
    </row>
    <row r="690" spans="1:9">
      <c r="A690" t="s">
        <v>211</v>
      </c>
      <c r="B690" t="s">
        <v>162</v>
      </c>
      <c r="C690" t="s">
        <v>269</v>
      </c>
      <c r="D690" t="s">
        <v>26</v>
      </c>
      <c r="E690" t="s">
        <v>12</v>
      </c>
      <c r="F690">
        <v>2042</v>
      </c>
      <c r="G690" s="55">
        <f>10^6*IF($E690="charcoal",params!$P$13*INDEX(BAU_Fuel_cons!$E$2:$AS$34,MATCH(D690&amp;"_"&amp;E690,BAU_Fuel_cons!$AT$2:$AT$34,0),MATCH(F690,BAU_Fuel_cons!$E$1:$AS$1,0)),INDEX(BAU_Fuel_cons!$E$2:$AS$34,MATCH(D690&amp;"_"&amp;E690,BAU_Fuel_cons!$AT$2:$AT$34,0),MATCH(F690,BAU_Fuel_cons!$E$1:$AS$1,0)))</f>
        <v>0</v>
      </c>
      <c r="H690" s="55">
        <f>G690+10^6*IF($E690="charcoal",params!$P$13*SUMIFS(nonresidential!$L:$L,nonresidential!$A:$A,$F690,nonresidential!$B:$B,$E690,nonresidential!$C:$C,$D690),SUMIFS(nonresidential!$L:$L,nonresidential!$A:$A,$F690,nonresidential!$B:$B,$E690,nonresidential!$C:$C,$D690))</f>
        <v>0</v>
      </c>
      <c r="I690">
        <f>1</f>
        <v>1</v>
      </c>
    </row>
    <row r="691" spans="1:9">
      <c r="A691" t="s">
        <v>211</v>
      </c>
      <c r="B691" t="s">
        <v>162</v>
      </c>
      <c r="C691" t="s">
        <v>269</v>
      </c>
      <c r="D691" t="s">
        <v>26</v>
      </c>
      <c r="E691" t="s">
        <v>12</v>
      </c>
      <c r="F691">
        <v>2043</v>
      </c>
      <c r="G691" s="55">
        <f>10^6*IF($E691="charcoal",params!$P$13*INDEX(BAU_Fuel_cons!$E$2:$AS$34,MATCH(D691&amp;"_"&amp;E691,BAU_Fuel_cons!$AT$2:$AT$34,0),MATCH(F691,BAU_Fuel_cons!$E$1:$AS$1,0)),INDEX(BAU_Fuel_cons!$E$2:$AS$34,MATCH(D691&amp;"_"&amp;E691,BAU_Fuel_cons!$AT$2:$AT$34,0),MATCH(F691,BAU_Fuel_cons!$E$1:$AS$1,0)))</f>
        <v>0</v>
      </c>
      <c r="H691" s="55">
        <f>G691+10^6*IF($E691="charcoal",params!$P$13*SUMIFS(nonresidential!$L:$L,nonresidential!$A:$A,$F691,nonresidential!$B:$B,$E691,nonresidential!$C:$C,$D691),SUMIFS(nonresidential!$L:$L,nonresidential!$A:$A,$F691,nonresidential!$B:$B,$E691,nonresidential!$C:$C,$D691))</f>
        <v>0</v>
      </c>
      <c r="I691">
        <f>1</f>
        <v>1</v>
      </c>
    </row>
    <row r="692" spans="1:9">
      <c r="A692" t="s">
        <v>211</v>
      </c>
      <c r="B692" t="s">
        <v>162</v>
      </c>
      <c r="C692" t="s">
        <v>269</v>
      </c>
      <c r="D692" t="s">
        <v>26</v>
      </c>
      <c r="E692" t="s">
        <v>12</v>
      </c>
      <c r="F692">
        <v>2044</v>
      </c>
      <c r="G692" s="55">
        <f>10^6*IF($E692="charcoal",params!$P$13*INDEX(BAU_Fuel_cons!$E$2:$AS$34,MATCH(D692&amp;"_"&amp;E692,BAU_Fuel_cons!$AT$2:$AT$34,0),MATCH(F692,BAU_Fuel_cons!$E$1:$AS$1,0)),INDEX(BAU_Fuel_cons!$E$2:$AS$34,MATCH(D692&amp;"_"&amp;E692,BAU_Fuel_cons!$AT$2:$AT$34,0),MATCH(F692,BAU_Fuel_cons!$E$1:$AS$1,0)))</f>
        <v>0</v>
      </c>
      <c r="H692" s="55">
        <f>G692+10^6*IF($E692="charcoal",params!$P$13*SUMIFS(nonresidential!$L:$L,nonresidential!$A:$A,$F692,nonresidential!$B:$B,$E692,nonresidential!$C:$C,$D692),SUMIFS(nonresidential!$L:$L,nonresidential!$A:$A,$F692,nonresidential!$B:$B,$E692,nonresidential!$C:$C,$D692))</f>
        <v>0</v>
      </c>
      <c r="I692">
        <f>1</f>
        <v>1</v>
      </c>
    </row>
    <row r="693" spans="1:9">
      <c r="A693" t="s">
        <v>211</v>
      </c>
      <c r="B693" t="s">
        <v>162</v>
      </c>
      <c r="C693" t="s">
        <v>269</v>
      </c>
      <c r="D693" t="s">
        <v>26</v>
      </c>
      <c r="E693" t="s">
        <v>12</v>
      </c>
      <c r="F693">
        <v>2045</v>
      </c>
      <c r="G693" s="55">
        <f>10^6*IF($E693="charcoal",params!$P$13*INDEX(BAU_Fuel_cons!$E$2:$AS$34,MATCH(D693&amp;"_"&amp;E693,BAU_Fuel_cons!$AT$2:$AT$34,0),MATCH(F693,BAU_Fuel_cons!$E$1:$AS$1,0)),INDEX(BAU_Fuel_cons!$E$2:$AS$34,MATCH(D693&amp;"_"&amp;E693,BAU_Fuel_cons!$AT$2:$AT$34,0),MATCH(F693,BAU_Fuel_cons!$E$1:$AS$1,0)))</f>
        <v>0</v>
      </c>
      <c r="H693" s="55">
        <f>G693+10^6*IF($E693="charcoal",params!$P$13*SUMIFS(nonresidential!$L:$L,nonresidential!$A:$A,$F693,nonresidential!$B:$B,$E693,nonresidential!$C:$C,$D693),SUMIFS(nonresidential!$L:$L,nonresidential!$A:$A,$F693,nonresidential!$B:$B,$E693,nonresidential!$C:$C,$D693))</f>
        <v>0</v>
      </c>
      <c r="I693">
        <f>1</f>
        <v>1</v>
      </c>
    </row>
    <row r="694" spans="1:9">
      <c r="A694" t="s">
        <v>211</v>
      </c>
      <c r="B694" t="s">
        <v>162</v>
      </c>
      <c r="C694" t="s">
        <v>269</v>
      </c>
      <c r="D694" t="s">
        <v>26</v>
      </c>
      <c r="E694" t="s">
        <v>12</v>
      </c>
      <c r="F694">
        <v>2046</v>
      </c>
      <c r="G694" s="55">
        <f>10^6*IF($E694="charcoal",params!$P$13*INDEX(BAU_Fuel_cons!$E$2:$AS$34,MATCH(D694&amp;"_"&amp;E694,BAU_Fuel_cons!$AT$2:$AT$34,0),MATCH(F694,BAU_Fuel_cons!$E$1:$AS$1,0)),INDEX(BAU_Fuel_cons!$E$2:$AS$34,MATCH(D694&amp;"_"&amp;E694,BAU_Fuel_cons!$AT$2:$AT$34,0),MATCH(F694,BAU_Fuel_cons!$E$1:$AS$1,0)))</f>
        <v>0</v>
      </c>
      <c r="H694" s="55">
        <f>G694+10^6*IF($E694="charcoal",params!$P$13*SUMIFS(nonresidential!$L:$L,nonresidential!$A:$A,$F694,nonresidential!$B:$B,$E694,nonresidential!$C:$C,$D694),SUMIFS(nonresidential!$L:$L,nonresidential!$A:$A,$F694,nonresidential!$B:$B,$E694,nonresidential!$C:$C,$D694))</f>
        <v>0</v>
      </c>
      <c r="I694">
        <f>1</f>
        <v>1</v>
      </c>
    </row>
    <row r="695" spans="1:9">
      <c r="A695" t="s">
        <v>211</v>
      </c>
      <c r="B695" t="s">
        <v>162</v>
      </c>
      <c r="C695" t="s">
        <v>269</v>
      </c>
      <c r="D695" t="s">
        <v>26</v>
      </c>
      <c r="E695" t="s">
        <v>12</v>
      </c>
      <c r="F695">
        <v>2047</v>
      </c>
      <c r="G695" s="55">
        <f>10^6*IF($E695="charcoal",params!$P$13*INDEX(BAU_Fuel_cons!$E$2:$AS$34,MATCH(D695&amp;"_"&amp;E695,BAU_Fuel_cons!$AT$2:$AT$34,0),MATCH(F695,BAU_Fuel_cons!$E$1:$AS$1,0)),INDEX(BAU_Fuel_cons!$E$2:$AS$34,MATCH(D695&amp;"_"&amp;E695,BAU_Fuel_cons!$AT$2:$AT$34,0),MATCH(F695,BAU_Fuel_cons!$E$1:$AS$1,0)))</f>
        <v>0</v>
      </c>
      <c r="H695" s="55">
        <f>G695+10^6*IF($E695="charcoal",params!$P$13*SUMIFS(nonresidential!$L:$L,nonresidential!$A:$A,$F695,nonresidential!$B:$B,$E695,nonresidential!$C:$C,$D695),SUMIFS(nonresidential!$L:$L,nonresidential!$A:$A,$F695,nonresidential!$B:$B,$E695,nonresidential!$C:$C,$D695))</f>
        <v>0</v>
      </c>
      <c r="I695">
        <f>1</f>
        <v>1</v>
      </c>
    </row>
    <row r="696" spans="1:9">
      <c r="A696" t="s">
        <v>211</v>
      </c>
      <c r="B696" t="s">
        <v>162</v>
      </c>
      <c r="C696" t="s">
        <v>269</v>
      </c>
      <c r="D696" t="s">
        <v>26</v>
      </c>
      <c r="E696" t="s">
        <v>12</v>
      </c>
      <c r="F696">
        <v>2048</v>
      </c>
      <c r="G696" s="55">
        <f>10^6*IF($E696="charcoal",params!$P$13*INDEX(BAU_Fuel_cons!$E$2:$AS$34,MATCH(D696&amp;"_"&amp;E696,BAU_Fuel_cons!$AT$2:$AT$34,0),MATCH(F696,BAU_Fuel_cons!$E$1:$AS$1,0)),INDEX(BAU_Fuel_cons!$E$2:$AS$34,MATCH(D696&amp;"_"&amp;E696,BAU_Fuel_cons!$AT$2:$AT$34,0),MATCH(F696,BAU_Fuel_cons!$E$1:$AS$1,0)))</f>
        <v>0</v>
      </c>
      <c r="H696" s="55">
        <f>G696+10^6*IF($E696="charcoal",params!$P$13*SUMIFS(nonresidential!$L:$L,nonresidential!$A:$A,$F696,nonresidential!$B:$B,$E696,nonresidential!$C:$C,$D696),SUMIFS(nonresidential!$L:$L,nonresidential!$A:$A,$F696,nonresidential!$B:$B,$E696,nonresidential!$C:$C,$D696))</f>
        <v>0</v>
      </c>
      <c r="I696">
        <f>1</f>
        <v>1</v>
      </c>
    </row>
    <row r="697" spans="1:9">
      <c r="A697" t="s">
        <v>211</v>
      </c>
      <c r="B697" t="s">
        <v>162</v>
      </c>
      <c r="C697" t="s">
        <v>269</v>
      </c>
      <c r="D697" t="s">
        <v>26</v>
      </c>
      <c r="E697" t="s">
        <v>12</v>
      </c>
      <c r="F697">
        <v>2049</v>
      </c>
      <c r="G697" s="55">
        <f>10^6*IF($E697="charcoal",params!$P$13*INDEX(BAU_Fuel_cons!$E$2:$AS$34,MATCH(D697&amp;"_"&amp;E697,BAU_Fuel_cons!$AT$2:$AT$34,0),MATCH(F697,BAU_Fuel_cons!$E$1:$AS$1,0)),INDEX(BAU_Fuel_cons!$E$2:$AS$34,MATCH(D697&amp;"_"&amp;E697,BAU_Fuel_cons!$AT$2:$AT$34,0),MATCH(F697,BAU_Fuel_cons!$E$1:$AS$1,0)))</f>
        <v>0</v>
      </c>
      <c r="H697" s="55">
        <f>G697+10^6*IF($E697="charcoal",params!$P$13*SUMIFS(nonresidential!$L:$L,nonresidential!$A:$A,$F697,nonresidential!$B:$B,$E697,nonresidential!$C:$C,$D697),SUMIFS(nonresidential!$L:$L,nonresidential!$A:$A,$F697,nonresidential!$B:$B,$E697,nonresidential!$C:$C,$D697))</f>
        <v>0</v>
      </c>
      <c r="I697">
        <f>1</f>
        <v>1</v>
      </c>
    </row>
    <row r="698" spans="1:9">
      <c r="A698" t="s">
        <v>211</v>
      </c>
      <c r="B698" t="s">
        <v>162</v>
      </c>
      <c r="C698" t="s">
        <v>269</v>
      </c>
      <c r="D698" t="s">
        <v>26</v>
      </c>
      <c r="E698" t="s">
        <v>12</v>
      </c>
      <c r="F698">
        <v>2050</v>
      </c>
      <c r="G698" s="55">
        <f>10^6*IF($E698="charcoal",params!$P$13*INDEX(BAU_Fuel_cons!$E$2:$AS$34,MATCH(D698&amp;"_"&amp;E698,BAU_Fuel_cons!$AT$2:$AT$34,0),MATCH(F698,BAU_Fuel_cons!$E$1:$AS$1,0)),INDEX(BAU_Fuel_cons!$E$2:$AS$34,MATCH(D698&amp;"_"&amp;E698,BAU_Fuel_cons!$AT$2:$AT$34,0),MATCH(F698,BAU_Fuel_cons!$E$1:$AS$1,0)))</f>
        <v>0</v>
      </c>
      <c r="H698" s="55">
        <f>G698+10^6*IF($E698="charcoal",params!$P$13*SUMIFS(nonresidential!$L:$L,nonresidential!$A:$A,$F698,nonresidential!$B:$B,$E698,nonresidential!$C:$C,$D698),SUMIFS(nonresidential!$L:$L,nonresidential!$A:$A,$F698,nonresidential!$B:$B,$E698,nonresidential!$C:$C,$D698))</f>
        <v>0</v>
      </c>
      <c r="I698">
        <f>1</f>
        <v>1</v>
      </c>
    </row>
    <row r="699" spans="1:9">
      <c r="A699" t="s">
        <v>211</v>
      </c>
      <c r="B699" t="s">
        <v>162</v>
      </c>
      <c r="C699" t="s">
        <v>269</v>
      </c>
      <c r="D699" t="s">
        <v>26</v>
      </c>
      <c r="E699" t="s">
        <v>13</v>
      </c>
      <c r="F699">
        <v>2010</v>
      </c>
      <c r="G699" s="55">
        <f>10^6*IF($E699="charcoal",params!$P$13*INDEX(BAU_Fuel_cons!$E$2:$AS$34,MATCH(D699&amp;"_"&amp;E699,BAU_Fuel_cons!$AT$2:$AT$34,0),MATCH(F699,BAU_Fuel_cons!$E$1:$AS$1,0)),INDEX(BAU_Fuel_cons!$E$2:$AS$34,MATCH(D699&amp;"_"&amp;E699,BAU_Fuel_cons!$AT$2:$AT$34,0),MATCH(F699,BAU_Fuel_cons!$E$1:$AS$1,0)))</f>
        <v>23503.144594657089</v>
      </c>
      <c r="H699" s="55">
        <f>G699+10^6*IF($E699="charcoal",params!$P$13*SUMIFS(nonresidential!$L:$L,nonresidential!$A:$A,$F699,nonresidential!$B:$B,$E699,nonresidential!$C:$C,$D699),SUMIFS(nonresidential!$L:$L,nonresidential!$A:$A,$F699,nonresidential!$B:$B,$E699,nonresidential!$C:$C,$D699))</f>
        <v>23503.144594657089</v>
      </c>
      <c r="I699">
        <f>1</f>
        <v>1</v>
      </c>
    </row>
    <row r="700" spans="1:9">
      <c r="A700" t="s">
        <v>211</v>
      </c>
      <c r="B700" t="s">
        <v>162</v>
      </c>
      <c r="C700" t="s">
        <v>269</v>
      </c>
      <c r="D700" t="s">
        <v>26</v>
      </c>
      <c r="E700" t="s">
        <v>13</v>
      </c>
      <c r="F700">
        <v>2011</v>
      </c>
      <c r="G700" s="55">
        <f>10^6*IF($E700="charcoal",params!$P$13*INDEX(BAU_Fuel_cons!$E$2:$AS$34,MATCH(D700&amp;"_"&amp;E700,BAU_Fuel_cons!$AT$2:$AT$34,0),MATCH(F700,BAU_Fuel_cons!$E$1:$AS$1,0)),INDEX(BAU_Fuel_cons!$E$2:$AS$34,MATCH(D700&amp;"_"&amp;E700,BAU_Fuel_cons!$AT$2:$AT$34,0),MATCH(F700,BAU_Fuel_cons!$E$1:$AS$1,0)))</f>
        <v>23080.414781686446</v>
      </c>
      <c r="H700" s="55">
        <f>G700+10^6*IF($E700="charcoal",params!$P$13*SUMIFS(nonresidential!$L:$L,nonresidential!$A:$A,$F700,nonresidential!$B:$B,$E700,nonresidential!$C:$C,$D700),SUMIFS(nonresidential!$L:$L,nonresidential!$A:$A,$F700,nonresidential!$B:$B,$E700,nonresidential!$C:$C,$D700))</f>
        <v>23080.414781686446</v>
      </c>
      <c r="I700">
        <f>1</f>
        <v>1</v>
      </c>
    </row>
    <row r="701" spans="1:9">
      <c r="A701" t="s">
        <v>211</v>
      </c>
      <c r="B701" t="s">
        <v>162</v>
      </c>
      <c r="C701" t="s">
        <v>269</v>
      </c>
      <c r="D701" t="s">
        <v>26</v>
      </c>
      <c r="E701" t="s">
        <v>13</v>
      </c>
      <c r="F701">
        <v>2012</v>
      </c>
      <c r="G701" s="55">
        <f>10^6*IF($E701="charcoal",params!$P$13*INDEX(BAU_Fuel_cons!$E$2:$AS$34,MATCH(D701&amp;"_"&amp;E701,BAU_Fuel_cons!$AT$2:$AT$34,0),MATCH(F701,BAU_Fuel_cons!$E$1:$AS$1,0)),INDEX(BAU_Fuel_cons!$E$2:$AS$34,MATCH(D701&amp;"_"&amp;E701,BAU_Fuel_cons!$AT$2:$AT$34,0),MATCH(F701,BAU_Fuel_cons!$E$1:$AS$1,0)))</f>
        <v>22603.605117036019</v>
      </c>
      <c r="H701" s="55">
        <f>G701+10^6*IF($E701="charcoal",params!$P$13*SUMIFS(nonresidential!$L:$L,nonresidential!$A:$A,$F701,nonresidential!$B:$B,$E701,nonresidential!$C:$C,$D701),SUMIFS(nonresidential!$L:$L,nonresidential!$A:$A,$F701,nonresidential!$B:$B,$E701,nonresidential!$C:$C,$D701))</f>
        <v>22603.605117036019</v>
      </c>
      <c r="I701">
        <f>1</f>
        <v>1</v>
      </c>
    </row>
    <row r="702" spans="1:9">
      <c r="A702" t="s">
        <v>211</v>
      </c>
      <c r="B702" t="s">
        <v>162</v>
      </c>
      <c r="C702" t="s">
        <v>269</v>
      </c>
      <c r="D702" t="s">
        <v>26</v>
      </c>
      <c r="E702" t="s">
        <v>13</v>
      </c>
      <c r="F702">
        <v>2013</v>
      </c>
      <c r="G702" s="55">
        <f>10^6*IF($E702="charcoal",params!$P$13*INDEX(BAU_Fuel_cons!$E$2:$AS$34,MATCH(D702&amp;"_"&amp;E702,BAU_Fuel_cons!$AT$2:$AT$34,0),MATCH(F702,BAU_Fuel_cons!$E$1:$AS$1,0)),INDEX(BAU_Fuel_cons!$E$2:$AS$34,MATCH(D702&amp;"_"&amp;E702,BAU_Fuel_cons!$AT$2:$AT$34,0),MATCH(F702,BAU_Fuel_cons!$E$1:$AS$1,0)))</f>
        <v>22072.502714232203</v>
      </c>
      <c r="H702" s="55">
        <f>G702+10^6*IF($E702="charcoal",params!$P$13*SUMIFS(nonresidential!$L:$L,nonresidential!$A:$A,$F702,nonresidential!$B:$B,$E702,nonresidential!$C:$C,$D702),SUMIFS(nonresidential!$L:$L,nonresidential!$A:$A,$F702,nonresidential!$B:$B,$E702,nonresidential!$C:$C,$D702))</f>
        <v>22072.502714232203</v>
      </c>
      <c r="I702">
        <f>1</f>
        <v>1</v>
      </c>
    </row>
    <row r="703" spans="1:9">
      <c r="A703" t="s">
        <v>211</v>
      </c>
      <c r="B703" t="s">
        <v>162</v>
      </c>
      <c r="C703" t="s">
        <v>269</v>
      </c>
      <c r="D703" t="s">
        <v>26</v>
      </c>
      <c r="E703" t="s">
        <v>13</v>
      </c>
      <c r="F703">
        <v>2014</v>
      </c>
      <c r="G703" s="55">
        <f>10^6*IF($E703="charcoal",params!$P$13*INDEX(BAU_Fuel_cons!$E$2:$AS$34,MATCH(D703&amp;"_"&amp;E703,BAU_Fuel_cons!$AT$2:$AT$34,0),MATCH(F703,BAU_Fuel_cons!$E$1:$AS$1,0)),INDEX(BAU_Fuel_cons!$E$2:$AS$34,MATCH(D703&amp;"_"&amp;E703,BAU_Fuel_cons!$AT$2:$AT$34,0),MATCH(F703,BAU_Fuel_cons!$E$1:$AS$1,0)))</f>
        <v>21487.550503780225</v>
      </c>
      <c r="H703" s="55">
        <f>G703+10^6*IF($E703="charcoal",params!$P$13*SUMIFS(nonresidential!$L:$L,nonresidential!$A:$A,$F703,nonresidential!$B:$B,$E703,nonresidential!$C:$C,$D703),SUMIFS(nonresidential!$L:$L,nonresidential!$A:$A,$F703,nonresidential!$B:$B,$E703,nonresidential!$C:$C,$D703))</f>
        <v>21487.550503780225</v>
      </c>
      <c r="I703">
        <f>1</f>
        <v>1</v>
      </c>
    </row>
    <row r="704" spans="1:9">
      <c r="A704" t="s">
        <v>211</v>
      </c>
      <c r="B704" t="s">
        <v>162</v>
      </c>
      <c r="C704" t="s">
        <v>269</v>
      </c>
      <c r="D704" t="s">
        <v>26</v>
      </c>
      <c r="E704" t="s">
        <v>13</v>
      </c>
      <c r="F704">
        <v>2015</v>
      </c>
      <c r="G704" s="55">
        <f>10^6*IF($E704="charcoal",params!$P$13*INDEX(BAU_Fuel_cons!$E$2:$AS$34,MATCH(D704&amp;"_"&amp;E704,BAU_Fuel_cons!$AT$2:$AT$34,0),MATCH(F704,BAU_Fuel_cons!$E$1:$AS$1,0)),INDEX(BAU_Fuel_cons!$E$2:$AS$34,MATCH(D704&amp;"_"&amp;E704,BAU_Fuel_cons!$AT$2:$AT$34,0),MATCH(F704,BAU_Fuel_cons!$E$1:$AS$1,0)))</f>
        <v>20848.219429289355</v>
      </c>
      <c r="H704" s="55">
        <f>G704+10^6*IF($E704="charcoal",params!$P$13*SUMIFS(nonresidential!$L:$L,nonresidential!$A:$A,$F704,nonresidential!$B:$B,$E704,nonresidential!$C:$C,$D704),SUMIFS(nonresidential!$L:$L,nonresidential!$A:$A,$F704,nonresidential!$B:$B,$E704,nonresidential!$C:$C,$D704))</f>
        <v>20848.219429289355</v>
      </c>
      <c r="I704">
        <f>1</f>
        <v>1</v>
      </c>
    </row>
    <row r="705" spans="1:9">
      <c r="A705" t="s">
        <v>211</v>
      </c>
      <c r="B705" t="s">
        <v>162</v>
      </c>
      <c r="C705" t="s">
        <v>269</v>
      </c>
      <c r="D705" t="s">
        <v>26</v>
      </c>
      <c r="E705" t="s">
        <v>13</v>
      </c>
      <c r="F705">
        <v>2016</v>
      </c>
      <c r="G705" s="55">
        <f>10^6*IF($E705="charcoal",params!$P$13*INDEX(BAU_Fuel_cons!$E$2:$AS$34,MATCH(D705&amp;"_"&amp;E705,BAU_Fuel_cons!$AT$2:$AT$34,0),MATCH(F705,BAU_Fuel_cons!$E$1:$AS$1,0)),INDEX(BAU_Fuel_cons!$E$2:$AS$34,MATCH(D705&amp;"_"&amp;E705,BAU_Fuel_cons!$AT$2:$AT$34,0),MATCH(F705,BAU_Fuel_cons!$E$1:$AS$1,0)))</f>
        <v>20152.467341319407</v>
      </c>
      <c r="H705" s="55">
        <f>G705+10^6*IF($E705="charcoal",params!$P$13*SUMIFS(nonresidential!$L:$L,nonresidential!$A:$A,$F705,nonresidential!$B:$B,$E705,nonresidential!$C:$C,$D705),SUMIFS(nonresidential!$L:$L,nonresidential!$A:$A,$F705,nonresidential!$B:$B,$E705,nonresidential!$C:$C,$D705))</f>
        <v>20152.467341319407</v>
      </c>
      <c r="I705">
        <f>1</f>
        <v>1</v>
      </c>
    </row>
    <row r="706" spans="1:9">
      <c r="A706" t="s">
        <v>211</v>
      </c>
      <c r="B706" t="s">
        <v>162</v>
      </c>
      <c r="C706" t="s">
        <v>269</v>
      </c>
      <c r="D706" t="s">
        <v>26</v>
      </c>
      <c r="E706" t="s">
        <v>13</v>
      </c>
      <c r="F706">
        <v>2017</v>
      </c>
      <c r="G706" s="55">
        <f>10^6*IF($E706="charcoal",params!$P$13*INDEX(BAU_Fuel_cons!$E$2:$AS$34,MATCH(D706&amp;"_"&amp;E706,BAU_Fuel_cons!$AT$2:$AT$34,0),MATCH(F706,BAU_Fuel_cons!$E$1:$AS$1,0)),INDEX(BAU_Fuel_cons!$E$2:$AS$34,MATCH(D706&amp;"_"&amp;E706,BAU_Fuel_cons!$AT$2:$AT$34,0),MATCH(F706,BAU_Fuel_cons!$E$1:$AS$1,0)))</f>
        <v>19397.508079654875</v>
      </c>
      <c r="H706" s="55">
        <f>G706+10^6*IF($E706="charcoal",params!$P$13*SUMIFS(nonresidential!$L:$L,nonresidential!$A:$A,$F706,nonresidential!$B:$B,$E706,nonresidential!$C:$C,$D706),SUMIFS(nonresidential!$L:$L,nonresidential!$A:$A,$F706,nonresidential!$B:$B,$E706,nonresidential!$C:$C,$D706))</f>
        <v>19397.508079654875</v>
      </c>
      <c r="I706">
        <f>1</f>
        <v>1</v>
      </c>
    </row>
    <row r="707" spans="1:9">
      <c r="A707" t="s">
        <v>211</v>
      </c>
      <c r="B707" t="s">
        <v>162</v>
      </c>
      <c r="C707" t="s">
        <v>269</v>
      </c>
      <c r="D707" t="s">
        <v>26</v>
      </c>
      <c r="E707" t="s">
        <v>13</v>
      </c>
      <c r="F707">
        <v>2018</v>
      </c>
      <c r="G707" s="55">
        <f>10^6*IF($E707="charcoal",params!$P$13*INDEX(BAU_Fuel_cons!$E$2:$AS$34,MATCH(D707&amp;"_"&amp;E707,BAU_Fuel_cons!$AT$2:$AT$34,0),MATCH(F707,BAU_Fuel_cons!$E$1:$AS$1,0)),INDEX(BAU_Fuel_cons!$E$2:$AS$34,MATCH(D707&amp;"_"&amp;E707,BAU_Fuel_cons!$AT$2:$AT$34,0),MATCH(F707,BAU_Fuel_cons!$E$1:$AS$1,0)))</f>
        <v>18581.000295744409</v>
      </c>
      <c r="H707" s="55">
        <f>G707+10^6*IF($E707="charcoal",params!$P$13*SUMIFS(nonresidential!$L:$L,nonresidential!$A:$A,$F707,nonresidential!$B:$B,$E707,nonresidential!$C:$C,$D707),SUMIFS(nonresidential!$L:$L,nonresidential!$A:$A,$F707,nonresidential!$B:$B,$E707,nonresidential!$C:$C,$D707))</f>
        <v>18581.000295744409</v>
      </c>
      <c r="I707">
        <f>1</f>
        <v>1</v>
      </c>
    </row>
    <row r="708" spans="1:9">
      <c r="A708" t="s">
        <v>211</v>
      </c>
      <c r="B708" t="s">
        <v>162</v>
      </c>
      <c r="C708" t="s">
        <v>269</v>
      </c>
      <c r="D708" t="s">
        <v>26</v>
      </c>
      <c r="E708" t="s">
        <v>13</v>
      </c>
      <c r="F708">
        <v>2019</v>
      </c>
      <c r="G708" s="55">
        <f>10^6*IF($E708="charcoal",params!$P$13*INDEX(BAU_Fuel_cons!$E$2:$AS$34,MATCH(D708&amp;"_"&amp;E708,BAU_Fuel_cons!$AT$2:$AT$34,0),MATCH(F708,BAU_Fuel_cons!$E$1:$AS$1,0)),INDEX(BAU_Fuel_cons!$E$2:$AS$34,MATCH(D708&amp;"_"&amp;E708,BAU_Fuel_cons!$AT$2:$AT$34,0),MATCH(F708,BAU_Fuel_cons!$E$1:$AS$1,0)))</f>
        <v>17700.622306533354</v>
      </c>
      <c r="H708" s="55">
        <f>G708+10^6*IF($E708="charcoal",params!$P$13*SUMIFS(nonresidential!$L:$L,nonresidential!$A:$A,$F708,nonresidential!$B:$B,$E708,nonresidential!$C:$C,$D708),SUMIFS(nonresidential!$L:$L,nonresidential!$A:$A,$F708,nonresidential!$B:$B,$E708,nonresidential!$C:$C,$D708))</f>
        <v>17700.622306533354</v>
      </c>
      <c r="I708">
        <f>1</f>
        <v>1</v>
      </c>
    </row>
    <row r="709" spans="1:9">
      <c r="A709" t="s">
        <v>211</v>
      </c>
      <c r="B709" t="s">
        <v>162</v>
      </c>
      <c r="C709" t="s">
        <v>269</v>
      </c>
      <c r="D709" t="s">
        <v>26</v>
      </c>
      <c r="E709" t="s">
        <v>13</v>
      </c>
      <c r="F709">
        <v>2020</v>
      </c>
      <c r="G709" s="55">
        <f>10^6*IF($E709="charcoal",params!$P$13*INDEX(BAU_Fuel_cons!$E$2:$AS$34,MATCH(D709&amp;"_"&amp;E709,BAU_Fuel_cons!$AT$2:$AT$34,0),MATCH(F709,BAU_Fuel_cons!$E$1:$AS$1,0)),INDEX(BAU_Fuel_cons!$E$2:$AS$34,MATCH(D709&amp;"_"&amp;E709,BAU_Fuel_cons!$AT$2:$AT$34,0),MATCH(F709,BAU_Fuel_cons!$E$1:$AS$1,0)))</f>
        <v>16754.564938288026</v>
      </c>
      <c r="H709" s="55">
        <f>G709+10^6*IF($E709="charcoal",params!$P$13*SUMIFS(nonresidential!$L:$L,nonresidential!$A:$A,$F709,nonresidential!$B:$B,$E709,nonresidential!$C:$C,$D709),SUMIFS(nonresidential!$L:$L,nonresidential!$A:$A,$F709,nonresidential!$B:$B,$E709,nonresidential!$C:$C,$D709))</f>
        <v>16754.564938288026</v>
      </c>
      <c r="I709">
        <f>1</f>
        <v>1</v>
      </c>
    </row>
    <row r="710" spans="1:9">
      <c r="A710" t="s">
        <v>211</v>
      </c>
      <c r="B710" t="s">
        <v>162</v>
      </c>
      <c r="C710" t="s">
        <v>269</v>
      </c>
      <c r="D710" t="s">
        <v>26</v>
      </c>
      <c r="E710" t="s">
        <v>13</v>
      </c>
      <c r="F710">
        <v>2021</v>
      </c>
      <c r="G710" s="55">
        <f>10^6*IF($E710="charcoal",params!$P$13*INDEX(BAU_Fuel_cons!$E$2:$AS$34,MATCH(D710&amp;"_"&amp;E710,BAU_Fuel_cons!$AT$2:$AT$34,0),MATCH(F710,BAU_Fuel_cons!$E$1:$AS$1,0)),INDEX(BAU_Fuel_cons!$E$2:$AS$34,MATCH(D710&amp;"_"&amp;E710,BAU_Fuel_cons!$AT$2:$AT$34,0),MATCH(F710,BAU_Fuel_cons!$E$1:$AS$1,0)))</f>
        <v>15741.3210530178</v>
      </c>
      <c r="H710" s="55">
        <f>G710+10^6*IF($E710="charcoal",params!$P$13*SUMIFS(nonresidential!$L:$L,nonresidential!$A:$A,$F710,nonresidential!$B:$B,$E710,nonresidential!$C:$C,$D710),SUMIFS(nonresidential!$L:$L,nonresidential!$A:$A,$F710,nonresidential!$B:$B,$E710,nonresidential!$C:$C,$D710))</f>
        <v>15741.3210530178</v>
      </c>
      <c r="I710">
        <f>1</f>
        <v>1</v>
      </c>
    </row>
    <row r="711" spans="1:9">
      <c r="A711" t="s">
        <v>211</v>
      </c>
      <c r="B711" t="s">
        <v>162</v>
      </c>
      <c r="C711" t="s">
        <v>269</v>
      </c>
      <c r="D711" t="s">
        <v>26</v>
      </c>
      <c r="E711" t="s">
        <v>13</v>
      </c>
      <c r="F711">
        <v>2022</v>
      </c>
      <c r="G711" s="55">
        <f>10^6*IF($E711="charcoal",params!$P$13*INDEX(BAU_Fuel_cons!$E$2:$AS$34,MATCH(D711&amp;"_"&amp;E711,BAU_Fuel_cons!$AT$2:$AT$34,0),MATCH(F711,BAU_Fuel_cons!$E$1:$AS$1,0)),INDEX(BAU_Fuel_cons!$E$2:$AS$34,MATCH(D711&amp;"_"&amp;E711,BAU_Fuel_cons!$AT$2:$AT$34,0),MATCH(F711,BAU_Fuel_cons!$E$1:$AS$1,0)))</f>
        <v>14660.029738619945</v>
      </c>
      <c r="H711" s="55">
        <f>G711+10^6*IF($E711="charcoal",params!$P$13*SUMIFS(nonresidential!$L:$L,nonresidential!$A:$A,$F711,nonresidential!$B:$B,$E711,nonresidential!$C:$C,$D711),SUMIFS(nonresidential!$L:$L,nonresidential!$A:$A,$F711,nonresidential!$B:$B,$E711,nonresidential!$C:$C,$D711))</f>
        <v>14660.029738619945</v>
      </c>
      <c r="I711">
        <f>1</f>
        <v>1</v>
      </c>
    </row>
    <row r="712" spans="1:9">
      <c r="A712" t="s">
        <v>211</v>
      </c>
      <c r="B712" t="s">
        <v>162</v>
      </c>
      <c r="C712" t="s">
        <v>269</v>
      </c>
      <c r="D712" t="s">
        <v>26</v>
      </c>
      <c r="E712" t="s">
        <v>13</v>
      </c>
      <c r="F712">
        <v>2023</v>
      </c>
      <c r="G712" s="55">
        <f>10^6*IF($E712="charcoal",params!$P$13*INDEX(BAU_Fuel_cons!$E$2:$AS$34,MATCH(D712&amp;"_"&amp;E712,BAU_Fuel_cons!$AT$2:$AT$34,0),MATCH(F712,BAU_Fuel_cons!$E$1:$AS$1,0)),INDEX(BAU_Fuel_cons!$E$2:$AS$34,MATCH(D712&amp;"_"&amp;E712,BAU_Fuel_cons!$AT$2:$AT$34,0),MATCH(F712,BAU_Fuel_cons!$E$1:$AS$1,0)))</f>
        <v>13510.212701509461</v>
      </c>
      <c r="H712" s="55">
        <f>G712+10^6*IF($E712="charcoal",params!$P$13*SUMIFS(nonresidential!$L:$L,nonresidential!$A:$A,$F712,nonresidential!$B:$B,$E712,nonresidential!$C:$C,$D712),SUMIFS(nonresidential!$L:$L,nonresidential!$A:$A,$F712,nonresidential!$B:$B,$E712,nonresidential!$C:$C,$D712))</f>
        <v>13510.212701509461</v>
      </c>
      <c r="I712">
        <f>1</f>
        <v>1</v>
      </c>
    </row>
    <row r="713" spans="1:9">
      <c r="A713" t="s">
        <v>211</v>
      </c>
      <c r="B713" t="s">
        <v>162</v>
      </c>
      <c r="C713" t="s">
        <v>269</v>
      </c>
      <c r="D713" t="s">
        <v>26</v>
      </c>
      <c r="E713" t="s">
        <v>13</v>
      </c>
      <c r="F713">
        <v>2024</v>
      </c>
      <c r="G713" s="55">
        <f>10^6*IF($E713="charcoal",params!$P$13*INDEX(BAU_Fuel_cons!$E$2:$AS$34,MATCH(D713&amp;"_"&amp;E713,BAU_Fuel_cons!$AT$2:$AT$34,0),MATCH(F713,BAU_Fuel_cons!$E$1:$AS$1,0)),INDEX(BAU_Fuel_cons!$E$2:$AS$34,MATCH(D713&amp;"_"&amp;E713,BAU_Fuel_cons!$AT$2:$AT$34,0),MATCH(F713,BAU_Fuel_cons!$E$1:$AS$1,0)))</f>
        <v>12291.499893688504</v>
      </c>
      <c r="H713" s="55">
        <f>G713+10^6*IF($E713="charcoal",params!$P$13*SUMIFS(nonresidential!$L:$L,nonresidential!$A:$A,$F713,nonresidential!$B:$B,$E713,nonresidential!$C:$C,$D713),SUMIFS(nonresidential!$L:$L,nonresidential!$A:$A,$F713,nonresidential!$B:$B,$E713,nonresidential!$C:$C,$D713))</f>
        <v>12291.499893688504</v>
      </c>
      <c r="I713">
        <f>1</f>
        <v>1</v>
      </c>
    </row>
    <row r="714" spans="1:9">
      <c r="A714" t="s">
        <v>211</v>
      </c>
      <c r="B714" t="s">
        <v>162</v>
      </c>
      <c r="C714" t="s">
        <v>269</v>
      </c>
      <c r="D714" t="s">
        <v>26</v>
      </c>
      <c r="E714" t="s">
        <v>13</v>
      </c>
      <c r="F714">
        <v>2025</v>
      </c>
      <c r="G714" s="55">
        <f>10^6*IF($E714="charcoal",params!$P$13*INDEX(BAU_Fuel_cons!$E$2:$AS$34,MATCH(D714&amp;"_"&amp;E714,BAU_Fuel_cons!$AT$2:$AT$34,0),MATCH(F714,BAU_Fuel_cons!$E$1:$AS$1,0)),INDEX(BAU_Fuel_cons!$E$2:$AS$34,MATCH(D714&amp;"_"&amp;E714,BAU_Fuel_cons!$AT$2:$AT$34,0),MATCH(F714,BAU_Fuel_cons!$E$1:$AS$1,0)))</f>
        <v>12094.092534745521</v>
      </c>
      <c r="H714" s="55">
        <f>G714+10^6*IF($E714="charcoal",params!$P$13*SUMIFS(nonresidential!$L:$L,nonresidential!$A:$A,$F714,nonresidential!$B:$B,$E714,nonresidential!$C:$C,$D714),SUMIFS(nonresidential!$L:$L,nonresidential!$A:$A,$F714,nonresidential!$B:$B,$E714,nonresidential!$C:$C,$D714))</f>
        <v>12094.092534745521</v>
      </c>
      <c r="I714">
        <f>1</f>
        <v>1</v>
      </c>
    </row>
    <row r="715" spans="1:9">
      <c r="A715" t="s">
        <v>211</v>
      </c>
      <c r="B715" t="s">
        <v>162</v>
      </c>
      <c r="C715" t="s">
        <v>269</v>
      </c>
      <c r="D715" t="s">
        <v>26</v>
      </c>
      <c r="E715" t="s">
        <v>13</v>
      </c>
      <c r="F715">
        <v>2026</v>
      </c>
      <c r="G715" s="55">
        <f>10^6*IF($E715="charcoal",params!$P$13*INDEX(BAU_Fuel_cons!$E$2:$AS$34,MATCH(D715&amp;"_"&amp;E715,BAU_Fuel_cons!$AT$2:$AT$34,0),MATCH(F715,BAU_Fuel_cons!$E$1:$AS$1,0)),INDEX(BAU_Fuel_cons!$E$2:$AS$34,MATCH(D715&amp;"_"&amp;E715,BAU_Fuel_cons!$AT$2:$AT$34,0),MATCH(F715,BAU_Fuel_cons!$E$1:$AS$1,0)))</f>
        <v>11876.111047906885</v>
      </c>
      <c r="H715" s="55">
        <f>G715+10^6*IF($E715="charcoal",params!$P$13*SUMIFS(nonresidential!$L:$L,nonresidential!$A:$A,$F715,nonresidential!$B:$B,$E715,nonresidential!$C:$C,$D715),SUMIFS(nonresidential!$L:$L,nonresidential!$A:$A,$F715,nonresidential!$B:$B,$E715,nonresidential!$C:$C,$D715))</f>
        <v>11876.111047906885</v>
      </c>
      <c r="I715">
        <f>1</f>
        <v>1</v>
      </c>
    </row>
    <row r="716" spans="1:9">
      <c r="A716" t="s">
        <v>211</v>
      </c>
      <c r="B716" t="s">
        <v>162</v>
      </c>
      <c r="C716" t="s">
        <v>269</v>
      </c>
      <c r="D716" t="s">
        <v>26</v>
      </c>
      <c r="E716" t="s">
        <v>13</v>
      </c>
      <c r="F716">
        <v>2027</v>
      </c>
      <c r="G716" s="55">
        <f>10^6*IF($E716="charcoal",params!$P$13*INDEX(BAU_Fuel_cons!$E$2:$AS$34,MATCH(D716&amp;"_"&amp;E716,BAU_Fuel_cons!$AT$2:$AT$34,0),MATCH(F716,BAU_Fuel_cons!$E$1:$AS$1,0)),INDEX(BAU_Fuel_cons!$E$2:$AS$34,MATCH(D716&amp;"_"&amp;E716,BAU_Fuel_cons!$AT$2:$AT$34,0),MATCH(F716,BAU_Fuel_cons!$E$1:$AS$1,0)))</f>
        <v>11636.74462694561</v>
      </c>
      <c r="H716" s="55">
        <f>G716+10^6*IF($E716="charcoal",params!$P$13*SUMIFS(nonresidential!$L:$L,nonresidential!$A:$A,$F716,nonresidential!$B:$B,$E716,nonresidential!$C:$C,$D716),SUMIFS(nonresidential!$L:$L,nonresidential!$A:$A,$F716,nonresidential!$B:$B,$E716,nonresidential!$C:$C,$D716))</f>
        <v>11636.74462694561</v>
      </c>
      <c r="I716">
        <f>1</f>
        <v>1</v>
      </c>
    </row>
    <row r="717" spans="1:9">
      <c r="A717" t="s">
        <v>211</v>
      </c>
      <c r="B717" t="s">
        <v>162</v>
      </c>
      <c r="C717" t="s">
        <v>269</v>
      </c>
      <c r="D717" t="s">
        <v>26</v>
      </c>
      <c r="E717" t="s">
        <v>13</v>
      </c>
      <c r="F717">
        <v>2028</v>
      </c>
      <c r="G717" s="55">
        <f>10^6*IF($E717="charcoal",params!$P$13*INDEX(BAU_Fuel_cons!$E$2:$AS$34,MATCH(D717&amp;"_"&amp;E717,BAU_Fuel_cons!$AT$2:$AT$34,0),MATCH(F717,BAU_Fuel_cons!$E$1:$AS$1,0)),INDEX(BAU_Fuel_cons!$E$2:$AS$34,MATCH(D717&amp;"_"&amp;E717,BAU_Fuel_cons!$AT$2:$AT$34,0),MATCH(F717,BAU_Fuel_cons!$E$1:$AS$1,0)))</f>
        <v>11375.055000855862</v>
      </c>
      <c r="H717" s="55">
        <f>G717+10^6*IF($E717="charcoal",params!$P$13*SUMIFS(nonresidential!$L:$L,nonresidential!$A:$A,$F717,nonresidential!$B:$B,$E717,nonresidential!$C:$C,$D717),SUMIFS(nonresidential!$L:$L,nonresidential!$A:$A,$F717,nonresidential!$B:$B,$E717,nonresidential!$C:$C,$D717))</f>
        <v>11375.055000855862</v>
      </c>
      <c r="I717">
        <f>1</f>
        <v>1</v>
      </c>
    </row>
    <row r="718" spans="1:9">
      <c r="A718" t="s">
        <v>211</v>
      </c>
      <c r="B718" t="s">
        <v>162</v>
      </c>
      <c r="C718" t="s">
        <v>269</v>
      </c>
      <c r="D718" t="s">
        <v>26</v>
      </c>
      <c r="E718" t="s">
        <v>13</v>
      </c>
      <c r="F718">
        <v>2029</v>
      </c>
      <c r="G718" s="55">
        <f>10^6*IF($E718="charcoal",params!$P$13*INDEX(BAU_Fuel_cons!$E$2:$AS$34,MATCH(D718&amp;"_"&amp;E718,BAU_Fuel_cons!$AT$2:$AT$34,0),MATCH(F718,BAU_Fuel_cons!$E$1:$AS$1,0)),INDEX(BAU_Fuel_cons!$E$2:$AS$34,MATCH(D718&amp;"_"&amp;E718,BAU_Fuel_cons!$AT$2:$AT$34,0),MATCH(F718,BAU_Fuel_cons!$E$1:$AS$1,0)))</f>
        <v>11090.104026814408</v>
      </c>
      <c r="H718" s="55">
        <f>G718+10^6*IF($E718="charcoal",params!$P$13*SUMIFS(nonresidential!$L:$L,nonresidential!$A:$A,$F718,nonresidential!$B:$B,$E718,nonresidential!$C:$C,$D718),SUMIFS(nonresidential!$L:$L,nonresidential!$A:$A,$F718,nonresidential!$B:$B,$E718,nonresidential!$C:$C,$D718))</f>
        <v>11090.104026814408</v>
      </c>
      <c r="I718">
        <f>1</f>
        <v>1</v>
      </c>
    </row>
    <row r="719" spans="1:9">
      <c r="A719" t="s">
        <v>211</v>
      </c>
      <c r="B719" t="s">
        <v>162</v>
      </c>
      <c r="C719" t="s">
        <v>269</v>
      </c>
      <c r="D719" t="s">
        <v>26</v>
      </c>
      <c r="E719" t="s">
        <v>13</v>
      </c>
      <c r="F719">
        <v>2030</v>
      </c>
      <c r="G719" s="55">
        <f>10^6*IF($E719="charcoal",params!$P$13*INDEX(BAU_Fuel_cons!$E$2:$AS$34,MATCH(D719&amp;"_"&amp;E719,BAU_Fuel_cons!$AT$2:$AT$34,0),MATCH(F719,BAU_Fuel_cons!$E$1:$AS$1,0)),INDEX(BAU_Fuel_cons!$E$2:$AS$34,MATCH(D719&amp;"_"&amp;E719,BAU_Fuel_cons!$AT$2:$AT$34,0),MATCH(F719,BAU_Fuel_cons!$E$1:$AS$1,0)))</f>
        <v>10781.245305598837</v>
      </c>
      <c r="H719" s="55">
        <f>G719+10^6*IF($E719="charcoal",params!$P$13*SUMIFS(nonresidential!$L:$L,nonresidential!$A:$A,$F719,nonresidential!$B:$B,$E719,nonresidential!$C:$C,$D719),SUMIFS(nonresidential!$L:$L,nonresidential!$A:$A,$F719,nonresidential!$B:$B,$E719,nonresidential!$C:$C,$D719))</f>
        <v>10781.245305598837</v>
      </c>
      <c r="I719">
        <f>1</f>
        <v>1</v>
      </c>
    </row>
    <row r="720" spans="1:9">
      <c r="A720" t="s">
        <v>211</v>
      </c>
      <c r="B720" t="s">
        <v>162</v>
      </c>
      <c r="C720" t="s">
        <v>269</v>
      </c>
      <c r="D720" t="s">
        <v>26</v>
      </c>
      <c r="E720" t="s">
        <v>13</v>
      </c>
      <c r="F720">
        <v>2031</v>
      </c>
      <c r="G720" s="55">
        <f>10^6*IF($E720="charcoal",params!$P$13*INDEX(BAU_Fuel_cons!$E$2:$AS$34,MATCH(D720&amp;"_"&amp;E720,BAU_Fuel_cons!$AT$2:$AT$34,0),MATCH(F720,BAU_Fuel_cons!$E$1:$AS$1,0)),INDEX(BAU_Fuel_cons!$E$2:$AS$34,MATCH(D720&amp;"_"&amp;E720,BAU_Fuel_cons!$AT$2:$AT$34,0),MATCH(F720,BAU_Fuel_cons!$E$1:$AS$1,0)))</f>
        <v>10448.253953653231</v>
      </c>
      <c r="H720" s="55">
        <f>G720+10^6*IF($E720="charcoal",params!$P$13*SUMIFS(nonresidential!$L:$L,nonresidential!$A:$A,$F720,nonresidential!$B:$B,$E720,nonresidential!$C:$C,$D720),SUMIFS(nonresidential!$L:$L,nonresidential!$A:$A,$F720,nonresidential!$B:$B,$E720,nonresidential!$C:$C,$D720))</f>
        <v>10448.253953653231</v>
      </c>
      <c r="I720">
        <f>1</f>
        <v>1</v>
      </c>
    </row>
    <row r="721" spans="1:9">
      <c r="A721" t="s">
        <v>211</v>
      </c>
      <c r="B721" t="s">
        <v>162</v>
      </c>
      <c r="C721" t="s">
        <v>269</v>
      </c>
      <c r="D721" t="s">
        <v>26</v>
      </c>
      <c r="E721" t="s">
        <v>13</v>
      </c>
      <c r="F721">
        <v>2032</v>
      </c>
      <c r="G721" s="55">
        <f>10^6*IF($E721="charcoal",params!$P$13*INDEX(BAU_Fuel_cons!$E$2:$AS$34,MATCH(D721&amp;"_"&amp;E721,BAU_Fuel_cons!$AT$2:$AT$34,0),MATCH(F721,BAU_Fuel_cons!$E$1:$AS$1,0)),INDEX(BAU_Fuel_cons!$E$2:$AS$34,MATCH(D721&amp;"_"&amp;E721,BAU_Fuel_cons!$AT$2:$AT$34,0),MATCH(F721,BAU_Fuel_cons!$E$1:$AS$1,0)))</f>
        <v>10091.181961840715</v>
      </c>
      <c r="H721" s="55">
        <f>G721+10^6*IF($E721="charcoal",params!$P$13*SUMIFS(nonresidential!$L:$L,nonresidential!$A:$A,$F721,nonresidential!$B:$B,$E721,nonresidential!$C:$C,$D721),SUMIFS(nonresidential!$L:$L,nonresidential!$A:$A,$F721,nonresidential!$B:$B,$E721,nonresidential!$C:$C,$D721))</f>
        <v>10091.181961840715</v>
      </c>
      <c r="I721">
        <f>1</f>
        <v>1</v>
      </c>
    </row>
    <row r="722" spans="1:9">
      <c r="A722" t="s">
        <v>211</v>
      </c>
      <c r="B722" t="s">
        <v>162</v>
      </c>
      <c r="C722" t="s">
        <v>269</v>
      </c>
      <c r="D722" t="s">
        <v>26</v>
      </c>
      <c r="E722" t="s">
        <v>13</v>
      </c>
      <c r="F722">
        <v>2033</v>
      </c>
      <c r="G722" s="55">
        <f>10^6*IF($E722="charcoal",params!$P$13*INDEX(BAU_Fuel_cons!$E$2:$AS$34,MATCH(D722&amp;"_"&amp;E722,BAU_Fuel_cons!$AT$2:$AT$34,0),MATCH(F722,BAU_Fuel_cons!$E$1:$AS$1,0)),INDEX(BAU_Fuel_cons!$E$2:$AS$34,MATCH(D722&amp;"_"&amp;E722,BAU_Fuel_cons!$AT$2:$AT$34,0),MATCH(F722,BAU_Fuel_cons!$E$1:$AS$1,0)))</f>
        <v>9710.1446432295343</v>
      </c>
      <c r="H722" s="55">
        <f>G722+10^6*IF($E722="charcoal",params!$P$13*SUMIFS(nonresidential!$L:$L,nonresidential!$A:$A,$F722,nonresidential!$B:$B,$E722,nonresidential!$C:$C,$D722),SUMIFS(nonresidential!$L:$L,nonresidential!$A:$A,$F722,nonresidential!$B:$B,$E722,nonresidential!$C:$C,$D722))</f>
        <v>9710.1446432295343</v>
      </c>
      <c r="I722">
        <f>1</f>
        <v>1</v>
      </c>
    </row>
    <row r="723" spans="1:9">
      <c r="A723" t="s">
        <v>211</v>
      </c>
      <c r="B723" t="s">
        <v>162</v>
      </c>
      <c r="C723" t="s">
        <v>269</v>
      </c>
      <c r="D723" t="s">
        <v>26</v>
      </c>
      <c r="E723" t="s">
        <v>13</v>
      </c>
      <c r="F723">
        <v>2034</v>
      </c>
      <c r="G723" s="55">
        <f>10^6*IF($E723="charcoal",params!$P$13*INDEX(BAU_Fuel_cons!$E$2:$AS$34,MATCH(D723&amp;"_"&amp;E723,BAU_Fuel_cons!$AT$2:$AT$34,0),MATCH(F723,BAU_Fuel_cons!$E$1:$AS$1,0)),INDEX(BAU_Fuel_cons!$E$2:$AS$34,MATCH(D723&amp;"_"&amp;E723,BAU_Fuel_cons!$AT$2:$AT$34,0),MATCH(F723,BAU_Fuel_cons!$E$1:$AS$1,0)))</f>
        <v>9305.4497898821919</v>
      </c>
      <c r="H723" s="55">
        <f>G723+10^6*IF($E723="charcoal",params!$P$13*SUMIFS(nonresidential!$L:$L,nonresidential!$A:$A,$F723,nonresidential!$B:$B,$E723,nonresidential!$C:$C,$D723),SUMIFS(nonresidential!$L:$L,nonresidential!$A:$A,$F723,nonresidential!$B:$B,$E723,nonresidential!$C:$C,$D723))</f>
        <v>9305.4497898821919</v>
      </c>
      <c r="I723">
        <f>1</f>
        <v>1</v>
      </c>
    </row>
    <row r="724" spans="1:9">
      <c r="A724" t="s">
        <v>211</v>
      </c>
      <c r="B724" t="s">
        <v>162</v>
      </c>
      <c r="C724" t="s">
        <v>269</v>
      </c>
      <c r="D724" t="s">
        <v>26</v>
      </c>
      <c r="E724" t="s">
        <v>13</v>
      </c>
      <c r="F724">
        <v>2035</v>
      </c>
      <c r="G724" s="55">
        <f>10^6*IF($E724="charcoal",params!$P$13*INDEX(BAU_Fuel_cons!$E$2:$AS$34,MATCH(D724&amp;"_"&amp;E724,BAU_Fuel_cons!$AT$2:$AT$34,0),MATCH(F724,BAU_Fuel_cons!$E$1:$AS$1,0)),INDEX(BAU_Fuel_cons!$E$2:$AS$34,MATCH(D724&amp;"_"&amp;E724,BAU_Fuel_cons!$AT$2:$AT$34,0),MATCH(F724,BAU_Fuel_cons!$E$1:$AS$1,0)))</f>
        <v>8878.488541935325</v>
      </c>
      <c r="H724" s="55">
        <f>G724+10^6*IF($E724="charcoal",params!$P$13*SUMIFS(nonresidential!$L:$L,nonresidential!$A:$A,$F724,nonresidential!$B:$B,$E724,nonresidential!$C:$C,$D724),SUMIFS(nonresidential!$L:$L,nonresidential!$A:$A,$F724,nonresidential!$B:$B,$E724,nonresidential!$C:$C,$D724))</f>
        <v>8878.488541935325</v>
      </c>
      <c r="I724">
        <f>1</f>
        <v>1</v>
      </c>
    </row>
    <row r="725" spans="1:9">
      <c r="A725" t="s">
        <v>211</v>
      </c>
      <c r="B725" t="s">
        <v>162</v>
      </c>
      <c r="C725" t="s">
        <v>269</v>
      </c>
      <c r="D725" t="s">
        <v>26</v>
      </c>
      <c r="E725" t="s">
        <v>13</v>
      </c>
      <c r="F725">
        <v>2036</v>
      </c>
      <c r="G725" s="55">
        <f>10^6*IF($E725="charcoal",params!$P$13*INDEX(BAU_Fuel_cons!$E$2:$AS$34,MATCH(D725&amp;"_"&amp;E725,BAU_Fuel_cons!$AT$2:$AT$34,0),MATCH(F725,BAU_Fuel_cons!$E$1:$AS$1,0)),INDEX(BAU_Fuel_cons!$E$2:$AS$34,MATCH(D725&amp;"_"&amp;E725,BAU_Fuel_cons!$AT$2:$AT$34,0),MATCH(F725,BAU_Fuel_cons!$E$1:$AS$1,0)))</f>
        <v>8429.4840909345148</v>
      </c>
      <c r="H725" s="55">
        <f>G725+10^6*IF($E725="charcoal",params!$P$13*SUMIFS(nonresidential!$L:$L,nonresidential!$A:$A,$F725,nonresidential!$B:$B,$E725,nonresidential!$C:$C,$D725),SUMIFS(nonresidential!$L:$L,nonresidential!$A:$A,$F725,nonresidential!$B:$B,$E725,nonresidential!$C:$C,$D725))</f>
        <v>8429.4840909345148</v>
      </c>
      <c r="I725">
        <f>1</f>
        <v>1</v>
      </c>
    </row>
    <row r="726" spans="1:9">
      <c r="A726" t="s">
        <v>211</v>
      </c>
      <c r="B726" t="s">
        <v>162</v>
      </c>
      <c r="C726" t="s">
        <v>269</v>
      </c>
      <c r="D726" t="s">
        <v>26</v>
      </c>
      <c r="E726" t="s">
        <v>13</v>
      </c>
      <c r="F726">
        <v>2037</v>
      </c>
      <c r="G726" s="55">
        <f>10^6*IF($E726="charcoal",params!$P$13*INDEX(BAU_Fuel_cons!$E$2:$AS$34,MATCH(D726&amp;"_"&amp;E726,BAU_Fuel_cons!$AT$2:$AT$34,0),MATCH(F726,BAU_Fuel_cons!$E$1:$AS$1,0)),INDEX(BAU_Fuel_cons!$E$2:$AS$34,MATCH(D726&amp;"_"&amp;E726,BAU_Fuel_cons!$AT$2:$AT$34,0),MATCH(F726,BAU_Fuel_cons!$E$1:$AS$1,0)))</f>
        <v>7958.5363680358259</v>
      </c>
      <c r="H726" s="55">
        <f>G726+10^6*IF($E726="charcoal",params!$P$13*SUMIFS(nonresidential!$L:$L,nonresidential!$A:$A,$F726,nonresidential!$B:$B,$E726,nonresidential!$C:$C,$D726),SUMIFS(nonresidential!$L:$L,nonresidential!$A:$A,$F726,nonresidential!$B:$B,$E726,nonresidential!$C:$C,$D726))</f>
        <v>7958.5363680358259</v>
      </c>
      <c r="I726">
        <f>1</f>
        <v>1</v>
      </c>
    </row>
    <row r="727" spans="1:9">
      <c r="A727" t="s">
        <v>211</v>
      </c>
      <c r="B727" t="s">
        <v>162</v>
      </c>
      <c r="C727" t="s">
        <v>269</v>
      </c>
      <c r="D727" t="s">
        <v>26</v>
      </c>
      <c r="E727" t="s">
        <v>13</v>
      </c>
      <c r="F727">
        <v>2038</v>
      </c>
      <c r="G727" s="55">
        <f>10^6*IF($E727="charcoal",params!$P$13*INDEX(BAU_Fuel_cons!$E$2:$AS$34,MATCH(D727&amp;"_"&amp;E727,BAU_Fuel_cons!$AT$2:$AT$34,0),MATCH(F727,BAU_Fuel_cons!$E$1:$AS$1,0)),INDEX(BAU_Fuel_cons!$E$2:$AS$34,MATCH(D727&amp;"_"&amp;E727,BAU_Fuel_cons!$AT$2:$AT$34,0),MATCH(F727,BAU_Fuel_cons!$E$1:$AS$1,0)))</f>
        <v>7465.8497988519903</v>
      </c>
      <c r="H727" s="55">
        <f>G727+10^6*IF($E727="charcoal",params!$P$13*SUMIFS(nonresidential!$L:$L,nonresidential!$A:$A,$F727,nonresidential!$B:$B,$E727,nonresidential!$C:$C,$D727),SUMIFS(nonresidential!$L:$L,nonresidential!$A:$A,$F727,nonresidential!$B:$B,$E727,nonresidential!$C:$C,$D727))</f>
        <v>7465.8497988519903</v>
      </c>
      <c r="I727">
        <f>1</f>
        <v>1</v>
      </c>
    </row>
    <row r="728" spans="1:9">
      <c r="A728" t="s">
        <v>211</v>
      </c>
      <c r="B728" t="s">
        <v>162</v>
      </c>
      <c r="C728" t="s">
        <v>269</v>
      </c>
      <c r="D728" t="s">
        <v>26</v>
      </c>
      <c r="E728" t="s">
        <v>13</v>
      </c>
      <c r="F728">
        <v>2039</v>
      </c>
      <c r="G728" s="55">
        <f>10^6*IF($E728="charcoal",params!$P$13*INDEX(BAU_Fuel_cons!$E$2:$AS$34,MATCH(D728&amp;"_"&amp;E728,BAU_Fuel_cons!$AT$2:$AT$34,0),MATCH(F728,BAU_Fuel_cons!$E$1:$AS$1,0)),INDEX(BAU_Fuel_cons!$E$2:$AS$34,MATCH(D728&amp;"_"&amp;E728,BAU_Fuel_cons!$AT$2:$AT$34,0),MATCH(F728,BAU_Fuel_cons!$E$1:$AS$1,0)))</f>
        <v>6951.6738267253613</v>
      </c>
      <c r="H728" s="55">
        <f>G728+10^6*IF($E728="charcoal",params!$P$13*SUMIFS(nonresidential!$L:$L,nonresidential!$A:$A,$F728,nonresidential!$B:$B,$E728,nonresidential!$C:$C,$D728),SUMIFS(nonresidential!$L:$L,nonresidential!$A:$A,$F728,nonresidential!$B:$B,$E728,nonresidential!$C:$C,$D728))</f>
        <v>6951.6738267253613</v>
      </c>
      <c r="I728">
        <f>1</f>
        <v>1</v>
      </c>
    </row>
    <row r="729" spans="1:9">
      <c r="A729" t="s">
        <v>211</v>
      </c>
      <c r="B729" t="s">
        <v>162</v>
      </c>
      <c r="C729" t="s">
        <v>269</v>
      </c>
      <c r="D729" t="s">
        <v>26</v>
      </c>
      <c r="E729" t="s">
        <v>13</v>
      </c>
      <c r="F729">
        <v>2040</v>
      </c>
      <c r="G729" s="55">
        <f>10^6*IF($E729="charcoal",params!$P$13*INDEX(BAU_Fuel_cons!$E$2:$AS$34,MATCH(D729&amp;"_"&amp;E729,BAU_Fuel_cons!$AT$2:$AT$34,0),MATCH(F729,BAU_Fuel_cons!$E$1:$AS$1,0)),INDEX(BAU_Fuel_cons!$E$2:$AS$34,MATCH(D729&amp;"_"&amp;E729,BAU_Fuel_cons!$AT$2:$AT$34,0),MATCH(F729,BAU_Fuel_cons!$E$1:$AS$1,0)))</f>
        <v>6416.3165000836607</v>
      </c>
      <c r="H729" s="55">
        <f>G729+10^6*IF($E729="charcoal",params!$P$13*SUMIFS(nonresidential!$L:$L,nonresidential!$A:$A,$F729,nonresidential!$B:$B,$E729,nonresidential!$C:$C,$D729),SUMIFS(nonresidential!$L:$L,nonresidential!$A:$A,$F729,nonresidential!$B:$B,$E729,nonresidential!$C:$C,$D729))</f>
        <v>6416.3165000836607</v>
      </c>
      <c r="I729">
        <f>1</f>
        <v>1</v>
      </c>
    </row>
    <row r="730" spans="1:9">
      <c r="A730" t="s">
        <v>211</v>
      </c>
      <c r="B730" t="s">
        <v>162</v>
      </c>
      <c r="C730" t="s">
        <v>269</v>
      </c>
      <c r="D730" t="s">
        <v>26</v>
      </c>
      <c r="E730" t="s">
        <v>13</v>
      </c>
      <c r="F730">
        <v>2041</v>
      </c>
      <c r="G730" s="55">
        <f>10^6*IF($E730="charcoal",params!$P$13*INDEX(BAU_Fuel_cons!$E$2:$AS$34,MATCH(D730&amp;"_"&amp;E730,BAU_Fuel_cons!$AT$2:$AT$34,0),MATCH(F730,BAU_Fuel_cons!$E$1:$AS$1,0)),INDEX(BAU_Fuel_cons!$E$2:$AS$34,MATCH(D730&amp;"_"&amp;E730,BAU_Fuel_cons!$AT$2:$AT$34,0),MATCH(F730,BAU_Fuel_cons!$E$1:$AS$1,0)))</f>
        <v>5860.1248348654326</v>
      </c>
      <c r="H730" s="55">
        <f>G730+10^6*IF($E730="charcoal",params!$P$13*SUMIFS(nonresidential!$L:$L,nonresidential!$A:$A,$F730,nonresidential!$B:$B,$E730,nonresidential!$C:$C,$D730),SUMIFS(nonresidential!$L:$L,nonresidential!$A:$A,$F730,nonresidential!$B:$B,$E730,nonresidential!$C:$C,$D730))</f>
        <v>5860.1248348654326</v>
      </c>
      <c r="I730">
        <f>1</f>
        <v>1</v>
      </c>
    </row>
    <row r="731" spans="1:9">
      <c r="A731" t="s">
        <v>211</v>
      </c>
      <c r="B731" t="s">
        <v>162</v>
      </c>
      <c r="C731" t="s">
        <v>269</v>
      </c>
      <c r="D731" t="s">
        <v>26</v>
      </c>
      <c r="E731" t="s">
        <v>13</v>
      </c>
      <c r="F731">
        <v>2042</v>
      </c>
      <c r="G731" s="55">
        <f>10^6*IF($E731="charcoal",params!$P$13*INDEX(BAU_Fuel_cons!$E$2:$AS$34,MATCH(D731&amp;"_"&amp;E731,BAU_Fuel_cons!$AT$2:$AT$34,0),MATCH(F731,BAU_Fuel_cons!$E$1:$AS$1,0)),INDEX(BAU_Fuel_cons!$E$2:$AS$34,MATCH(D731&amp;"_"&amp;E731,BAU_Fuel_cons!$AT$2:$AT$34,0),MATCH(F731,BAU_Fuel_cons!$E$1:$AS$1,0)))</f>
        <v>5283.4930182065518</v>
      </c>
      <c r="H731" s="55">
        <f>G731+10^6*IF($E731="charcoal",params!$P$13*SUMIFS(nonresidential!$L:$L,nonresidential!$A:$A,$F731,nonresidential!$B:$B,$E731,nonresidential!$C:$C,$D731),SUMIFS(nonresidential!$L:$L,nonresidential!$A:$A,$F731,nonresidential!$B:$B,$E731,nonresidential!$C:$C,$D731))</f>
        <v>5283.4930182065518</v>
      </c>
      <c r="I731">
        <f>1</f>
        <v>1</v>
      </c>
    </row>
    <row r="732" spans="1:9">
      <c r="A732" t="s">
        <v>211</v>
      </c>
      <c r="B732" t="s">
        <v>162</v>
      </c>
      <c r="C732" t="s">
        <v>269</v>
      </c>
      <c r="D732" t="s">
        <v>26</v>
      </c>
      <c r="E732" t="s">
        <v>13</v>
      </c>
      <c r="F732">
        <v>2043</v>
      </c>
      <c r="G732" s="55">
        <f>10^6*IF($E732="charcoal",params!$P$13*INDEX(BAU_Fuel_cons!$E$2:$AS$34,MATCH(D732&amp;"_"&amp;E732,BAU_Fuel_cons!$AT$2:$AT$34,0),MATCH(F732,BAU_Fuel_cons!$E$1:$AS$1,0)),INDEX(BAU_Fuel_cons!$E$2:$AS$34,MATCH(D732&amp;"_"&amp;E732,BAU_Fuel_cons!$AT$2:$AT$34,0),MATCH(F732,BAU_Fuel_cons!$E$1:$AS$1,0)))</f>
        <v>4686.8569991344239</v>
      </c>
      <c r="H732" s="55">
        <f>G732+10^6*IF($E732="charcoal",params!$P$13*SUMIFS(nonresidential!$L:$L,nonresidential!$A:$A,$F732,nonresidential!$B:$B,$E732,nonresidential!$C:$C,$D732),SUMIFS(nonresidential!$L:$L,nonresidential!$A:$A,$F732,nonresidential!$B:$B,$E732,nonresidential!$C:$C,$D732))</f>
        <v>4686.8569991344239</v>
      </c>
      <c r="I732">
        <f>1</f>
        <v>1</v>
      </c>
    </row>
    <row r="733" spans="1:9">
      <c r="A733" t="s">
        <v>211</v>
      </c>
      <c r="B733" t="s">
        <v>162</v>
      </c>
      <c r="C733" t="s">
        <v>269</v>
      </c>
      <c r="D733" t="s">
        <v>26</v>
      </c>
      <c r="E733" t="s">
        <v>13</v>
      </c>
      <c r="F733">
        <v>2044</v>
      </c>
      <c r="G733" s="55">
        <f>10^6*IF($E733="charcoal",params!$P$13*INDEX(BAU_Fuel_cons!$E$2:$AS$34,MATCH(D733&amp;"_"&amp;E733,BAU_Fuel_cons!$AT$2:$AT$34,0),MATCH(F733,BAU_Fuel_cons!$E$1:$AS$1,0)),INDEX(BAU_Fuel_cons!$E$2:$AS$34,MATCH(D733&amp;"_"&amp;E733,BAU_Fuel_cons!$AT$2:$AT$34,0),MATCH(F733,BAU_Fuel_cons!$E$1:$AS$1,0)))</f>
        <v>4070.7090757480428</v>
      </c>
      <c r="H733" s="55">
        <f>G733+10^6*IF($E733="charcoal",params!$P$13*SUMIFS(nonresidential!$L:$L,nonresidential!$A:$A,$F733,nonresidential!$B:$B,$E733,nonresidential!$C:$C,$D733),SUMIFS(nonresidential!$L:$L,nonresidential!$A:$A,$F733,nonresidential!$B:$B,$E733,nonresidential!$C:$C,$D733))</f>
        <v>4070.7090757480428</v>
      </c>
      <c r="I733">
        <f>1</f>
        <v>1</v>
      </c>
    </row>
    <row r="734" spans="1:9">
      <c r="A734" t="s">
        <v>211</v>
      </c>
      <c r="B734" t="s">
        <v>162</v>
      </c>
      <c r="C734" t="s">
        <v>269</v>
      </c>
      <c r="D734" t="s">
        <v>26</v>
      </c>
      <c r="E734" t="s">
        <v>13</v>
      </c>
      <c r="F734">
        <v>2045</v>
      </c>
      <c r="G734" s="55">
        <f>10^6*IF($E734="charcoal",params!$P$13*INDEX(BAU_Fuel_cons!$E$2:$AS$34,MATCH(D734&amp;"_"&amp;E734,BAU_Fuel_cons!$AT$2:$AT$34,0),MATCH(F734,BAU_Fuel_cons!$E$1:$AS$1,0)),INDEX(BAU_Fuel_cons!$E$2:$AS$34,MATCH(D734&amp;"_"&amp;E734,BAU_Fuel_cons!$AT$2:$AT$34,0),MATCH(F734,BAU_Fuel_cons!$E$1:$AS$1,0)))</f>
        <v>3435.6186607994118</v>
      </c>
      <c r="H734" s="55">
        <f>G734+10^6*IF($E734="charcoal",params!$P$13*SUMIFS(nonresidential!$L:$L,nonresidential!$A:$A,$F734,nonresidential!$B:$B,$E734,nonresidential!$C:$C,$D734),SUMIFS(nonresidential!$L:$L,nonresidential!$A:$A,$F734,nonresidential!$B:$B,$E734,nonresidential!$C:$C,$D734))</f>
        <v>3435.6186607994118</v>
      </c>
      <c r="I734">
        <f>1</f>
        <v>1</v>
      </c>
    </row>
    <row r="735" spans="1:9">
      <c r="A735" t="s">
        <v>211</v>
      </c>
      <c r="B735" t="s">
        <v>162</v>
      </c>
      <c r="C735" t="s">
        <v>269</v>
      </c>
      <c r="D735" t="s">
        <v>26</v>
      </c>
      <c r="E735" t="s">
        <v>13</v>
      </c>
      <c r="F735">
        <v>2046</v>
      </c>
      <c r="G735" s="55">
        <f>10^6*IF($E735="charcoal",params!$P$13*INDEX(BAU_Fuel_cons!$E$2:$AS$34,MATCH(D735&amp;"_"&amp;E735,BAU_Fuel_cons!$AT$2:$AT$34,0),MATCH(F735,BAU_Fuel_cons!$E$1:$AS$1,0)),INDEX(BAU_Fuel_cons!$E$2:$AS$34,MATCH(D735&amp;"_"&amp;E735,BAU_Fuel_cons!$AT$2:$AT$34,0),MATCH(F735,BAU_Fuel_cons!$E$1:$AS$1,0)))</f>
        <v>2782.2154641362386</v>
      </c>
      <c r="H735" s="55">
        <f>G735+10^6*IF($E735="charcoal",params!$P$13*SUMIFS(nonresidential!$L:$L,nonresidential!$A:$A,$F735,nonresidential!$B:$B,$E735,nonresidential!$C:$C,$D735),SUMIFS(nonresidential!$L:$L,nonresidential!$A:$A,$F735,nonresidential!$B:$B,$E735,nonresidential!$C:$C,$D735))</f>
        <v>2782.2154641362386</v>
      </c>
      <c r="I735">
        <f>1</f>
        <v>1</v>
      </c>
    </row>
    <row r="736" spans="1:9">
      <c r="A736" t="s">
        <v>211</v>
      </c>
      <c r="B736" t="s">
        <v>162</v>
      </c>
      <c r="C736" t="s">
        <v>269</v>
      </c>
      <c r="D736" t="s">
        <v>26</v>
      </c>
      <c r="E736" t="s">
        <v>13</v>
      </c>
      <c r="F736">
        <v>2047</v>
      </c>
      <c r="G736" s="55">
        <f>10^6*IF($E736="charcoal",params!$P$13*INDEX(BAU_Fuel_cons!$E$2:$AS$34,MATCH(D736&amp;"_"&amp;E736,BAU_Fuel_cons!$AT$2:$AT$34,0),MATCH(F736,BAU_Fuel_cons!$E$1:$AS$1,0)),INDEX(BAU_Fuel_cons!$E$2:$AS$34,MATCH(D736&amp;"_"&amp;E736,BAU_Fuel_cons!$AT$2:$AT$34,0),MATCH(F736,BAU_Fuel_cons!$E$1:$AS$1,0)))</f>
        <v>2111.1929023591342</v>
      </c>
      <c r="H736" s="55">
        <f>G736+10^6*IF($E736="charcoal",params!$P$13*SUMIFS(nonresidential!$L:$L,nonresidential!$A:$A,$F736,nonresidential!$B:$B,$E736,nonresidential!$C:$C,$D736),SUMIFS(nonresidential!$L:$L,nonresidential!$A:$A,$F736,nonresidential!$B:$B,$E736,nonresidential!$C:$C,$D736))</f>
        <v>2111.1929023591342</v>
      </c>
      <c r="I736">
        <f>1</f>
        <v>1</v>
      </c>
    </row>
    <row r="737" spans="1:9">
      <c r="A737" t="s">
        <v>211</v>
      </c>
      <c r="B737" t="s">
        <v>162</v>
      </c>
      <c r="C737" t="s">
        <v>269</v>
      </c>
      <c r="D737" t="s">
        <v>26</v>
      </c>
      <c r="E737" t="s">
        <v>13</v>
      </c>
      <c r="F737">
        <v>2048</v>
      </c>
      <c r="G737" s="55">
        <f>10^6*IF($E737="charcoal",params!$P$13*INDEX(BAU_Fuel_cons!$E$2:$AS$34,MATCH(D737&amp;"_"&amp;E737,BAU_Fuel_cons!$AT$2:$AT$34,0),MATCH(F737,BAU_Fuel_cons!$E$1:$AS$1,0)),INDEX(BAU_Fuel_cons!$E$2:$AS$34,MATCH(D737&amp;"_"&amp;E737,BAU_Fuel_cons!$AT$2:$AT$34,0),MATCH(F737,BAU_Fuel_cons!$E$1:$AS$1,0)))</f>
        <v>1423.2925374538006</v>
      </c>
      <c r="H737" s="55">
        <f>G737+10^6*IF($E737="charcoal",params!$P$13*SUMIFS(nonresidential!$L:$L,nonresidential!$A:$A,$F737,nonresidential!$B:$B,$E737,nonresidential!$C:$C,$D737),SUMIFS(nonresidential!$L:$L,nonresidential!$A:$A,$F737,nonresidential!$B:$B,$E737,nonresidential!$C:$C,$D737))</f>
        <v>1423.2925374538006</v>
      </c>
      <c r="I737">
        <f>1</f>
        <v>1</v>
      </c>
    </row>
    <row r="738" spans="1:9">
      <c r="A738" t="s">
        <v>211</v>
      </c>
      <c r="B738" t="s">
        <v>162</v>
      </c>
      <c r="C738" t="s">
        <v>269</v>
      </c>
      <c r="D738" t="s">
        <v>26</v>
      </c>
      <c r="E738" t="s">
        <v>13</v>
      </c>
      <c r="F738">
        <v>2049</v>
      </c>
      <c r="G738" s="55">
        <f>10^6*IF($E738="charcoal",params!$P$13*INDEX(BAU_Fuel_cons!$E$2:$AS$34,MATCH(D738&amp;"_"&amp;E738,BAU_Fuel_cons!$AT$2:$AT$34,0),MATCH(F738,BAU_Fuel_cons!$E$1:$AS$1,0)),INDEX(BAU_Fuel_cons!$E$2:$AS$34,MATCH(D738&amp;"_"&amp;E738,BAU_Fuel_cons!$AT$2:$AT$34,0),MATCH(F738,BAU_Fuel_cons!$E$1:$AS$1,0)))</f>
        <v>719.29254035690496</v>
      </c>
      <c r="H738" s="55">
        <f>G738+10^6*IF($E738="charcoal",params!$P$13*SUMIFS(nonresidential!$L:$L,nonresidential!$A:$A,$F738,nonresidential!$B:$B,$E738,nonresidential!$C:$C,$D738),SUMIFS(nonresidential!$L:$L,nonresidential!$A:$A,$F738,nonresidential!$B:$B,$E738,nonresidential!$C:$C,$D738))</f>
        <v>719.29254035690496</v>
      </c>
      <c r="I738">
        <f>1</f>
        <v>1</v>
      </c>
    </row>
    <row r="739" spans="1:9">
      <c r="A739" t="s">
        <v>211</v>
      </c>
      <c r="B739" t="s">
        <v>162</v>
      </c>
      <c r="C739" t="s">
        <v>269</v>
      </c>
      <c r="D739" t="s">
        <v>26</v>
      </c>
      <c r="E739" t="s">
        <v>13</v>
      </c>
      <c r="F739">
        <v>2050</v>
      </c>
      <c r="G739" s="55">
        <f>10^6*IF($E739="charcoal",params!$P$13*INDEX(BAU_Fuel_cons!$E$2:$AS$34,MATCH(D739&amp;"_"&amp;E739,BAU_Fuel_cons!$AT$2:$AT$34,0),MATCH(F739,BAU_Fuel_cons!$E$1:$AS$1,0)),INDEX(BAU_Fuel_cons!$E$2:$AS$34,MATCH(D739&amp;"_"&amp;E739,BAU_Fuel_cons!$AT$2:$AT$34,0),MATCH(F739,BAU_Fuel_cons!$E$1:$AS$1,0)))</f>
        <v>0</v>
      </c>
      <c r="H739" s="55">
        <f>G739+10^6*IF($E739="charcoal",params!$P$13*SUMIFS(nonresidential!$L:$L,nonresidential!$A:$A,$F739,nonresidential!$B:$B,$E739,nonresidential!$C:$C,$D739),SUMIFS(nonresidential!$L:$L,nonresidential!$A:$A,$F739,nonresidential!$B:$B,$E739,nonresidential!$C:$C,$D739))</f>
        <v>0</v>
      </c>
      <c r="I739">
        <f>1</f>
        <v>1</v>
      </c>
    </row>
    <row r="740" spans="1:9">
      <c r="A740" t="s">
        <v>211</v>
      </c>
      <c r="B740" t="s">
        <v>162</v>
      </c>
      <c r="C740" t="s">
        <v>269</v>
      </c>
      <c r="D740" t="s">
        <v>26</v>
      </c>
      <c r="E740" t="s">
        <v>14</v>
      </c>
      <c r="F740">
        <v>2010</v>
      </c>
      <c r="G740" s="55">
        <f>10^6*IF($E740="charcoal",params!$P$13*INDEX(BAU_Fuel_cons!$E$2:$AS$34,MATCH(D740&amp;"_"&amp;E740,BAU_Fuel_cons!$AT$2:$AT$34,0),MATCH(F740,BAU_Fuel_cons!$E$1:$AS$1,0)),INDEX(BAU_Fuel_cons!$E$2:$AS$34,MATCH(D740&amp;"_"&amp;E740,BAU_Fuel_cons!$AT$2:$AT$34,0),MATCH(F740,BAU_Fuel_cons!$E$1:$AS$1,0)))</f>
        <v>0</v>
      </c>
      <c r="H740" s="55">
        <f>G740+10^6*IF($E740="charcoal",params!$P$13*SUMIFS(nonresidential!$L:$L,nonresidential!$A:$A,$F740,nonresidential!$B:$B,$E740,nonresidential!$C:$C,$D740),SUMIFS(nonresidential!$L:$L,nonresidential!$A:$A,$F740,nonresidential!$B:$B,$E740,nonresidential!$C:$C,$D740))</f>
        <v>0</v>
      </c>
      <c r="I740">
        <f>1</f>
        <v>1</v>
      </c>
    </row>
    <row r="741" spans="1:9">
      <c r="A741" t="s">
        <v>211</v>
      </c>
      <c r="B741" t="s">
        <v>162</v>
      </c>
      <c r="C741" t="s">
        <v>269</v>
      </c>
      <c r="D741" t="s">
        <v>26</v>
      </c>
      <c r="E741" t="s">
        <v>14</v>
      </c>
      <c r="F741">
        <v>2011</v>
      </c>
      <c r="G741" s="55">
        <f>10^6*IF($E741="charcoal",params!$P$13*INDEX(BAU_Fuel_cons!$E$2:$AS$34,MATCH(D741&amp;"_"&amp;E741,BAU_Fuel_cons!$AT$2:$AT$34,0),MATCH(F741,BAU_Fuel_cons!$E$1:$AS$1,0)),INDEX(BAU_Fuel_cons!$E$2:$AS$34,MATCH(D741&amp;"_"&amp;E741,BAU_Fuel_cons!$AT$2:$AT$34,0),MATCH(F741,BAU_Fuel_cons!$E$1:$AS$1,0)))</f>
        <v>0</v>
      </c>
      <c r="H741" s="55">
        <f>G741+10^6*IF($E741="charcoal",params!$P$13*SUMIFS(nonresidential!$L:$L,nonresidential!$A:$A,$F741,nonresidential!$B:$B,$E741,nonresidential!$C:$C,$D741),SUMIFS(nonresidential!$L:$L,nonresidential!$A:$A,$F741,nonresidential!$B:$B,$E741,nonresidential!$C:$C,$D741))</f>
        <v>0</v>
      </c>
      <c r="I741">
        <f>1</f>
        <v>1</v>
      </c>
    </row>
    <row r="742" spans="1:9">
      <c r="A742" t="s">
        <v>211</v>
      </c>
      <c r="B742" t="s">
        <v>162</v>
      </c>
      <c r="C742" t="s">
        <v>269</v>
      </c>
      <c r="D742" t="s">
        <v>26</v>
      </c>
      <c r="E742" t="s">
        <v>14</v>
      </c>
      <c r="F742">
        <v>2012</v>
      </c>
      <c r="G742" s="55">
        <f>10^6*IF($E742="charcoal",params!$P$13*INDEX(BAU_Fuel_cons!$E$2:$AS$34,MATCH(D742&amp;"_"&amp;E742,BAU_Fuel_cons!$AT$2:$AT$34,0),MATCH(F742,BAU_Fuel_cons!$E$1:$AS$1,0)),INDEX(BAU_Fuel_cons!$E$2:$AS$34,MATCH(D742&amp;"_"&amp;E742,BAU_Fuel_cons!$AT$2:$AT$34,0),MATCH(F742,BAU_Fuel_cons!$E$1:$AS$1,0)))</f>
        <v>0</v>
      </c>
      <c r="H742" s="55">
        <f>G742+10^6*IF($E742="charcoal",params!$P$13*SUMIFS(nonresidential!$L:$L,nonresidential!$A:$A,$F742,nonresidential!$B:$B,$E742,nonresidential!$C:$C,$D742),SUMIFS(nonresidential!$L:$L,nonresidential!$A:$A,$F742,nonresidential!$B:$B,$E742,nonresidential!$C:$C,$D742))</f>
        <v>0</v>
      </c>
      <c r="I742">
        <f>1</f>
        <v>1</v>
      </c>
    </row>
    <row r="743" spans="1:9">
      <c r="A743" t="s">
        <v>211</v>
      </c>
      <c r="B743" t="s">
        <v>162</v>
      </c>
      <c r="C743" t="s">
        <v>269</v>
      </c>
      <c r="D743" t="s">
        <v>26</v>
      </c>
      <c r="E743" t="s">
        <v>14</v>
      </c>
      <c r="F743">
        <v>2013</v>
      </c>
      <c r="G743" s="55">
        <f>10^6*IF($E743="charcoal",params!$P$13*INDEX(BAU_Fuel_cons!$E$2:$AS$34,MATCH(D743&amp;"_"&amp;E743,BAU_Fuel_cons!$AT$2:$AT$34,0),MATCH(F743,BAU_Fuel_cons!$E$1:$AS$1,0)),INDEX(BAU_Fuel_cons!$E$2:$AS$34,MATCH(D743&amp;"_"&amp;E743,BAU_Fuel_cons!$AT$2:$AT$34,0),MATCH(F743,BAU_Fuel_cons!$E$1:$AS$1,0)))</f>
        <v>0</v>
      </c>
      <c r="H743" s="55">
        <f>G743+10^6*IF($E743="charcoal",params!$P$13*SUMIFS(nonresidential!$L:$L,nonresidential!$A:$A,$F743,nonresidential!$B:$B,$E743,nonresidential!$C:$C,$D743),SUMIFS(nonresidential!$L:$L,nonresidential!$A:$A,$F743,nonresidential!$B:$B,$E743,nonresidential!$C:$C,$D743))</f>
        <v>0</v>
      </c>
      <c r="I743">
        <f>1</f>
        <v>1</v>
      </c>
    </row>
    <row r="744" spans="1:9">
      <c r="A744" t="s">
        <v>211</v>
      </c>
      <c r="B744" t="s">
        <v>162</v>
      </c>
      <c r="C744" t="s">
        <v>269</v>
      </c>
      <c r="D744" t="s">
        <v>26</v>
      </c>
      <c r="E744" t="s">
        <v>14</v>
      </c>
      <c r="F744">
        <v>2014</v>
      </c>
      <c r="G744" s="55">
        <f>10^6*IF($E744="charcoal",params!$P$13*INDEX(BAU_Fuel_cons!$E$2:$AS$34,MATCH(D744&amp;"_"&amp;E744,BAU_Fuel_cons!$AT$2:$AT$34,0),MATCH(F744,BAU_Fuel_cons!$E$1:$AS$1,0)),INDEX(BAU_Fuel_cons!$E$2:$AS$34,MATCH(D744&amp;"_"&amp;E744,BAU_Fuel_cons!$AT$2:$AT$34,0),MATCH(F744,BAU_Fuel_cons!$E$1:$AS$1,0)))</f>
        <v>0</v>
      </c>
      <c r="H744" s="55">
        <f>G744+10^6*IF($E744="charcoal",params!$P$13*SUMIFS(nonresidential!$L:$L,nonresidential!$A:$A,$F744,nonresidential!$B:$B,$E744,nonresidential!$C:$C,$D744),SUMIFS(nonresidential!$L:$L,nonresidential!$A:$A,$F744,nonresidential!$B:$B,$E744,nonresidential!$C:$C,$D744))</f>
        <v>0</v>
      </c>
      <c r="I744">
        <f>1</f>
        <v>1</v>
      </c>
    </row>
    <row r="745" spans="1:9">
      <c r="A745" t="s">
        <v>211</v>
      </c>
      <c r="B745" t="s">
        <v>162</v>
      </c>
      <c r="C745" t="s">
        <v>269</v>
      </c>
      <c r="D745" t="s">
        <v>26</v>
      </c>
      <c r="E745" t="s">
        <v>14</v>
      </c>
      <c r="F745">
        <v>2015</v>
      </c>
      <c r="G745" s="55">
        <f>10^6*IF($E745="charcoal",params!$P$13*INDEX(BAU_Fuel_cons!$E$2:$AS$34,MATCH(D745&amp;"_"&amp;E745,BAU_Fuel_cons!$AT$2:$AT$34,0),MATCH(F745,BAU_Fuel_cons!$E$1:$AS$1,0)),INDEX(BAU_Fuel_cons!$E$2:$AS$34,MATCH(D745&amp;"_"&amp;E745,BAU_Fuel_cons!$AT$2:$AT$34,0),MATCH(F745,BAU_Fuel_cons!$E$1:$AS$1,0)))</f>
        <v>0</v>
      </c>
      <c r="H745" s="55">
        <f>G745+10^6*IF($E745="charcoal",params!$P$13*SUMIFS(nonresidential!$L:$L,nonresidential!$A:$A,$F745,nonresidential!$B:$B,$E745,nonresidential!$C:$C,$D745),SUMIFS(nonresidential!$L:$L,nonresidential!$A:$A,$F745,nonresidential!$B:$B,$E745,nonresidential!$C:$C,$D745))</f>
        <v>0</v>
      </c>
      <c r="I745">
        <f>1</f>
        <v>1</v>
      </c>
    </row>
    <row r="746" spans="1:9">
      <c r="A746" t="s">
        <v>211</v>
      </c>
      <c r="B746" t="s">
        <v>162</v>
      </c>
      <c r="C746" t="s">
        <v>269</v>
      </c>
      <c r="D746" t="s">
        <v>26</v>
      </c>
      <c r="E746" t="s">
        <v>14</v>
      </c>
      <c r="F746">
        <v>2016</v>
      </c>
      <c r="G746" s="55">
        <f>10^6*IF($E746="charcoal",params!$P$13*INDEX(BAU_Fuel_cons!$E$2:$AS$34,MATCH(D746&amp;"_"&amp;E746,BAU_Fuel_cons!$AT$2:$AT$34,0),MATCH(F746,BAU_Fuel_cons!$E$1:$AS$1,0)),INDEX(BAU_Fuel_cons!$E$2:$AS$34,MATCH(D746&amp;"_"&amp;E746,BAU_Fuel_cons!$AT$2:$AT$34,0),MATCH(F746,BAU_Fuel_cons!$E$1:$AS$1,0)))</f>
        <v>0</v>
      </c>
      <c r="H746" s="55">
        <f>G746+10^6*IF($E746="charcoal",params!$P$13*SUMIFS(nonresidential!$L:$L,nonresidential!$A:$A,$F746,nonresidential!$B:$B,$E746,nonresidential!$C:$C,$D746),SUMIFS(nonresidential!$L:$L,nonresidential!$A:$A,$F746,nonresidential!$B:$B,$E746,nonresidential!$C:$C,$D746))</f>
        <v>0</v>
      </c>
      <c r="I746">
        <f>1</f>
        <v>1</v>
      </c>
    </row>
    <row r="747" spans="1:9">
      <c r="A747" t="s">
        <v>211</v>
      </c>
      <c r="B747" t="s">
        <v>162</v>
      </c>
      <c r="C747" t="s">
        <v>269</v>
      </c>
      <c r="D747" t="s">
        <v>26</v>
      </c>
      <c r="E747" t="s">
        <v>14</v>
      </c>
      <c r="F747">
        <v>2017</v>
      </c>
      <c r="G747" s="55">
        <f>10^6*IF($E747="charcoal",params!$P$13*INDEX(BAU_Fuel_cons!$E$2:$AS$34,MATCH(D747&amp;"_"&amp;E747,BAU_Fuel_cons!$AT$2:$AT$34,0),MATCH(F747,BAU_Fuel_cons!$E$1:$AS$1,0)),INDEX(BAU_Fuel_cons!$E$2:$AS$34,MATCH(D747&amp;"_"&amp;E747,BAU_Fuel_cons!$AT$2:$AT$34,0),MATCH(F747,BAU_Fuel_cons!$E$1:$AS$1,0)))</f>
        <v>0</v>
      </c>
      <c r="H747" s="55">
        <f>G747+10^6*IF($E747="charcoal",params!$P$13*SUMIFS(nonresidential!$L:$L,nonresidential!$A:$A,$F747,nonresidential!$B:$B,$E747,nonresidential!$C:$C,$D747),SUMIFS(nonresidential!$L:$L,nonresidential!$A:$A,$F747,nonresidential!$B:$B,$E747,nonresidential!$C:$C,$D747))</f>
        <v>0</v>
      </c>
      <c r="I747">
        <f>1</f>
        <v>1</v>
      </c>
    </row>
    <row r="748" spans="1:9">
      <c r="A748" t="s">
        <v>211</v>
      </c>
      <c r="B748" t="s">
        <v>162</v>
      </c>
      <c r="C748" t="s">
        <v>269</v>
      </c>
      <c r="D748" t="s">
        <v>26</v>
      </c>
      <c r="E748" t="s">
        <v>14</v>
      </c>
      <c r="F748">
        <v>2018</v>
      </c>
      <c r="G748" s="55">
        <f>10^6*IF($E748="charcoal",params!$P$13*INDEX(BAU_Fuel_cons!$E$2:$AS$34,MATCH(D748&amp;"_"&amp;E748,BAU_Fuel_cons!$AT$2:$AT$34,0),MATCH(F748,BAU_Fuel_cons!$E$1:$AS$1,0)),INDEX(BAU_Fuel_cons!$E$2:$AS$34,MATCH(D748&amp;"_"&amp;E748,BAU_Fuel_cons!$AT$2:$AT$34,0),MATCH(F748,BAU_Fuel_cons!$E$1:$AS$1,0)))</f>
        <v>0</v>
      </c>
      <c r="H748" s="55">
        <f>G748+10^6*IF($E748="charcoal",params!$P$13*SUMIFS(nonresidential!$L:$L,nonresidential!$A:$A,$F748,nonresidential!$B:$B,$E748,nonresidential!$C:$C,$D748),SUMIFS(nonresidential!$L:$L,nonresidential!$A:$A,$F748,nonresidential!$B:$B,$E748,nonresidential!$C:$C,$D748))</f>
        <v>0</v>
      </c>
      <c r="I748">
        <f>1</f>
        <v>1</v>
      </c>
    </row>
    <row r="749" spans="1:9">
      <c r="A749" t="s">
        <v>211</v>
      </c>
      <c r="B749" t="s">
        <v>162</v>
      </c>
      <c r="C749" t="s">
        <v>269</v>
      </c>
      <c r="D749" t="s">
        <v>26</v>
      </c>
      <c r="E749" t="s">
        <v>14</v>
      </c>
      <c r="F749">
        <v>2019</v>
      </c>
      <c r="G749" s="55">
        <f>10^6*IF($E749="charcoal",params!$P$13*INDEX(BAU_Fuel_cons!$E$2:$AS$34,MATCH(D749&amp;"_"&amp;E749,BAU_Fuel_cons!$AT$2:$AT$34,0),MATCH(F749,BAU_Fuel_cons!$E$1:$AS$1,0)),INDEX(BAU_Fuel_cons!$E$2:$AS$34,MATCH(D749&amp;"_"&amp;E749,BAU_Fuel_cons!$AT$2:$AT$34,0),MATCH(F749,BAU_Fuel_cons!$E$1:$AS$1,0)))</f>
        <v>0</v>
      </c>
      <c r="H749" s="55">
        <f>G749+10^6*IF($E749="charcoal",params!$P$13*SUMIFS(nonresidential!$L:$L,nonresidential!$A:$A,$F749,nonresidential!$B:$B,$E749,nonresidential!$C:$C,$D749),SUMIFS(nonresidential!$L:$L,nonresidential!$A:$A,$F749,nonresidential!$B:$B,$E749,nonresidential!$C:$C,$D749))</f>
        <v>0</v>
      </c>
      <c r="I749">
        <f>1</f>
        <v>1</v>
      </c>
    </row>
    <row r="750" spans="1:9">
      <c r="A750" t="s">
        <v>211</v>
      </c>
      <c r="B750" t="s">
        <v>162</v>
      </c>
      <c r="C750" t="s">
        <v>269</v>
      </c>
      <c r="D750" t="s">
        <v>26</v>
      </c>
      <c r="E750" t="s">
        <v>14</v>
      </c>
      <c r="F750">
        <v>2020</v>
      </c>
      <c r="G750" s="55">
        <f>10^6*IF($E750="charcoal",params!$P$13*INDEX(BAU_Fuel_cons!$E$2:$AS$34,MATCH(D750&amp;"_"&amp;E750,BAU_Fuel_cons!$AT$2:$AT$34,0),MATCH(F750,BAU_Fuel_cons!$E$1:$AS$1,0)),INDEX(BAU_Fuel_cons!$E$2:$AS$34,MATCH(D750&amp;"_"&amp;E750,BAU_Fuel_cons!$AT$2:$AT$34,0),MATCH(F750,BAU_Fuel_cons!$E$1:$AS$1,0)))</f>
        <v>0</v>
      </c>
      <c r="H750" s="55">
        <f>G750+10^6*IF($E750="charcoal",params!$P$13*SUMIFS(nonresidential!$L:$L,nonresidential!$A:$A,$F750,nonresidential!$B:$B,$E750,nonresidential!$C:$C,$D750),SUMIFS(nonresidential!$L:$L,nonresidential!$A:$A,$F750,nonresidential!$B:$B,$E750,nonresidential!$C:$C,$D750))</f>
        <v>0</v>
      </c>
      <c r="I750">
        <f>1</f>
        <v>1</v>
      </c>
    </row>
    <row r="751" spans="1:9">
      <c r="A751" t="s">
        <v>211</v>
      </c>
      <c r="B751" t="s">
        <v>162</v>
      </c>
      <c r="C751" t="s">
        <v>269</v>
      </c>
      <c r="D751" t="s">
        <v>26</v>
      </c>
      <c r="E751" t="s">
        <v>14</v>
      </c>
      <c r="F751">
        <v>2021</v>
      </c>
      <c r="G751" s="55">
        <f>10^6*IF($E751="charcoal",params!$P$13*INDEX(BAU_Fuel_cons!$E$2:$AS$34,MATCH(D751&amp;"_"&amp;E751,BAU_Fuel_cons!$AT$2:$AT$34,0),MATCH(F751,BAU_Fuel_cons!$E$1:$AS$1,0)),INDEX(BAU_Fuel_cons!$E$2:$AS$34,MATCH(D751&amp;"_"&amp;E751,BAU_Fuel_cons!$AT$2:$AT$34,0),MATCH(F751,BAU_Fuel_cons!$E$1:$AS$1,0)))</f>
        <v>0</v>
      </c>
      <c r="H751" s="55">
        <f>G751+10^6*IF($E751="charcoal",params!$P$13*SUMIFS(nonresidential!$L:$L,nonresidential!$A:$A,$F751,nonresidential!$B:$B,$E751,nonresidential!$C:$C,$D751),SUMIFS(nonresidential!$L:$L,nonresidential!$A:$A,$F751,nonresidential!$B:$B,$E751,nonresidential!$C:$C,$D751))</f>
        <v>0</v>
      </c>
      <c r="I751">
        <f>1</f>
        <v>1</v>
      </c>
    </row>
    <row r="752" spans="1:9">
      <c r="A752" t="s">
        <v>211</v>
      </c>
      <c r="B752" t="s">
        <v>162</v>
      </c>
      <c r="C752" t="s">
        <v>269</v>
      </c>
      <c r="D752" t="s">
        <v>26</v>
      </c>
      <c r="E752" t="s">
        <v>14</v>
      </c>
      <c r="F752">
        <v>2022</v>
      </c>
      <c r="G752" s="55">
        <f>10^6*IF($E752="charcoal",params!$P$13*INDEX(BAU_Fuel_cons!$E$2:$AS$34,MATCH(D752&amp;"_"&amp;E752,BAU_Fuel_cons!$AT$2:$AT$34,0),MATCH(F752,BAU_Fuel_cons!$E$1:$AS$1,0)),INDEX(BAU_Fuel_cons!$E$2:$AS$34,MATCH(D752&amp;"_"&amp;E752,BAU_Fuel_cons!$AT$2:$AT$34,0),MATCH(F752,BAU_Fuel_cons!$E$1:$AS$1,0)))</f>
        <v>0</v>
      </c>
      <c r="H752" s="55">
        <f>G752+10^6*IF($E752="charcoal",params!$P$13*SUMIFS(nonresidential!$L:$L,nonresidential!$A:$A,$F752,nonresidential!$B:$B,$E752,nonresidential!$C:$C,$D752),SUMIFS(nonresidential!$L:$L,nonresidential!$A:$A,$F752,nonresidential!$B:$B,$E752,nonresidential!$C:$C,$D752))</f>
        <v>0</v>
      </c>
      <c r="I752">
        <f>1</f>
        <v>1</v>
      </c>
    </row>
    <row r="753" spans="1:9">
      <c r="A753" t="s">
        <v>211</v>
      </c>
      <c r="B753" t="s">
        <v>162</v>
      </c>
      <c r="C753" t="s">
        <v>269</v>
      </c>
      <c r="D753" t="s">
        <v>26</v>
      </c>
      <c r="E753" t="s">
        <v>14</v>
      </c>
      <c r="F753">
        <v>2023</v>
      </c>
      <c r="G753" s="55">
        <f>10^6*IF($E753="charcoal",params!$P$13*INDEX(BAU_Fuel_cons!$E$2:$AS$34,MATCH(D753&amp;"_"&amp;E753,BAU_Fuel_cons!$AT$2:$AT$34,0),MATCH(F753,BAU_Fuel_cons!$E$1:$AS$1,0)),INDEX(BAU_Fuel_cons!$E$2:$AS$34,MATCH(D753&amp;"_"&amp;E753,BAU_Fuel_cons!$AT$2:$AT$34,0),MATCH(F753,BAU_Fuel_cons!$E$1:$AS$1,0)))</f>
        <v>0</v>
      </c>
      <c r="H753" s="55">
        <f>G753+10^6*IF($E753="charcoal",params!$P$13*SUMIFS(nonresidential!$L:$L,nonresidential!$A:$A,$F753,nonresidential!$B:$B,$E753,nonresidential!$C:$C,$D753),SUMIFS(nonresidential!$L:$L,nonresidential!$A:$A,$F753,nonresidential!$B:$B,$E753,nonresidential!$C:$C,$D753))</f>
        <v>0</v>
      </c>
      <c r="I753">
        <f>1</f>
        <v>1</v>
      </c>
    </row>
    <row r="754" spans="1:9">
      <c r="A754" t="s">
        <v>211</v>
      </c>
      <c r="B754" t="s">
        <v>162</v>
      </c>
      <c r="C754" t="s">
        <v>269</v>
      </c>
      <c r="D754" t="s">
        <v>26</v>
      </c>
      <c r="E754" t="s">
        <v>14</v>
      </c>
      <c r="F754">
        <v>2024</v>
      </c>
      <c r="G754" s="55">
        <f>10^6*IF($E754="charcoal",params!$P$13*INDEX(BAU_Fuel_cons!$E$2:$AS$34,MATCH(D754&amp;"_"&amp;E754,BAU_Fuel_cons!$AT$2:$AT$34,0),MATCH(F754,BAU_Fuel_cons!$E$1:$AS$1,0)),INDEX(BAU_Fuel_cons!$E$2:$AS$34,MATCH(D754&amp;"_"&amp;E754,BAU_Fuel_cons!$AT$2:$AT$34,0),MATCH(F754,BAU_Fuel_cons!$E$1:$AS$1,0)))</f>
        <v>0</v>
      </c>
      <c r="H754" s="55">
        <f>G754+10^6*IF($E754="charcoal",params!$P$13*SUMIFS(nonresidential!$L:$L,nonresidential!$A:$A,$F754,nonresidential!$B:$B,$E754,nonresidential!$C:$C,$D754),SUMIFS(nonresidential!$L:$L,nonresidential!$A:$A,$F754,nonresidential!$B:$B,$E754,nonresidential!$C:$C,$D754))</f>
        <v>0</v>
      </c>
      <c r="I754">
        <f>1</f>
        <v>1</v>
      </c>
    </row>
    <row r="755" spans="1:9">
      <c r="A755" t="s">
        <v>211</v>
      </c>
      <c r="B755" t="s">
        <v>162</v>
      </c>
      <c r="C755" t="s">
        <v>269</v>
      </c>
      <c r="D755" t="s">
        <v>26</v>
      </c>
      <c r="E755" t="s">
        <v>14</v>
      </c>
      <c r="F755">
        <v>2025</v>
      </c>
      <c r="G755" s="55">
        <f>10^6*IF($E755="charcoal",params!$P$13*INDEX(BAU_Fuel_cons!$E$2:$AS$34,MATCH(D755&amp;"_"&amp;E755,BAU_Fuel_cons!$AT$2:$AT$34,0),MATCH(F755,BAU_Fuel_cons!$E$1:$AS$1,0)),INDEX(BAU_Fuel_cons!$E$2:$AS$34,MATCH(D755&amp;"_"&amp;E755,BAU_Fuel_cons!$AT$2:$AT$34,0),MATCH(F755,BAU_Fuel_cons!$E$1:$AS$1,0)))</f>
        <v>0</v>
      </c>
      <c r="H755" s="55">
        <f>G755+10^6*IF($E755="charcoal",params!$P$13*SUMIFS(nonresidential!$L:$L,nonresidential!$A:$A,$F755,nonresidential!$B:$B,$E755,nonresidential!$C:$C,$D755),SUMIFS(nonresidential!$L:$L,nonresidential!$A:$A,$F755,nonresidential!$B:$B,$E755,nonresidential!$C:$C,$D755))</f>
        <v>0</v>
      </c>
      <c r="I755">
        <f>1</f>
        <v>1</v>
      </c>
    </row>
    <row r="756" spans="1:9">
      <c r="A756" t="s">
        <v>211</v>
      </c>
      <c r="B756" t="s">
        <v>162</v>
      </c>
      <c r="C756" t="s">
        <v>269</v>
      </c>
      <c r="D756" t="s">
        <v>26</v>
      </c>
      <c r="E756" t="s">
        <v>14</v>
      </c>
      <c r="F756">
        <v>2026</v>
      </c>
      <c r="G756" s="55">
        <f>10^6*IF($E756="charcoal",params!$P$13*INDEX(BAU_Fuel_cons!$E$2:$AS$34,MATCH(D756&amp;"_"&amp;E756,BAU_Fuel_cons!$AT$2:$AT$34,0),MATCH(F756,BAU_Fuel_cons!$E$1:$AS$1,0)),INDEX(BAU_Fuel_cons!$E$2:$AS$34,MATCH(D756&amp;"_"&amp;E756,BAU_Fuel_cons!$AT$2:$AT$34,0),MATCH(F756,BAU_Fuel_cons!$E$1:$AS$1,0)))</f>
        <v>0</v>
      </c>
      <c r="H756" s="55">
        <f>G756+10^6*IF($E756="charcoal",params!$P$13*SUMIFS(nonresidential!$L:$L,nonresidential!$A:$A,$F756,nonresidential!$B:$B,$E756,nonresidential!$C:$C,$D756),SUMIFS(nonresidential!$L:$L,nonresidential!$A:$A,$F756,nonresidential!$B:$B,$E756,nonresidential!$C:$C,$D756))</f>
        <v>0</v>
      </c>
      <c r="I756">
        <f>1</f>
        <v>1</v>
      </c>
    </row>
    <row r="757" spans="1:9">
      <c r="A757" t="s">
        <v>211</v>
      </c>
      <c r="B757" t="s">
        <v>162</v>
      </c>
      <c r="C757" t="s">
        <v>269</v>
      </c>
      <c r="D757" t="s">
        <v>26</v>
      </c>
      <c r="E757" t="s">
        <v>14</v>
      </c>
      <c r="F757">
        <v>2027</v>
      </c>
      <c r="G757" s="55">
        <f>10^6*IF($E757="charcoal",params!$P$13*INDEX(BAU_Fuel_cons!$E$2:$AS$34,MATCH(D757&amp;"_"&amp;E757,BAU_Fuel_cons!$AT$2:$AT$34,0),MATCH(F757,BAU_Fuel_cons!$E$1:$AS$1,0)),INDEX(BAU_Fuel_cons!$E$2:$AS$34,MATCH(D757&amp;"_"&amp;E757,BAU_Fuel_cons!$AT$2:$AT$34,0),MATCH(F757,BAU_Fuel_cons!$E$1:$AS$1,0)))</f>
        <v>0</v>
      </c>
      <c r="H757" s="55">
        <f>G757+10^6*IF($E757="charcoal",params!$P$13*SUMIFS(nonresidential!$L:$L,nonresidential!$A:$A,$F757,nonresidential!$B:$B,$E757,nonresidential!$C:$C,$D757),SUMIFS(nonresidential!$L:$L,nonresidential!$A:$A,$F757,nonresidential!$B:$B,$E757,nonresidential!$C:$C,$D757))</f>
        <v>0</v>
      </c>
      <c r="I757">
        <f>1</f>
        <v>1</v>
      </c>
    </row>
    <row r="758" spans="1:9">
      <c r="A758" t="s">
        <v>211</v>
      </c>
      <c r="B758" t="s">
        <v>162</v>
      </c>
      <c r="C758" t="s">
        <v>269</v>
      </c>
      <c r="D758" t="s">
        <v>26</v>
      </c>
      <c r="E758" t="s">
        <v>14</v>
      </c>
      <c r="F758">
        <v>2028</v>
      </c>
      <c r="G758" s="55">
        <f>10^6*IF($E758="charcoal",params!$P$13*INDEX(BAU_Fuel_cons!$E$2:$AS$34,MATCH(D758&amp;"_"&amp;E758,BAU_Fuel_cons!$AT$2:$AT$34,0),MATCH(F758,BAU_Fuel_cons!$E$1:$AS$1,0)),INDEX(BAU_Fuel_cons!$E$2:$AS$34,MATCH(D758&amp;"_"&amp;E758,BAU_Fuel_cons!$AT$2:$AT$34,0),MATCH(F758,BAU_Fuel_cons!$E$1:$AS$1,0)))</f>
        <v>0</v>
      </c>
      <c r="H758" s="55">
        <f>G758+10^6*IF($E758="charcoal",params!$P$13*SUMIFS(nonresidential!$L:$L,nonresidential!$A:$A,$F758,nonresidential!$B:$B,$E758,nonresidential!$C:$C,$D758),SUMIFS(nonresidential!$L:$L,nonresidential!$A:$A,$F758,nonresidential!$B:$B,$E758,nonresidential!$C:$C,$D758))</f>
        <v>0</v>
      </c>
      <c r="I758">
        <f>1</f>
        <v>1</v>
      </c>
    </row>
    <row r="759" spans="1:9">
      <c r="A759" t="s">
        <v>211</v>
      </c>
      <c r="B759" t="s">
        <v>162</v>
      </c>
      <c r="C759" t="s">
        <v>269</v>
      </c>
      <c r="D759" t="s">
        <v>26</v>
      </c>
      <c r="E759" t="s">
        <v>14</v>
      </c>
      <c r="F759">
        <v>2029</v>
      </c>
      <c r="G759" s="55">
        <f>10^6*IF($E759="charcoal",params!$P$13*INDEX(BAU_Fuel_cons!$E$2:$AS$34,MATCH(D759&amp;"_"&amp;E759,BAU_Fuel_cons!$AT$2:$AT$34,0),MATCH(F759,BAU_Fuel_cons!$E$1:$AS$1,0)),INDEX(BAU_Fuel_cons!$E$2:$AS$34,MATCH(D759&amp;"_"&amp;E759,BAU_Fuel_cons!$AT$2:$AT$34,0),MATCH(F759,BAU_Fuel_cons!$E$1:$AS$1,0)))</f>
        <v>0</v>
      </c>
      <c r="H759" s="55">
        <f>G759+10^6*IF($E759="charcoal",params!$P$13*SUMIFS(nonresidential!$L:$L,nonresidential!$A:$A,$F759,nonresidential!$B:$B,$E759,nonresidential!$C:$C,$D759),SUMIFS(nonresidential!$L:$L,nonresidential!$A:$A,$F759,nonresidential!$B:$B,$E759,nonresidential!$C:$C,$D759))</f>
        <v>0</v>
      </c>
      <c r="I759">
        <f>1</f>
        <v>1</v>
      </c>
    </row>
    <row r="760" spans="1:9">
      <c r="A760" t="s">
        <v>211</v>
      </c>
      <c r="B760" t="s">
        <v>162</v>
      </c>
      <c r="C760" t="s">
        <v>269</v>
      </c>
      <c r="D760" t="s">
        <v>26</v>
      </c>
      <c r="E760" t="s">
        <v>14</v>
      </c>
      <c r="F760">
        <v>2030</v>
      </c>
      <c r="G760" s="55">
        <f>10^6*IF($E760="charcoal",params!$P$13*INDEX(BAU_Fuel_cons!$E$2:$AS$34,MATCH(D760&amp;"_"&amp;E760,BAU_Fuel_cons!$AT$2:$AT$34,0),MATCH(F760,BAU_Fuel_cons!$E$1:$AS$1,0)),INDEX(BAU_Fuel_cons!$E$2:$AS$34,MATCH(D760&amp;"_"&amp;E760,BAU_Fuel_cons!$AT$2:$AT$34,0),MATCH(F760,BAU_Fuel_cons!$E$1:$AS$1,0)))</f>
        <v>0</v>
      </c>
      <c r="H760" s="55">
        <f>G760+10^6*IF($E760="charcoal",params!$P$13*SUMIFS(nonresidential!$L:$L,nonresidential!$A:$A,$F760,nonresidential!$B:$B,$E760,nonresidential!$C:$C,$D760),SUMIFS(nonresidential!$L:$L,nonresidential!$A:$A,$F760,nonresidential!$B:$B,$E760,nonresidential!$C:$C,$D760))</f>
        <v>0</v>
      </c>
      <c r="I760">
        <f>1</f>
        <v>1</v>
      </c>
    </row>
    <row r="761" spans="1:9">
      <c r="A761" t="s">
        <v>211</v>
      </c>
      <c r="B761" t="s">
        <v>162</v>
      </c>
      <c r="C761" t="s">
        <v>269</v>
      </c>
      <c r="D761" t="s">
        <v>26</v>
      </c>
      <c r="E761" t="s">
        <v>14</v>
      </c>
      <c r="F761">
        <v>2031</v>
      </c>
      <c r="G761" s="55">
        <f>10^6*IF($E761="charcoal",params!$P$13*INDEX(BAU_Fuel_cons!$E$2:$AS$34,MATCH(D761&amp;"_"&amp;E761,BAU_Fuel_cons!$AT$2:$AT$34,0),MATCH(F761,BAU_Fuel_cons!$E$1:$AS$1,0)),INDEX(BAU_Fuel_cons!$E$2:$AS$34,MATCH(D761&amp;"_"&amp;E761,BAU_Fuel_cons!$AT$2:$AT$34,0),MATCH(F761,BAU_Fuel_cons!$E$1:$AS$1,0)))</f>
        <v>0</v>
      </c>
      <c r="H761" s="55">
        <f>G761+10^6*IF($E761="charcoal",params!$P$13*SUMIFS(nonresidential!$L:$L,nonresidential!$A:$A,$F761,nonresidential!$B:$B,$E761,nonresidential!$C:$C,$D761),SUMIFS(nonresidential!$L:$L,nonresidential!$A:$A,$F761,nonresidential!$B:$B,$E761,nonresidential!$C:$C,$D761))</f>
        <v>0</v>
      </c>
      <c r="I761">
        <f>1</f>
        <v>1</v>
      </c>
    </row>
    <row r="762" spans="1:9">
      <c r="A762" t="s">
        <v>211</v>
      </c>
      <c r="B762" t="s">
        <v>162</v>
      </c>
      <c r="C762" t="s">
        <v>269</v>
      </c>
      <c r="D762" t="s">
        <v>26</v>
      </c>
      <c r="E762" t="s">
        <v>14</v>
      </c>
      <c r="F762">
        <v>2032</v>
      </c>
      <c r="G762" s="55">
        <f>10^6*IF($E762="charcoal",params!$P$13*INDEX(BAU_Fuel_cons!$E$2:$AS$34,MATCH(D762&amp;"_"&amp;E762,BAU_Fuel_cons!$AT$2:$AT$34,0),MATCH(F762,BAU_Fuel_cons!$E$1:$AS$1,0)),INDEX(BAU_Fuel_cons!$E$2:$AS$34,MATCH(D762&amp;"_"&amp;E762,BAU_Fuel_cons!$AT$2:$AT$34,0),MATCH(F762,BAU_Fuel_cons!$E$1:$AS$1,0)))</f>
        <v>0</v>
      </c>
      <c r="H762" s="55">
        <f>G762+10^6*IF($E762="charcoal",params!$P$13*SUMIFS(nonresidential!$L:$L,nonresidential!$A:$A,$F762,nonresidential!$B:$B,$E762,nonresidential!$C:$C,$D762),SUMIFS(nonresidential!$L:$L,nonresidential!$A:$A,$F762,nonresidential!$B:$B,$E762,nonresidential!$C:$C,$D762))</f>
        <v>0</v>
      </c>
      <c r="I762">
        <f>1</f>
        <v>1</v>
      </c>
    </row>
    <row r="763" spans="1:9">
      <c r="A763" t="s">
        <v>211</v>
      </c>
      <c r="B763" t="s">
        <v>162</v>
      </c>
      <c r="C763" t="s">
        <v>269</v>
      </c>
      <c r="D763" t="s">
        <v>26</v>
      </c>
      <c r="E763" t="s">
        <v>14</v>
      </c>
      <c r="F763">
        <v>2033</v>
      </c>
      <c r="G763" s="55">
        <f>10^6*IF($E763="charcoal",params!$P$13*INDEX(BAU_Fuel_cons!$E$2:$AS$34,MATCH(D763&amp;"_"&amp;E763,BAU_Fuel_cons!$AT$2:$AT$34,0),MATCH(F763,BAU_Fuel_cons!$E$1:$AS$1,0)),INDEX(BAU_Fuel_cons!$E$2:$AS$34,MATCH(D763&amp;"_"&amp;E763,BAU_Fuel_cons!$AT$2:$AT$34,0),MATCH(F763,BAU_Fuel_cons!$E$1:$AS$1,0)))</f>
        <v>0</v>
      </c>
      <c r="H763" s="55">
        <f>G763+10^6*IF($E763="charcoal",params!$P$13*SUMIFS(nonresidential!$L:$L,nonresidential!$A:$A,$F763,nonresidential!$B:$B,$E763,nonresidential!$C:$C,$D763),SUMIFS(nonresidential!$L:$L,nonresidential!$A:$A,$F763,nonresidential!$B:$B,$E763,nonresidential!$C:$C,$D763))</f>
        <v>0</v>
      </c>
      <c r="I763">
        <f>1</f>
        <v>1</v>
      </c>
    </row>
    <row r="764" spans="1:9">
      <c r="A764" t="s">
        <v>211</v>
      </c>
      <c r="B764" t="s">
        <v>162</v>
      </c>
      <c r="C764" t="s">
        <v>269</v>
      </c>
      <c r="D764" t="s">
        <v>26</v>
      </c>
      <c r="E764" t="s">
        <v>14</v>
      </c>
      <c r="F764">
        <v>2034</v>
      </c>
      <c r="G764" s="55">
        <f>10^6*IF($E764="charcoal",params!$P$13*INDEX(BAU_Fuel_cons!$E$2:$AS$34,MATCH(D764&amp;"_"&amp;E764,BAU_Fuel_cons!$AT$2:$AT$34,0),MATCH(F764,BAU_Fuel_cons!$E$1:$AS$1,0)),INDEX(BAU_Fuel_cons!$E$2:$AS$34,MATCH(D764&amp;"_"&amp;E764,BAU_Fuel_cons!$AT$2:$AT$34,0),MATCH(F764,BAU_Fuel_cons!$E$1:$AS$1,0)))</f>
        <v>0</v>
      </c>
      <c r="H764" s="55">
        <f>G764+10^6*IF($E764="charcoal",params!$P$13*SUMIFS(nonresidential!$L:$L,nonresidential!$A:$A,$F764,nonresidential!$B:$B,$E764,nonresidential!$C:$C,$D764),SUMIFS(nonresidential!$L:$L,nonresidential!$A:$A,$F764,nonresidential!$B:$B,$E764,nonresidential!$C:$C,$D764))</f>
        <v>0</v>
      </c>
      <c r="I764">
        <f>1</f>
        <v>1</v>
      </c>
    </row>
    <row r="765" spans="1:9">
      <c r="A765" t="s">
        <v>211</v>
      </c>
      <c r="B765" t="s">
        <v>162</v>
      </c>
      <c r="C765" t="s">
        <v>269</v>
      </c>
      <c r="D765" t="s">
        <v>26</v>
      </c>
      <c r="E765" t="s">
        <v>14</v>
      </c>
      <c r="F765">
        <v>2035</v>
      </c>
      <c r="G765" s="55">
        <f>10^6*IF($E765="charcoal",params!$P$13*INDEX(BAU_Fuel_cons!$E$2:$AS$34,MATCH(D765&amp;"_"&amp;E765,BAU_Fuel_cons!$AT$2:$AT$34,0),MATCH(F765,BAU_Fuel_cons!$E$1:$AS$1,0)),INDEX(BAU_Fuel_cons!$E$2:$AS$34,MATCH(D765&amp;"_"&amp;E765,BAU_Fuel_cons!$AT$2:$AT$34,0),MATCH(F765,BAU_Fuel_cons!$E$1:$AS$1,0)))</f>
        <v>0</v>
      </c>
      <c r="H765" s="55">
        <f>G765+10^6*IF($E765="charcoal",params!$P$13*SUMIFS(nonresidential!$L:$L,nonresidential!$A:$A,$F765,nonresidential!$B:$B,$E765,nonresidential!$C:$C,$D765),SUMIFS(nonresidential!$L:$L,nonresidential!$A:$A,$F765,nonresidential!$B:$B,$E765,nonresidential!$C:$C,$D765))</f>
        <v>0</v>
      </c>
      <c r="I765">
        <f>1</f>
        <v>1</v>
      </c>
    </row>
    <row r="766" spans="1:9">
      <c r="A766" t="s">
        <v>211</v>
      </c>
      <c r="B766" t="s">
        <v>162</v>
      </c>
      <c r="C766" t="s">
        <v>269</v>
      </c>
      <c r="D766" t="s">
        <v>26</v>
      </c>
      <c r="E766" t="s">
        <v>14</v>
      </c>
      <c r="F766">
        <v>2036</v>
      </c>
      <c r="G766" s="55">
        <f>10^6*IF($E766="charcoal",params!$P$13*INDEX(BAU_Fuel_cons!$E$2:$AS$34,MATCH(D766&amp;"_"&amp;E766,BAU_Fuel_cons!$AT$2:$AT$34,0),MATCH(F766,BAU_Fuel_cons!$E$1:$AS$1,0)),INDEX(BAU_Fuel_cons!$E$2:$AS$34,MATCH(D766&amp;"_"&amp;E766,BAU_Fuel_cons!$AT$2:$AT$34,0),MATCH(F766,BAU_Fuel_cons!$E$1:$AS$1,0)))</f>
        <v>0</v>
      </c>
      <c r="H766" s="55">
        <f>G766+10^6*IF($E766="charcoal",params!$P$13*SUMIFS(nonresidential!$L:$L,nonresidential!$A:$A,$F766,nonresidential!$B:$B,$E766,nonresidential!$C:$C,$D766),SUMIFS(nonresidential!$L:$L,nonresidential!$A:$A,$F766,nonresidential!$B:$B,$E766,nonresidential!$C:$C,$D766))</f>
        <v>0</v>
      </c>
      <c r="I766">
        <f>1</f>
        <v>1</v>
      </c>
    </row>
    <row r="767" spans="1:9">
      <c r="A767" t="s">
        <v>211</v>
      </c>
      <c r="B767" t="s">
        <v>162</v>
      </c>
      <c r="C767" t="s">
        <v>269</v>
      </c>
      <c r="D767" t="s">
        <v>26</v>
      </c>
      <c r="E767" t="s">
        <v>14</v>
      </c>
      <c r="F767">
        <v>2037</v>
      </c>
      <c r="G767" s="55">
        <f>10^6*IF($E767="charcoal",params!$P$13*INDEX(BAU_Fuel_cons!$E$2:$AS$34,MATCH(D767&amp;"_"&amp;E767,BAU_Fuel_cons!$AT$2:$AT$34,0),MATCH(F767,BAU_Fuel_cons!$E$1:$AS$1,0)),INDEX(BAU_Fuel_cons!$E$2:$AS$34,MATCH(D767&amp;"_"&amp;E767,BAU_Fuel_cons!$AT$2:$AT$34,0),MATCH(F767,BAU_Fuel_cons!$E$1:$AS$1,0)))</f>
        <v>0</v>
      </c>
      <c r="H767" s="55">
        <f>G767+10^6*IF($E767="charcoal",params!$P$13*SUMIFS(nonresidential!$L:$L,nonresidential!$A:$A,$F767,nonresidential!$B:$B,$E767,nonresidential!$C:$C,$D767),SUMIFS(nonresidential!$L:$L,nonresidential!$A:$A,$F767,nonresidential!$B:$B,$E767,nonresidential!$C:$C,$D767))</f>
        <v>0</v>
      </c>
      <c r="I767">
        <f>1</f>
        <v>1</v>
      </c>
    </row>
    <row r="768" spans="1:9">
      <c r="A768" t="s">
        <v>211</v>
      </c>
      <c r="B768" t="s">
        <v>162</v>
      </c>
      <c r="C768" t="s">
        <v>269</v>
      </c>
      <c r="D768" t="s">
        <v>26</v>
      </c>
      <c r="E768" t="s">
        <v>14</v>
      </c>
      <c r="F768">
        <v>2038</v>
      </c>
      <c r="G768" s="55">
        <f>10^6*IF($E768="charcoal",params!$P$13*INDEX(BAU_Fuel_cons!$E$2:$AS$34,MATCH(D768&amp;"_"&amp;E768,BAU_Fuel_cons!$AT$2:$AT$34,0),MATCH(F768,BAU_Fuel_cons!$E$1:$AS$1,0)),INDEX(BAU_Fuel_cons!$E$2:$AS$34,MATCH(D768&amp;"_"&amp;E768,BAU_Fuel_cons!$AT$2:$AT$34,0),MATCH(F768,BAU_Fuel_cons!$E$1:$AS$1,0)))</f>
        <v>0</v>
      </c>
      <c r="H768" s="55">
        <f>G768+10^6*IF($E768="charcoal",params!$P$13*SUMIFS(nonresidential!$L:$L,nonresidential!$A:$A,$F768,nonresidential!$B:$B,$E768,nonresidential!$C:$C,$D768),SUMIFS(nonresidential!$L:$L,nonresidential!$A:$A,$F768,nonresidential!$B:$B,$E768,nonresidential!$C:$C,$D768))</f>
        <v>0</v>
      </c>
      <c r="I768">
        <f>1</f>
        <v>1</v>
      </c>
    </row>
    <row r="769" spans="1:9">
      <c r="A769" t="s">
        <v>211</v>
      </c>
      <c r="B769" t="s">
        <v>162</v>
      </c>
      <c r="C769" t="s">
        <v>269</v>
      </c>
      <c r="D769" t="s">
        <v>26</v>
      </c>
      <c r="E769" t="s">
        <v>14</v>
      </c>
      <c r="F769">
        <v>2039</v>
      </c>
      <c r="G769" s="55">
        <f>10^6*IF($E769="charcoal",params!$P$13*INDEX(BAU_Fuel_cons!$E$2:$AS$34,MATCH(D769&amp;"_"&amp;E769,BAU_Fuel_cons!$AT$2:$AT$34,0),MATCH(F769,BAU_Fuel_cons!$E$1:$AS$1,0)),INDEX(BAU_Fuel_cons!$E$2:$AS$34,MATCH(D769&amp;"_"&amp;E769,BAU_Fuel_cons!$AT$2:$AT$34,0),MATCH(F769,BAU_Fuel_cons!$E$1:$AS$1,0)))</f>
        <v>0</v>
      </c>
      <c r="H769" s="55">
        <f>G769+10^6*IF($E769="charcoal",params!$P$13*SUMIFS(nonresidential!$L:$L,nonresidential!$A:$A,$F769,nonresidential!$B:$B,$E769,nonresidential!$C:$C,$D769),SUMIFS(nonresidential!$L:$L,nonresidential!$A:$A,$F769,nonresidential!$B:$B,$E769,nonresidential!$C:$C,$D769))</f>
        <v>0</v>
      </c>
      <c r="I769">
        <f>1</f>
        <v>1</v>
      </c>
    </row>
    <row r="770" spans="1:9">
      <c r="A770" t="s">
        <v>211</v>
      </c>
      <c r="B770" t="s">
        <v>162</v>
      </c>
      <c r="C770" t="s">
        <v>269</v>
      </c>
      <c r="D770" t="s">
        <v>26</v>
      </c>
      <c r="E770" t="s">
        <v>14</v>
      </c>
      <c r="F770">
        <v>2040</v>
      </c>
      <c r="G770" s="55">
        <f>10^6*IF($E770="charcoal",params!$P$13*INDEX(BAU_Fuel_cons!$E$2:$AS$34,MATCH(D770&amp;"_"&amp;E770,BAU_Fuel_cons!$AT$2:$AT$34,0),MATCH(F770,BAU_Fuel_cons!$E$1:$AS$1,0)),INDEX(BAU_Fuel_cons!$E$2:$AS$34,MATCH(D770&amp;"_"&amp;E770,BAU_Fuel_cons!$AT$2:$AT$34,0),MATCH(F770,BAU_Fuel_cons!$E$1:$AS$1,0)))</f>
        <v>0</v>
      </c>
      <c r="H770" s="55">
        <f>G770+10^6*IF($E770="charcoal",params!$P$13*SUMIFS(nonresidential!$L:$L,nonresidential!$A:$A,$F770,nonresidential!$B:$B,$E770,nonresidential!$C:$C,$D770),SUMIFS(nonresidential!$L:$L,nonresidential!$A:$A,$F770,nonresidential!$B:$B,$E770,nonresidential!$C:$C,$D770))</f>
        <v>0</v>
      </c>
      <c r="I770">
        <f>1</f>
        <v>1</v>
      </c>
    </row>
    <row r="771" spans="1:9">
      <c r="A771" t="s">
        <v>211</v>
      </c>
      <c r="B771" t="s">
        <v>162</v>
      </c>
      <c r="C771" t="s">
        <v>269</v>
      </c>
      <c r="D771" t="s">
        <v>26</v>
      </c>
      <c r="E771" t="s">
        <v>14</v>
      </c>
      <c r="F771">
        <v>2041</v>
      </c>
      <c r="G771" s="55">
        <f>10^6*IF($E771="charcoal",params!$P$13*INDEX(BAU_Fuel_cons!$E$2:$AS$34,MATCH(D771&amp;"_"&amp;E771,BAU_Fuel_cons!$AT$2:$AT$34,0),MATCH(F771,BAU_Fuel_cons!$E$1:$AS$1,0)),INDEX(BAU_Fuel_cons!$E$2:$AS$34,MATCH(D771&amp;"_"&amp;E771,BAU_Fuel_cons!$AT$2:$AT$34,0),MATCH(F771,BAU_Fuel_cons!$E$1:$AS$1,0)))</f>
        <v>0</v>
      </c>
      <c r="H771" s="55">
        <f>G771+10^6*IF($E771="charcoal",params!$P$13*SUMIFS(nonresidential!$L:$L,nonresidential!$A:$A,$F771,nonresidential!$B:$B,$E771,nonresidential!$C:$C,$D771),SUMIFS(nonresidential!$L:$L,nonresidential!$A:$A,$F771,nonresidential!$B:$B,$E771,nonresidential!$C:$C,$D771))</f>
        <v>0</v>
      </c>
      <c r="I771">
        <f>1</f>
        <v>1</v>
      </c>
    </row>
    <row r="772" spans="1:9">
      <c r="A772" t="s">
        <v>211</v>
      </c>
      <c r="B772" t="s">
        <v>162</v>
      </c>
      <c r="C772" t="s">
        <v>269</v>
      </c>
      <c r="D772" t="s">
        <v>26</v>
      </c>
      <c r="E772" t="s">
        <v>14</v>
      </c>
      <c r="F772">
        <v>2042</v>
      </c>
      <c r="G772" s="55">
        <f>10^6*IF($E772="charcoal",params!$P$13*INDEX(BAU_Fuel_cons!$E$2:$AS$34,MATCH(D772&amp;"_"&amp;E772,BAU_Fuel_cons!$AT$2:$AT$34,0),MATCH(F772,BAU_Fuel_cons!$E$1:$AS$1,0)),INDEX(BAU_Fuel_cons!$E$2:$AS$34,MATCH(D772&amp;"_"&amp;E772,BAU_Fuel_cons!$AT$2:$AT$34,0),MATCH(F772,BAU_Fuel_cons!$E$1:$AS$1,0)))</f>
        <v>0</v>
      </c>
      <c r="H772" s="55">
        <f>G772+10^6*IF($E772="charcoal",params!$P$13*SUMIFS(nonresidential!$L:$L,nonresidential!$A:$A,$F772,nonresidential!$B:$B,$E772,nonresidential!$C:$C,$D772),SUMIFS(nonresidential!$L:$L,nonresidential!$A:$A,$F772,nonresidential!$B:$B,$E772,nonresidential!$C:$C,$D772))</f>
        <v>0</v>
      </c>
      <c r="I772">
        <f>1</f>
        <v>1</v>
      </c>
    </row>
    <row r="773" spans="1:9">
      <c r="A773" t="s">
        <v>211</v>
      </c>
      <c r="B773" t="s">
        <v>162</v>
      </c>
      <c r="C773" t="s">
        <v>269</v>
      </c>
      <c r="D773" t="s">
        <v>26</v>
      </c>
      <c r="E773" t="s">
        <v>14</v>
      </c>
      <c r="F773">
        <v>2043</v>
      </c>
      <c r="G773" s="55">
        <f>10^6*IF($E773="charcoal",params!$P$13*INDEX(BAU_Fuel_cons!$E$2:$AS$34,MATCH(D773&amp;"_"&amp;E773,BAU_Fuel_cons!$AT$2:$AT$34,0),MATCH(F773,BAU_Fuel_cons!$E$1:$AS$1,0)),INDEX(BAU_Fuel_cons!$E$2:$AS$34,MATCH(D773&amp;"_"&amp;E773,BAU_Fuel_cons!$AT$2:$AT$34,0),MATCH(F773,BAU_Fuel_cons!$E$1:$AS$1,0)))</f>
        <v>0</v>
      </c>
      <c r="H773" s="55">
        <f>G773+10^6*IF($E773="charcoal",params!$P$13*SUMIFS(nonresidential!$L:$L,nonresidential!$A:$A,$F773,nonresidential!$B:$B,$E773,nonresidential!$C:$C,$D773),SUMIFS(nonresidential!$L:$L,nonresidential!$A:$A,$F773,nonresidential!$B:$B,$E773,nonresidential!$C:$C,$D773))</f>
        <v>0</v>
      </c>
      <c r="I773">
        <f>1</f>
        <v>1</v>
      </c>
    </row>
    <row r="774" spans="1:9">
      <c r="A774" t="s">
        <v>211</v>
      </c>
      <c r="B774" t="s">
        <v>162</v>
      </c>
      <c r="C774" t="s">
        <v>269</v>
      </c>
      <c r="D774" t="s">
        <v>26</v>
      </c>
      <c r="E774" t="s">
        <v>14</v>
      </c>
      <c r="F774">
        <v>2044</v>
      </c>
      <c r="G774" s="55">
        <f>10^6*IF($E774="charcoal",params!$P$13*INDEX(BAU_Fuel_cons!$E$2:$AS$34,MATCH(D774&amp;"_"&amp;E774,BAU_Fuel_cons!$AT$2:$AT$34,0),MATCH(F774,BAU_Fuel_cons!$E$1:$AS$1,0)),INDEX(BAU_Fuel_cons!$E$2:$AS$34,MATCH(D774&amp;"_"&amp;E774,BAU_Fuel_cons!$AT$2:$AT$34,0),MATCH(F774,BAU_Fuel_cons!$E$1:$AS$1,0)))</f>
        <v>0</v>
      </c>
      <c r="H774" s="55">
        <f>G774+10^6*IF($E774="charcoal",params!$P$13*SUMIFS(nonresidential!$L:$L,nonresidential!$A:$A,$F774,nonresidential!$B:$B,$E774,nonresidential!$C:$C,$D774),SUMIFS(nonresidential!$L:$L,nonresidential!$A:$A,$F774,nonresidential!$B:$B,$E774,nonresidential!$C:$C,$D774))</f>
        <v>0</v>
      </c>
      <c r="I774">
        <f>1</f>
        <v>1</v>
      </c>
    </row>
    <row r="775" spans="1:9">
      <c r="A775" t="s">
        <v>211</v>
      </c>
      <c r="B775" t="s">
        <v>162</v>
      </c>
      <c r="C775" t="s">
        <v>269</v>
      </c>
      <c r="D775" t="s">
        <v>26</v>
      </c>
      <c r="E775" t="s">
        <v>14</v>
      </c>
      <c r="F775">
        <v>2045</v>
      </c>
      <c r="G775" s="55">
        <f>10^6*IF($E775="charcoal",params!$P$13*INDEX(BAU_Fuel_cons!$E$2:$AS$34,MATCH(D775&amp;"_"&amp;E775,BAU_Fuel_cons!$AT$2:$AT$34,0),MATCH(F775,BAU_Fuel_cons!$E$1:$AS$1,0)),INDEX(BAU_Fuel_cons!$E$2:$AS$34,MATCH(D775&amp;"_"&amp;E775,BAU_Fuel_cons!$AT$2:$AT$34,0),MATCH(F775,BAU_Fuel_cons!$E$1:$AS$1,0)))</f>
        <v>0</v>
      </c>
      <c r="H775" s="55">
        <f>G775+10^6*IF($E775="charcoal",params!$P$13*SUMIFS(nonresidential!$L:$L,nonresidential!$A:$A,$F775,nonresidential!$B:$B,$E775,nonresidential!$C:$C,$D775),SUMIFS(nonresidential!$L:$L,nonresidential!$A:$A,$F775,nonresidential!$B:$B,$E775,nonresidential!$C:$C,$D775))</f>
        <v>0</v>
      </c>
      <c r="I775">
        <f>1</f>
        <v>1</v>
      </c>
    </row>
    <row r="776" spans="1:9">
      <c r="A776" t="s">
        <v>211</v>
      </c>
      <c r="B776" t="s">
        <v>162</v>
      </c>
      <c r="C776" t="s">
        <v>269</v>
      </c>
      <c r="D776" t="s">
        <v>26</v>
      </c>
      <c r="E776" t="s">
        <v>14</v>
      </c>
      <c r="F776">
        <v>2046</v>
      </c>
      <c r="G776" s="55">
        <f>10^6*IF($E776="charcoal",params!$P$13*INDEX(BAU_Fuel_cons!$E$2:$AS$34,MATCH(D776&amp;"_"&amp;E776,BAU_Fuel_cons!$AT$2:$AT$34,0),MATCH(F776,BAU_Fuel_cons!$E$1:$AS$1,0)),INDEX(BAU_Fuel_cons!$E$2:$AS$34,MATCH(D776&amp;"_"&amp;E776,BAU_Fuel_cons!$AT$2:$AT$34,0),MATCH(F776,BAU_Fuel_cons!$E$1:$AS$1,0)))</f>
        <v>0</v>
      </c>
      <c r="H776" s="55">
        <f>G776+10^6*IF($E776="charcoal",params!$P$13*SUMIFS(nonresidential!$L:$L,nonresidential!$A:$A,$F776,nonresidential!$B:$B,$E776,nonresidential!$C:$C,$D776),SUMIFS(nonresidential!$L:$L,nonresidential!$A:$A,$F776,nonresidential!$B:$B,$E776,nonresidential!$C:$C,$D776))</f>
        <v>0</v>
      </c>
      <c r="I776">
        <f>1</f>
        <v>1</v>
      </c>
    </row>
    <row r="777" spans="1:9">
      <c r="A777" t="s">
        <v>211</v>
      </c>
      <c r="B777" t="s">
        <v>162</v>
      </c>
      <c r="C777" t="s">
        <v>269</v>
      </c>
      <c r="D777" t="s">
        <v>26</v>
      </c>
      <c r="E777" t="s">
        <v>14</v>
      </c>
      <c r="F777">
        <v>2047</v>
      </c>
      <c r="G777" s="55">
        <f>10^6*IF($E777="charcoal",params!$P$13*INDEX(BAU_Fuel_cons!$E$2:$AS$34,MATCH(D777&amp;"_"&amp;E777,BAU_Fuel_cons!$AT$2:$AT$34,0),MATCH(F777,BAU_Fuel_cons!$E$1:$AS$1,0)),INDEX(BAU_Fuel_cons!$E$2:$AS$34,MATCH(D777&amp;"_"&amp;E777,BAU_Fuel_cons!$AT$2:$AT$34,0),MATCH(F777,BAU_Fuel_cons!$E$1:$AS$1,0)))</f>
        <v>0</v>
      </c>
      <c r="H777" s="55">
        <f>G777+10^6*IF($E777="charcoal",params!$P$13*SUMIFS(nonresidential!$L:$L,nonresidential!$A:$A,$F777,nonresidential!$B:$B,$E777,nonresidential!$C:$C,$D777),SUMIFS(nonresidential!$L:$L,nonresidential!$A:$A,$F777,nonresidential!$B:$B,$E777,nonresidential!$C:$C,$D777))</f>
        <v>0</v>
      </c>
      <c r="I777">
        <f>1</f>
        <v>1</v>
      </c>
    </row>
    <row r="778" spans="1:9">
      <c r="A778" t="s">
        <v>211</v>
      </c>
      <c r="B778" t="s">
        <v>162</v>
      </c>
      <c r="C778" t="s">
        <v>269</v>
      </c>
      <c r="D778" t="s">
        <v>26</v>
      </c>
      <c r="E778" t="s">
        <v>14</v>
      </c>
      <c r="F778">
        <v>2048</v>
      </c>
      <c r="G778" s="55">
        <f>10^6*IF($E778="charcoal",params!$P$13*INDEX(BAU_Fuel_cons!$E$2:$AS$34,MATCH(D778&amp;"_"&amp;E778,BAU_Fuel_cons!$AT$2:$AT$34,0),MATCH(F778,BAU_Fuel_cons!$E$1:$AS$1,0)),INDEX(BAU_Fuel_cons!$E$2:$AS$34,MATCH(D778&amp;"_"&amp;E778,BAU_Fuel_cons!$AT$2:$AT$34,0),MATCH(F778,BAU_Fuel_cons!$E$1:$AS$1,0)))</f>
        <v>0</v>
      </c>
      <c r="H778" s="55">
        <f>G778+10^6*IF($E778="charcoal",params!$P$13*SUMIFS(nonresidential!$L:$L,nonresidential!$A:$A,$F778,nonresidential!$B:$B,$E778,nonresidential!$C:$C,$D778),SUMIFS(nonresidential!$L:$L,nonresidential!$A:$A,$F778,nonresidential!$B:$B,$E778,nonresidential!$C:$C,$D778))</f>
        <v>0</v>
      </c>
      <c r="I778">
        <f>1</f>
        <v>1</v>
      </c>
    </row>
    <row r="779" spans="1:9">
      <c r="A779" t="s">
        <v>211</v>
      </c>
      <c r="B779" t="s">
        <v>162</v>
      </c>
      <c r="C779" t="s">
        <v>269</v>
      </c>
      <c r="D779" t="s">
        <v>26</v>
      </c>
      <c r="E779" t="s">
        <v>14</v>
      </c>
      <c r="F779">
        <v>2049</v>
      </c>
      <c r="G779" s="55">
        <f>10^6*IF($E779="charcoal",params!$P$13*INDEX(BAU_Fuel_cons!$E$2:$AS$34,MATCH(D779&amp;"_"&amp;E779,BAU_Fuel_cons!$AT$2:$AT$34,0),MATCH(F779,BAU_Fuel_cons!$E$1:$AS$1,0)),INDEX(BAU_Fuel_cons!$E$2:$AS$34,MATCH(D779&amp;"_"&amp;E779,BAU_Fuel_cons!$AT$2:$AT$34,0),MATCH(F779,BAU_Fuel_cons!$E$1:$AS$1,0)))</f>
        <v>0</v>
      </c>
      <c r="H779" s="55">
        <f>G779+10^6*IF($E779="charcoal",params!$P$13*SUMIFS(nonresidential!$L:$L,nonresidential!$A:$A,$F779,nonresidential!$B:$B,$E779,nonresidential!$C:$C,$D779),SUMIFS(nonresidential!$L:$L,nonresidential!$A:$A,$F779,nonresidential!$B:$B,$E779,nonresidential!$C:$C,$D779))</f>
        <v>0</v>
      </c>
      <c r="I779">
        <f>1</f>
        <v>1</v>
      </c>
    </row>
    <row r="780" spans="1:9">
      <c r="A780" t="s">
        <v>211</v>
      </c>
      <c r="B780" t="s">
        <v>162</v>
      </c>
      <c r="C780" t="s">
        <v>269</v>
      </c>
      <c r="D780" t="s">
        <v>26</v>
      </c>
      <c r="E780" t="s">
        <v>14</v>
      </c>
      <c r="F780">
        <v>2050</v>
      </c>
      <c r="G780" s="55">
        <f>10^6*IF($E780="charcoal",params!$P$13*INDEX(BAU_Fuel_cons!$E$2:$AS$34,MATCH(D780&amp;"_"&amp;E780,BAU_Fuel_cons!$AT$2:$AT$34,0),MATCH(F780,BAU_Fuel_cons!$E$1:$AS$1,0)),INDEX(BAU_Fuel_cons!$E$2:$AS$34,MATCH(D780&amp;"_"&amp;E780,BAU_Fuel_cons!$AT$2:$AT$34,0),MATCH(F780,BAU_Fuel_cons!$E$1:$AS$1,0)))</f>
        <v>0</v>
      </c>
      <c r="H780" s="55">
        <f>G780+10^6*IF($E780="charcoal",params!$P$13*SUMIFS(nonresidential!$L:$L,nonresidential!$A:$A,$F780,nonresidential!$B:$B,$E780,nonresidential!$C:$C,$D780),SUMIFS(nonresidential!$L:$L,nonresidential!$A:$A,$F780,nonresidential!$B:$B,$E780,nonresidential!$C:$C,$D780))</f>
        <v>0</v>
      </c>
      <c r="I780">
        <f>1</f>
        <v>1</v>
      </c>
    </row>
    <row r="781" spans="1:9">
      <c r="A781" t="s">
        <v>211</v>
      </c>
      <c r="B781" t="s">
        <v>162</v>
      </c>
      <c r="C781" t="s">
        <v>269</v>
      </c>
      <c r="D781" t="s">
        <v>26</v>
      </c>
      <c r="E781" t="s">
        <v>15</v>
      </c>
      <c r="F781">
        <v>2010</v>
      </c>
      <c r="G781" s="55">
        <f>10^6*IF($E781="charcoal",params!$P$13*INDEX(BAU_Fuel_cons!$E$2:$AS$34,MATCH(D781&amp;"_"&amp;E781,BAU_Fuel_cons!$AT$2:$AT$34,0),MATCH(F781,BAU_Fuel_cons!$E$1:$AS$1,0)),INDEX(BAU_Fuel_cons!$E$2:$AS$34,MATCH(D781&amp;"_"&amp;E781,BAU_Fuel_cons!$AT$2:$AT$34,0),MATCH(F781,BAU_Fuel_cons!$E$1:$AS$1,0)))</f>
        <v>0</v>
      </c>
      <c r="H781" s="55">
        <f>G781+10^6*IF($E781="charcoal",params!$P$13*SUMIFS(nonresidential!$L:$L,nonresidential!$A:$A,$F781,nonresidential!$B:$B,$E781,nonresidential!$C:$C,$D781),SUMIFS(nonresidential!$L:$L,nonresidential!$A:$A,$F781,nonresidential!$B:$B,$E781,nonresidential!$C:$C,$D781))</f>
        <v>0</v>
      </c>
      <c r="I781">
        <f>1</f>
        <v>1</v>
      </c>
    </row>
    <row r="782" spans="1:9">
      <c r="A782" t="s">
        <v>211</v>
      </c>
      <c r="B782" t="s">
        <v>162</v>
      </c>
      <c r="C782" t="s">
        <v>269</v>
      </c>
      <c r="D782" t="s">
        <v>26</v>
      </c>
      <c r="E782" t="s">
        <v>15</v>
      </c>
      <c r="F782">
        <v>2011</v>
      </c>
      <c r="G782" s="55">
        <f>10^6*IF($E782="charcoal",params!$P$13*INDEX(BAU_Fuel_cons!$E$2:$AS$34,MATCH(D782&amp;"_"&amp;E782,BAU_Fuel_cons!$AT$2:$AT$34,0),MATCH(F782,BAU_Fuel_cons!$E$1:$AS$1,0)),INDEX(BAU_Fuel_cons!$E$2:$AS$34,MATCH(D782&amp;"_"&amp;E782,BAU_Fuel_cons!$AT$2:$AT$34,0),MATCH(F782,BAU_Fuel_cons!$E$1:$AS$1,0)))</f>
        <v>0</v>
      </c>
      <c r="H782" s="55">
        <f>G782+10^6*IF($E782="charcoal",params!$P$13*SUMIFS(nonresidential!$L:$L,nonresidential!$A:$A,$F782,nonresidential!$B:$B,$E782,nonresidential!$C:$C,$D782),SUMIFS(nonresidential!$L:$L,nonresidential!$A:$A,$F782,nonresidential!$B:$B,$E782,nonresidential!$C:$C,$D782))</f>
        <v>0</v>
      </c>
      <c r="I782">
        <f>1</f>
        <v>1</v>
      </c>
    </row>
    <row r="783" spans="1:9">
      <c r="A783" t="s">
        <v>211</v>
      </c>
      <c r="B783" t="s">
        <v>162</v>
      </c>
      <c r="C783" t="s">
        <v>269</v>
      </c>
      <c r="D783" t="s">
        <v>26</v>
      </c>
      <c r="E783" t="s">
        <v>15</v>
      </c>
      <c r="F783">
        <v>2012</v>
      </c>
      <c r="G783" s="55">
        <f>10^6*IF($E783="charcoal",params!$P$13*INDEX(BAU_Fuel_cons!$E$2:$AS$34,MATCH(D783&amp;"_"&amp;E783,BAU_Fuel_cons!$AT$2:$AT$34,0),MATCH(F783,BAU_Fuel_cons!$E$1:$AS$1,0)),INDEX(BAU_Fuel_cons!$E$2:$AS$34,MATCH(D783&amp;"_"&amp;E783,BAU_Fuel_cons!$AT$2:$AT$34,0),MATCH(F783,BAU_Fuel_cons!$E$1:$AS$1,0)))</f>
        <v>0</v>
      </c>
      <c r="H783" s="55">
        <f>G783+10^6*IF($E783="charcoal",params!$P$13*SUMIFS(nonresidential!$L:$L,nonresidential!$A:$A,$F783,nonresidential!$B:$B,$E783,nonresidential!$C:$C,$D783),SUMIFS(nonresidential!$L:$L,nonresidential!$A:$A,$F783,nonresidential!$B:$B,$E783,nonresidential!$C:$C,$D783))</f>
        <v>0</v>
      </c>
      <c r="I783">
        <f>1</f>
        <v>1</v>
      </c>
    </row>
    <row r="784" spans="1:9">
      <c r="A784" t="s">
        <v>211</v>
      </c>
      <c r="B784" t="s">
        <v>162</v>
      </c>
      <c r="C784" t="s">
        <v>269</v>
      </c>
      <c r="D784" t="s">
        <v>26</v>
      </c>
      <c r="E784" t="s">
        <v>15</v>
      </c>
      <c r="F784">
        <v>2013</v>
      </c>
      <c r="G784" s="55">
        <f>10^6*IF($E784="charcoal",params!$P$13*INDEX(BAU_Fuel_cons!$E$2:$AS$34,MATCH(D784&amp;"_"&amp;E784,BAU_Fuel_cons!$AT$2:$AT$34,0),MATCH(F784,BAU_Fuel_cons!$E$1:$AS$1,0)),INDEX(BAU_Fuel_cons!$E$2:$AS$34,MATCH(D784&amp;"_"&amp;E784,BAU_Fuel_cons!$AT$2:$AT$34,0),MATCH(F784,BAU_Fuel_cons!$E$1:$AS$1,0)))</f>
        <v>0</v>
      </c>
      <c r="H784" s="55">
        <f>G784+10^6*IF($E784="charcoal",params!$P$13*SUMIFS(nonresidential!$L:$L,nonresidential!$A:$A,$F784,nonresidential!$B:$B,$E784,nonresidential!$C:$C,$D784),SUMIFS(nonresidential!$L:$L,nonresidential!$A:$A,$F784,nonresidential!$B:$B,$E784,nonresidential!$C:$C,$D784))</f>
        <v>0</v>
      </c>
      <c r="I784">
        <f>1</f>
        <v>1</v>
      </c>
    </row>
    <row r="785" spans="1:9">
      <c r="A785" t="s">
        <v>211</v>
      </c>
      <c r="B785" t="s">
        <v>162</v>
      </c>
      <c r="C785" t="s">
        <v>269</v>
      </c>
      <c r="D785" t="s">
        <v>26</v>
      </c>
      <c r="E785" t="s">
        <v>15</v>
      </c>
      <c r="F785">
        <v>2014</v>
      </c>
      <c r="G785" s="55">
        <f>10^6*IF($E785="charcoal",params!$P$13*INDEX(BAU_Fuel_cons!$E$2:$AS$34,MATCH(D785&amp;"_"&amp;E785,BAU_Fuel_cons!$AT$2:$AT$34,0),MATCH(F785,BAU_Fuel_cons!$E$1:$AS$1,0)),INDEX(BAU_Fuel_cons!$E$2:$AS$34,MATCH(D785&amp;"_"&amp;E785,BAU_Fuel_cons!$AT$2:$AT$34,0),MATCH(F785,BAU_Fuel_cons!$E$1:$AS$1,0)))</f>
        <v>0</v>
      </c>
      <c r="H785" s="55">
        <f>G785+10^6*IF($E785="charcoal",params!$P$13*SUMIFS(nonresidential!$L:$L,nonresidential!$A:$A,$F785,nonresidential!$B:$B,$E785,nonresidential!$C:$C,$D785),SUMIFS(nonresidential!$L:$L,nonresidential!$A:$A,$F785,nonresidential!$B:$B,$E785,nonresidential!$C:$C,$D785))</f>
        <v>0</v>
      </c>
      <c r="I785">
        <f>1</f>
        <v>1</v>
      </c>
    </row>
    <row r="786" spans="1:9">
      <c r="A786" t="s">
        <v>211</v>
      </c>
      <c r="B786" t="s">
        <v>162</v>
      </c>
      <c r="C786" t="s">
        <v>269</v>
      </c>
      <c r="D786" t="s">
        <v>26</v>
      </c>
      <c r="E786" t="s">
        <v>15</v>
      </c>
      <c r="F786">
        <v>2015</v>
      </c>
      <c r="G786" s="55">
        <f>10^6*IF($E786="charcoal",params!$P$13*INDEX(BAU_Fuel_cons!$E$2:$AS$34,MATCH(D786&amp;"_"&amp;E786,BAU_Fuel_cons!$AT$2:$AT$34,0),MATCH(F786,BAU_Fuel_cons!$E$1:$AS$1,0)),INDEX(BAU_Fuel_cons!$E$2:$AS$34,MATCH(D786&amp;"_"&amp;E786,BAU_Fuel_cons!$AT$2:$AT$34,0),MATCH(F786,BAU_Fuel_cons!$E$1:$AS$1,0)))</f>
        <v>0</v>
      </c>
      <c r="H786" s="55">
        <f>G786+10^6*IF($E786="charcoal",params!$P$13*SUMIFS(nonresidential!$L:$L,nonresidential!$A:$A,$F786,nonresidential!$B:$B,$E786,nonresidential!$C:$C,$D786),SUMIFS(nonresidential!$L:$L,nonresidential!$A:$A,$F786,nonresidential!$B:$B,$E786,nonresidential!$C:$C,$D786))</f>
        <v>0</v>
      </c>
      <c r="I786">
        <f>1</f>
        <v>1</v>
      </c>
    </row>
    <row r="787" spans="1:9">
      <c r="A787" t="s">
        <v>211</v>
      </c>
      <c r="B787" t="s">
        <v>162</v>
      </c>
      <c r="C787" t="s">
        <v>269</v>
      </c>
      <c r="D787" t="s">
        <v>26</v>
      </c>
      <c r="E787" t="s">
        <v>15</v>
      </c>
      <c r="F787">
        <v>2016</v>
      </c>
      <c r="G787" s="55">
        <f>10^6*IF($E787="charcoal",params!$P$13*INDEX(BAU_Fuel_cons!$E$2:$AS$34,MATCH(D787&amp;"_"&amp;E787,BAU_Fuel_cons!$AT$2:$AT$34,0),MATCH(F787,BAU_Fuel_cons!$E$1:$AS$1,0)),INDEX(BAU_Fuel_cons!$E$2:$AS$34,MATCH(D787&amp;"_"&amp;E787,BAU_Fuel_cons!$AT$2:$AT$34,0),MATCH(F787,BAU_Fuel_cons!$E$1:$AS$1,0)))</f>
        <v>0</v>
      </c>
      <c r="H787" s="55">
        <f>G787+10^6*IF($E787="charcoal",params!$P$13*SUMIFS(nonresidential!$L:$L,nonresidential!$A:$A,$F787,nonresidential!$B:$B,$E787,nonresidential!$C:$C,$D787),SUMIFS(nonresidential!$L:$L,nonresidential!$A:$A,$F787,nonresidential!$B:$B,$E787,nonresidential!$C:$C,$D787))</f>
        <v>0</v>
      </c>
      <c r="I787">
        <f>1</f>
        <v>1</v>
      </c>
    </row>
    <row r="788" spans="1:9">
      <c r="A788" t="s">
        <v>211</v>
      </c>
      <c r="B788" t="s">
        <v>162</v>
      </c>
      <c r="C788" t="s">
        <v>269</v>
      </c>
      <c r="D788" t="s">
        <v>26</v>
      </c>
      <c r="E788" t="s">
        <v>15</v>
      </c>
      <c r="F788">
        <v>2017</v>
      </c>
      <c r="G788" s="55">
        <f>10^6*IF($E788="charcoal",params!$P$13*INDEX(BAU_Fuel_cons!$E$2:$AS$34,MATCH(D788&amp;"_"&amp;E788,BAU_Fuel_cons!$AT$2:$AT$34,0),MATCH(F788,BAU_Fuel_cons!$E$1:$AS$1,0)),INDEX(BAU_Fuel_cons!$E$2:$AS$34,MATCH(D788&amp;"_"&amp;E788,BAU_Fuel_cons!$AT$2:$AT$34,0),MATCH(F788,BAU_Fuel_cons!$E$1:$AS$1,0)))</f>
        <v>0</v>
      </c>
      <c r="H788" s="55">
        <f>G788+10^6*IF($E788="charcoal",params!$P$13*SUMIFS(nonresidential!$L:$L,nonresidential!$A:$A,$F788,nonresidential!$B:$B,$E788,nonresidential!$C:$C,$D788),SUMIFS(nonresidential!$L:$L,nonresidential!$A:$A,$F788,nonresidential!$B:$B,$E788,nonresidential!$C:$C,$D788))</f>
        <v>0</v>
      </c>
      <c r="I788">
        <f>1</f>
        <v>1</v>
      </c>
    </row>
    <row r="789" spans="1:9">
      <c r="A789" t="s">
        <v>211</v>
      </c>
      <c r="B789" t="s">
        <v>162</v>
      </c>
      <c r="C789" t="s">
        <v>269</v>
      </c>
      <c r="D789" t="s">
        <v>26</v>
      </c>
      <c r="E789" t="s">
        <v>15</v>
      </c>
      <c r="F789">
        <v>2018</v>
      </c>
      <c r="G789" s="55">
        <f>10^6*IF($E789="charcoal",params!$P$13*INDEX(BAU_Fuel_cons!$E$2:$AS$34,MATCH(D789&amp;"_"&amp;E789,BAU_Fuel_cons!$AT$2:$AT$34,0),MATCH(F789,BAU_Fuel_cons!$E$1:$AS$1,0)),INDEX(BAU_Fuel_cons!$E$2:$AS$34,MATCH(D789&amp;"_"&amp;E789,BAU_Fuel_cons!$AT$2:$AT$34,0),MATCH(F789,BAU_Fuel_cons!$E$1:$AS$1,0)))</f>
        <v>0</v>
      </c>
      <c r="H789" s="55">
        <f>G789+10^6*IF($E789="charcoal",params!$P$13*SUMIFS(nonresidential!$L:$L,nonresidential!$A:$A,$F789,nonresidential!$B:$B,$E789,nonresidential!$C:$C,$D789),SUMIFS(nonresidential!$L:$L,nonresidential!$A:$A,$F789,nonresidential!$B:$B,$E789,nonresidential!$C:$C,$D789))</f>
        <v>0</v>
      </c>
      <c r="I789">
        <f>1</f>
        <v>1</v>
      </c>
    </row>
    <row r="790" spans="1:9">
      <c r="A790" t="s">
        <v>211</v>
      </c>
      <c r="B790" t="s">
        <v>162</v>
      </c>
      <c r="C790" t="s">
        <v>269</v>
      </c>
      <c r="D790" t="s">
        <v>26</v>
      </c>
      <c r="E790" t="s">
        <v>15</v>
      </c>
      <c r="F790">
        <v>2019</v>
      </c>
      <c r="G790" s="55">
        <f>10^6*IF($E790="charcoal",params!$P$13*INDEX(BAU_Fuel_cons!$E$2:$AS$34,MATCH(D790&amp;"_"&amp;E790,BAU_Fuel_cons!$AT$2:$AT$34,0),MATCH(F790,BAU_Fuel_cons!$E$1:$AS$1,0)),INDEX(BAU_Fuel_cons!$E$2:$AS$34,MATCH(D790&amp;"_"&amp;E790,BAU_Fuel_cons!$AT$2:$AT$34,0),MATCH(F790,BAU_Fuel_cons!$E$1:$AS$1,0)))</f>
        <v>0</v>
      </c>
      <c r="H790" s="55">
        <f>G790+10^6*IF($E790="charcoal",params!$P$13*SUMIFS(nonresidential!$L:$L,nonresidential!$A:$A,$F790,nonresidential!$B:$B,$E790,nonresidential!$C:$C,$D790),SUMIFS(nonresidential!$L:$L,nonresidential!$A:$A,$F790,nonresidential!$B:$B,$E790,nonresidential!$C:$C,$D790))</f>
        <v>0</v>
      </c>
      <c r="I790">
        <f>1</f>
        <v>1</v>
      </c>
    </row>
    <row r="791" spans="1:9">
      <c r="A791" t="s">
        <v>211</v>
      </c>
      <c r="B791" t="s">
        <v>162</v>
      </c>
      <c r="C791" t="s">
        <v>269</v>
      </c>
      <c r="D791" t="s">
        <v>26</v>
      </c>
      <c r="E791" t="s">
        <v>15</v>
      </c>
      <c r="F791">
        <v>2020</v>
      </c>
      <c r="G791" s="55">
        <f>10^6*IF($E791="charcoal",params!$P$13*INDEX(BAU_Fuel_cons!$E$2:$AS$34,MATCH(D791&amp;"_"&amp;E791,BAU_Fuel_cons!$AT$2:$AT$34,0),MATCH(F791,BAU_Fuel_cons!$E$1:$AS$1,0)),INDEX(BAU_Fuel_cons!$E$2:$AS$34,MATCH(D791&amp;"_"&amp;E791,BAU_Fuel_cons!$AT$2:$AT$34,0),MATCH(F791,BAU_Fuel_cons!$E$1:$AS$1,0)))</f>
        <v>0</v>
      </c>
      <c r="H791" s="55">
        <f>G791+10^6*IF($E791="charcoal",params!$P$13*SUMIFS(nonresidential!$L:$L,nonresidential!$A:$A,$F791,nonresidential!$B:$B,$E791,nonresidential!$C:$C,$D791),SUMIFS(nonresidential!$L:$L,nonresidential!$A:$A,$F791,nonresidential!$B:$B,$E791,nonresidential!$C:$C,$D791))</f>
        <v>0</v>
      </c>
      <c r="I791">
        <f>1</f>
        <v>1</v>
      </c>
    </row>
    <row r="792" spans="1:9">
      <c r="A792" t="s">
        <v>211</v>
      </c>
      <c r="B792" t="s">
        <v>162</v>
      </c>
      <c r="C792" t="s">
        <v>269</v>
      </c>
      <c r="D792" t="s">
        <v>26</v>
      </c>
      <c r="E792" t="s">
        <v>15</v>
      </c>
      <c r="F792">
        <v>2021</v>
      </c>
      <c r="G792" s="55">
        <f>10^6*IF($E792="charcoal",params!$P$13*INDEX(BAU_Fuel_cons!$E$2:$AS$34,MATCH(D792&amp;"_"&amp;E792,BAU_Fuel_cons!$AT$2:$AT$34,0),MATCH(F792,BAU_Fuel_cons!$E$1:$AS$1,0)),INDEX(BAU_Fuel_cons!$E$2:$AS$34,MATCH(D792&amp;"_"&amp;E792,BAU_Fuel_cons!$AT$2:$AT$34,0),MATCH(F792,BAU_Fuel_cons!$E$1:$AS$1,0)))</f>
        <v>0</v>
      </c>
      <c r="H792" s="55">
        <f>G792+10^6*IF($E792="charcoal",params!$P$13*SUMIFS(nonresidential!$L:$L,nonresidential!$A:$A,$F792,nonresidential!$B:$B,$E792,nonresidential!$C:$C,$D792),SUMIFS(nonresidential!$L:$L,nonresidential!$A:$A,$F792,nonresidential!$B:$B,$E792,nonresidential!$C:$C,$D792))</f>
        <v>0</v>
      </c>
      <c r="I792">
        <f>1</f>
        <v>1</v>
      </c>
    </row>
    <row r="793" spans="1:9">
      <c r="A793" t="s">
        <v>211</v>
      </c>
      <c r="B793" t="s">
        <v>162</v>
      </c>
      <c r="C793" t="s">
        <v>269</v>
      </c>
      <c r="D793" t="s">
        <v>26</v>
      </c>
      <c r="E793" t="s">
        <v>15</v>
      </c>
      <c r="F793">
        <v>2022</v>
      </c>
      <c r="G793" s="55">
        <f>10^6*IF($E793="charcoal",params!$P$13*INDEX(BAU_Fuel_cons!$E$2:$AS$34,MATCH(D793&amp;"_"&amp;E793,BAU_Fuel_cons!$AT$2:$AT$34,0),MATCH(F793,BAU_Fuel_cons!$E$1:$AS$1,0)),INDEX(BAU_Fuel_cons!$E$2:$AS$34,MATCH(D793&amp;"_"&amp;E793,BAU_Fuel_cons!$AT$2:$AT$34,0),MATCH(F793,BAU_Fuel_cons!$E$1:$AS$1,0)))</f>
        <v>0</v>
      </c>
      <c r="H793" s="55">
        <f>G793+10^6*IF($E793="charcoal",params!$P$13*SUMIFS(nonresidential!$L:$L,nonresidential!$A:$A,$F793,nonresidential!$B:$B,$E793,nonresidential!$C:$C,$D793),SUMIFS(nonresidential!$L:$L,nonresidential!$A:$A,$F793,nonresidential!$B:$B,$E793,nonresidential!$C:$C,$D793))</f>
        <v>0</v>
      </c>
      <c r="I793">
        <f>1</f>
        <v>1</v>
      </c>
    </row>
    <row r="794" spans="1:9">
      <c r="A794" t="s">
        <v>211</v>
      </c>
      <c r="B794" t="s">
        <v>162</v>
      </c>
      <c r="C794" t="s">
        <v>269</v>
      </c>
      <c r="D794" t="s">
        <v>26</v>
      </c>
      <c r="E794" t="s">
        <v>15</v>
      </c>
      <c r="F794">
        <v>2023</v>
      </c>
      <c r="G794" s="55">
        <f>10^6*IF($E794="charcoal",params!$P$13*INDEX(BAU_Fuel_cons!$E$2:$AS$34,MATCH(D794&amp;"_"&amp;E794,BAU_Fuel_cons!$AT$2:$AT$34,0),MATCH(F794,BAU_Fuel_cons!$E$1:$AS$1,0)),INDEX(BAU_Fuel_cons!$E$2:$AS$34,MATCH(D794&amp;"_"&amp;E794,BAU_Fuel_cons!$AT$2:$AT$34,0),MATCH(F794,BAU_Fuel_cons!$E$1:$AS$1,0)))</f>
        <v>0</v>
      </c>
      <c r="H794" s="55">
        <f>G794+10^6*IF($E794="charcoal",params!$P$13*SUMIFS(nonresidential!$L:$L,nonresidential!$A:$A,$F794,nonresidential!$B:$B,$E794,nonresidential!$C:$C,$D794),SUMIFS(nonresidential!$L:$L,nonresidential!$A:$A,$F794,nonresidential!$B:$B,$E794,nonresidential!$C:$C,$D794))</f>
        <v>0</v>
      </c>
      <c r="I794">
        <f>1</f>
        <v>1</v>
      </c>
    </row>
    <row r="795" spans="1:9">
      <c r="A795" t="s">
        <v>211</v>
      </c>
      <c r="B795" t="s">
        <v>162</v>
      </c>
      <c r="C795" t="s">
        <v>269</v>
      </c>
      <c r="D795" t="s">
        <v>26</v>
      </c>
      <c r="E795" t="s">
        <v>15</v>
      </c>
      <c r="F795">
        <v>2024</v>
      </c>
      <c r="G795" s="55">
        <f>10^6*IF($E795="charcoal",params!$P$13*INDEX(BAU_Fuel_cons!$E$2:$AS$34,MATCH(D795&amp;"_"&amp;E795,BAU_Fuel_cons!$AT$2:$AT$34,0),MATCH(F795,BAU_Fuel_cons!$E$1:$AS$1,0)),INDEX(BAU_Fuel_cons!$E$2:$AS$34,MATCH(D795&amp;"_"&amp;E795,BAU_Fuel_cons!$AT$2:$AT$34,0),MATCH(F795,BAU_Fuel_cons!$E$1:$AS$1,0)))</f>
        <v>0</v>
      </c>
      <c r="H795" s="55">
        <f>G795+10^6*IF($E795="charcoal",params!$P$13*SUMIFS(nonresidential!$L:$L,nonresidential!$A:$A,$F795,nonresidential!$B:$B,$E795,nonresidential!$C:$C,$D795),SUMIFS(nonresidential!$L:$L,nonresidential!$A:$A,$F795,nonresidential!$B:$B,$E795,nonresidential!$C:$C,$D795))</f>
        <v>0</v>
      </c>
      <c r="I795">
        <f>1</f>
        <v>1</v>
      </c>
    </row>
    <row r="796" spans="1:9">
      <c r="A796" t="s">
        <v>211</v>
      </c>
      <c r="B796" t="s">
        <v>162</v>
      </c>
      <c r="C796" t="s">
        <v>269</v>
      </c>
      <c r="D796" t="s">
        <v>26</v>
      </c>
      <c r="E796" t="s">
        <v>15</v>
      </c>
      <c r="F796">
        <v>2025</v>
      </c>
      <c r="G796" s="55">
        <f>10^6*IF($E796="charcoal",params!$P$13*INDEX(BAU_Fuel_cons!$E$2:$AS$34,MATCH(D796&amp;"_"&amp;E796,BAU_Fuel_cons!$AT$2:$AT$34,0),MATCH(F796,BAU_Fuel_cons!$E$1:$AS$1,0)),INDEX(BAU_Fuel_cons!$E$2:$AS$34,MATCH(D796&amp;"_"&amp;E796,BAU_Fuel_cons!$AT$2:$AT$34,0),MATCH(F796,BAU_Fuel_cons!$E$1:$AS$1,0)))</f>
        <v>0</v>
      </c>
      <c r="H796" s="55">
        <f>G796+10^6*IF($E796="charcoal",params!$P$13*SUMIFS(nonresidential!$L:$L,nonresidential!$A:$A,$F796,nonresidential!$B:$B,$E796,nonresidential!$C:$C,$D796),SUMIFS(nonresidential!$L:$L,nonresidential!$A:$A,$F796,nonresidential!$B:$B,$E796,nonresidential!$C:$C,$D796))</f>
        <v>0</v>
      </c>
      <c r="I796">
        <f>1</f>
        <v>1</v>
      </c>
    </row>
    <row r="797" spans="1:9">
      <c r="A797" t="s">
        <v>211</v>
      </c>
      <c r="B797" t="s">
        <v>162</v>
      </c>
      <c r="C797" t="s">
        <v>269</v>
      </c>
      <c r="D797" t="s">
        <v>26</v>
      </c>
      <c r="E797" t="s">
        <v>15</v>
      </c>
      <c r="F797">
        <v>2026</v>
      </c>
      <c r="G797" s="55">
        <f>10^6*IF($E797="charcoal",params!$P$13*INDEX(BAU_Fuel_cons!$E$2:$AS$34,MATCH(D797&amp;"_"&amp;E797,BAU_Fuel_cons!$AT$2:$AT$34,0),MATCH(F797,BAU_Fuel_cons!$E$1:$AS$1,0)),INDEX(BAU_Fuel_cons!$E$2:$AS$34,MATCH(D797&amp;"_"&amp;E797,BAU_Fuel_cons!$AT$2:$AT$34,0),MATCH(F797,BAU_Fuel_cons!$E$1:$AS$1,0)))</f>
        <v>0</v>
      </c>
      <c r="H797" s="55">
        <f>G797+10^6*IF($E797="charcoal",params!$P$13*SUMIFS(nonresidential!$L:$L,nonresidential!$A:$A,$F797,nonresidential!$B:$B,$E797,nonresidential!$C:$C,$D797),SUMIFS(nonresidential!$L:$L,nonresidential!$A:$A,$F797,nonresidential!$B:$B,$E797,nonresidential!$C:$C,$D797))</f>
        <v>0</v>
      </c>
      <c r="I797">
        <f>1</f>
        <v>1</v>
      </c>
    </row>
    <row r="798" spans="1:9">
      <c r="A798" t="s">
        <v>211</v>
      </c>
      <c r="B798" t="s">
        <v>162</v>
      </c>
      <c r="C798" t="s">
        <v>269</v>
      </c>
      <c r="D798" t="s">
        <v>26</v>
      </c>
      <c r="E798" t="s">
        <v>15</v>
      </c>
      <c r="F798">
        <v>2027</v>
      </c>
      <c r="G798" s="55">
        <f>10^6*IF($E798="charcoal",params!$P$13*INDEX(BAU_Fuel_cons!$E$2:$AS$34,MATCH(D798&amp;"_"&amp;E798,BAU_Fuel_cons!$AT$2:$AT$34,0),MATCH(F798,BAU_Fuel_cons!$E$1:$AS$1,0)),INDEX(BAU_Fuel_cons!$E$2:$AS$34,MATCH(D798&amp;"_"&amp;E798,BAU_Fuel_cons!$AT$2:$AT$34,0),MATCH(F798,BAU_Fuel_cons!$E$1:$AS$1,0)))</f>
        <v>0</v>
      </c>
      <c r="H798" s="55">
        <f>G798+10^6*IF($E798="charcoal",params!$P$13*SUMIFS(nonresidential!$L:$L,nonresidential!$A:$A,$F798,nonresidential!$B:$B,$E798,nonresidential!$C:$C,$D798),SUMIFS(nonresidential!$L:$L,nonresidential!$A:$A,$F798,nonresidential!$B:$B,$E798,nonresidential!$C:$C,$D798))</f>
        <v>0</v>
      </c>
      <c r="I798">
        <f>1</f>
        <v>1</v>
      </c>
    </row>
    <row r="799" spans="1:9">
      <c r="A799" t="s">
        <v>211</v>
      </c>
      <c r="B799" t="s">
        <v>162</v>
      </c>
      <c r="C799" t="s">
        <v>269</v>
      </c>
      <c r="D799" t="s">
        <v>26</v>
      </c>
      <c r="E799" t="s">
        <v>15</v>
      </c>
      <c r="F799">
        <v>2028</v>
      </c>
      <c r="G799" s="55">
        <f>10^6*IF($E799="charcoal",params!$P$13*INDEX(BAU_Fuel_cons!$E$2:$AS$34,MATCH(D799&amp;"_"&amp;E799,BAU_Fuel_cons!$AT$2:$AT$34,0),MATCH(F799,BAU_Fuel_cons!$E$1:$AS$1,0)),INDEX(BAU_Fuel_cons!$E$2:$AS$34,MATCH(D799&amp;"_"&amp;E799,BAU_Fuel_cons!$AT$2:$AT$34,0),MATCH(F799,BAU_Fuel_cons!$E$1:$AS$1,0)))</f>
        <v>0</v>
      </c>
      <c r="H799" s="55">
        <f>G799+10^6*IF($E799="charcoal",params!$P$13*SUMIFS(nonresidential!$L:$L,nonresidential!$A:$A,$F799,nonresidential!$B:$B,$E799,nonresidential!$C:$C,$D799),SUMIFS(nonresidential!$L:$L,nonresidential!$A:$A,$F799,nonresidential!$B:$B,$E799,nonresidential!$C:$C,$D799))</f>
        <v>0</v>
      </c>
      <c r="I799">
        <f>1</f>
        <v>1</v>
      </c>
    </row>
    <row r="800" spans="1:9">
      <c r="A800" t="s">
        <v>211</v>
      </c>
      <c r="B800" t="s">
        <v>162</v>
      </c>
      <c r="C800" t="s">
        <v>269</v>
      </c>
      <c r="D800" t="s">
        <v>26</v>
      </c>
      <c r="E800" t="s">
        <v>15</v>
      </c>
      <c r="F800">
        <v>2029</v>
      </c>
      <c r="G800" s="55">
        <f>10^6*IF($E800="charcoal",params!$P$13*INDEX(BAU_Fuel_cons!$E$2:$AS$34,MATCH(D800&amp;"_"&amp;E800,BAU_Fuel_cons!$AT$2:$AT$34,0),MATCH(F800,BAU_Fuel_cons!$E$1:$AS$1,0)),INDEX(BAU_Fuel_cons!$E$2:$AS$34,MATCH(D800&amp;"_"&amp;E800,BAU_Fuel_cons!$AT$2:$AT$34,0),MATCH(F800,BAU_Fuel_cons!$E$1:$AS$1,0)))</f>
        <v>0</v>
      </c>
      <c r="H800" s="55">
        <f>G800+10^6*IF($E800="charcoal",params!$P$13*SUMIFS(nonresidential!$L:$L,nonresidential!$A:$A,$F800,nonresidential!$B:$B,$E800,nonresidential!$C:$C,$D800),SUMIFS(nonresidential!$L:$L,nonresidential!$A:$A,$F800,nonresidential!$B:$B,$E800,nonresidential!$C:$C,$D800))</f>
        <v>0</v>
      </c>
      <c r="I800">
        <f>1</f>
        <v>1</v>
      </c>
    </row>
    <row r="801" spans="1:9">
      <c r="A801" t="s">
        <v>211</v>
      </c>
      <c r="B801" t="s">
        <v>162</v>
      </c>
      <c r="C801" t="s">
        <v>269</v>
      </c>
      <c r="D801" t="s">
        <v>26</v>
      </c>
      <c r="E801" t="s">
        <v>15</v>
      </c>
      <c r="F801">
        <v>2030</v>
      </c>
      <c r="G801" s="55">
        <f>10^6*IF($E801="charcoal",params!$P$13*INDEX(BAU_Fuel_cons!$E$2:$AS$34,MATCH(D801&amp;"_"&amp;E801,BAU_Fuel_cons!$AT$2:$AT$34,0),MATCH(F801,BAU_Fuel_cons!$E$1:$AS$1,0)),INDEX(BAU_Fuel_cons!$E$2:$AS$34,MATCH(D801&amp;"_"&amp;E801,BAU_Fuel_cons!$AT$2:$AT$34,0),MATCH(F801,BAU_Fuel_cons!$E$1:$AS$1,0)))</f>
        <v>0</v>
      </c>
      <c r="H801" s="55">
        <f>G801+10^6*IF($E801="charcoal",params!$P$13*SUMIFS(nonresidential!$L:$L,nonresidential!$A:$A,$F801,nonresidential!$B:$B,$E801,nonresidential!$C:$C,$D801),SUMIFS(nonresidential!$L:$L,nonresidential!$A:$A,$F801,nonresidential!$B:$B,$E801,nonresidential!$C:$C,$D801))</f>
        <v>0</v>
      </c>
      <c r="I801">
        <f>1</f>
        <v>1</v>
      </c>
    </row>
    <row r="802" spans="1:9">
      <c r="A802" t="s">
        <v>211</v>
      </c>
      <c r="B802" t="s">
        <v>162</v>
      </c>
      <c r="C802" t="s">
        <v>269</v>
      </c>
      <c r="D802" t="s">
        <v>26</v>
      </c>
      <c r="E802" t="s">
        <v>15</v>
      </c>
      <c r="F802">
        <v>2031</v>
      </c>
      <c r="G802" s="55">
        <f>10^6*IF($E802="charcoal",params!$P$13*INDEX(BAU_Fuel_cons!$E$2:$AS$34,MATCH(D802&amp;"_"&amp;E802,BAU_Fuel_cons!$AT$2:$AT$34,0),MATCH(F802,BAU_Fuel_cons!$E$1:$AS$1,0)),INDEX(BAU_Fuel_cons!$E$2:$AS$34,MATCH(D802&amp;"_"&amp;E802,BAU_Fuel_cons!$AT$2:$AT$34,0),MATCH(F802,BAU_Fuel_cons!$E$1:$AS$1,0)))</f>
        <v>0</v>
      </c>
      <c r="H802" s="55">
        <f>G802+10^6*IF($E802="charcoal",params!$P$13*SUMIFS(nonresidential!$L:$L,nonresidential!$A:$A,$F802,nonresidential!$B:$B,$E802,nonresidential!$C:$C,$D802),SUMIFS(nonresidential!$L:$L,nonresidential!$A:$A,$F802,nonresidential!$B:$B,$E802,nonresidential!$C:$C,$D802))</f>
        <v>0</v>
      </c>
      <c r="I802">
        <f>1</f>
        <v>1</v>
      </c>
    </row>
    <row r="803" spans="1:9">
      <c r="A803" t="s">
        <v>211</v>
      </c>
      <c r="B803" t="s">
        <v>162</v>
      </c>
      <c r="C803" t="s">
        <v>269</v>
      </c>
      <c r="D803" t="s">
        <v>26</v>
      </c>
      <c r="E803" t="s">
        <v>15</v>
      </c>
      <c r="F803">
        <v>2032</v>
      </c>
      <c r="G803" s="55">
        <f>10^6*IF($E803="charcoal",params!$P$13*INDEX(BAU_Fuel_cons!$E$2:$AS$34,MATCH(D803&amp;"_"&amp;E803,BAU_Fuel_cons!$AT$2:$AT$34,0),MATCH(F803,BAU_Fuel_cons!$E$1:$AS$1,0)),INDEX(BAU_Fuel_cons!$E$2:$AS$34,MATCH(D803&amp;"_"&amp;E803,BAU_Fuel_cons!$AT$2:$AT$34,0),MATCH(F803,BAU_Fuel_cons!$E$1:$AS$1,0)))</f>
        <v>0</v>
      </c>
      <c r="H803" s="55">
        <f>G803+10^6*IF($E803="charcoal",params!$P$13*SUMIFS(nonresidential!$L:$L,nonresidential!$A:$A,$F803,nonresidential!$B:$B,$E803,nonresidential!$C:$C,$D803),SUMIFS(nonresidential!$L:$L,nonresidential!$A:$A,$F803,nonresidential!$B:$B,$E803,nonresidential!$C:$C,$D803))</f>
        <v>0</v>
      </c>
      <c r="I803">
        <f>1</f>
        <v>1</v>
      </c>
    </row>
    <row r="804" spans="1:9">
      <c r="A804" t="s">
        <v>211</v>
      </c>
      <c r="B804" t="s">
        <v>162</v>
      </c>
      <c r="C804" t="s">
        <v>269</v>
      </c>
      <c r="D804" t="s">
        <v>26</v>
      </c>
      <c r="E804" t="s">
        <v>15</v>
      </c>
      <c r="F804">
        <v>2033</v>
      </c>
      <c r="G804" s="55">
        <f>10^6*IF($E804="charcoal",params!$P$13*INDEX(BAU_Fuel_cons!$E$2:$AS$34,MATCH(D804&amp;"_"&amp;E804,BAU_Fuel_cons!$AT$2:$AT$34,0),MATCH(F804,BAU_Fuel_cons!$E$1:$AS$1,0)),INDEX(BAU_Fuel_cons!$E$2:$AS$34,MATCH(D804&amp;"_"&amp;E804,BAU_Fuel_cons!$AT$2:$AT$34,0),MATCH(F804,BAU_Fuel_cons!$E$1:$AS$1,0)))</f>
        <v>0</v>
      </c>
      <c r="H804" s="55">
        <f>G804+10^6*IF($E804="charcoal",params!$P$13*SUMIFS(nonresidential!$L:$L,nonresidential!$A:$A,$F804,nonresidential!$B:$B,$E804,nonresidential!$C:$C,$D804),SUMIFS(nonresidential!$L:$L,nonresidential!$A:$A,$F804,nonresidential!$B:$B,$E804,nonresidential!$C:$C,$D804))</f>
        <v>0</v>
      </c>
      <c r="I804">
        <f>1</f>
        <v>1</v>
      </c>
    </row>
    <row r="805" spans="1:9">
      <c r="A805" t="s">
        <v>211</v>
      </c>
      <c r="B805" t="s">
        <v>162</v>
      </c>
      <c r="C805" t="s">
        <v>269</v>
      </c>
      <c r="D805" t="s">
        <v>26</v>
      </c>
      <c r="E805" t="s">
        <v>15</v>
      </c>
      <c r="F805">
        <v>2034</v>
      </c>
      <c r="G805" s="55">
        <f>10^6*IF($E805="charcoal",params!$P$13*INDEX(BAU_Fuel_cons!$E$2:$AS$34,MATCH(D805&amp;"_"&amp;E805,BAU_Fuel_cons!$AT$2:$AT$34,0),MATCH(F805,BAU_Fuel_cons!$E$1:$AS$1,0)),INDEX(BAU_Fuel_cons!$E$2:$AS$34,MATCH(D805&amp;"_"&amp;E805,BAU_Fuel_cons!$AT$2:$AT$34,0),MATCH(F805,BAU_Fuel_cons!$E$1:$AS$1,0)))</f>
        <v>0</v>
      </c>
      <c r="H805" s="55">
        <f>G805+10^6*IF($E805="charcoal",params!$P$13*SUMIFS(nonresidential!$L:$L,nonresidential!$A:$A,$F805,nonresidential!$B:$B,$E805,nonresidential!$C:$C,$D805),SUMIFS(nonresidential!$L:$L,nonresidential!$A:$A,$F805,nonresidential!$B:$B,$E805,nonresidential!$C:$C,$D805))</f>
        <v>0</v>
      </c>
      <c r="I805">
        <f>1</f>
        <v>1</v>
      </c>
    </row>
    <row r="806" spans="1:9">
      <c r="A806" t="s">
        <v>211</v>
      </c>
      <c r="B806" t="s">
        <v>162</v>
      </c>
      <c r="C806" t="s">
        <v>269</v>
      </c>
      <c r="D806" t="s">
        <v>26</v>
      </c>
      <c r="E806" t="s">
        <v>15</v>
      </c>
      <c r="F806">
        <v>2035</v>
      </c>
      <c r="G806" s="55">
        <f>10^6*IF($E806="charcoal",params!$P$13*INDEX(BAU_Fuel_cons!$E$2:$AS$34,MATCH(D806&amp;"_"&amp;E806,BAU_Fuel_cons!$AT$2:$AT$34,0),MATCH(F806,BAU_Fuel_cons!$E$1:$AS$1,0)),INDEX(BAU_Fuel_cons!$E$2:$AS$34,MATCH(D806&amp;"_"&amp;E806,BAU_Fuel_cons!$AT$2:$AT$34,0),MATCH(F806,BAU_Fuel_cons!$E$1:$AS$1,0)))</f>
        <v>0</v>
      </c>
      <c r="H806" s="55">
        <f>G806+10^6*IF($E806="charcoal",params!$P$13*SUMIFS(nonresidential!$L:$L,nonresidential!$A:$A,$F806,nonresidential!$B:$B,$E806,nonresidential!$C:$C,$D806),SUMIFS(nonresidential!$L:$L,nonresidential!$A:$A,$F806,nonresidential!$B:$B,$E806,nonresidential!$C:$C,$D806))</f>
        <v>0</v>
      </c>
      <c r="I806">
        <f>1</f>
        <v>1</v>
      </c>
    </row>
    <row r="807" spans="1:9">
      <c r="A807" t="s">
        <v>211</v>
      </c>
      <c r="B807" t="s">
        <v>162</v>
      </c>
      <c r="C807" t="s">
        <v>269</v>
      </c>
      <c r="D807" t="s">
        <v>26</v>
      </c>
      <c r="E807" t="s">
        <v>15</v>
      </c>
      <c r="F807">
        <v>2036</v>
      </c>
      <c r="G807" s="55">
        <f>10^6*IF($E807="charcoal",params!$P$13*INDEX(BAU_Fuel_cons!$E$2:$AS$34,MATCH(D807&amp;"_"&amp;E807,BAU_Fuel_cons!$AT$2:$AT$34,0),MATCH(F807,BAU_Fuel_cons!$E$1:$AS$1,0)),INDEX(BAU_Fuel_cons!$E$2:$AS$34,MATCH(D807&amp;"_"&amp;E807,BAU_Fuel_cons!$AT$2:$AT$34,0),MATCH(F807,BAU_Fuel_cons!$E$1:$AS$1,0)))</f>
        <v>0</v>
      </c>
      <c r="H807" s="55">
        <f>G807+10^6*IF($E807="charcoal",params!$P$13*SUMIFS(nonresidential!$L:$L,nonresidential!$A:$A,$F807,nonresidential!$B:$B,$E807,nonresidential!$C:$C,$D807),SUMIFS(nonresidential!$L:$L,nonresidential!$A:$A,$F807,nonresidential!$B:$B,$E807,nonresidential!$C:$C,$D807))</f>
        <v>0</v>
      </c>
      <c r="I807">
        <f>1</f>
        <v>1</v>
      </c>
    </row>
    <row r="808" spans="1:9">
      <c r="A808" t="s">
        <v>211</v>
      </c>
      <c r="B808" t="s">
        <v>162</v>
      </c>
      <c r="C808" t="s">
        <v>269</v>
      </c>
      <c r="D808" t="s">
        <v>26</v>
      </c>
      <c r="E808" t="s">
        <v>15</v>
      </c>
      <c r="F808">
        <v>2037</v>
      </c>
      <c r="G808" s="55">
        <f>10^6*IF($E808="charcoal",params!$P$13*INDEX(BAU_Fuel_cons!$E$2:$AS$34,MATCH(D808&amp;"_"&amp;E808,BAU_Fuel_cons!$AT$2:$AT$34,0),MATCH(F808,BAU_Fuel_cons!$E$1:$AS$1,0)),INDEX(BAU_Fuel_cons!$E$2:$AS$34,MATCH(D808&amp;"_"&amp;E808,BAU_Fuel_cons!$AT$2:$AT$34,0),MATCH(F808,BAU_Fuel_cons!$E$1:$AS$1,0)))</f>
        <v>0</v>
      </c>
      <c r="H808" s="55">
        <f>G808+10^6*IF($E808="charcoal",params!$P$13*SUMIFS(nonresidential!$L:$L,nonresidential!$A:$A,$F808,nonresidential!$B:$B,$E808,nonresidential!$C:$C,$D808),SUMIFS(nonresidential!$L:$L,nonresidential!$A:$A,$F808,nonresidential!$B:$B,$E808,nonresidential!$C:$C,$D808))</f>
        <v>0</v>
      </c>
      <c r="I808">
        <f>1</f>
        <v>1</v>
      </c>
    </row>
    <row r="809" spans="1:9">
      <c r="A809" t="s">
        <v>211</v>
      </c>
      <c r="B809" t="s">
        <v>162</v>
      </c>
      <c r="C809" t="s">
        <v>269</v>
      </c>
      <c r="D809" t="s">
        <v>26</v>
      </c>
      <c r="E809" t="s">
        <v>15</v>
      </c>
      <c r="F809">
        <v>2038</v>
      </c>
      <c r="G809" s="55">
        <f>10^6*IF($E809="charcoal",params!$P$13*INDEX(BAU_Fuel_cons!$E$2:$AS$34,MATCH(D809&amp;"_"&amp;E809,BAU_Fuel_cons!$AT$2:$AT$34,0),MATCH(F809,BAU_Fuel_cons!$E$1:$AS$1,0)),INDEX(BAU_Fuel_cons!$E$2:$AS$34,MATCH(D809&amp;"_"&amp;E809,BAU_Fuel_cons!$AT$2:$AT$34,0),MATCH(F809,BAU_Fuel_cons!$E$1:$AS$1,0)))</f>
        <v>0</v>
      </c>
      <c r="H809" s="55">
        <f>G809+10^6*IF($E809="charcoal",params!$P$13*SUMIFS(nonresidential!$L:$L,nonresidential!$A:$A,$F809,nonresidential!$B:$B,$E809,nonresidential!$C:$C,$D809),SUMIFS(nonresidential!$L:$L,nonresidential!$A:$A,$F809,nonresidential!$B:$B,$E809,nonresidential!$C:$C,$D809))</f>
        <v>0</v>
      </c>
      <c r="I809">
        <f>1</f>
        <v>1</v>
      </c>
    </row>
    <row r="810" spans="1:9">
      <c r="A810" t="s">
        <v>211</v>
      </c>
      <c r="B810" t="s">
        <v>162</v>
      </c>
      <c r="C810" t="s">
        <v>269</v>
      </c>
      <c r="D810" t="s">
        <v>26</v>
      </c>
      <c r="E810" t="s">
        <v>15</v>
      </c>
      <c r="F810">
        <v>2039</v>
      </c>
      <c r="G810" s="55">
        <f>10^6*IF($E810="charcoal",params!$P$13*INDEX(BAU_Fuel_cons!$E$2:$AS$34,MATCH(D810&amp;"_"&amp;E810,BAU_Fuel_cons!$AT$2:$AT$34,0),MATCH(F810,BAU_Fuel_cons!$E$1:$AS$1,0)),INDEX(BAU_Fuel_cons!$E$2:$AS$34,MATCH(D810&amp;"_"&amp;E810,BAU_Fuel_cons!$AT$2:$AT$34,0),MATCH(F810,BAU_Fuel_cons!$E$1:$AS$1,0)))</f>
        <v>0</v>
      </c>
      <c r="H810" s="55">
        <f>G810+10^6*IF($E810="charcoal",params!$P$13*SUMIFS(nonresidential!$L:$L,nonresidential!$A:$A,$F810,nonresidential!$B:$B,$E810,nonresidential!$C:$C,$D810),SUMIFS(nonresidential!$L:$L,nonresidential!$A:$A,$F810,nonresidential!$B:$B,$E810,nonresidential!$C:$C,$D810))</f>
        <v>0</v>
      </c>
      <c r="I810">
        <f>1</f>
        <v>1</v>
      </c>
    </row>
    <row r="811" spans="1:9">
      <c r="A811" t="s">
        <v>211</v>
      </c>
      <c r="B811" t="s">
        <v>162</v>
      </c>
      <c r="C811" t="s">
        <v>269</v>
      </c>
      <c r="D811" t="s">
        <v>26</v>
      </c>
      <c r="E811" t="s">
        <v>15</v>
      </c>
      <c r="F811">
        <v>2040</v>
      </c>
      <c r="G811" s="55">
        <f>10^6*IF($E811="charcoal",params!$P$13*INDEX(BAU_Fuel_cons!$E$2:$AS$34,MATCH(D811&amp;"_"&amp;E811,BAU_Fuel_cons!$AT$2:$AT$34,0),MATCH(F811,BAU_Fuel_cons!$E$1:$AS$1,0)),INDEX(BAU_Fuel_cons!$E$2:$AS$34,MATCH(D811&amp;"_"&amp;E811,BAU_Fuel_cons!$AT$2:$AT$34,0),MATCH(F811,BAU_Fuel_cons!$E$1:$AS$1,0)))</f>
        <v>0</v>
      </c>
      <c r="H811" s="55">
        <f>G811+10^6*IF($E811="charcoal",params!$P$13*SUMIFS(nonresidential!$L:$L,nonresidential!$A:$A,$F811,nonresidential!$B:$B,$E811,nonresidential!$C:$C,$D811),SUMIFS(nonresidential!$L:$L,nonresidential!$A:$A,$F811,nonresidential!$B:$B,$E811,nonresidential!$C:$C,$D811))</f>
        <v>0</v>
      </c>
      <c r="I811">
        <f>1</f>
        <v>1</v>
      </c>
    </row>
    <row r="812" spans="1:9">
      <c r="A812" t="s">
        <v>211</v>
      </c>
      <c r="B812" t="s">
        <v>162</v>
      </c>
      <c r="C812" t="s">
        <v>269</v>
      </c>
      <c r="D812" t="s">
        <v>26</v>
      </c>
      <c r="E812" t="s">
        <v>15</v>
      </c>
      <c r="F812">
        <v>2041</v>
      </c>
      <c r="G812" s="55">
        <f>10^6*IF($E812="charcoal",params!$P$13*INDEX(BAU_Fuel_cons!$E$2:$AS$34,MATCH(D812&amp;"_"&amp;E812,BAU_Fuel_cons!$AT$2:$AT$34,0),MATCH(F812,BAU_Fuel_cons!$E$1:$AS$1,0)),INDEX(BAU_Fuel_cons!$E$2:$AS$34,MATCH(D812&amp;"_"&amp;E812,BAU_Fuel_cons!$AT$2:$AT$34,0),MATCH(F812,BAU_Fuel_cons!$E$1:$AS$1,0)))</f>
        <v>0</v>
      </c>
      <c r="H812" s="55">
        <f>G812+10^6*IF($E812="charcoal",params!$P$13*SUMIFS(nonresidential!$L:$L,nonresidential!$A:$A,$F812,nonresidential!$B:$B,$E812,nonresidential!$C:$C,$D812),SUMIFS(nonresidential!$L:$L,nonresidential!$A:$A,$F812,nonresidential!$B:$B,$E812,nonresidential!$C:$C,$D812))</f>
        <v>0</v>
      </c>
      <c r="I812">
        <f>1</f>
        <v>1</v>
      </c>
    </row>
    <row r="813" spans="1:9">
      <c r="A813" t="s">
        <v>211</v>
      </c>
      <c r="B813" t="s">
        <v>162</v>
      </c>
      <c r="C813" t="s">
        <v>269</v>
      </c>
      <c r="D813" t="s">
        <v>26</v>
      </c>
      <c r="E813" t="s">
        <v>15</v>
      </c>
      <c r="F813">
        <v>2042</v>
      </c>
      <c r="G813" s="55">
        <f>10^6*IF($E813="charcoal",params!$P$13*INDEX(BAU_Fuel_cons!$E$2:$AS$34,MATCH(D813&amp;"_"&amp;E813,BAU_Fuel_cons!$AT$2:$AT$34,0),MATCH(F813,BAU_Fuel_cons!$E$1:$AS$1,0)),INDEX(BAU_Fuel_cons!$E$2:$AS$34,MATCH(D813&amp;"_"&amp;E813,BAU_Fuel_cons!$AT$2:$AT$34,0),MATCH(F813,BAU_Fuel_cons!$E$1:$AS$1,0)))</f>
        <v>0</v>
      </c>
      <c r="H813" s="55">
        <f>G813+10^6*IF($E813="charcoal",params!$P$13*SUMIFS(nonresidential!$L:$L,nonresidential!$A:$A,$F813,nonresidential!$B:$B,$E813,nonresidential!$C:$C,$D813),SUMIFS(nonresidential!$L:$L,nonresidential!$A:$A,$F813,nonresidential!$B:$B,$E813,nonresidential!$C:$C,$D813))</f>
        <v>0</v>
      </c>
      <c r="I813">
        <f>1</f>
        <v>1</v>
      </c>
    </row>
    <row r="814" spans="1:9">
      <c r="A814" t="s">
        <v>211</v>
      </c>
      <c r="B814" t="s">
        <v>162</v>
      </c>
      <c r="C814" t="s">
        <v>269</v>
      </c>
      <c r="D814" t="s">
        <v>26</v>
      </c>
      <c r="E814" t="s">
        <v>15</v>
      </c>
      <c r="F814">
        <v>2043</v>
      </c>
      <c r="G814" s="55">
        <f>10^6*IF($E814="charcoal",params!$P$13*INDEX(BAU_Fuel_cons!$E$2:$AS$34,MATCH(D814&amp;"_"&amp;E814,BAU_Fuel_cons!$AT$2:$AT$34,0),MATCH(F814,BAU_Fuel_cons!$E$1:$AS$1,0)),INDEX(BAU_Fuel_cons!$E$2:$AS$34,MATCH(D814&amp;"_"&amp;E814,BAU_Fuel_cons!$AT$2:$AT$34,0),MATCH(F814,BAU_Fuel_cons!$E$1:$AS$1,0)))</f>
        <v>0</v>
      </c>
      <c r="H814" s="55">
        <f>G814+10^6*IF($E814="charcoal",params!$P$13*SUMIFS(nonresidential!$L:$L,nonresidential!$A:$A,$F814,nonresidential!$B:$B,$E814,nonresidential!$C:$C,$D814),SUMIFS(nonresidential!$L:$L,nonresidential!$A:$A,$F814,nonresidential!$B:$B,$E814,nonresidential!$C:$C,$D814))</f>
        <v>0</v>
      </c>
      <c r="I814">
        <f>1</f>
        <v>1</v>
      </c>
    </row>
    <row r="815" spans="1:9">
      <c r="A815" t="s">
        <v>211</v>
      </c>
      <c r="B815" t="s">
        <v>162</v>
      </c>
      <c r="C815" t="s">
        <v>269</v>
      </c>
      <c r="D815" t="s">
        <v>26</v>
      </c>
      <c r="E815" t="s">
        <v>15</v>
      </c>
      <c r="F815">
        <v>2044</v>
      </c>
      <c r="G815" s="55">
        <f>10^6*IF($E815="charcoal",params!$P$13*INDEX(BAU_Fuel_cons!$E$2:$AS$34,MATCH(D815&amp;"_"&amp;E815,BAU_Fuel_cons!$AT$2:$AT$34,0),MATCH(F815,BAU_Fuel_cons!$E$1:$AS$1,0)),INDEX(BAU_Fuel_cons!$E$2:$AS$34,MATCH(D815&amp;"_"&amp;E815,BAU_Fuel_cons!$AT$2:$AT$34,0),MATCH(F815,BAU_Fuel_cons!$E$1:$AS$1,0)))</f>
        <v>0</v>
      </c>
      <c r="H815" s="55">
        <f>G815+10^6*IF($E815="charcoal",params!$P$13*SUMIFS(nonresidential!$L:$L,nonresidential!$A:$A,$F815,nonresidential!$B:$B,$E815,nonresidential!$C:$C,$D815),SUMIFS(nonresidential!$L:$L,nonresidential!$A:$A,$F815,nonresidential!$B:$B,$E815,nonresidential!$C:$C,$D815))</f>
        <v>0</v>
      </c>
      <c r="I815">
        <f>1</f>
        <v>1</v>
      </c>
    </row>
    <row r="816" spans="1:9">
      <c r="A816" t="s">
        <v>211</v>
      </c>
      <c r="B816" t="s">
        <v>162</v>
      </c>
      <c r="C816" t="s">
        <v>269</v>
      </c>
      <c r="D816" t="s">
        <v>26</v>
      </c>
      <c r="E816" t="s">
        <v>15</v>
      </c>
      <c r="F816">
        <v>2045</v>
      </c>
      <c r="G816" s="55">
        <f>10^6*IF($E816="charcoal",params!$P$13*INDEX(BAU_Fuel_cons!$E$2:$AS$34,MATCH(D816&amp;"_"&amp;E816,BAU_Fuel_cons!$AT$2:$AT$34,0),MATCH(F816,BAU_Fuel_cons!$E$1:$AS$1,0)),INDEX(BAU_Fuel_cons!$E$2:$AS$34,MATCH(D816&amp;"_"&amp;E816,BAU_Fuel_cons!$AT$2:$AT$34,0),MATCH(F816,BAU_Fuel_cons!$E$1:$AS$1,0)))</f>
        <v>0</v>
      </c>
      <c r="H816" s="55">
        <f>G816+10^6*IF($E816="charcoal",params!$P$13*SUMIFS(nonresidential!$L:$L,nonresidential!$A:$A,$F816,nonresidential!$B:$B,$E816,nonresidential!$C:$C,$D816),SUMIFS(nonresidential!$L:$L,nonresidential!$A:$A,$F816,nonresidential!$B:$B,$E816,nonresidential!$C:$C,$D816))</f>
        <v>0</v>
      </c>
      <c r="I816">
        <f>1</f>
        <v>1</v>
      </c>
    </row>
    <row r="817" spans="1:9">
      <c r="A817" t="s">
        <v>211</v>
      </c>
      <c r="B817" t="s">
        <v>162</v>
      </c>
      <c r="C817" t="s">
        <v>269</v>
      </c>
      <c r="D817" t="s">
        <v>26</v>
      </c>
      <c r="E817" t="s">
        <v>15</v>
      </c>
      <c r="F817">
        <v>2046</v>
      </c>
      <c r="G817" s="55">
        <f>10^6*IF($E817="charcoal",params!$P$13*INDEX(BAU_Fuel_cons!$E$2:$AS$34,MATCH(D817&amp;"_"&amp;E817,BAU_Fuel_cons!$AT$2:$AT$34,0),MATCH(F817,BAU_Fuel_cons!$E$1:$AS$1,0)),INDEX(BAU_Fuel_cons!$E$2:$AS$34,MATCH(D817&amp;"_"&amp;E817,BAU_Fuel_cons!$AT$2:$AT$34,0),MATCH(F817,BAU_Fuel_cons!$E$1:$AS$1,0)))</f>
        <v>0</v>
      </c>
      <c r="H817" s="55">
        <f>G817+10^6*IF($E817="charcoal",params!$P$13*SUMIFS(nonresidential!$L:$L,nonresidential!$A:$A,$F817,nonresidential!$B:$B,$E817,nonresidential!$C:$C,$D817),SUMIFS(nonresidential!$L:$L,nonresidential!$A:$A,$F817,nonresidential!$B:$B,$E817,nonresidential!$C:$C,$D817))</f>
        <v>0</v>
      </c>
      <c r="I817">
        <f>1</f>
        <v>1</v>
      </c>
    </row>
    <row r="818" spans="1:9">
      <c r="A818" t="s">
        <v>211</v>
      </c>
      <c r="B818" t="s">
        <v>162</v>
      </c>
      <c r="C818" t="s">
        <v>269</v>
      </c>
      <c r="D818" t="s">
        <v>26</v>
      </c>
      <c r="E818" t="s">
        <v>15</v>
      </c>
      <c r="F818">
        <v>2047</v>
      </c>
      <c r="G818" s="55">
        <f>10^6*IF($E818="charcoal",params!$P$13*INDEX(BAU_Fuel_cons!$E$2:$AS$34,MATCH(D818&amp;"_"&amp;E818,BAU_Fuel_cons!$AT$2:$AT$34,0),MATCH(F818,BAU_Fuel_cons!$E$1:$AS$1,0)),INDEX(BAU_Fuel_cons!$E$2:$AS$34,MATCH(D818&amp;"_"&amp;E818,BAU_Fuel_cons!$AT$2:$AT$34,0),MATCH(F818,BAU_Fuel_cons!$E$1:$AS$1,0)))</f>
        <v>0</v>
      </c>
      <c r="H818" s="55">
        <f>G818+10^6*IF($E818="charcoal",params!$P$13*SUMIFS(nonresidential!$L:$L,nonresidential!$A:$A,$F818,nonresidential!$B:$B,$E818,nonresidential!$C:$C,$D818),SUMIFS(nonresidential!$L:$L,nonresidential!$A:$A,$F818,nonresidential!$B:$B,$E818,nonresidential!$C:$C,$D818))</f>
        <v>0</v>
      </c>
      <c r="I818">
        <f>1</f>
        <v>1</v>
      </c>
    </row>
    <row r="819" spans="1:9">
      <c r="A819" t="s">
        <v>211</v>
      </c>
      <c r="B819" t="s">
        <v>162</v>
      </c>
      <c r="C819" t="s">
        <v>269</v>
      </c>
      <c r="D819" t="s">
        <v>26</v>
      </c>
      <c r="E819" t="s">
        <v>15</v>
      </c>
      <c r="F819">
        <v>2048</v>
      </c>
      <c r="G819" s="55">
        <f>10^6*IF($E819="charcoal",params!$P$13*INDEX(BAU_Fuel_cons!$E$2:$AS$34,MATCH(D819&amp;"_"&amp;E819,BAU_Fuel_cons!$AT$2:$AT$34,0),MATCH(F819,BAU_Fuel_cons!$E$1:$AS$1,0)),INDEX(BAU_Fuel_cons!$E$2:$AS$34,MATCH(D819&amp;"_"&amp;E819,BAU_Fuel_cons!$AT$2:$AT$34,0),MATCH(F819,BAU_Fuel_cons!$E$1:$AS$1,0)))</f>
        <v>0</v>
      </c>
      <c r="H819" s="55">
        <f>G819+10^6*IF($E819="charcoal",params!$P$13*SUMIFS(nonresidential!$L:$L,nonresidential!$A:$A,$F819,nonresidential!$B:$B,$E819,nonresidential!$C:$C,$D819),SUMIFS(nonresidential!$L:$L,nonresidential!$A:$A,$F819,nonresidential!$B:$B,$E819,nonresidential!$C:$C,$D819))</f>
        <v>0</v>
      </c>
      <c r="I819">
        <f>1</f>
        <v>1</v>
      </c>
    </row>
    <row r="820" spans="1:9">
      <c r="A820" t="s">
        <v>211</v>
      </c>
      <c r="B820" t="s">
        <v>162</v>
      </c>
      <c r="C820" t="s">
        <v>269</v>
      </c>
      <c r="D820" t="s">
        <v>26</v>
      </c>
      <c r="E820" t="s">
        <v>15</v>
      </c>
      <c r="F820">
        <v>2049</v>
      </c>
      <c r="G820" s="55">
        <f>10^6*IF($E820="charcoal",params!$P$13*INDEX(BAU_Fuel_cons!$E$2:$AS$34,MATCH(D820&amp;"_"&amp;E820,BAU_Fuel_cons!$AT$2:$AT$34,0),MATCH(F820,BAU_Fuel_cons!$E$1:$AS$1,0)),INDEX(BAU_Fuel_cons!$E$2:$AS$34,MATCH(D820&amp;"_"&amp;E820,BAU_Fuel_cons!$AT$2:$AT$34,0),MATCH(F820,BAU_Fuel_cons!$E$1:$AS$1,0)))</f>
        <v>0</v>
      </c>
      <c r="H820" s="55">
        <f>G820+10^6*IF($E820="charcoal",params!$P$13*SUMIFS(nonresidential!$L:$L,nonresidential!$A:$A,$F820,nonresidential!$B:$B,$E820,nonresidential!$C:$C,$D820),SUMIFS(nonresidential!$L:$L,nonresidential!$A:$A,$F820,nonresidential!$B:$B,$E820,nonresidential!$C:$C,$D820))</f>
        <v>0</v>
      </c>
      <c r="I820">
        <f>1</f>
        <v>1</v>
      </c>
    </row>
    <row r="821" spans="1:9">
      <c r="A821" t="s">
        <v>211</v>
      </c>
      <c r="B821" t="s">
        <v>162</v>
      </c>
      <c r="C821" t="s">
        <v>269</v>
      </c>
      <c r="D821" t="s">
        <v>26</v>
      </c>
      <c r="E821" t="s">
        <v>15</v>
      </c>
      <c r="F821">
        <v>2050</v>
      </c>
      <c r="G821" s="55">
        <f>10^6*IF($E821="charcoal",params!$P$13*INDEX(BAU_Fuel_cons!$E$2:$AS$34,MATCH(D821&amp;"_"&amp;E821,BAU_Fuel_cons!$AT$2:$AT$34,0),MATCH(F821,BAU_Fuel_cons!$E$1:$AS$1,0)),INDEX(BAU_Fuel_cons!$E$2:$AS$34,MATCH(D821&amp;"_"&amp;E821,BAU_Fuel_cons!$AT$2:$AT$34,0),MATCH(F821,BAU_Fuel_cons!$E$1:$AS$1,0)))</f>
        <v>0</v>
      </c>
      <c r="H821" s="55">
        <f>G821+10^6*IF($E821="charcoal",params!$P$13*SUMIFS(nonresidential!$L:$L,nonresidential!$A:$A,$F821,nonresidential!$B:$B,$E821,nonresidential!$C:$C,$D821),SUMIFS(nonresidential!$L:$L,nonresidential!$A:$A,$F821,nonresidential!$B:$B,$E821,nonresidential!$C:$C,$D821))</f>
        <v>0</v>
      </c>
      <c r="I821">
        <f>1</f>
        <v>1</v>
      </c>
    </row>
    <row r="822" spans="1:9">
      <c r="A822" t="s">
        <v>211</v>
      </c>
      <c r="B822" t="s">
        <v>162</v>
      </c>
      <c r="C822" t="s">
        <v>269</v>
      </c>
      <c r="D822" t="s">
        <v>26</v>
      </c>
      <c r="E822" t="s">
        <v>16</v>
      </c>
      <c r="F822">
        <v>2010</v>
      </c>
      <c r="G822" s="55">
        <f>10^6*IF($E822="charcoal",params!$P$13*INDEX(BAU_Fuel_cons!$E$2:$AS$34,MATCH(D822&amp;"_"&amp;E822,BAU_Fuel_cons!$AT$2:$AT$34,0),MATCH(F822,BAU_Fuel_cons!$E$1:$AS$1,0)),INDEX(BAU_Fuel_cons!$E$2:$AS$34,MATCH(D822&amp;"_"&amp;E822,BAU_Fuel_cons!$AT$2:$AT$34,0),MATCH(F822,BAU_Fuel_cons!$E$1:$AS$1,0)))</f>
        <v>0</v>
      </c>
      <c r="H822" s="55">
        <f>G822+10^6*IF($E822="charcoal",params!$P$13*SUMIFS(nonresidential!$L:$L,nonresidential!$A:$A,$F822,nonresidential!$B:$B,$E822,nonresidential!$C:$C,$D822),SUMIFS(nonresidential!$L:$L,nonresidential!$A:$A,$F822,nonresidential!$B:$B,$E822,nonresidential!$C:$C,$D822))</f>
        <v>0</v>
      </c>
      <c r="I822">
        <f>1</f>
        <v>1</v>
      </c>
    </row>
    <row r="823" spans="1:9">
      <c r="A823" t="s">
        <v>211</v>
      </c>
      <c r="B823" t="s">
        <v>162</v>
      </c>
      <c r="C823" t="s">
        <v>269</v>
      </c>
      <c r="D823" t="s">
        <v>26</v>
      </c>
      <c r="E823" t="s">
        <v>16</v>
      </c>
      <c r="F823">
        <v>2011</v>
      </c>
      <c r="G823" s="55">
        <f>10^6*IF($E823="charcoal",params!$P$13*INDEX(BAU_Fuel_cons!$E$2:$AS$34,MATCH(D823&amp;"_"&amp;E823,BAU_Fuel_cons!$AT$2:$AT$34,0),MATCH(F823,BAU_Fuel_cons!$E$1:$AS$1,0)),INDEX(BAU_Fuel_cons!$E$2:$AS$34,MATCH(D823&amp;"_"&amp;E823,BAU_Fuel_cons!$AT$2:$AT$34,0),MATCH(F823,BAU_Fuel_cons!$E$1:$AS$1,0)))</f>
        <v>0</v>
      </c>
      <c r="H823" s="55">
        <f>G823+10^6*IF($E823="charcoal",params!$P$13*SUMIFS(nonresidential!$L:$L,nonresidential!$A:$A,$F823,nonresidential!$B:$B,$E823,nonresidential!$C:$C,$D823),SUMIFS(nonresidential!$L:$L,nonresidential!$A:$A,$F823,nonresidential!$B:$B,$E823,nonresidential!$C:$C,$D823))</f>
        <v>0</v>
      </c>
      <c r="I823">
        <f>1</f>
        <v>1</v>
      </c>
    </row>
    <row r="824" spans="1:9">
      <c r="A824" t="s">
        <v>211</v>
      </c>
      <c r="B824" t="s">
        <v>162</v>
      </c>
      <c r="C824" t="s">
        <v>269</v>
      </c>
      <c r="D824" t="s">
        <v>26</v>
      </c>
      <c r="E824" t="s">
        <v>16</v>
      </c>
      <c r="F824">
        <v>2012</v>
      </c>
      <c r="G824" s="55">
        <f>10^6*IF($E824="charcoal",params!$P$13*INDEX(BAU_Fuel_cons!$E$2:$AS$34,MATCH(D824&amp;"_"&amp;E824,BAU_Fuel_cons!$AT$2:$AT$34,0),MATCH(F824,BAU_Fuel_cons!$E$1:$AS$1,0)),INDEX(BAU_Fuel_cons!$E$2:$AS$34,MATCH(D824&amp;"_"&amp;E824,BAU_Fuel_cons!$AT$2:$AT$34,0),MATCH(F824,BAU_Fuel_cons!$E$1:$AS$1,0)))</f>
        <v>0</v>
      </c>
      <c r="H824" s="55">
        <f>G824+10^6*IF($E824="charcoal",params!$P$13*SUMIFS(nonresidential!$L:$L,nonresidential!$A:$A,$F824,nonresidential!$B:$B,$E824,nonresidential!$C:$C,$D824),SUMIFS(nonresidential!$L:$L,nonresidential!$A:$A,$F824,nonresidential!$B:$B,$E824,nonresidential!$C:$C,$D824))</f>
        <v>0</v>
      </c>
      <c r="I824">
        <f>1</f>
        <v>1</v>
      </c>
    </row>
    <row r="825" spans="1:9">
      <c r="A825" t="s">
        <v>211</v>
      </c>
      <c r="B825" t="s">
        <v>162</v>
      </c>
      <c r="C825" t="s">
        <v>269</v>
      </c>
      <c r="D825" t="s">
        <v>26</v>
      </c>
      <c r="E825" t="s">
        <v>16</v>
      </c>
      <c r="F825">
        <v>2013</v>
      </c>
      <c r="G825" s="55">
        <f>10^6*IF($E825="charcoal",params!$P$13*INDEX(BAU_Fuel_cons!$E$2:$AS$34,MATCH(D825&amp;"_"&amp;E825,BAU_Fuel_cons!$AT$2:$AT$34,0),MATCH(F825,BAU_Fuel_cons!$E$1:$AS$1,0)),INDEX(BAU_Fuel_cons!$E$2:$AS$34,MATCH(D825&amp;"_"&amp;E825,BAU_Fuel_cons!$AT$2:$AT$34,0),MATCH(F825,BAU_Fuel_cons!$E$1:$AS$1,0)))</f>
        <v>0</v>
      </c>
      <c r="H825" s="55">
        <f>G825+10^6*IF($E825="charcoal",params!$P$13*SUMIFS(nonresidential!$L:$L,nonresidential!$A:$A,$F825,nonresidential!$B:$B,$E825,nonresidential!$C:$C,$D825),SUMIFS(nonresidential!$L:$L,nonresidential!$A:$A,$F825,nonresidential!$B:$B,$E825,nonresidential!$C:$C,$D825))</f>
        <v>0</v>
      </c>
      <c r="I825">
        <f>1</f>
        <v>1</v>
      </c>
    </row>
    <row r="826" spans="1:9">
      <c r="A826" t="s">
        <v>211</v>
      </c>
      <c r="B826" t="s">
        <v>162</v>
      </c>
      <c r="C826" t="s">
        <v>269</v>
      </c>
      <c r="D826" t="s">
        <v>26</v>
      </c>
      <c r="E826" t="s">
        <v>16</v>
      </c>
      <c r="F826">
        <v>2014</v>
      </c>
      <c r="G826" s="55">
        <f>10^6*IF($E826="charcoal",params!$P$13*INDEX(BAU_Fuel_cons!$E$2:$AS$34,MATCH(D826&amp;"_"&amp;E826,BAU_Fuel_cons!$AT$2:$AT$34,0),MATCH(F826,BAU_Fuel_cons!$E$1:$AS$1,0)),INDEX(BAU_Fuel_cons!$E$2:$AS$34,MATCH(D826&amp;"_"&amp;E826,BAU_Fuel_cons!$AT$2:$AT$34,0),MATCH(F826,BAU_Fuel_cons!$E$1:$AS$1,0)))</f>
        <v>0</v>
      </c>
      <c r="H826" s="55">
        <f>G826+10^6*IF($E826="charcoal",params!$P$13*SUMIFS(nonresidential!$L:$L,nonresidential!$A:$A,$F826,nonresidential!$B:$B,$E826,nonresidential!$C:$C,$D826),SUMIFS(nonresidential!$L:$L,nonresidential!$A:$A,$F826,nonresidential!$B:$B,$E826,nonresidential!$C:$C,$D826))</f>
        <v>0</v>
      </c>
      <c r="I826">
        <f>1</f>
        <v>1</v>
      </c>
    </row>
    <row r="827" spans="1:9">
      <c r="A827" t="s">
        <v>211</v>
      </c>
      <c r="B827" t="s">
        <v>162</v>
      </c>
      <c r="C827" t="s">
        <v>269</v>
      </c>
      <c r="D827" t="s">
        <v>26</v>
      </c>
      <c r="E827" t="s">
        <v>16</v>
      </c>
      <c r="F827">
        <v>2015</v>
      </c>
      <c r="G827" s="55">
        <f>10^6*IF($E827="charcoal",params!$P$13*INDEX(BAU_Fuel_cons!$E$2:$AS$34,MATCH(D827&amp;"_"&amp;E827,BAU_Fuel_cons!$AT$2:$AT$34,0),MATCH(F827,BAU_Fuel_cons!$E$1:$AS$1,0)),INDEX(BAU_Fuel_cons!$E$2:$AS$34,MATCH(D827&amp;"_"&amp;E827,BAU_Fuel_cons!$AT$2:$AT$34,0),MATCH(F827,BAU_Fuel_cons!$E$1:$AS$1,0)))</f>
        <v>0</v>
      </c>
      <c r="H827" s="55">
        <f>G827+10^6*IF($E827="charcoal",params!$P$13*SUMIFS(nonresidential!$L:$L,nonresidential!$A:$A,$F827,nonresidential!$B:$B,$E827,nonresidential!$C:$C,$D827),SUMIFS(nonresidential!$L:$L,nonresidential!$A:$A,$F827,nonresidential!$B:$B,$E827,nonresidential!$C:$C,$D827))</f>
        <v>0</v>
      </c>
      <c r="I827">
        <f>1</f>
        <v>1</v>
      </c>
    </row>
    <row r="828" spans="1:9">
      <c r="A828" t="s">
        <v>211</v>
      </c>
      <c r="B828" t="s">
        <v>162</v>
      </c>
      <c r="C828" t="s">
        <v>269</v>
      </c>
      <c r="D828" t="s">
        <v>26</v>
      </c>
      <c r="E828" t="s">
        <v>16</v>
      </c>
      <c r="F828">
        <v>2016</v>
      </c>
      <c r="G828" s="55">
        <f>10^6*IF($E828="charcoal",params!$P$13*INDEX(BAU_Fuel_cons!$E$2:$AS$34,MATCH(D828&amp;"_"&amp;E828,BAU_Fuel_cons!$AT$2:$AT$34,0),MATCH(F828,BAU_Fuel_cons!$E$1:$AS$1,0)),INDEX(BAU_Fuel_cons!$E$2:$AS$34,MATCH(D828&amp;"_"&amp;E828,BAU_Fuel_cons!$AT$2:$AT$34,0),MATCH(F828,BAU_Fuel_cons!$E$1:$AS$1,0)))</f>
        <v>0</v>
      </c>
      <c r="H828" s="55">
        <f>G828+10^6*IF($E828="charcoal",params!$P$13*SUMIFS(nonresidential!$L:$L,nonresidential!$A:$A,$F828,nonresidential!$B:$B,$E828,nonresidential!$C:$C,$D828),SUMIFS(nonresidential!$L:$L,nonresidential!$A:$A,$F828,nonresidential!$B:$B,$E828,nonresidential!$C:$C,$D828))</f>
        <v>0</v>
      </c>
      <c r="I828">
        <f>1</f>
        <v>1</v>
      </c>
    </row>
    <row r="829" spans="1:9">
      <c r="A829" t="s">
        <v>211</v>
      </c>
      <c r="B829" t="s">
        <v>162</v>
      </c>
      <c r="C829" t="s">
        <v>269</v>
      </c>
      <c r="D829" t="s">
        <v>26</v>
      </c>
      <c r="E829" t="s">
        <v>16</v>
      </c>
      <c r="F829">
        <v>2017</v>
      </c>
      <c r="G829" s="55">
        <f>10^6*IF($E829="charcoal",params!$P$13*INDEX(BAU_Fuel_cons!$E$2:$AS$34,MATCH(D829&amp;"_"&amp;E829,BAU_Fuel_cons!$AT$2:$AT$34,0),MATCH(F829,BAU_Fuel_cons!$E$1:$AS$1,0)),INDEX(BAU_Fuel_cons!$E$2:$AS$34,MATCH(D829&amp;"_"&amp;E829,BAU_Fuel_cons!$AT$2:$AT$34,0),MATCH(F829,BAU_Fuel_cons!$E$1:$AS$1,0)))</f>
        <v>0</v>
      </c>
      <c r="H829" s="55">
        <f>G829+10^6*IF($E829="charcoal",params!$P$13*SUMIFS(nonresidential!$L:$L,nonresidential!$A:$A,$F829,nonresidential!$B:$B,$E829,nonresidential!$C:$C,$D829),SUMIFS(nonresidential!$L:$L,nonresidential!$A:$A,$F829,nonresidential!$B:$B,$E829,nonresidential!$C:$C,$D829))</f>
        <v>0</v>
      </c>
      <c r="I829">
        <f>1</f>
        <v>1</v>
      </c>
    </row>
    <row r="830" spans="1:9">
      <c r="A830" t="s">
        <v>211</v>
      </c>
      <c r="B830" t="s">
        <v>162</v>
      </c>
      <c r="C830" t="s">
        <v>269</v>
      </c>
      <c r="D830" t="s">
        <v>26</v>
      </c>
      <c r="E830" t="s">
        <v>16</v>
      </c>
      <c r="F830">
        <v>2018</v>
      </c>
      <c r="G830" s="55">
        <f>10^6*IF($E830="charcoal",params!$P$13*INDEX(BAU_Fuel_cons!$E$2:$AS$34,MATCH(D830&amp;"_"&amp;E830,BAU_Fuel_cons!$AT$2:$AT$34,0),MATCH(F830,BAU_Fuel_cons!$E$1:$AS$1,0)),INDEX(BAU_Fuel_cons!$E$2:$AS$34,MATCH(D830&amp;"_"&amp;E830,BAU_Fuel_cons!$AT$2:$AT$34,0),MATCH(F830,BAU_Fuel_cons!$E$1:$AS$1,0)))</f>
        <v>0</v>
      </c>
      <c r="H830" s="55">
        <f>G830+10^6*IF($E830="charcoal",params!$P$13*SUMIFS(nonresidential!$L:$L,nonresidential!$A:$A,$F830,nonresidential!$B:$B,$E830,nonresidential!$C:$C,$D830),SUMIFS(nonresidential!$L:$L,nonresidential!$A:$A,$F830,nonresidential!$B:$B,$E830,nonresidential!$C:$C,$D830))</f>
        <v>0</v>
      </c>
      <c r="I830">
        <f>1</f>
        <v>1</v>
      </c>
    </row>
    <row r="831" spans="1:9">
      <c r="A831" t="s">
        <v>211</v>
      </c>
      <c r="B831" t="s">
        <v>162</v>
      </c>
      <c r="C831" t="s">
        <v>269</v>
      </c>
      <c r="D831" t="s">
        <v>26</v>
      </c>
      <c r="E831" t="s">
        <v>16</v>
      </c>
      <c r="F831">
        <v>2019</v>
      </c>
      <c r="G831" s="55">
        <f>10^6*IF($E831="charcoal",params!$P$13*INDEX(BAU_Fuel_cons!$E$2:$AS$34,MATCH(D831&amp;"_"&amp;E831,BAU_Fuel_cons!$AT$2:$AT$34,0),MATCH(F831,BAU_Fuel_cons!$E$1:$AS$1,0)),INDEX(BAU_Fuel_cons!$E$2:$AS$34,MATCH(D831&amp;"_"&amp;E831,BAU_Fuel_cons!$AT$2:$AT$34,0),MATCH(F831,BAU_Fuel_cons!$E$1:$AS$1,0)))</f>
        <v>0</v>
      </c>
      <c r="H831" s="55">
        <f>G831+10^6*IF($E831="charcoal",params!$P$13*SUMIFS(nonresidential!$L:$L,nonresidential!$A:$A,$F831,nonresidential!$B:$B,$E831,nonresidential!$C:$C,$D831),SUMIFS(nonresidential!$L:$L,nonresidential!$A:$A,$F831,nonresidential!$B:$B,$E831,nonresidential!$C:$C,$D831))</f>
        <v>0</v>
      </c>
      <c r="I831">
        <f>1</f>
        <v>1</v>
      </c>
    </row>
    <row r="832" spans="1:9">
      <c r="A832" t="s">
        <v>211</v>
      </c>
      <c r="B832" t="s">
        <v>162</v>
      </c>
      <c r="C832" t="s">
        <v>269</v>
      </c>
      <c r="D832" t="s">
        <v>26</v>
      </c>
      <c r="E832" t="s">
        <v>16</v>
      </c>
      <c r="F832">
        <v>2020</v>
      </c>
      <c r="G832" s="55">
        <f>10^6*IF($E832="charcoal",params!$P$13*INDEX(BAU_Fuel_cons!$E$2:$AS$34,MATCH(D832&amp;"_"&amp;E832,BAU_Fuel_cons!$AT$2:$AT$34,0),MATCH(F832,BAU_Fuel_cons!$E$1:$AS$1,0)),INDEX(BAU_Fuel_cons!$E$2:$AS$34,MATCH(D832&amp;"_"&amp;E832,BAU_Fuel_cons!$AT$2:$AT$34,0),MATCH(F832,BAU_Fuel_cons!$E$1:$AS$1,0)))</f>
        <v>0</v>
      </c>
      <c r="H832" s="55">
        <f>G832+10^6*IF($E832="charcoal",params!$P$13*SUMIFS(nonresidential!$L:$L,nonresidential!$A:$A,$F832,nonresidential!$B:$B,$E832,nonresidential!$C:$C,$D832),SUMIFS(nonresidential!$L:$L,nonresidential!$A:$A,$F832,nonresidential!$B:$B,$E832,nonresidential!$C:$C,$D832))</f>
        <v>0</v>
      </c>
      <c r="I832">
        <f>1</f>
        <v>1</v>
      </c>
    </row>
    <row r="833" spans="1:9">
      <c r="A833" t="s">
        <v>211</v>
      </c>
      <c r="B833" t="s">
        <v>162</v>
      </c>
      <c r="C833" t="s">
        <v>269</v>
      </c>
      <c r="D833" t="s">
        <v>26</v>
      </c>
      <c r="E833" t="s">
        <v>16</v>
      </c>
      <c r="F833">
        <v>2021</v>
      </c>
      <c r="G833" s="55">
        <f>10^6*IF($E833="charcoal",params!$P$13*INDEX(BAU_Fuel_cons!$E$2:$AS$34,MATCH(D833&amp;"_"&amp;E833,BAU_Fuel_cons!$AT$2:$AT$34,0),MATCH(F833,BAU_Fuel_cons!$E$1:$AS$1,0)),INDEX(BAU_Fuel_cons!$E$2:$AS$34,MATCH(D833&amp;"_"&amp;E833,BAU_Fuel_cons!$AT$2:$AT$34,0),MATCH(F833,BAU_Fuel_cons!$E$1:$AS$1,0)))</f>
        <v>0</v>
      </c>
      <c r="H833" s="55">
        <f>G833+10^6*IF($E833="charcoal",params!$P$13*SUMIFS(nonresidential!$L:$L,nonresidential!$A:$A,$F833,nonresidential!$B:$B,$E833,nonresidential!$C:$C,$D833),SUMIFS(nonresidential!$L:$L,nonresidential!$A:$A,$F833,nonresidential!$B:$B,$E833,nonresidential!$C:$C,$D833))</f>
        <v>0</v>
      </c>
      <c r="I833">
        <f>1</f>
        <v>1</v>
      </c>
    </row>
    <row r="834" spans="1:9">
      <c r="A834" t="s">
        <v>211</v>
      </c>
      <c r="B834" t="s">
        <v>162</v>
      </c>
      <c r="C834" t="s">
        <v>269</v>
      </c>
      <c r="D834" t="s">
        <v>26</v>
      </c>
      <c r="E834" t="s">
        <v>16</v>
      </c>
      <c r="F834">
        <v>2022</v>
      </c>
      <c r="G834" s="55">
        <f>10^6*IF($E834="charcoal",params!$P$13*INDEX(BAU_Fuel_cons!$E$2:$AS$34,MATCH(D834&amp;"_"&amp;E834,BAU_Fuel_cons!$AT$2:$AT$34,0),MATCH(F834,BAU_Fuel_cons!$E$1:$AS$1,0)),INDEX(BAU_Fuel_cons!$E$2:$AS$34,MATCH(D834&amp;"_"&amp;E834,BAU_Fuel_cons!$AT$2:$AT$34,0),MATCH(F834,BAU_Fuel_cons!$E$1:$AS$1,0)))</f>
        <v>0</v>
      </c>
      <c r="H834" s="55">
        <f>G834+10^6*IF($E834="charcoal",params!$P$13*SUMIFS(nonresidential!$L:$L,nonresidential!$A:$A,$F834,nonresidential!$B:$B,$E834,nonresidential!$C:$C,$D834),SUMIFS(nonresidential!$L:$L,nonresidential!$A:$A,$F834,nonresidential!$B:$B,$E834,nonresidential!$C:$C,$D834))</f>
        <v>0</v>
      </c>
      <c r="I834">
        <f>1</f>
        <v>1</v>
      </c>
    </row>
    <row r="835" spans="1:9">
      <c r="A835" t="s">
        <v>211</v>
      </c>
      <c r="B835" t="s">
        <v>162</v>
      </c>
      <c r="C835" t="s">
        <v>269</v>
      </c>
      <c r="D835" t="s">
        <v>26</v>
      </c>
      <c r="E835" t="s">
        <v>16</v>
      </c>
      <c r="F835">
        <v>2023</v>
      </c>
      <c r="G835" s="55">
        <f>10^6*IF($E835="charcoal",params!$P$13*INDEX(BAU_Fuel_cons!$E$2:$AS$34,MATCH(D835&amp;"_"&amp;E835,BAU_Fuel_cons!$AT$2:$AT$34,0),MATCH(F835,BAU_Fuel_cons!$E$1:$AS$1,0)),INDEX(BAU_Fuel_cons!$E$2:$AS$34,MATCH(D835&amp;"_"&amp;E835,BAU_Fuel_cons!$AT$2:$AT$34,0),MATCH(F835,BAU_Fuel_cons!$E$1:$AS$1,0)))</f>
        <v>0</v>
      </c>
      <c r="H835" s="55">
        <f>G835+10^6*IF($E835="charcoal",params!$P$13*SUMIFS(nonresidential!$L:$L,nonresidential!$A:$A,$F835,nonresidential!$B:$B,$E835,nonresidential!$C:$C,$D835),SUMIFS(nonresidential!$L:$L,nonresidential!$A:$A,$F835,nonresidential!$B:$B,$E835,nonresidential!$C:$C,$D835))</f>
        <v>0</v>
      </c>
      <c r="I835">
        <f>1</f>
        <v>1</v>
      </c>
    </row>
    <row r="836" spans="1:9">
      <c r="A836" t="s">
        <v>211</v>
      </c>
      <c r="B836" t="s">
        <v>162</v>
      </c>
      <c r="C836" t="s">
        <v>269</v>
      </c>
      <c r="D836" t="s">
        <v>26</v>
      </c>
      <c r="E836" t="s">
        <v>16</v>
      </c>
      <c r="F836">
        <v>2024</v>
      </c>
      <c r="G836" s="55">
        <f>10^6*IF($E836="charcoal",params!$P$13*INDEX(BAU_Fuel_cons!$E$2:$AS$34,MATCH(D836&amp;"_"&amp;E836,BAU_Fuel_cons!$AT$2:$AT$34,0),MATCH(F836,BAU_Fuel_cons!$E$1:$AS$1,0)),INDEX(BAU_Fuel_cons!$E$2:$AS$34,MATCH(D836&amp;"_"&amp;E836,BAU_Fuel_cons!$AT$2:$AT$34,0),MATCH(F836,BAU_Fuel_cons!$E$1:$AS$1,0)))</f>
        <v>0</v>
      </c>
      <c r="H836" s="55">
        <f>G836+10^6*IF($E836="charcoal",params!$P$13*SUMIFS(nonresidential!$L:$L,nonresidential!$A:$A,$F836,nonresidential!$B:$B,$E836,nonresidential!$C:$C,$D836),SUMIFS(nonresidential!$L:$L,nonresidential!$A:$A,$F836,nonresidential!$B:$B,$E836,nonresidential!$C:$C,$D836))</f>
        <v>0</v>
      </c>
      <c r="I836">
        <f>1</f>
        <v>1</v>
      </c>
    </row>
    <row r="837" spans="1:9">
      <c r="A837" t="s">
        <v>211</v>
      </c>
      <c r="B837" t="s">
        <v>162</v>
      </c>
      <c r="C837" t="s">
        <v>269</v>
      </c>
      <c r="D837" t="s">
        <v>26</v>
      </c>
      <c r="E837" t="s">
        <v>16</v>
      </c>
      <c r="F837">
        <v>2025</v>
      </c>
      <c r="G837" s="55">
        <f>10^6*IF($E837="charcoal",params!$P$13*INDEX(BAU_Fuel_cons!$E$2:$AS$34,MATCH(D837&amp;"_"&amp;E837,BAU_Fuel_cons!$AT$2:$AT$34,0),MATCH(F837,BAU_Fuel_cons!$E$1:$AS$1,0)),INDEX(BAU_Fuel_cons!$E$2:$AS$34,MATCH(D837&amp;"_"&amp;E837,BAU_Fuel_cons!$AT$2:$AT$34,0),MATCH(F837,BAU_Fuel_cons!$E$1:$AS$1,0)))</f>
        <v>0</v>
      </c>
      <c r="H837" s="55">
        <f>G837+10^6*IF($E837="charcoal",params!$P$13*SUMIFS(nonresidential!$L:$L,nonresidential!$A:$A,$F837,nonresidential!$B:$B,$E837,nonresidential!$C:$C,$D837),SUMIFS(nonresidential!$L:$L,nonresidential!$A:$A,$F837,nonresidential!$B:$B,$E837,nonresidential!$C:$C,$D837))</f>
        <v>0</v>
      </c>
      <c r="I837">
        <f>1</f>
        <v>1</v>
      </c>
    </row>
    <row r="838" spans="1:9">
      <c r="A838" t="s">
        <v>211</v>
      </c>
      <c r="B838" t="s">
        <v>162</v>
      </c>
      <c r="C838" t="s">
        <v>269</v>
      </c>
      <c r="D838" t="s">
        <v>26</v>
      </c>
      <c r="E838" t="s">
        <v>16</v>
      </c>
      <c r="F838">
        <v>2026</v>
      </c>
      <c r="G838" s="55">
        <f>10^6*IF($E838="charcoal",params!$P$13*INDEX(BAU_Fuel_cons!$E$2:$AS$34,MATCH(D838&amp;"_"&amp;E838,BAU_Fuel_cons!$AT$2:$AT$34,0),MATCH(F838,BAU_Fuel_cons!$E$1:$AS$1,0)),INDEX(BAU_Fuel_cons!$E$2:$AS$34,MATCH(D838&amp;"_"&amp;E838,BAU_Fuel_cons!$AT$2:$AT$34,0),MATCH(F838,BAU_Fuel_cons!$E$1:$AS$1,0)))</f>
        <v>0</v>
      </c>
      <c r="H838" s="55">
        <f>G838+10^6*IF($E838="charcoal",params!$P$13*SUMIFS(nonresidential!$L:$L,nonresidential!$A:$A,$F838,nonresidential!$B:$B,$E838,nonresidential!$C:$C,$D838),SUMIFS(nonresidential!$L:$L,nonresidential!$A:$A,$F838,nonresidential!$B:$B,$E838,nonresidential!$C:$C,$D838))</f>
        <v>0</v>
      </c>
      <c r="I838">
        <f>1</f>
        <v>1</v>
      </c>
    </row>
    <row r="839" spans="1:9">
      <c r="A839" t="s">
        <v>211</v>
      </c>
      <c r="B839" t="s">
        <v>162</v>
      </c>
      <c r="C839" t="s">
        <v>269</v>
      </c>
      <c r="D839" t="s">
        <v>26</v>
      </c>
      <c r="E839" t="s">
        <v>16</v>
      </c>
      <c r="F839">
        <v>2027</v>
      </c>
      <c r="G839" s="55">
        <f>10^6*IF($E839="charcoal",params!$P$13*INDEX(BAU_Fuel_cons!$E$2:$AS$34,MATCH(D839&amp;"_"&amp;E839,BAU_Fuel_cons!$AT$2:$AT$34,0),MATCH(F839,BAU_Fuel_cons!$E$1:$AS$1,0)),INDEX(BAU_Fuel_cons!$E$2:$AS$34,MATCH(D839&amp;"_"&amp;E839,BAU_Fuel_cons!$AT$2:$AT$34,0),MATCH(F839,BAU_Fuel_cons!$E$1:$AS$1,0)))</f>
        <v>0</v>
      </c>
      <c r="H839" s="55">
        <f>G839+10^6*IF($E839="charcoal",params!$P$13*SUMIFS(nonresidential!$L:$L,nonresidential!$A:$A,$F839,nonresidential!$B:$B,$E839,nonresidential!$C:$C,$D839),SUMIFS(nonresidential!$L:$L,nonresidential!$A:$A,$F839,nonresidential!$B:$B,$E839,nonresidential!$C:$C,$D839))</f>
        <v>0</v>
      </c>
      <c r="I839">
        <f>1</f>
        <v>1</v>
      </c>
    </row>
    <row r="840" spans="1:9">
      <c r="A840" t="s">
        <v>211</v>
      </c>
      <c r="B840" t="s">
        <v>162</v>
      </c>
      <c r="C840" t="s">
        <v>269</v>
      </c>
      <c r="D840" t="s">
        <v>26</v>
      </c>
      <c r="E840" t="s">
        <v>16</v>
      </c>
      <c r="F840">
        <v>2028</v>
      </c>
      <c r="G840" s="55">
        <f>10^6*IF($E840="charcoal",params!$P$13*INDEX(BAU_Fuel_cons!$E$2:$AS$34,MATCH(D840&amp;"_"&amp;E840,BAU_Fuel_cons!$AT$2:$AT$34,0),MATCH(F840,BAU_Fuel_cons!$E$1:$AS$1,0)),INDEX(BAU_Fuel_cons!$E$2:$AS$34,MATCH(D840&amp;"_"&amp;E840,BAU_Fuel_cons!$AT$2:$AT$34,0),MATCH(F840,BAU_Fuel_cons!$E$1:$AS$1,0)))</f>
        <v>0</v>
      </c>
      <c r="H840" s="55">
        <f>G840+10^6*IF($E840="charcoal",params!$P$13*SUMIFS(nonresidential!$L:$L,nonresidential!$A:$A,$F840,nonresidential!$B:$B,$E840,nonresidential!$C:$C,$D840),SUMIFS(nonresidential!$L:$L,nonresidential!$A:$A,$F840,nonresidential!$B:$B,$E840,nonresidential!$C:$C,$D840))</f>
        <v>0</v>
      </c>
      <c r="I840">
        <f>1</f>
        <v>1</v>
      </c>
    </row>
    <row r="841" spans="1:9">
      <c r="A841" t="s">
        <v>211</v>
      </c>
      <c r="B841" t="s">
        <v>162</v>
      </c>
      <c r="C841" t="s">
        <v>269</v>
      </c>
      <c r="D841" t="s">
        <v>26</v>
      </c>
      <c r="E841" t="s">
        <v>16</v>
      </c>
      <c r="F841">
        <v>2029</v>
      </c>
      <c r="G841" s="55">
        <f>10^6*IF($E841="charcoal",params!$P$13*INDEX(BAU_Fuel_cons!$E$2:$AS$34,MATCH(D841&amp;"_"&amp;E841,BAU_Fuel_cons!$AT$2:$AT$34,0),MATCH(F841,BAU_Fuel_cons!$E$1:$AS$1,0)),INDEX(BAU_Fuel_cons!$E$2:$AS$34,MATCH(D841&amp;"_"&amp;E841,BAU_Fuel_cons!$AT$2:$AT$34,0),MATCH(F841,BAU_Fuel_cons!$E$1:$AS$1,0)))</f>
        <v>0</v>
      </c>
      <c r="H841" s="55">
        <f>G841+10^6*IF($E841="charcoal",params!$P$13*SUMIFS(nonresidential!$L:$L,nonresidential!$A:$A,$F841,nonresidential!$B:$B,$E841,nonresidential!$C:$C,$D841),SUMIFS(nonresidential!$L:$L,nonresidential!$A:$A,$F841,nonresidential!$B:$B,$E841,nonresidential!$C:$C,$D841))</f>
        <v>0</v>
      </c>
      <c r="I841">
        <f>1</f>
        <v>1</v>
      </c>
    </row>
    <row r="842" spans="1:9">
      <c r="A842" t="s">
        <v>211</v>
      </c>
      <c r="B842" t="s">
        <v>162</v>
      </c>
      <c r="C842" t="s">
        <v>269</v>
      </c>
      <c r="D842" t="s">
        <v>26</v>
      </c>
      <c r="E842" t="s">
        <v>16</v>
      </c>
      <c r="F842">
        <v>2030</v>
      </c>
      <c r="G842" s="55">
        <f>10^6*IF($E842="charcoal",params!$P$13*INDEX(BAU_Fuel_cons!$E$2:$AS$34,MATCH(D842&amp;"_"&amp;E842,BAU_Fuel_cons!$AT$2:$AT$34,0),MATCH(F842,BAU_Fuel_cons!$E$1:$AS$1,0)),INDEX(BAU_Fuel_cons!$E$2:$AS$34,MATCH(D842&amp;"_"&amp;E842,BAU_Fuel_cons!$AT$2:$AT$34,0),MATCH(F842,BAU_Fuel_cons!$E$1:$AS$1,0)))</f>
        <v>0</v>
      </c>
      <c r="H842" s="55">
        <f>G842+10^6*IF($E842="charcoal",params!$P$13*SUMIFS(nonresidential!$L:$L,nonresidential!$A:$A,$F842,nonresidential!$B:$B,$E842,nonresidential!$C:$C,$D842),SUMIFS(nonresidential!$L:$L,nonresidential!$A:$A,$F842,nonresidential!$B:$B,$E842,nonresidential!$C:$C,$D842))</f>
        <v>0</v>
      </c>
      <c r="I842">
        <f>1</f>
        <v>1</v>
      </c>
    </row>
    <row r="843" spans="1:9">
      <c r="A843" t="s">
        <v>211</v>
      </c>
      <c r="B843" t="s">
        <v>162</v>
      </c>
      <c r="C843" t="s">
        <v>269</v>
      </c>
      <c r="D843" t="s">
        <v>26</v>
      </c>
      <c r="E843" t="s">
        <v>16</v>
      </c>
      <c r="F843">
        <v>2031</v>
      </c>
      <c r="G843" s="55">
        <f>10^6*IF($E843="charcoal",params!$P$13*INDEX(BAU_Fuel_cons!$E$2:$AS$34,MATCH(D843&amp;"_"&amp;E843,BAU_Fuel_cons!$AT$2:$AT$34,0),MATCH(F843,BAU_Fuel_cons!$E$1:$AS$1,0)),INDEX(BAU_Fuel_cons!$E$2:$AS$34,MATCH(D843&amp;"_"&amp;E843,BAU_Fuel_cons!$AT$2:$AT$34,0),MATCH(F843,BAU_Fuel_cons!$E$1:$AS$1,0)))</f>
        <v>0</v>
      </c>
      <c r="H843" s="55">
        <f>G843+10^6*IF($E843="charcoal",params!$P$13*SUMIFS(nonresidential!$L:$L,nonresidential!$A:$A,$F843,nonresidential!$B:$B,$E843,nonresidential!$C:$C,$D843),SUMIFS(nonresidential!$L:$L,nonresidential!$A:$A,$F843,nonresidential!$B:$B,$E843,nonresidential!$C:$C,$D843))</f>
        <v>0</v>
      </c>
      <c r="I843">
        <f>1</f>
        <v>1</v>
      </c>
    </row>
    <row r="844" spans="1:9">
      <c r="A844" t="s">
        <v>211</v>
      </c>
      <c r="B844" t="s">
        <v>162</v>
      </c>
      <c r="C844" t="s">
        <v>269</v>
      </c>
      <c r="D844" t="s">
        <v>26</v>
      </c>
      <c r="E844" t="s">
        <v>16</v>
      </c>
      <c r="F844">
        <v>2032</v>
      </c>
      <c r="G844" s="55">
        <f>10^6*IF($E844="charcoal",params!$P$13*INDEX(BAU_Fuel_cons!$E$2:$AS$34,MATCH(D844&amp;"_"&amp;E844,BAU_Fuel_cons!$AT$2:$AT$34,0),MATCH(F844,BAU_Fuel_cons!$E$1:$AS$1,0)),INDEX(BAU_Fuel_cons!$E$2:$AS$34,MATCH(D844&amp;"_"&amp;E844,BAU_Fuel_cons!$AT$2:$AT$34,0),MATCH(F844,BAU_Fuel_cons!$E$1:$AS$1,0)))</f>
        <v>0</v>
      </c>
      <c r="H844" s="55">
        <f>G844+10^6*IF($E844="charcoal",params!$P$13*SUMIFS(nonresidential!$L:$L,nonresidential!$A:$A,$F844,nonresidential!$B:$B,$E844,nonresidential!$C:$C,$D844),SUMIFS(nonresidential!$L:$L,nonresidential!$A:$A,$F844,nonresidential!$B:$B,$E844,nonresidential!$C:$C,$D844))</f>
        <v>0</v>
      </c>
      <c r="I844">
        <f>1</f>
        <v>1</v>
      </c>
    </row>
    <row r="845" spans="1:9">
      <c r="A845" t="s">
        <v>211</v>
      </c>
      <c r="B845" t="s">
        <v>162</v>
      </c>
      <c r="C845" t="s">
        <v>269</v>
      </c>
      <c r="D845" t="s">
        <v>26</v>
      </c>
      <c r="E845" t="s">
        <v>16</v>
      </c>
      <c r="F845">
        <v>2033</v>
      </c>
      <c r="G845" s="55">
        <f>10^6*IF($E845="charcoal",params!$P$13*INDEX(BAU_Fuel_cons!$E$2:$AS$34,MATCH(D845&amp;"_"&amp;E845,BAU_Fuel_cons!$AT$2:$AT$34,0),MATCH(F845,BAU_Fuel_cons!$E$1:$AS$1,0)),INDEX(BAU_Fuel_cons!$E$2:$AS$34,MATCH(D845&amp;"_"&amp;E845,BAU_Fuel_cons!$AT$2:$AT$34,0),MATCH(F845,BAU_Fuel_cons!$E$1:$AS$1,0)))</f>
        <v>0</v>
      </c>
      <c r="H845" s="55">
        <f>G845+10^6*IF($E845="charcoal",params!$P$13*SUMIFS(nonresidential!$L:$L,nonresidential!$A:$A,$F845,nonresidential!$B:$B,$E845,nonresidential!$C:$C,$D845),SUMIFS(nonresidential!$L:$L,nonresidential!$A:$A,$F845,nonresidential!$B:$B,$E845,nonresidential!$C:$C,$D845))</f>
        <v>0</v>
      </c>
      <c r="I845">
        <f>1</f>
        <v>1</v>
      </c>
    </row>
    <row r="846" spans="1:9">
      <c r="A846" t="s">
        <v>211</v>
      </c>
      <c r="B846" t="s">
        <v>162</v>
      </c>
      <c r="C846" t="s">
        <v>269</v>
      </c>
      <c r="D846" t="s">
        <v>26</v>
      </c>
      <c r="E846" t="s">
        <v>16</v>
      </c>
      <c r="F846">
        <v>2034</v>
      </c>
      <c r="G846" s="55">
        <f>10^6*IF($E846="charcoal",params!$P$13*INDEX(BAU_Fuel_cons!$E$2:$AS$34,MATCH(D846&amp;"_"&amp;E846,BAU_Fuel_cons!$AT$2:$AT$34,0),MATCH(F846,BAU_Fuel_cons!$E$1:$AS$1,0)),INDEX(BAU_Fuel_cons!$E$2:$AS$34,MATCH(D846&amp;"_"&amp;E846,BAU_Fuel_cons!$AT$2:$AT$34,0),MATCH(F846,BAU_Fuel_cons!$E$1:$AS$1,0)))</f>
        <v>0</v>
      </c>
      <c r="H846" s="55">
        <f>G846+10^6*IF($E846="charcoal",params!$P$13*SUMIFS(nonresidential!$L:$L,nonresidential!$A:$A,$F846,nonresidential!$B:$B,$E846,nonresidential!$C:$C,$D846),SUMIFS(nonresidential!$L:$L,nonresidential!$A:$A,$F846,nonresidential!$B:$B,$E846,nonresidential!$C:$C,$D846))</f>
        <v>0</v>
      </c>
      <c r="I846">
        <f>1</f>
        <v>1</v>
      </c>
    </row>
    <row r="847" spans="1:9">
      <c r="A847" t="s">
        <v>211</v>
      </c>
      <c r="B847" t="s">
        <v>162</v>
      </c>
      <c r="C847" t="s">
        <v>269</v>
      </c>
      <c r="D847" t="s">
        <v>26</v>
      </c>
      <c r="E847" t="s">
        <v>16</v>
      </c>
      <c r="F847">
        <v>2035</v>
      </c>
      <c r="G847" s="55">
        <f>10^6*IF($E847="charcoal",params!$P$13*INDEX(BAU_Fuel_cons!$E$2:$AS$34,MATCH(D847&amp;"_"&amp;E847,BAU_Fuel_cons!$AT$2:$AT$34,0),MATCH(F847,BAU_Fuel_cons!$E$1:$AS$1,0)),INDEX(BAU_Fuel_cons!$E$2:$AS$34,MATCH(D847&amp;"_"&amp;E847,BAU_Fuel_cons!$AT$2:$AT$34,0),MATCH(F847,BAU_Fuel_cons!$E$1:$AS$1,0)))</f>
        <v>0</v>
      </c>
      <c r="H847" s="55">
        <f>G847+10^6*IF($E847="charcoal",params!$P$13*SUMIFS(nonresidential!$L:$L,nonresidential!$A:$A,$F847,nonresidential!$B:$B,$E847,nonresidential!$C:$C,$D847),SUMIFS(nonresidential!$L:$L,nonresidential!$A:$A,$F847,nonresidential!$B:$B,$E847,nonresidential!$C:$C,$D847))</f>
        <v>0</v>
      </c>
      <c r="I847">
        <f>1</f>
        <v>1</v>
      </c>
    </row>
    <row r="848" spans="1:9">
      <c r="A848" t="s">
        <v>211</v>
      </c>
      <c r="B848" t="s">
        <v>162</v>
      </c>
      <c r="C848" t="s">
        <v>269</v>
      </c>
      <c r="D848" t="s">
        <v>26</v>
      </c>
      <c r="E848" t="s">
        <v>16</v>
      </c>
      <c r="F848">
        <v>2036</v>
      </c>
      <c r="G848" s="55">
        <f>10^6*IF($E848="charcoal",params!$P$13*INDEX(BAU_Fuel_cons!$E$2:$AS$34,MATCH(D848&amp;"_"&amp;E848,BAU_Fuel_cons!$AT$2:$AT$34,0),MATCH(F848,BAU_Fuel_cons!$E$1:$AS$1,0)),INDEX(BAU_Fuel_cons!$E$2:$AS$34,MATCH(D848&amp;"_"&amp;E848,BAU_Fuel_cons!$AT$2:$AT$34,0),MATCH(F848,BAU_Fuel_cons!$E$1:$AS$1,0)))</f>
        <v>0</v>
      </c>
      <c r="H848" s="55">
        <f>G848+10^6*IF($E848="charcoal",params!$P$13*SUMIFS(nonresidential!$L:$L,nonresidential!$A:$A,$F848,nonresidential!$B:$B,$E848,nonresidential!$C:$C,$D848),SUMIFS(nonresidential!$L:$L,nonresidential!$A:$A,$F848,nonresidential!$B:$B,$E848,nonresidential!$C:$C,$D848))</f>
        <v>0</v>
      </c>
      <c r="I848">
        <f>1</f>
        <v>1</v>
      </c>
    </row>
    <row r="849" spans="1:9">
      <c r="A849" t="s">
        <v>211</v>
      </c>
      <c r="B849" t="s">
        <v>162</v>
      </c>
      <c r="C849" t="s">
        <v>269</v>
      </c>
      <c r="D849" t="s">
        <v>26</v>
      </c>
      <c r="E849" t="s">
        <v>16</v>
      </c>
      <c r="F849">
        <v>2037</v>
      </c>
      <c r="G849" s="55">
        <f>10^6*IF($E849="charcoal",params!$P$13*INDEX(BAU_Fuel_cons!$E$2:$AS$34,MATCH(D849&amp;"_"&amp;E849,BAU_Fuel_cons!$AT$2:$AT$34,0),MATCH(F849,BAU_Fuel_cons!$E$1:$AS$1,0)),INDEX(BAU_Fuel_cons!$E$2:$AS$34,MATCH(D849&amp;"_"&amp;E849,BAU_Fuel_cons!$AT$2:$AT$34,0),MATCH(F849,BAU_Fuel_cons!$E$1:$AS$1,0)))</f>
        <v>0</v>
      </c>
      <c r="H849" s="55">
        <f>G849+10^6*IF($E849="charcoal",params!$P$13*SUMIFS(nonresidential!$L:$L,nonresidential!$A:$A,$F849,nonresidential!$B:$B,$E849,nonresidential!$C:$C,$D849),SUMIFS(nonresidential!$L:$L,nonresidential!$A:$A,$F849,nonresidential!$B:$B,$E849,nonresidential!$C:$C,$D849))</f>
        <v>0</v>
      </c>
      <c r="I849">
        <f>1</f>
        <v>1</v>
      </c>
    </row>
    <row r="850" spans="1:9">
      <c r="A850" t="s">
        <v>211</v>
      </c>
      <c r="B850" t="s">
        <v>162</v>
      </c>
      <c r="C850" t="s">
        <v>269</v>
      </c>
      <c r="D850" t="s">
        <v>26</v>
      </c>
      <c r="E850" t="s">
        <v>16</v>
      </c>
      <c r="F850">
        <v>2038</v>
      </c>
      <c r="G850" s="55">
        <f>10^6*IF($E850="charcoal",params!$P$13*INDEX(BAU_Fuel_cons!$E$2:$AS$34,MATCH(D850&amp;"_"&amp;E850,BAU_Fuel_cons!$AT$2:$AT$34,0),MATCH(F850,BAU_Fuel_cons!$E$1:$AS$1,0)),INDEX(BAU_Fuel_cons!$E$2:$AS$34,MATCH(D850&amp;"_"&amp;E850,BAU_Fuel_cons!$AT$2:$AT$34,0),MATCH(F850,BAU_Fuel_cons!$E$1:$AS$1,0)))</f>
        <v>0</v>
      </c>
      <c r="H850" s="55">
        <f>G850+10^6*IF($E850="charcoal",params!$P$13*SUMIFS(nonresidential!$L:$L,nonresidential!$A:$A,$F850,nonresidential!$B:$B,$E850,nonresidential!$C:$C,$D850),SUMIFS(nonresidential!$L:$L,nonresidential!$A:$A,$F850,nonresidential!$B:$B,$E850,nonresidential!$C:$C,$D850))</f>
        <v>0</v>
      </c>
      <c r="I850">
        <f>1</f>
        <v>1</v>
      </c>
    </row>
    <row r="851" spans="1:9">
      <c r="A851" t="s">
        <v>211</v>
      </c>
      <c r="B851" t="s">
        <v>162</v>
      </c>
      <c r="C851" t="s">
        <v>269</v>
      </c>
      <c r="D851" t="s">
        <v>26</v>
      </c>
      <c r="E851" t="s">
        <v>16</v>
      </c>
      <c r="F851">
        <v>2039</v>
      </c>
      <c r="G851" s="55">
        <f>10^6*IF($E851="charcoal",params!$P$13*INDEX(BAU_Fuel_cons!$E$2:$AS$34,MATCH(D851&amp;"_"&amp;E851,BAU_Fuel_cons!$AT$2:$AT$34,0),MATCH(F851,BAU_Fuel_cons!$E$1:$AS$1,0)),INDEX(BAU_Fuel_cons!$E$2:$AS$34,MATCH(D851&amp;"_"&amp;E851,BAU_Fuel_cons!$AT$2:$AT$34,0),MATCH(F851,BAU_Fuel_cons!$E$1:$AS$1,0)))</f>
        <v>0</v>
      </c>
      <c r="H851" s="55">
        <f>G851+10^6*IF($E851="charcoal",params!$P$13*SUMIFS(nonresidential!$L:$L,nonresidential!$A:$A,$F851,nonresidential!$B:$B,$E851,nonresidential!$C:$C,$D851),SUMIFS(nonresidential!$L:$L,nonresidential!$A:$A,$F851,nonresidential!$B:$B,$E851,nonresidential!$C:$C,$D851))</f>
        <v>0</v>
      </c>
      <c r="I851">
        <f>1</f>
        <v>1</v>
      </c>
    </row>
    <row r="852" spans="1:9">
      <c r="A852" t="s">
        <v>211</v>
      </c>
      <c r="B852" t="s">
        <v>162</v>
      </c>
      <c r="C852" t="s">
        <v>269</v>
      </c>
      <c r="D852" t="s">
        <v>26</v>
      </c>
      <c r="E852" t="s">
        <v>16</v>
      </c>
      <c r="F852">
        <v>2040</v>
      </c>
      <c r="G852" s="55">
        <f>10^6*IF($E852="charcoal",params!$P$13*INDEX(BAU_Fuel_cons!$E$2:$AS$34,MATCH(D852&amp;"_"&amp;E852,BAU_Fuel_cons!$AT$2:$AT$34,0),MATCH(F852,BAU_Fuel_cons!$E$1:$AS$1,0)),INDEX(BAU_Fuel_cons!$E$2:$AS$34,MATCH(D852&amp;"_"&amp;E852,BAU_Fuel_cons!$AT$2:$AT$34,0),MATCH(F852,BAU_Fuel_cons!$E$1:$AS$1,0)))</f>
        <v>0</v>
      </c>
      <c r="H852" s="55">
        <f>G852+10^6*IF($E852="charcoal",params!$P$13*SUMIFS(nonresidential!$L:$L,nonresidential!$A:$A,$F852,nonresidential!$B:$B,$E852,nonresidential!$C:$C,$D852),SUMIFS(nonresidential!$L:$L,nonresidential!$A:$A,$F852,nonresidential!$B:$B,$E852,nonresidential!$C:$C,$D852))</f>
        <v>0</v>
      </c>
      <c r="I852">
        <f>1</f>
        <v>1</v>
      </c>
    </row>
    <row r="853" spans="1:9">
      <c r="A853" t="s">
        <v>211</v>
      </c>
      <c r="B853" t="s">
        <v>162</v>
      </c>
      <c r="C853" t="s">
        <v>269</v>
      </c>
      <c r="D853" t="s">
        <v>26</v>
      </c>
      <c r="E853" t="s">
        <v>16</v>
      </c>
      <c r="F853">
        <v>2041</v>
      </c>
      <c r="G853" s="55">
        <f>10^6*IF($E853="charcoal",params!$P$13*INDEX(BAU_Fuel_cons!$E$2:$AS$34,MATCH(D853&amp;"_"&amp;E853,BAU_Fuel_cons!$AT$2:$AT$34,0),MATCH(F853,BAU_Fuel_cons!$E$1:$AS$1,0)),INDEX(BAU_Fuel_cons!$E$2:$AS$34,MATCH(D853&amp;"_"&amp;E853,BAU_Fuel_cons!$AT$2:$AT$34,0),MATCH(F853,BAU_Fuel_cons!$E$1:$AS$1,0)))</f>
        <v>0</v>
      </c>
      <c r="H853" s="55">
        <f>G853+10^6*IF($E853="charcoal",params!$P$13*SUMIFS(nonresidential!$L:$L,nonresidential!$A:$A,$F853,nonresidential!$B:$B,$E853,nonresidential!$C:$C,$D853),SUMIFS(nonresidential!$L:$L,nonresidential!$A:$A,$F853,nonresidential!$B:$B,$E853,nonresidential!$C:$C,$D853))</f>
        <v>0</v>
      </c>
      <c r="I853">
        <f>1</f>
        <v>1</v>
      </c>
    </row>
    <row r="854" spans="1:9">
      <c r="A854" t="s">
        <v>211</v>
      </c>
      <c r="B854" t="s">
        <v>162</v>
      </c>
      <c r="C854" t="s">
        <v>269</v>
      </c>
      <c r="D854" t="s">
        <v>26</v>
      </c>
      <c r="E854" t="s">
        <v>16</v>
      </c>
      <c r="F854">
        <v>2042</v>
      </c>
      <c r="G854" s="55">
        <f>10^6*IF($E854="charcoal",params!$P$13*INDEX(BAU_Fuel_cons!$E$2:$AS$34,MATCH(D854&amp;"_"&amp;E854,BAU_Fuel_cons!$AT$2:$AT$34,0),MATCH(F854,BAU_Fuel_cons!$E$1:$AS$1,0)),INDEX(BAU_Fuel_cons!$E$2:$AS$34,MATCH(D854&amp;"_"&amp;E854,BAU_Fuel_cons!$AT$2:$AT$34,0),MATCH(F854,BAU_Fuel_cons!$E$1:$AS$1,0)))</f>
        <v>0</v>
      </c>
      <c r="H854" s="55">
        <f>G854+10^6*IF($E854="charcoal",params!$P$13*SUMIFS(nonresidential!$L:$L,nonresidential!$A:$A,$F854,nonresidential!$B:$B,$E854,nonresidential!$C:$C,$D854),SUMIFS(nonresidential!$L:$L,nonresidential!$A:$A,$F854,nonresidential!$B:$B,$E854,nonresidential!$C:$C,$D854))</f>
        <v>0</v>
      </c>
      <c r="I854">
        <f>1</f>
        <v>1</v>
      </c>
    </row>
    <row r="855" spans="1:9">
      <c r="A855" t="s">
        <v>211</v>
      </c>
      <c r="B855" t="s">
        <v>162</v>
      </c>
      <c r="C855" t="s">
        <v>269</v>
      </c>
      <c r="D855" t="s">
        <v>26</v>
      </c>
      <c r="E855" t="s">
        <v>16</v>
      </c>
      <c r="F855">
        <v>2043</v>
      </c>
      <c r="G855" s="55">
        <f>10^6*IF($E855="charcoal",params!$P$13*INDEX(BAU_Fuel_cons!$E$2:$AS$34,MATCH(D855&amp;"_"&amp;E855,BAU_Fuel_cons!$AT$2:$AT$34,0),MATCH(F855,BAU_Fuel_cons!$E$1:$AS$1,0)),INDEX(BAU_Fuel_cons!$E$2:$AS$34,MATCH(D855&amp;"_"&amp;E855,BAU_Fuel_cons!$AT$2:$AT$34,0),MATCH(F855,BAU_Fuel_cons!$E$1:$AS$1,0)))</f>
        <v>0</v>
      </c>
      <c r="H855" s="55">
        <f>G855+10^6*IF($E855="charcoal",params!$P$13*SUMIFS(nonresidential!$L:$L,nonresidential!$A:$A,$F855,nonresidential!$B:$B,$E855,nonresidential!$C:$C,$D855),SUMIFS(nonresidential!$L:$L,nonresidential!$A:$A,$F855,nonresidential!$B:$B,$E855,nonresidential!$C:$C,$D855))</f>
        <v>0</v>
      </c>
      <c r="I855">
        <f>1</f>
        <v>1</v>
      </c>
    </row>
    <row r="856" spans="1:9">
      <c r="A856" t="s">
        <v>211</v>
      </c>
      <c r="B856" t="s">
        <v>162</v>
      </c>
      <c r="C856" t="s">
        <v>269</v>
      </c>
      <c r="D856" t="s">
        <v>26</v>
      </c>
      <c r="E856" t="s">
        <v>16</v>
      </c>
      <c r="F856">
        <v>2044</v>
      </c>
      <c r="G856" s="55">
        <f>10^6*IF($E856="charcoal",params!$P$13*INDEX(BAU_Fuel_cons!$E$2:$AS$34,MATCH(D856&amp;"_"&amp;E856,BAU_Fuel_cons!$AT$2:$AT$34,0),MATCH(F856,BAU_Fuel_cons!$E$1:$AS$1,0)),INDEX(BAU_Fuel_cons!$E$2:$AS$34,MATCH(D856&amp;"_"&amp;E856,BAU_Fuel_cons!$AT$2:$AT$34,0),MATCH(F856,BAU_Fuel_cons!$E$1:$AS$1,0)))</f>
        <v>0</v>
      </c>
      <c r="H856" s="55">
        <f>G856+10^6*IF($E856="charcoal",params!$P$13*SUMIFS(nonresidential!$L:$L,nonresidential!$A:$A,$F856,nonresidential!$B:$B,$E856,nonresidential!$C:$C,$D856),SUMIFS(nonresidential!$L:$L,nonresidential!$A:$A,$F856,nonresidential!$B:$B,$E856,nonresidential!$C:$C,$D856))</f>
        <v>0</v>
      </c>
      <c r="I856">
        <f>1</f>
        <v>1</v>
      </c>
    </row>
    <row r="857" spans="1:9">
      <c r="A857" t="s">
        <v>211</v>
      </c>
      <c r="B857" t="s">
        <v>162</v>
      </c>
      <c r="C857" t="s">
        <v>269</v>
      </c>
      <c r="D857" t="s">
        <v>26</v>
      </c>
      <c r="E857" t="s">
        <v>16</v>
      </c>
      <c r="F857">
        <v>2045</v>
      </c>
      <c r="G857" s="55">
        <f>10^6*IF($E857="charcoal",params!$P$13*INDEX(BAU_Fuel_cons!$E$2:$AS$34,MATCH(D857&amp;"_"&amp;E857,BAU_Fuel_cons!$AT$2:$AT$34,0),MATCH(F857,BAU_Fuel_cons!$E$1:$AS$1,0)),INDEX(BAU_Fuel_cons!$E$2:$AS$34,MATCH(D857&amp;"_"&amp;E857,BAU_Fuel_cons!$AT$2:$AT$34,0),MATCH(F857,BAU_Fuel_cons!$E$1:$AS$1,0)))</f>
        <v>0</v>
      </c>
      <c r="H857" s="55">
        <f>G857+10^6*IF($E857="charcoal",params!$P$13*SUMIFS(nonresidential!$L:$L,nonresidential!$A:$A,$F857,nonresidential!$B:$B,$E857,nonresidential!$C:$C,$D857),SUMIFS(nonresidential!$L:$L,nonresidential!$A:$A,$F857,nonresidential!$B:$B,$E857,nonresidential!$C:$C,$D857))</f>
        <v>0</v>
      </c>
      <c r="I857">
        <f>1</f>
        <v>1</v>
      </c>
    </row>
    <row r="858" spans="1:9">
      <c r="A858" t="s">
        <v>211</v>
      </c>
      <c r="B858" t="s">
        <v>162</v>
      </c>
      <c r="C858" t="s">
        <v>269</v>
      </c>
      <c r="D858" t="s">
        <v>26</v>
      </c>
      <c r="E858" t="s">
        <v>16</v>
      </c>
      <c r="F858">
        <v>2046</v>
      </c>
      <c r="G858" s="55">
        <f>10^6*IF($E858="charcoal",params!$P$13*INDEX(BAU_Fuel_cons!$E$2:$AS$34,MATCH(D858&amp;"_"&amp;E858,BAU_Fuel_cons!$AT$2:$AT$34,0),MATCH(F858,BAU_Fuel_cons!$E$1:$AS$1,0)),INDEX(BAU_Fuel_cons!$E$2:$AS$34,MATCH(D858&amp;"_"&amp;E858,BAU_Fuel_cons!$AT$2:$AT$34,0),MATCH(F858,BAU_Fuel_cons!$E$1:$AS$1,0)))</f>
        <v>0</v>
      </c>
      <c r="H858" s="55">
        <f>G858+10^6*IF($E858="charcoal",params!$P$13*SUMIFS(nonresidential!$L:$L,nonresidential!$A:$A,$F858,nonresidential!$B:$B,$E858,nonresidential!$C:$C,$D858),SUMIFS(nonresidential!$L:$L,nonresidential!$A:$A,$F858,nonresidential!$B:$B,$E858,nonresidential!$C:$C,$D858))</f>
        <v>0</v>
      </c>
      <c r="I858">
        <f>1</f>
        <v>1</v>
      </c>
    </row>
    <row r="859" spans="1:9">
      <c r="A859" t="s">
        <v>211</v>
      </c>
      <c r="B859" t="s">
        <v>162</v>
      </c>
      <c r="C859" t="s">
        <v>269</v>
      </c>
      <c r="D859" t="s">
        <v>26</v>
      </c>
      <c r="E859" t="s">
        <v>16</v>
      </c>
      <c r="F859">
        <v>2047</v>
      </c>
      <c r="G859" s="55">
        <f>10^6*IF($E859="charcoal",params!$P$13*INDEX(BAU_Fuel_cons!$E$2:$AS$34,MATCH(D859&amp;"_"&amp;E859,BAU_Fuel_cons!$AT$2:$AT$34,0),MATCH(F859,BAU_Fuel_cons!$E$1:$AS$1,0)),INDEX(BAU_Fuel_cons!$E$2:$AS$34,MATCH(D859&amp;"_"&amp;E859,BAU_Fuel_cons!$AT$2:$AT$34,0),MATCH(F859,BAU_Fuel_cons!$E$1:$AS$1,0)))</f>
        <v>0</v>
      </c>
      <c r="H859" s="55">
        <f>G859+10^6*IF($E859="charcoal",params!$P$13*SUMIFS(nonresidential!$L:$L,nonresidential!$A:$A,$F859,nonresidential!$B:$B,$E859,nonresidential!$C:$C,$D859),SUMIFS(nonresidential!$L:$L,nonresidential!$A:$A,$F859,nonresidential!$B:$B,$E859,nonresidential!$C:$C,$D859))</f>
        <v>0</v>
      </c>
      <c r="I859">
        <f>1</f>
        <v>1</v>
      </c>
    </row>
    <row r="860" spans="1:9">
      <c r="A860" t="s">
        <v>211</v>
      </c>
      <c r="B860" t="s">
        <v>162</v>
      </c>
      <c r="C860" t="s">
        <v>269</v>
      </c>
      <c r="D860" t="s">
        <v>26</v>
      </c>
      <c r="E860" t="s">
        <v>16</v>
      </c>
      <c r="F860">
        <v>2048</v>
      </c>
      <c r="G860" s="55">
        <f>10^6*IF($E860="charcoal",params!$P$13*INDEX(BAU_Fuel_cons!$E$2:$AS$34,MATCH(D860&amp;"_"&amp;E860,BAU_Fuel_cons!$AT$2:$AT$34,0),MATCH(F860,BAU_Fuel_cons!$E$1:$AS$1,0)),INDEX(BAU_Fuel_cons!$E$2:$AS$34,MATCH(D860&amp;"_"&amp;E860,BAU_Fuel_cons!$AT$2:$AT$34,0),MATCH(F860,BAU_Fuel_cons!$E$1:$AS$1,0)))</f>
        <v>0</v>
      </c>
      <c r="H860" s="55">
        <f>G860+10^6*IF($E860="charcoal",params!$P$13*SUMIFS(nonresidential!$L:$L,nonresidential!$A:$A,$F860,nonresidential!$B:$B,$E860,nonresidential!$C:$C,$D860),SUMIFS(nonresidential!$L:$L,nonresidential!$A:$A,$F860,nonresidential!$B:$B,$E860,nonresidential!$C:$C,$D860))</f>
        <v>0</v>
      </c>
      <c r="I860">
        <f>1</f>
        <v>1</v>
      </c>
    </row>
    <row r="861" spans="1:9">
      <c r="A861" t="s">
        <v>211</v>
      </c>
      <c r="B861" t="s">
        <v>162</v>
      </c>
      <c r="C861" t="s">
        <v>269</v>
      </c>
      <c r="D861" t="s">
        <v>26</v>
      </c>
      <c r="E861" t="s">
        <v>16</v>
      </c>
      <c r="F861">
        <v>2049</v>
      </c>
      <c r="G861" s="55">
        <f>10^6*IF($E861="charcoal",params!$P$13*INDEX(BAU_Fuel_cons!$E$2:$AS$34,MATCH(D861&amp;"_"&amp;E861,BAU_Fuel_cons!$AT$2:$AT$34,0),MATCH(F861,BAU_Fuel_cons!$E$1:$AS$1,0)),INDEX(BAU_Fuel_cons!$E$2:$AS$34,MATCH(D861&amp;"_"&amp;E861,BAU_Fuel_cons!$AT$2:$AT$34,0),MATCH(F861,BAU_Fuel_cons!$E$1:$AS$1,0)))</f>
        <v>0</v>
      </c>
      <c r="H861" s="55">
        <f>G861+10^6*IF($E861="charcoal",params!$P$13*SUMIFS(nonresidential!$L:$L,nonresidential!$A:$A,$F861,nonresidential!$B:$B,$E861,nonresidential!$C:$C,$D861),SUMIFS(nonresidential!$L:$L,nonresidential!$A:$A,$F861,nonresidential!$B:$B,$E861,nonresidential!$C:$C,$D861))</f>
        <v>0</v>
      </c>
      <c r="I861">
        <f>1</f>
        <v>1</v>
      </c>
    </row>
    <row r="862" spans="1:9">
      <c r="A862" t="s">
        <v>211</v>
      </c>
      <c r="B862" t="s">
        <v>162</v>
      </c>
      <c r="C862" t="s">
        <v>269</v>
      </c>
      <c r="D862" t="s">
        <v>26</v>
      </c>
      <c r="E862" t="s">
        <v>16</v>
      </c>
      <c r="F862">
        <v>2050</v>
      </c>
      <c r="G862" s="55">
        <f>10^6*IF($E862="charcoal",params!$P$13*INDEX(BAU_Fuel_cons!$E$2:$AS$34,MATCH(D862&amp;"_"&amp;E862,BAU_Fuel_cons!$AT$2:$AT$34,0),MATCH(F862,BAU_Fuel_cons!$E$1:$AS$1,0)),INDEX(BAU_Fuel_cons!$E$2:$AS$34,MATCH(D862&amp;"_"&amp;E862,BAU_Fuel_cons!$AT$2:$AT$34,0),MATCH(F862,BAU_Fuel_cons!$E$1:$AS$1,0)))</f>
        <v>0</v>
      </c>
      <c r="H862" s="55">
        <f>G862+10^6*IF($E862="charcoal",params!$P$13*SUMIFS(nonresidential!$L:$L,nonresidential!$A:$A,$F862,nonresidential!$B:$B,$E862,nonresidential!$C:$C,$D862),SUMIFS(nonresidential!$L:$L,nonresidential!$A:$A,$F862,nonresidential!$B:$B,$E862,nonresidential!$C:$C,$D862))</f>
        <v>0</v>
      </c>
      <c r="I862">
        <f>1</f>
        <v>1</v>
      </c>
    </row>
    <row r="863" spans="1:9">
      <c r="A863" t="s">
        <v>211</v>
      </c>
      <c r="B863" t="s">
        <v>162</v>
      </c>
      <c r="C863" t="s">
        <v>269</v>
      </c>
      <c r="D863" t="s">
        <v>26</v>
      </c>
      <c r="E863" t="s">
        <v>17</v>
      </c>
      <c r="F863">
        <v>2010</v>
      </c>
      <c r="G863" s="55">
        <f>10^6*IF($E863="charcoal",params!$P$13*INDEX(BAU_Fuel_cons!$E$2:$AS$34,MATCH(D863&amp;"_"&amp;E863,BAU_Fuel_cons!$AT$2:$AT$34,0),MATCH(F863,BAU_Fuel_cons!$E$1:$AS$1,0)),INDEX(BAU_Fuel_cons!$E$2:$AS$34,MATCH(D863&amp;"_"&amp;E863,BAU_Fuel_cons!$AT$2:$AT$34,0),MATCH(F863,BAU_Fuel_cons!$E$1:$AS$1,0)))</f>
        <v>0</v>
      </c>
      <c r="H863" s="55">
        <f>G863+10^6*IF($E863="charcoal",params!$P$13*SUMIFS(nonresidential!$L:$L,nonresidential!$A:$A,$F863,nonresidential!$B:$B,$E863,nonresidential!$C:$C,$D863),SUMIFS(nonresidential!$L:$L,nonresidential!$A:$A,$F863,nonresidential!$B:$B,$E863,nonresidential!$C:$C,$D863))</f>
        <v>0</v>
      </c>
      <c r="I863">
        <f>1</f>
        <v>1</v>
      </c>
    </row>
    <row r="864" spans="1:9">
      <c r="A864" t="s">
        <v>211</v>
      </c>
      <c r="B864" t="s">
        <v>162</v>
      </c>
      <c r="C864" t="s">
        <v>269</v>
      </c>
      <c r="D864" t="s">
        <v>26</v>
      </c>
      <c r="E864" t="s">
        <v>17</v>
      </c>
      <c r="F864">
        <v>2011</v>
      </c>
      <c r="G864" s="55">
        <f>10^6*IF($E864="charcoal",params!$P$13*INDEX(BAU_Fuel_cons!$E$2:$AS$34,MATCH(D864&amp;"_"&amp;E864,BAU_Fuel_cons!$AT$2:$AT$34,0),MATCH(F864,BAU_Fuel_cons!$E$1:$AS$1,0)),INDEX(BAU_Fuel_cons!$E$2:$AS$34,MATCH(D864&amp;"_"&amp;E864,BAU_Fuel_cons!$AT$2:$AT$34,0),MATCH(F864,BAU_Fuel_cons!$E$1:$AS$1,0)))</f>
        <v>0</v>
      </c>
      <c r="H864" s="55">
        <f>G864+10^6*IF($E864="charcoal",params!$P$13*SUMIFS(nonresidential!$L:$L,nonresidential!$A:$A,$F864,nonresidential!$B:$B,$E864,nonresidential!$C:$C,$D864),SUMIFS(nonresidential!$L:$L,nonresidential!$A:$A,$F864,nonresidential!$B:$B,$E864,nonresidential!$C:$C,$D864))</f>
        <v>0</v>
      </c>
      <c r="I864">
        <f>1</f>
        <v>1</v>
      </c>
    </row>
    <row r="865" spans="1:9">
      <c r="A865" t="s">
        <v>211</v>
      </c>
      <c r="B865" t="s">
        <v>162</v>
      </c>
      <c r="C865" t="s">
        <v>269</v>
      </c>
      <c r="D865" t="s">
        <v>26</v>
      </c>
      <c r="E865" t="s">
        <v>17</v>
      </c>
      <c r="F865">
        <v>2012</v>
      </c>
      <c r="G865" s="55">
        <f>10^6*IF($E865="charcoal",params!$P$13*INDEX(BAU_Fuel_cons!$E$2:$AS$34,MATCH(D865&amp;"_"&amp;E865,BAU_Fuel_cons!$AT$2:$AT$34,0),MATCH(F865,BAU_Fuel_cons!$E$1:$AS$1,0)),INDEX(BAU_Fuel_cons!$E$2:$AS$34,MATCH(D865&amp;"_"&amp;E865,BAU_Fuel_cons!$AT$2:$AT$34,0),MATCH(F865,BAU_Fuel_cons!$E$1:$AS$1,0)))</f>
        <v>0</v>
      </c>
      <c r="H865" s="55">
        <f>G865+10^6*IF($E865="charcoal",params!$P$13*SUMIFS(nonresidential!$L:$L,nonresidential!$A:$A,$F865,nonresidential!$B:$B,$E865,nonresidential!$C:$C,$D865),SUMIFS(nonresidential!$L:$L,nonresidential!$A:$A,$F865,nonresidential!$B:$B,$E865,nonresidential!$C:$C,$D865))</f>
        <v>0</v>
      </c>
      <c r="I865">
        <f>1</f>
        <v>1</v>
      </c>
    </row>
    <row r="866" spans="1:9">
      <c r="A866" t="s">
        <v>211</v>
      </c>
      <c r="B866" t="s">
        <v>162</v>
      </c>
      <c r="C866" t="s">
        <v>269</v>
      </c>
      <c r="D866" t="s">
        <v>26</v>
      </c>
      <c r="E866" t="s">
        <v>17</v>
      </c>
      <c r="F866">
        <v>2013</v>
      </c>
      <c r="G866" s="55">
        <f>10^6*IF($E866="charcoal",params!$P$13*INDEX(BAU_Fuel_cons!$E$2:$AS$34,MATCH(D866&amp;"_"&amp;E866,BAU_Fuel_cons!$AT$2:$AT$34,0),MATCH(F866,BAU_Fuel_cons!$E$1:$AS$1,0)),INDEX(BAU_Fuel_cons!$E$2:$AS$34,MATCH(D866&amp;"_"&amp;E866,BAU_Fuel_cons!$AT$2:$AT$34,0),MATCH(F866,BAU_Fuel_cons!$E$1:$AS$1,0)))</f>
        <v>0</v>
      </c>
      <c r="H866" s="55">
        <f>G866+10^6*IF($E866="charcoal",params!$P$13*SUMIFS(nonresidential!$L:$L,nonresidential!$A:$A,$F866,nonresidential!$B:$B,$E866,nonresidential!$C:$C,$D866),SUMIFS(nonresidential!$L:$L,nonresidential!$A:$A,$F866,nonresidential!$B:$B,$E866,nonresidential!$C:$C,$D866))</f>
        <v>0</v>
      </c>
      <c r="I866">
        <f>1</f>
        <v>1</v>
      </c>
    </row>
    <row r="867" spans="1:9">
      <c r="A867" t="s">
        <v>211</v>
      </c>
      <c r="B867" t="s">
        <v>162</v>
      </c>
      <c r="C867" t="s">
        <v>269</v>
      </c>
      <c r="D867" t="s">
        <v>26</v>
      </c>
      <c r="E867" t="s">
        <v>17</v>
      </c>
      <c r="F867">
        <v>2014</v>
      </c>
      <c r="G867" s="55">
        <f>10^6*IF($E867="charcoal",params!$P$13*INDEX(BAU_Fuel_cons!$E$2:$AS$34,MATCH(D867&amp;"_"&amp;E867,BAU_Fuel_cons!$AT$2:$AT$34,0),MATCH(F867,BAU_Fuel_cons!$E$1:$AS$1,0)),INDEX(BAU_Fuel_cons!$E$2:$AS$34,MATCH(D867&amp;"_"&amp;E867,BAU_Fuel_cons!$AT$2:$AT$34,0),MATCH(F867,BAU_Fuel_cons!$E$1:$AS$1,0)))</f>
        <v>0</v>
      </c>
      <c r="H867" s="55">
        <f>G867+10^6*IF($E867="charcoal",params!$P$13*SUMIFS(nonresidential!$L:$L,nonresidential!$A:$A,$F867,nonresidential!$B:$B,$E867,nonresidential!$C:$C,$D867),SUMIFS(nonresidential!$L:$L,nonresidential!$A:$A,$F867,nonresidential!$B:$B,$E867,nonresidential!$C:$C,$D867))</f>
        <v>0</v>
      </c>
      <c r="I867">
        <f>1</f>
        <v>1</v>
      </c>
    </row>
    <row r="868" spans="1:9">
      <c r="A868" t="s">
        <v>211</v>
      </c>
      <c r="B868" t="s">
        <v>162</v>
      </c>
      <c r="C868" t="s">
        <v>269</v>
      </c>
      <c r="D868" t="s">
        <v>26</v>
      </c>
      <c r="E868" t="s">
        <v>17</v>
      </c>
      <c r="F868">
        <v>2015</v>
      </c>
      <c r="G868" s="55">
        <f>10^6*IF($E868="charcoal",params!$P$13*INDEX(BAU_Fuel_cons!$E$2:$AS$34,MATCH(D868&amp;"_"&amp;E868,BAU_Fuel_cons!$AT$2:$AT$34,0),MATCH(F868,BAU_Fuel_cons!$E$1:$AS$1,0)),INDEX(BAU_Fuel_cons!$E$2:$AS$34,MATCH(D868&amp;"_"&amp;E868,BAU_Fuel_cons!$AT$2:$AT$34,0),MATCH(F868,BAU_Fuel_cons!$E$1:$AS$1,0)))</f>
        <v>0</v>
      </c>
      <c r="H868" s="55">
        <f>G868+10^6*IF($E868="charcoal",params!$P$13*SUMIFS(nonresidential!$L:$L,nonresidential!$A:$A,$F868,nonresidential!$B:$B,$E868,nonresidential!$C:$C,$D868),SUMIFS(nonresidential!$L:$L,nonresidential!$A:$A,$F868,nonresidential!$B:$B,$E868,nonresidential!$C:$C,$D868))</f>
        <v>0</v>
      </c>
      <c r="I868">
        <f>1</f>
        <v>1</v>
      </c>
    </row>
    <row r="869" spans="1:9">
      <c r="A869" t="s">
        <v>211</v>
      </c>
      <c r="B869" t="s">
        <v>162</v>
      </c>
      <c r="C869" t="s">
        <v>269</v>
      </c>
      <c r="D869" t="s">
        <v>26</v>
      </c>
      <c r="E869" t="s">
        <v>17</v>
      </c>
      <c r="F869">
        <v>2016</v>
      </c>
      <c r="G869" s="55">
        <f>10^6*IF($E869="charcoal",params!$P$13*INDEX(BAU_Fuel_cons!$E$2:$AS$34,MATCH(D869&amp;"_"&amp;E869,BAU_Fuel_cons!$AT$2:$AT$34,0),MATCH(F869,BAU_Fuel_cons!$E$1:$AS$1,0)),INDEX(BAU_Fuel_cons!$E$2:$AS$34,MATCH(D869&amp;"_"&amp;E869,BAU_Fuel_cons!$AT$2:$AT$34,0),MATCH(F869,BAU_Fuel_cons!$E$1:$AS$1,0)))</f>
        <v>0</v>
      </c>
      <c r="H869" s="55">
        <f>G869+10^6*IF($E869="charcoal",params!$P$13*SUMIFS(nonresidential!$L:$L,nonresidential!$A:$A,$F869,nonresidential!$B:$B,$E869,nonresidential!$C:$C,$D869),SUMIFS(nonresidential!$L:$L,nonresidential!$A:$A,$F869,nonresidential!$B:$B,$E869,nonresidential!$C:$C,$D869))</f>
        <v>0</v>
      </c>
      <c r="I869">
        <f>1</f>
        <v>1</v>
      </c>
    </row>
    <row r="870" spans="1:9">
      <c r="A870" t="s">
        <v>211</v>
      </c>
      <c r="B870" t="s">
        <v>162</v>
      </c>
      <c r="C870" t="s">
        <v>269</v>
      </c>
      <c r="D870" t="s">
        <v>26</v>
      </c>
      <c r="E870" t="s">
        <v>17</v>
      </c>
      <c r="F870">
        <v>2017</v>
      </c>
      <c r="G870" s="55">
        <f>10^6*IF($E870="charcoal",params!$P$13*INDEX(BAU_Fuel_cons!$E$2:$AS$34,MATCH(D870&amp;"_"&amp;E870,BAU_Fuel_cons!$AT$2:$AT$34,0),MATCH(F870,BAU_Fuel_cons!$E$1:$AS$1,0)),INDEX(BAU_Fuel_cons!$E$2:$AS$34,MATCH(D870&amp;"_"&amp;E870,BAU_Fuel_cons!$AT$2:$AT$34,0),MATCH(F870,BAU_Fuel_cons!$E$1:$AS$1,0)))</f>
        <v>0</v>
      </c>
      <c r="H870" s="55">
        <f>G870+10^6*IF($E870="charcoal",params!$P$13*SUMIFS(nonresidential!$L:$L,nonresidential!$A:$A,$F870,nonresidential!$B:$B,$E870,nonresidential!$C:$C,$D870),SUMIFS(nonresidential!$L:$L,nonresidential!$A:$A,$F870,nonresidential!$B:$B,$E870,nonresidential!$C:$C,$D870))</f>
        <v>0</v>
      </c>
      <c r="I870">
        <f>1</f>
        <v>1</v>
      </c>
    </row>
    <row r="871" spans="1:9">
      <c r="A871" t="s">
        <v>211</v>
      </c>
      <c r="B871" t="s">
        <v>162</v>
      </c>
      <c r="C871" t="s">
        <v>269</v>
      </c>
      <c r="D871" t="s">
        <v>26</v>
      </c>
      <c r="E871" t="s">
        <v>17</v>
      </c>
      <c r="F871">
        <v>2018</v>
      </c>
      <c r="G871" s="55">
        <f>10^6*IF($E871="charcoal",params!$P$13*INDEX(BAU_Fuel_cons!$E$2:$AS$34,MATCH(D871&amp;"_"&amp;E871,BAU_Fuel_cons!$AT$2:$AT$34,0),MATCH(F871,BAU_Fuel_cons!$E$1:$AS$1,0)),INDEX(BAU_Fuel_cons!$E$2:$AS$34,MATCH(D871&amp;"_"&amp;E871,BAU_Fuel_cons!$AT$2:$AT$34,0),MATCH(F871,BAU_Fuel_cons!$E$1:$AS$1,0)))</f>
        <v>0</v>
      </c>
      <c r="H871" s="55">
        <f>G871+10^6*IF($E871="charcoal",params!$P$13*SUMIFS(nonresidential!$L:$L,nonresidential!$A:$A,$F871,nonresidential!$B:$B,$E871,nonresidential!$C:$C,$D871),SUMIFS(nonresidential!$L:$L,nonresidential!$A:$A,$F871,nonresidential!$B:$B,$E871,nonresidential!$C:$C,$D871))</f>
        <v>0</v>
      </c>
      <c r="I871">
        <f>1</f>
        <v>1</v>
      </c>
    </row>
    <row r="872" spans="1:9">
      <c r="A872" t="s">
        <v>211</v>
      </c>
      <c r="B872" t="s">
        <v>162</v>
      </c>
      <c r="C872" t="s">
        <v>269</v>
      </c>
      <c r="D872" t="s">
        <v>26</v>
      </c>
      <c r="E872" t="s">
        <v>17</v>
      </c>
      <c r="F872">
        <v>2019</v>
      </c>
      <c r="G872" s="55">
        <f>10^6*IF($E872="charcoal",params!$P$13*INDEX(BAU_Fuel_cons!$E$2:$AS$34,MATCH(D872&amp;"_"&amp;E872,BAU_Fuel_cons!$AT$2:$AT$34,0),MATCH(F872,BAU_Fuel_cons!$E$1:$AS$1,0)),INDEX(BAU_Fuel_cons!$E$2:$AS$34,MATCH(D872&amp;"_"&amp;E872,BAU_Fuel_cons!$AT$2:$AT$34,0),MATCH(F872,BAU_Fuel_cons!$E$1:$AS$1,0)))</f>
        <v>0</v>
      </c>
      <c r="H872" s="55">
        <f>G872+10^6*IF($E872="charcoal",params!$P$13*SUMIFS(nonresidential!$L:$L,nonresidential!$A:$A,$F872,nonresidential!$B:$B,$E872,nonresidential!$C:$C,$D872),SUMIFS(nonresidential!$L:$L,nonresidential!$A:$A,$F872,nonresidential!$B:$B,$E872,nonresidential!$C:$C,$D872))</f>
        <v>0</v>
      </c>
      <c r="I872">
        <f>1</f>
        <v>1</v>
      </c>
    </row>
    <row r="873" spans="1:9">
      <c r="A873" t="s">
        <v>211</v>
      </c>
      <c r="B873" t="s">
        <v>162</v>
      </c>
      <c r="C873" t="s">
        <v>269</v>
      </c>
      <c r="D873" t="s">
        <v>26</v>
      </c>
      <c r="E873" t="s">
        <v>17</v>
      </c>
      <c r="F873">
        <v>2020</v>
      </c>
      <c r="G873" s="55">
        <f>10^6*IF($E873="charcoal",params!$P$13*INDEX(BAU_Fuel_cons!$E$2:$AS$34,MATCH(D873&amp;"_"&amp;E873,BAU_Fuel_cons!$AT$2:$AT$34,0),MATCH(F873,BAU_Fuel_cons!$E$1:$AS$1,0)),INDEX(BAU_Fuel_cons!$E$2:$AS$34,MATCH(D873&amp;"_"&amp;E873,BAU_Fuel_cons!$AT$2:$AT$34,0),MATCH(F873,BAU_Fuel_cons!$E$1:$AS$1,0)))</f>
        <v>0</v>
      </c>
      <c r="H873" s="55">
        <f>G873+10^6*IF($E873="charcoal",params!$P$13*SUMIFS(nonresidential!$L:$L,nonresidential!$A:$A,$F873,nonresidential!$B:$B,$E873,nonresidential!$C:$C,$D873),SUMIFS(nonresidential!$L:$L,nonresidential!$A:$A,$F873,nonresidential!$B:$B,$E873,nonresidential!$C:$C,$D873))</f>
        <v>0</v>
      </c>
      <c r="I873">
        <f>1</f>
        <v>1</v>
      </c>
    </row>
    <row r="874" spans="1:9">
      <c r="A874" t="s">
        <v>211</v>
      </c>
      <c r="B874" t="s">
        <v>162</v>
      </c>
      <c r="C874" t="s">
        <v>269</v>
      </c>
      <c r="D874" t="s">
        <v>26</v>
      </c>
      <c r="E874" t="s">
        <v>17</v>
      </c>
      <c r="F874">
        <v>2021</v>
      </c>
      <c r="G874" s="55">
        <f>10^6*IF($E874="charcoal",params!$P$13*INDEX(BAU_Fuel_cons!$E$2:$AS$34,MATCH(D874&amp;"_"&amp;E874,BAU_Fuel_cons!$AT$2:$AT$34,0),MATCH(F874,BAU_Fuel_cons!$E$1:$AS$1,0)),INDEX(BAU_Fuel_cons!$E$2:$AS$34,MATCH(D874&amp;"_"&amp;E874,BAU_Fuel_cons!$AT$2:$AT$34,0),MATCH(F874,BAU_Fuel_cons!$E$1:$AS$1,0)))</f>
        <v>0</v>
      </c>
      <c r="H874" s="55">
        <f>G874+10^6*IF($E874="charcoal",params!$P$13*SUMIFS(nonresidential!$L:$L,nonresidential!$A:$A,$F874,nonresidential!$B:$B,$E874,nonresidential!$C:$C,$D874),SUMIFS(nonresidential!$L:$L,nonresidential!$A:$A,$F874,nonresidential!$B:$B,$E874,nonresidential!$C:$C,$D874))</f>
        <v>0</v>
      </c>
      <c r="I874">
        <f>1</f>
        <v>1</v>
      </c>
    </row>
    <row r="875" spans="1:9">
      <c r="A875" t="s">
        <v>211</v>
      </c>
      <c r="B875" t="s">
        <v>162</v>
      </c>
      <c r="C875" t="s">
        <v>269</v>
      </c>
      <c r="D875" t="s">
        <v>26</v>
      </c>
      <c r="E875" t="s">
        <v>17</v>
      </c>
      <c r="F875">
        <v>2022</v>
      </c>
      <c r="G875" s="55">
        <f>10^6*IF($E875="charcoal",params!$P$13*INDEX(BAU_Fuel_cons!$E$2:$AS$34,MATCH(D875&amp;"_"&amp;E875,BAU_Fuel_cons!$AT$2:$AT$34,0),MATCH(F875,BAU_Fuel_cons!$E$1:$AS$1,0)),INDEX(BAU_Fuel_cons!$E$2:$AS$34,MATCH(D875&amp;"_"&amp;E875,BAU_Fuel_cons!$AT$2:$AT$34,0),MATCH(F875,BAU_Fuel_cons!$E$1:$AS$1,0)))</f>
        <v>0</v>
      </c>
      <c r="H875" s="55">
        <f>G875+10^6*IF($E875="charcoal",params!$P$13*SUMIFS(nonresidential!$L:$L,nonresidential!$A:$A,$F875,nonresidential!$B:$B,$E875,nonresidential!$C:$C,$D875),SUMIFS(nonresidential!$L:$L,nonresidential!$A:$A,$F875,nonresidential!$B:$B,$E875,nonresidential!$C:$C,$D875))</f>
        <v>0</v>
      </c>
      <c r="I875">
        <f>1</f>
        <v>1</v>
      </c>
    </row>
    <row r="876" spans="1:9">
      <c r="A876" t="s">
        <v>211</v>
      </c>
      <c r="B876" t="s">
        <v>162</v>
      </c>
      <c r="C876" t="s">
        <v>269</v>
      </c>
      <c r="D876" t="s">
        <v>26</v>
      </c>
      <c r="E876" t="s">
        <v>17</v>
      </c>
      <c r="F876">
        <v>2023</v>
      </c>
      <c r="G876" s="55">
        <f>10^6*IF($E876="charcoal",params!$P$13*INDEX(BAU_Fuel_cons!$E$2:$AS$34,MATCH(D876&amp;"_"&amp;E876,BAU_Fuel_cons!$AT$2:$AT$34,0),MATCH(F876,BAU_Fuel_cons!$E$1:$AS$1,0)),INDEX(BAU_Fuel_cons!$E$2:$AS$34,MATCH(D876&amp;"_"&amp;E876,BAU_Fuel_cons!$AT$2:$AT$34,0),MATCH(F876,BAU_Fuel_cons!$E$1:$AS$1,0)))</f>
        <v>0</v>
      </c>
      <c r="H876" s="55">
        <f>G876+10^6*IF($E876="charcoal",params!$P$13*SUMIFS(nonresidential!$L:$L,nonresidential!$A:$A,$F876,nonresidential!$B:$B,$E876,nonresidential!$C:$C,$D876),SUMIFS(nonresidential!$L:$L,nonresidential!$A:$A,$F876,nonresidential!$B:$B,$E876,nonresidential!$C:$C,$D876))</f>
        <v>0</v>
      </c>
      <c r="I876">
        <f>1</f>
        <v>1</v>
      </c>
    </row>
    <row r="877" spans="1:9">
      <c r="A877" t="s">
        <v>211</v>
      </c>
      <c r="B877" t="s">
        <v>162</v>
      </c>
      <c r="C877" t="s">
        <v>269</v>
      </c>
      <c r="D877" t="s">
        <v>26</v>
      </c>
      <c r="E877" t="s">
        <v>17</v>
      </c>
      <c r="F877">
        <v>2024</v>
      </c>
      <c r="G877" s="55">
        <f>10^6*IF($E877="charcoal",params!$P$13*INDEX(BAU_Fuel_cons!$E$2:$AS$34,MATCH(D877&amp;"_"&amp;E877,BAU_Fuel_cons!$AT$2:$AT$34,0),MATCH(F877,BAU_Fuel_cons!$E$1:$AS$1,0)),INDEX(BAU_Fuel_cons!$E$2:$AS$34,MATCH(D877&amp;"_"&amp;E877,BAU_Fuel_cons!$AT$2:$AT$34,0),MATCH(F877,BAU_Fuel_cons!$E$1:$AS$1,0)))</f>
        <v>0</v>
      </c>
      <c r="H877" s="55">
        <f>G877+10^6*IF($E877="charcoal",params!$P$13*SUMIFS(nonresidential!$L:$L,nonresidential!$A:$A,$F877,nonresidential!$B:$B,$E877,nonresidential!$C:$C,$D877),SUMIFS(nonresidential!$L:$L,nonresidential!$A:$A,$F877,nonresidential!$B:$B,$E877,nonresidential!$C:$C,$D877))</f>
        <v>0</v>
      </c>
      <c r="I877">
        <f>1</f>
        <v>1</v>
      </c>
    </row>
    <row r="878" spans="1:9">
      <c r="A878" t="s">
        <v>211</v>
      </c>
      <c r="B878" t="s">
        <v>162</v>
      </c>
      <c r="C878" t="s">
        <v>269</v>
      </c>
      <c r="D878" t="s">
        <v>26</v>
      </c>
      <c r="E878" t="s">
        <v>17</v>
      </c>
      <c r="F878">
        <v>2025</v>
      </c>
      <c r="G878" s="55">
        <f>10^6*IF($E878="charcoal",params!$P$13*INDEX(BAU_Fuel_cons!$E$2:$AS$34,MATCH(D878&amp;"_"&amp;E878,BAU_Fuel_cons!$AT$2:$AT$34,0),MATCH(F878,BAU_Fuel_cons!$E$1:$AS$1,0)),INDEX(BAU_Fuel_cons!$E$2:$AS$34,MATCH(D878&amp;"_"&amp;E878,BAU_Fuel_cons!$AT$2:$AT$34,0),MATCH(F878,BAU_Fuel_cons!$E$1:$AS$1,0)))</f>
        <v>0</v>
      </c>
      <c r="H878" s="55">
        <f>G878+10^6*IF($E878="charcoal",params!$P$13*SUMIFS(nonresidential!$L:$L,nonresidential!$A:$A,$F878,nonresidential!$B:$B,$E878,nonresidential!$C:$C,$D878),SUMIFS(nonresidential!$L:$L,nonresidential!$A:$A,$F878,nonresidential!$B:$B,$E878,nonresidential!$C:$C,$D878))</f>
        <v>0</v>
      </c>
      <c r="I878">
        <f>1</f>
        <v>1</v>
      </c>
    </row>
    <row r="879" spans="1:9">
      <c r="A879" t="s">
        <v>211</v>
      </c>
      <c r="B879" t="s">
        <v>162</v>
      </c>
      <c r="C879" t="s">
        <v>269</v>
      </c>
      <c r="D879" t="s">
        <v>26</v>
      </c>
      <c r="E879" t="s">
        <v>17</v>
      </c>
      <c r="F879">
        <v>2026</v>
      </c>
      <c r="G879" s="55">
        <f>10^6*IF($E879="charcoal",params!$P$13*INDEX(BAU_Fuel_cons!$E$2:$AS$34,MATCH(D879&amp;"_"&amp;E879,BAU_Fuel_cons!$AT$2:$AT$34,0),MATCH(F879,BAU_Fuel_cons!$E$1:$AS$1,0)),INDEX(BAU_Fuel_cons!$E$2:$AS$34,MATCH(D879&amp;"_"&amp;E879,BAU_Fuel_cons!$AT$2:$AT$34,0),MATCH(F879,BAU_Fuel_cons!$E$1:$AS$1,0)))</f>
        <v>0</v>
      </c>
      <c r="H879" s="55">
        <f>G879+10^6*IF($E879="charcoal",params!$P$13*SUMIFS(nonresidential!$L:$L,nonresidential!$A:$A,$F879,nonresidential!$B:$B,$E879,nonresidential!$C:$C,$D879),SUMIFS(nonresidential!$L:$L,nonresidential!$A:$A,$F879,nonresidential!$B:$B,$E879,nonresidential!$C:$C,$D879))</f>
        <v>0</v>
      </c>
      <c r="I879">
        <f>1</f>
        <v>1</v>
      </c>
    </row>
    <row r="880" spans="1:9">
      <c r="A880" t="s">
        <v>211</v>
      </c>
      <c r="B880" t="s">
        <v>162</v>
      </c>
      <c r="C880" t="s">
        <v>269</v>
      </c>
      <c r="D880" t="s">
        <v>26</v>
      </c>
      <c r="E880" t="s">
        <v>17</v>
      </c>
      <c r="F880">
        <v>2027</v>
      </c>
      <c r="G880" s="55">
        <f>10^6*IF($E880="charcoal",params!$P$13*INDEX(BAU_Fuel_cons!$E$2:$AS$34,MATCH(D880&amp;"_"&amp;E880,BAU_Fuel_cons!$AT$2:$AT$34,0),MATCH(F880,BAU_Fuel_cons!$E$1:$AS$1,0)),INDEX(BAU_Fuel_cons!$E$2:$AS$34,MATCH(D880&amp;"_"&amp;E880,BAU_Fuel_cons!$AT$2:$AT$34,0),MATCH(F880,BAU_Fuel_cons!$E$1:$AS$1,0)))</f>
        <v>0</v>
      </c>
      <c r="H880" s="55">
        <f>G880+10^6*IF($E880="charcoal",params!$P$13*SUMIFS(nonresidential!$L:$L,nonresidential!$A:$A,$F880,nonresidential!$B:$B,$E880,nonresidential!$C:$C,$D880),SUMIFS(nonresidential!$L:$L,nonresidential!$A:$A,$F880,nonresidential!$B:$B,$E880,nonresidential!$C:$C,$D880))</f>
        <v>0</v>
      </c>
      <c r="I880">
        <f>1</f>
        <v>1</v>
      </c>
    </row>
    <row r="881" spans="1:9">
      <c r="A881" t="s">
        <v>211</v>
      </c>
      <c r="B881" t="s">
        <v>162</v>
      </c>
      <c r="C881" t="s">
        <v>269</v>
      </c>
      <c r="D881" t="s">
        <v>26</v>
      </c>
      <c r="E881" t="s">
        <v>17</v>
      </c>
      <c r="F881">
        <v>2028</v>
      </c>
      <c r="G881" s="55">
        <f>10^6*IF($E881="charcoal",params!$P$13*INDEX(BAU_Fuel_cons!$E$2:$AS$34,MATCH(D881&amp;"_"&amp;E881,BAU_Fuel_cons!$AT$2:$AT$34,0),MATCH(F881,BAU_Fuel_cons!$E$1:$AS$1,0)),INDEX(BAU_Fuel_cons!$E$2:$AS$34,MATCH(D881&amp;"_"&amp;E881,BAU_Fuel_cons!$AT$2:$AT$34,0),MATCH(F881,BAU_Fuel_cons!$E$1:$AS$1,0)))</f>
        <v>0</v>
      </c>
      <c r="H881" s="55">
        <f>G881+10^6*IF($E881="charcoal",params!$P$13*SUMIFS(nonresidential!$L:$L,nonresidential!$A:$A,$F881,nonresidential!$B:$B,$E881,nonresidential!$C:$C,$D881),SUMIFS(nonresidential!$L:$L,nonresidential!$A:$A,$F881,nonresidential!$B:$B,$E881,nonresidential!$C:$C,$D881))</f>
        <v>0</v>
      </c>
      <c r="I881">
        <f>1</f>
        <v>1</v>
      </c>
    </row>
    <row r="882" spans="1:9">
      <c r="A882" t="s">
        <v>211</v>
      </c>
      <c r="B882" t="s">
        <v>162</v>
      </c>
      <c r="C882" t="s">
        <v>269</v>
      </c>
      <c r="D882" t="s">
        <v>26</v>
      </c>
      <c r="E882" t="s">
        <v>17</v>
      </c>
      <c r="F882">
        <v>2029</v>
      </c>
      <c r="G882" s="55">
        <f>10^6*IF($E882="charcoal",params!$P$13*INDEX(BAU_Fuel_cons!$E$2:$AS$34,MATCH(D882&amp;"_"&amp;E882,BAU_Fuel_cons!$AT$2:$AT$34,0),MATCH(F882,BAU_Fuel_cons!$E$1:$AS$1,0)),INDEX(BAU_Fuel_cons!$E$2:$AS$34,MATCH(D882&amp;"_"&amp;E882,BAU_Fuel_cons!$AT$2:$AT$34,0),MATCH(F882,BAU_Fuel_cons!$E$1:$AS$1,0)))</f>
        <v>0</v>
      </c>
      <c r="H882" s="55">
        <f>G882+10^6*IF($E882="charcoal",params!$P$13*SUMIFS(nonresidential!$L:$L,nonresidential!$A:$A,$F882,nonresidential!$B:$B,$E882,nonresidential!$C:$C,$D882),SUMIFS(nonresidential!$L:$L,nonresidential!$A:$A,$F882,nonresidential!$B:$B,$E882,nonresidential!$C:$C,$D882))</f>
        <v>0</v>
      </c>
      <c r="I882">
        <f>1</f>
        <v>1</v>
      </c>
    </row>
    <row r="883" spans="1:9">
      <c r="A883" t="s">
        <v>211</v>
      </c>
      <c r="B883" t="s">
        <v>162</v>
      </c>
      <c r="C883" t="s">
        <v>269</v>
      </c>
      <c r="D883" t="s">
        <v>26</v>
      </c>
      <c r="E883" t="s">
        <v>17</v>
      </c>
      <c r="F883">
        <v>2030</v>
      </c>
      <c r="G883" s="55">
        <f>10^6*IF($E883="charcoal",params!$P$13*INDEX(BAU_Fuel_cons!$E$2:$AS$34,MATCH(D883&amp;"_"&amp;E883,BAU_Fuel_cons!$AT$2:$AT$34,0),MATCH(F883,BAU_Fuel_cons!$E$1:$AS$1,0)),INDEX(BAU_Fuel_cons!$E$2:$AS$34,MATCH(D883&amp;"_"&amp;E883,BAU_Fuel_cons!$AT$2:$AT$34,0),MATCH(F883,BAU_Fuel_cons!$E$1:$AS$1,0)))</f>
        <v>0</v>
      </c>
      <c r="H883" s="55">
        <f>G883+10^6*IF($E883="charcoal",params!$P$13*SUMIFS(nonresidential!$L:$L,nonresidential!$A:$A,$F883,nonresidential!$B:$B,$E883,nonresidential!$C:$C,$D883),SUMIFS(nonresidential!$L:$L,nonresidential!$A:$A,$F883,nonresidential!$B:$B,$E883,nonresidential!$C:$C,$D883))</f>
        <v>0</v>
      </c>
      <c r="I883">
        <f>1</f>
        <v>1</v>
      </c>
    </row>
    <row r="884" spans="1:9">
      <c r="A884" t="s">
        <v>211</v>
      </c>
      <c r="B884" t="s">
        <v>162</v>
      </c>
      <c r="C884" t="s">
        <v>269</v>
      </c>
      <c r="D884" t="s">
        <v>26</v>
      </c>
      <c r="E884" t="s">
        <v>17</v>
      </c>
      <c r="F884">
        <v>2031</v>
      </c>
      <c r="G884" s="55">
        <f>10^6*IF($E884="charcoal",params!$P$13*INDEX(BAU_Fuel_cons!$E$2:$AS$34,MATCH(D884&amp;"_"&amp;E884,BAU_Fuel_cons!$AT$2:$AT$34,0),MATCH(F884,BAU_Fuel_cons!$E$1:$AS$1,0)),INDEX(BAU_Fuel_cons!$E$2:$AS$34,MATCH(D884&amp;"_"&amp;E884,BAU_Fuel_cons!$AT$2:$AT$34,0),MATCH(F884,BAU_Fuel_cons!$E$1:$AS$1,0)))</f>
        <v>0</v>
      </c>
      <c r="H884" s="55">
        <f>G884+10^6*IF($E884="charcoal",params!$P$13*SUMIFS(nonresidential!$L:$L,nonresidential!$A:$A,$F884,nonresidential!$B:$B,$E884,nonresidential!$C:$C,$D884),SUMIFS(nonresidential!$L:$L,nonresidential!$A:$A,$F884,nonresidential!$B:$B,$E884,nonresidential!$C:$C,$D884))</f>
        <v>0</v>
      </c>
      <c r="I884">
        <f>1</f>
        <v>1</v>
      </c>
    </row>
    <row r="885" spans="1:9">
      <c r="A885" t="s">
        <v>211</v>
      </c>
      <c r="B885" t="s">
        <v>162</v>
      </c>
      <c r="C885" t="s">
        <v>269</v>
      </c>
      <c r="D885" t="s">
        <v>26</v>
      </c>
      <c r="E885" t="s">
        <v>17</v>
      </c>
      <c r="F885">
        <v>2032</v>
      </c>
      <c r="G885" s="55">
        <f>10^6*IF($E885="charcoal",params!$P$13*INDEX(BAU_Fuel_cons!$E$2:$AS$34,MATCH(D885&amp;"_"&amp;E885,BAU_Fuel_cons!$AT$2:$AT$34,0),MATCH(F885,BAU_Fuel_cons!$E$1:$AS$1,0)),INDEX(BAU_Fuel_cons!$E$2:$AS$34,MATCH(D885&amp;"_"&amp;E885,BAU_Fuel_cons!$AT$2:$AT$34,0),MATCH(F885,BAU_Fuel_cons!$E$1:$AS$1,0)))</f>
        <v>0</v>
      </c>
      <c r="H885" s="55">
        <f>G885+10^6*IF($E885="charcoal",params!$P$13*SUMIFS(nonresidential!$L:$L,nonresidential!$A:$A,$F885,nonresidential!$B:$B,$E885,nonresidential!$C:$C,$D885),SUMIFS(nonresidential!$L:$L,nonresidential!$A:$A,$F885,nonresidential!$B:$B,$E885,nonresidential!$C:$C,$D885))</f>
        <v>0</v>
      </c>
      <c r="I885">
        <f>1</f>
        <v>1</v>
      </c>
    </row>
    <row r="886" spans="1:9">
      <c r="A886" t="s">
        <v>211</v>
      </c>
      <c r="B886" t="s">
        <v>162</v>
      </c>
      <c r="C886" t="s">
        <v>269</v>
      </c>
      <c r="D886" t="s">
        <v>26</v>
      </c>
      <c r="E886" t="s">
        <v>17</v>
      </c>
      <c r="F886">
        <v>2033</v>
      </c>
      <c r="G886" s="55">
        <f>10^6*IF($E886="charcoal",params!$P$13*INDEX(BAU_Fuel_cons!$E$2:$AS$34,MATCH(D886&amp;"_"&amp;E886,BAU_Fuel_cons!$AT$2:$AT$34,0),MATCH(F886,BAU_Fuel_cons!$E$1:$AS$1,0)),INDEX(BAU_Fuel_cons!$E$2:$AS$34,MATCH(D886&amp;"_"&amp;E886,BAU_Fuel_cons!$AT$2:$AT$34,0),MATCH(F886,BAU_Fuel_cons!$E$1:$AS$1,0)))</f>
        <v>0</v>
      </c>
      <c r="H886" s="55">
        <f>G886+10^6*IF($E886="charcoal",params!$P$13*SUMIFS(nonresidential!$L:$L,nonresidential!$A:$A,$F886,nonresidential!$B:$B,$E886,nonresidential!$C:$C,$D886),SUMIFS(nonresidential!$L:$L,nonresidential!$A:$A,$F886,nonresidential!$B:$B,$E886,nonresidential!$C:$C,$D886))</f>
        <v>0</v>
      </c>
      <c r="I886">
        <f>1</f>
        <v>1</v>
      </c>
    </row>
    <row r="887" spans="1:9">
      <c r="A887" t="s">
        <v>211</v>
      </c>
      <c r="B887" t="s">
        <v>162</v>
      </c>
      <c r="C887" t="s">
        <v>269</v>
      </c>
      <c r="D887" t="s">
        <v>26</v>
      </c>
      <c r="E887" t="s">
        <v>17</v>
      </c>
      <c r="F887">
        <v>2034</v>
      </c>
      <c r="G887" s="55">
        <f>10^6*IF($E887="charcoal",params!$P$13*INDEX(BAU_Fuel_cons!$E$2:$AS$34,MATCH(D887&amp;"_"&amp;E887,BAU_Fuel_cons!$AT$2:$AT$34,0),MATCH(F887,BAU_Fuel_cons!$E$1:$AS$1,0)),INDEX(BAU_Fuel_cons!$E$2:$AS$34,MATCH(D887&amp;"_"&amp;E887,BAU_Fuel_cons!$AT$2:$AT$34,0),MATCH(F887,BAU_Fuel_cons!$E$1:$AS$1,0)))</f>
        <v>0</v>
      </c>
      <c r="H887" s="55">
        <f>G887+10^6*IF($E887="charcoal",params!$P$13*SUMIFS(nonresidential!$L:$L,nonresidential!$A:$A,$F887,nonresidential!$B:$B,$E887,nonresidential!$C:$C,$D887),SUMIFS(nonresidential!$L:$L,nonresidential!$A:$A,$F887,nonresidential!$B:$B,$E887,nonresidential!$C:$C,$D887))</f>
        <v>0</v>
      </c>
      <c r="I887">
        <f>1</f>
        <v>1</v>
      </c>
    </row>
    <row r="888" spans="1:9">
      <c r="A888" t="s">
        <v>211</v>
      </c>
      <c r="B888" t="s">
        <v>162</v>
      </c>
      <c r="C888" t="s">
        <v>269</v>
      </c>
      <c r="D888" t="s">
        <v>26</v>
      </c>
      <c r="E888" t="s">
        <v>17</v>
      </c>
      <c r="F888">
        <v>2035</v>
      </c>
      <c r="G888" s="55">
        <f>10^6*IF($E888="charcoal",params!$P$13*INDEX(BAU_Fuel_cons!$E$2:$AS$34,MATCH(D888&amp;"_"&amp;E888,BAU_Fuel_cons!$AT$2:$AT$34,0),MATCH(F888,BAU_Fuel_cons!$E$1:$AS$1,0)),INDEX(BAU_Fuel_cons!$E$2:$AS$34,MATCH(D888&amp;"_"&amp;E888,BAU_Fuel_cons!$AT$2:$AT$34,0),MATCH(F888,BAU_Fuel_cons!$E$1:$AS$1,0)))</f>
        <v>0</v>
      </c>
      <c r="H888" s="55">
        <f>G888+10^6*IF($E888="charcoal",params!$P$13*SUMIFS(nonresidential!$L:$L,nonresidential!$A:$A,$F888,nonresidential!$B:$B,$E888,nonresidential!$C:$C,$D888),SUMIFS(nonresidential!$L:$L,nonresidential!$A:$A,$F888,nonresidential!$B:$B,$E888,nonresidential!$C:$C,$D888))</f>
        <v>0</v>
      </c>
      <c r="I888">
        <f>1</f>
        <v>1</v>
      </c>
    </row>
    <row r="889" spans="1:9">
      <c r="A889" t="s">
        <v>211</v>
      </c>
      <c r="B889" t="s">
        <v>162</v>
      </c>
      <c r="C889" t="s">
        <v>269</v>
      </c>
      <c r="D889" t="s">
        <v>26</v>
      </c>
      <c r="E889" t="s">
        <v>17</v>
      </c>
      <c r="F889">
        <v>2036</v>
      </c>
      <c r="G889" s="55">
        <f>10^6*IF($E889="charcoal",params!$P$13*INDEX(BAU_Fuel_cons!$E$2:$AS$34,MATCH(D889&amp;"_"&amp;E889,BAU_Fuel_cons!$AT$2:$AT$34,0),MATCH(F889,BAU_Fuel_cons!$E$1:$AS$1,0)),INDEX(BAU_Fuel_cons!$E$2:$AS$34,MATCH(D889&amp;"_"&amp;E889,BAU_Fuel_cons!$AT$2:$AT$34,0),MATCH(F889,BAU_Fuel_cons!$E$1:$AS$1,0)))</f>
        <v>0</v>
      </c>
      <c r="H889" s="55">
        <f>G889+10^6*IF($E889="charcoal",params!$P$13*SUMIFS(nonresidential!$L:$L,nonresidential!$A:$A,$F889,nonresidential!$B:$B,$E889,nonresidential!$C:$C,$D889),SUMIFS(nonresidential!$L:$L,nonresidential!$A:$A,$F889,nonresidential!$B:$B,$E889,nonresidential!$C:$C,$D889))</f>
        <v>0</v>
      </c>
      <c r="I889">
        <f>1</f>
        <v>1</v>
      </c>
    </row>
    <row r="890" spans="1:9">
      <c r="A890" t="s">
        <v>211</v>
      </c>
      <c r="B890" t="s">
        <v>162</v>
      </c>
      <c r="C890" t="s">
        <v>269</v>
      </c>
      <c r="D890" t="s">
        <v>26</v>
      </c>
      <c r="E890" t="s">
        <v>17</v>
      </c>
      <c r="F890">
        <v>2037</v>
      </c>
      <c r="G890" s="55">
        <f>10^6*IF($E890="charcoal",params!$P$13*INDEX(BAU_Fuel_cons!$E$2:$AS$34,MATCH(D890&amp;"_"&amp;E890,BAU_Fuel_cons!$AT$2:$AT$34,0),MATCH(F890,BAU_Fuel_cons!$E$1:$AS$1,0)),INDEX(BAU_Fuel_cons!$E$2:$AS$34,MATCH(D890&amp;"_"&amp;E890,BAU_Fuel_cons!$AT$2:$AT$34,0),MATCH(F890,BAU_Fuel_cons!$E$1:$AS$1,0)))</f>
        <v>0</v>
      </c>
      <c r="H890" s="55">
        <f>G890+10^6*IF($E890="charcoal",params!$P$13*SUMIFS(nonresidential!$L:$L,nonresidential!$A:$A,$F890,nonresidential!$B:$B,$E890,nonresidential!$C:$C,$D890),SUMIFS(nonresidential!$L:$L,nonresidential!$A:$A,$F890,nonresidential!$B:$B,$E890,nonresidential!$C:$C,$D890))</f>
        <v>0</v>
      </c>
      <c r="I890">
        <f>1</f>
        <v>1</v>
      </c>
    </row>
    <row r="891" spans="1:9">
      <c r="A891" t="s">
        <v>211</v>
      </c>
      <c r="B891" t="s">
        <v>162</v>
      </c>
      <c r="C891" t="s">
        <v>269</v>
      </c>
      <c r="D891" t="s">
        <v>26</v>
      </c>
      <c r="E891" t="s">
        <v>17</v>
      </c>
      <c r="F891">
        <v>2038</v>
      </c>
      <c r="G891" s="55">
        <f>10^6*IF($E891="charcoal",params!$P$13*INDEX(BAU_Fuel_cons!$E$2:$AS$34,MATCH(D891&amp;"_"&amp;E891,BAU_Fuel_cons!$AT$2:$AT$34,0),MATCH(F891,BAU_Fuel_cons!$E$1:$AS$1,0)),INDEX(BAU_Fuel_cons!$E$2:$AS$34,MATCH(D891&amp;"_"&amp;E891,BAU_Fuel_cons!$AT$2:$AT$34,0),MATCH(F891,BAU_Fuel_cons!$E$1:$AS$1,0)))</f>
        <v>0</v>
      </c>
      <c r="H891" s="55">
        <f>G891+10^6*IF($E891="charcoal",params!$P$13*SUMIFS(nonresidential!$L:$L,nonresidential!$A:$A,$F891,nonresidential!$B:$B,$E891,nonresidential!$C:$C,$D891),SUMIFS(nonresidential!$L:$L,nonresidential!$A:$A,$F891,nonresidential!$B:$B,$E891,nonresidential!$C:$C,$D891))</f>
        <v>0</v>
      </c>
      <c r="I891">
        <f>1</f>
        <v>1</v>
      </c>
    </row>
    <row r="892" spans="1:9">
      <c r="A892" t="s">
        <v>211</v>
      </c>
      <c r="B892" t="s">
        <v>162</v>
      </c>
      <c r="C892" t="s">
        <v>269</v>
      </c>
      <c r="D892" t="s">
        <v>26</v>
      </c>
      <c r="E892" t="s">
        <v>17</v>
      </c>
      <c r="F892">
        <v>2039</v>
      </c>
      <c r="G892" s="55">
        <f>10^6*IF($E892="charcoal",params!$P$13*INDEX(BAU_Fuel_cons!$E$2:$AS$34,MATCH(D892&amp;"_"&amp;E892,BAU_Fuel_cons!$AT$2:$AT$34,0),MATCH(F892,BAU_Fuel_cons!$E$1:$AS$1,0)),INDEX(BAU_Fuel_cons!$E$2:$AS$34,MATCH(D892&amp;"_"&amp;E892,BAU_Fuel_cons!$AT$2:$AT$34,0),MATCH(F892,BAU_Fuel_cons!$E$1:$AS$1,0)))</f>
        <v>0</v>
      </c>
      <c r="H892" s="55">
        <f>G892+10^6*IF($E892="charcoal",params!$P$13*SUMIFS(nonresidential!$L:$L,nonresidential!$A:$A,$F892,nonresidential!$B:$B,$E892,nonresidential!$C:$C,$D892),SUMIFS(nonresidential!$L:$L,nonresidential!$A:$A,$F892,nonresidential!$B:$B,$E892,nonresidential!$C:$C,$D892))</f>
        <v>0</v>
      </c>
      <c r="I892">
        <f>1</f>
        <v>1</v>
      </c>
    </row>
    <row r="893" spans="1:9">
      <c r="A893" t="s">
        <v>211</v>
      </c>
      <c r="B893" t="s">
        <v>162</v>
      </c>
      <c r="C893" t="s">
        <v>269</v>
      </c>
      <c r="D893" t="s">
        <v>26</v>
      </c>
      <c r="E893" t="s">
        <v>17</v>
      </c>
      <c r="F893">
        <v>2040</v>
      </c>
      <c r="G893" s="55">
        <f>10^6*IF($E893="charcoal",params!$P$13*INDEX(BAU_Fuel_cons!$E$2:$AS$34,MATCH(D893&amp;"_"&amp;E893,BAU_Fuel_cons!$AT$2:$AT$34,0),MATCH(F893,BAU_Fuel_cons!$E$1:$AS$1,0)),INDEX(BAU_Fuel_cons!$E$2:$AS$34,MATCH(D893&amp;"_"&amp;E893,BAU_Fuel_cons!$AT$2:$AT$34,0),MATCH(F893,BAU_Fuel_cons!$E$1:$AS$1,0)))</f>
        <v>0</v>
      </c>
      <c r="H893" s="55">
        <f>G893+10^6*IF($E893="charcoal",params!$P$13*SUMIFS(nonresidential!$L:$L,nonresidential!$A:$A,$F893,nonresidential!$B:$B,$E893,nonresidential!$C:$C,$D893),SUMIFS(nonresidential!$L:$L,nonresidential!$A:$A,$F893,nonresidential!$B:$B,$E893,nonresidential!$C:$C,$D893))</f>
        <v>0</v>
      </c>
      <c r="I893">
        <f>1</f>
        <v>1</v>
      </c>
    </row>
    <row r="894" spans="1:9">
      <c r="A894" t="s">
        <v>211</v>
      </c>
      <c r="B894" t="s">
        <v>162</v>
      </c>
      <c r="C894" t="s">
        <v>269</v>
      </c>
      <c r="D894" t="s">
        <v>26</v>
      </c>
      <c r="E894" t="s">
        <v>17</v>
      </c>
      <c r="F894">
        <v>2041</v>
      </c>
      <c r="G894" s="55">
        <f>10^6*IF($E894="charcoal",params!$P$13*INDEX(BAU_Fuel_cons!$E$2:$AS$34,MATCH(D894&amp;"_"&amp;E894,BAU_Fuel_cons!$AT$2:$AT$34,0),MATCH(F894,BAU_Fuel_cons!$E$1:$AS$1,0)),INDEX(BAU_Fuel_cons!$E$2:$AS$34,MATCH(D894&amp;"_"&amp;E894,BAU_Fuel_cons!$AT$2:$AT$34,0),MATCH(F894,BAU_Fuel_cons!$E$1:$AS$1,0)))</f>
        <v>0</v>
      </c>
      <c r="H894" s="55">
        <f>G894+10^6*IF($E894="charcoal",params!$P$13*SUMIFS(nonresidential!$L:$L,nonresidential!$A:$A,$F894,nonresidential!$B:$B,$E894,nonresidential!$C:$C,$D894),SUMIFS(nonresidential!$L:$L,nonresidential!$A:$A,$F894,nonresidential!$B:$B,$E894,nonresidential!$C:$C,$D894))</f>
        <v>0</v>
      </c>
      <c r="I894">
        <f>1</f>
        <v>1</v>
      </c>
    </row>
    <row r="895" spans="1:9">
      <c r="A895" t="s">
        <v>211</v>
      </c>
      <c r="B895" t="s">
        <v>162</v>
      </c>
      <c r="C895" t="s">
        <v>269</v>
      </c>
      <c r="D895" t="s">
        <v>26</v>
      </c>
      <c r="E895" t="s">
        <v>17</v>
      </c>
      <c r="F895">
        <v>2042</v>
      </c>
      <c r="G895" s="55">
        <f>10^6*IF($E895="charcoal",params!$P$13*INDEX(BAU_Fuel_cons!$E$2:$AS$34,MATCH(D895&amp;"_"&amp;E895,BAU_Fuel_cons!$AT$2:$AT$34,0),MATCH(F895,BAU_Fuel_cons!$E$1:$AS$1,0)),INDEX(BAU_Fuel_cons!$E$2:$AS$34,MATCH(D895&amp;"_"&amp;E895,BAU_Fuel_cons!$AT$2:$AT$34,0),MATCH(F895,BAU_Fuel_cons!$E$1:$AS$1,0)))</f>
        <v>0</v>
      </c>
      <c r="H895" s="55">
        <f>G895+10^6*IF($E895="charcoal",params!$P$13*SUMIFS(nonresidential!$L:$L,nonresidential!$A:$A,$F895,nonresidential!$B:$B,$E895,nonresidential!$C:$C,$D895),SUMIFS(nonresidential!$L:$L,nonresidential!$A:$A,$F895,nonresidential!$B:$B,$E895,nonresidential!$C:$C,$D895))</f>
        <v>0</v>
      </c>
      <c r="I895">
        <f>1</f>
        <v>1</v>
      </c>
    </row>
    <row r="896" spans="1:9">
      <c r="A896" t="s">
        <v>211</v>
      </c>
      <c r="B896" t="s">
        <v>162</v>
      </c>
      <c r="C896" t="s">
        <v>269</v>
      </c>
      <c r="D896" t="s">
        <v>26</v>
      </c>
      <c r="E896" t="s">
        <v>17</v>
      </c>
      <c r="F896">
        <v>2043</v>
      </c>
      <c r="G896" s="55">
        <f>10^6*IF($E896="charcoal",params!$P$13*INDEX(BAU_Fuel_cons!$E$2:$AS$34,MATCH(D896&amp;"_"&amp;E896,BAU_Fuel_cons!$AT$2:$AT$34,0),MATCH(F896,BAU_Fuel_cons!$E$1:$AS$1,0)),INDEX(BAU_Fuel_cons!$E$2:$AS$34,MATCH(D896&amp;"_"&amp;E896,BAU_Fuel_cons!$AT$2:$AT$34,0),MATCH(F896,BAU_Fuel_cons!$E$1:$AS$1,0)))</f>
        <v>0</v>
      </c>
      <c r="H896" s="55">
        <f>G896+10^6*IF($E896="charcoal",params!$P$13*SUMIFS(nonresidential!$L:$L,nonresidential!$A:$A,$F896,nonresidential!$B:$B,$E896,nonresidential!$C:$C,$D896),SUMIFS(nonresidential!$L:$L,nonresidential!$A:$A,$F896,nonresidential!$B:$B,$E896,nonresidential!$C:$C,$D896))</f>
        <v>0</v>
      </c>
      <c r="I896">
        <f>1</f>
        <v>1</v>
      </c>
    </row>
    <row r="897" spans="1:9">
      <c r="A897" t="s">
        <v>211</v>
      </c>
      <c r="B897" t="s">
        <v>162</v>
      </c>
      <c r="C897" t="s">
        <v>269</v>
      </c>
      <c r="D897" t="s">
        <v>26</v>
      </c>
      <c r="E897" t="s">
        <v>17</v>
      </c>
      <c r="F897">
        <v>2044</v>
      </c>
      <c r="G897" s="55">
        <f>10^6*IF($E897="charcoal",params!$P$13*INDEX(BAU_Fuel_cons!$E$2:$AS$34,MATCH(D897&amp;"_"&amp;E897,BAU_Fuel_cons!$AT$2:$AT$34,0),MATCH(F897,BAU_Fuel_cons!$E$1:$AS$1,0)),INDEX(BAU_Fuel_cons!$E$2:$AS$34,MATCH(D897&amp;"_"&amp;E897,BAU_Fuel_cons!$AT$2:$AT$34,0),MATCH(F897,BAU_Fuel_cons!$E$1:$AS$1,0)))</f>
        <v>0</v>
      </c>
      <c r="H897" s="55">
        <f>G897+10^6*IF($E897="charcoal",params!$P$13*SUMIFS(nonresidential!$L:$L,nonresidential!$A:$A,$F897,nonresidential!$B:$B,$E897,nonresidential!$C:$C,$D897),SUMIFS(nonresidential!$L:$L,nonresidential!$A:$A,$F897,nonresidential!$B:$B,$E897,nonresidential!$C:$C,$D897))</f>
        <v>0</v>
      </c>
      <c r="I897">
        <f>1</f>
        <v>1</v>
      </c>
    </row>
    <row r="898" spans="1:9">
      <c r="A898" t="s">
        <v>211</v>
      </c>
      <c r="B898" t="s">
        <v>162</v>
      </c>
      <c r="C898" t="s">
        <v>269</v>
      </c>
      <c r="D898" t="s">
        <v>26</v>
      </c>
      <c r="E898" t="s">
        <v>17</v>
      </c>
      <c r="F898">
        <v>2045</v>
      </c>
      <c r="G898" s="55">
        <f>10^6*IF($E898="charcoal",params!$P$13*INDEX(BAU_Fuel_cons!$E$2:$AS$34,MATCH(D898&amp;"_"&amp;E898,BAU_Fuel_cons!$AT$2:$AT$34,0),MATCH(F898,BAU_Fuel_cons!$E$1:$AS$1,0)),INDEX(BAU_Fuel_cons!$E$2:$AS$34,MATCH(D898&amp;"_"&amp;E898,BAU_Fuel_cons!$AT$2:$AT$34,0),MATCH(F898,BAU_Fuel_cons!$E$1:$AS$1,0)))</f>
        <v>0</v>
      </c>
      <c r="H898" s="55">
        <f>G898+10^6*IF($E898="charcoal",params!$P$13*SUMIFS(nonresidential!$L:$L,nonresidential!$A:$A,$F898,nonresidential!$B:$B,$E898,nonresidential!$C:$C,$D898),SUMIFS(nonresidential!$L:$L,nonresidential!$A:$A,$F898,nonresidential!$B:$B,$E898,nonresidential!$C:$C,$D898))</f>
        <v>0</v>
      </c>
      <c r="I898">
        <f>1</f>
        <v>1</v>
      </c>
    </row>
    <row r="899" spans="1:9">
      <c r="A899" t="s">
        <v>211</v>
      </c>
      <c r="B899" t="s">
        <v>162</v>
      </c>
      <c r="C899" t="s">
        <v>269</v>
      </c>
      <c r="D899" t="s">
        <v>26</v>
      </c>
      <c r="E899" t="s">
        <v>17</v>
      </c>
      <c r="F899">
        <v>2046</v>
      </c>
      <c r="G899" s="55">
        <f>10^6*IF($E899="charcoal",params!$P$13*INDEX(BAU_Fuel_cons!$E$2:$AS$34,MATCH(D899&amp;"_"&amp;E899,BAU_Fuel_cons!$AT$2:$AT$34,0),MATCH(F899,BAU_Fuel_cons!$E$1:$AS$1,0)),INDEX(BAU_Fuel_cons!$E$2:$AS$34,MATCH(D899&amp;"_"&amp;E899,BAU_Fuel_cons!$AT$2:$AT$34,0),MATCH(F899,BAU_Fuel_cons!$E$1:$AS$1,0)))</f>
        <v>0</v>
      </c>
      <c r="H899" s="55">
        <f>G899+10^6*IF($E899="charcoal",params!$P$13*SUMIFS(nonresidential!$L:$L,nonresidential!$A:$A,$F899,nonresidential!$B:$B,$E899,nonresidential!$C:$C,$D899),SUMIFS(nonresidential!$L:$L,nonresidential!$A:$A,$F899,nonresidential!$B:$B,$E899,nonresidential!$C:$C,$D899))</f>
        <v>0</v>
      </c>
      <c r="I899">
        <f>1</f>
        <v>1</v>
      </c>
    </row>
    <row r="900" spans="1:9">
      <c r="A900" t="s">
        <v>211</v>
      </c>
      <c r="B900" t="s">
        <v>162</v>
      </c>
      <c r="C900" t="s">
        <v>269</v>
      </c>
      <c r="D900" t="s">
        <v>26</v>
      </c>
      <c r="E900" t="s">
        <v>17</v>
      </c>
      <c r="F900">
        <v>2047</v>
      </c>
      <c r="G900" s="55">
        <f>10^6*IF($E900="charcoal",params!$P$13*INDEX(BAU_Fuel_cons!$E$2:$AS$34,MATCH(D900&amp;"_"&amp;E900,BAU_Fuel_cons!$AT$2:$AT$34,0),MATCH(F900,BAU_Fuel_cons!$E$1:$AS$1,0)),INDEX(BAU_Fuel_cons!$E$2:$AS$34,MATCH(D900&amp;"_"&amp;E900,BAU_Fuel_cons!$AT$2:$AT$34,0),MATCH(F900,BAU_Fuel_cons!$E$1:$AS$1,0)))</f>
        <v>0</v>
      </c>
      <c r="H900" s="55">
        <f>G900+10^6*IF($E900="charcoal",params!$P$13*SUMIFS(nonresidential!$L:$L,nonresidential!$A:$A,$F900,nonresidential!$B:$B,$E900,nonresidential!$C:$C,$D900),SUMIFS(nonresidential!$L:$L,nonresidential!$A:$A,$F900,nonresidential!$B:$B,$E900,nonresidential!$C:$C,$D900))</f>
        <v>0</v>
      </c>
      <c r="I900">
        <f>1</f>
        <v>1</v>
      </c>
    </row>
    <row r="901" spans="1:9">
      <c r="A901" t="s">
        <v>211</v>
      </c>
      <c r="B901" t="s">
        <v>162</v>
      </c>
      <c r="C901" t="s">
        <v>269</v>
      </c>
      <c r="D901" t="s">
        <v>26</v>
      </c>
      <c r="E901" t="s">
        <v>17</v>
      </c>
      <c r="F901">
        <v>2048</v>
      </c>
      <c r="G901" s="55">
        <f>10^6*IF($E901="charcoal",params!$P$13*INDEX(BAU_Fuel_cons!$E$2:$AS$34,MATCH(D901&amp;"_"&amp;E901,BAU_Fuel_cons!$AT$2:$AT$34,0),MATCH(F901,BAU_Fuel_cons!$E$1:$AS$1,0)),INDEX(BAU_Fuel_cons!$E$2:$AS$34,MATCH(D901&amp;"_"&amp;E901,BAU_Fuel_cons!$AT$2:$AT$34,0),MATCH(F901,BAU_Fuel_cons!$E$1:$AS$1,0)))</f>
        <v>0</v>
      </c>
      <c r="H901" s="55">
        <f>G901+10^6*IF($E901="charcoal",params!$P$13*SUMIFS(nonresidential!$L:$L,nonresidential!$A:$A,$F901,nonresidential!$B:$B,$E901,nonresidential!$C:$C,$D901),SUMIFS(nonresidential!$L:$L,nonresidential!$A:$A,$F901,nonresidential!$B:$B,$E901,nonresidential!$C:$C,$D901))</f>
        <v>0</v>
      </c>
      <c r="I901">
        <f>1</f>
        <v>1</v>
      </c>
    </row>
    <row r="902" spans="1:9">
      <c r="A902" t="s">
        <v>211</v>
      </c>
      <c r="B902" t="s">
        <v>162</v>
      </c>
      <c r="C902" t="s">
        <v>269</v>
      </c>
      <c r="D902" t="s">
        <v>26</v>
      </c>
      <c r="E902" t="s">
        <v>17</v>
      </c>
      <c r="F902">
        <v>2049</v>
      </c>
      <c r="G902" s="55">
        <f>10^6*IF($E902="charcoal",params!$P$13*INDEX(BAU_Fuel_cons!$E$2:$AS$34,MATCH(D902&amp;"_"&amp;E902,BAU_Fuel_cons!$AT$2:$AT$34,0),MATCH(F902,BAU_Fuel_cons!$E$1:$AS$1,0)),INDEX(BAU_Fuel_cons!$E$2:$AS$34,MATCH(D902&amp;"_"&amp;E902,BAU_Fuel_cons!$AT$2:$AT$34,0),MATCH(F902,BAU_Fuel_cons!$E$1:$AS$1,0)))</f>
        <v>0</v>
      </c>
      <c r="H902" s="55">
        <f>G902+10^6*IF($E902="charcoal",params!$P$13*SUMIFS(nonresidential!$L:$L,nonresidential!$A:$A,$F902,nonresidential!$B:$B,$E902,nonresidential!$C:$C,$D902),SUMIFS(nonresidential!$L:$L,nonresidential!$A:$A,$F902,nonresidential!$B:$B,$E902,nonresidential!$C:$C,$D902))</f>
        <v>0</v>
      </c>
      <c r="I902">
        <f>1</f>
        <v>1</v>
      </c>
    </row>
    <row r="903" spans="1:9">
      <c r="A903" t="s">
        <v>211</v>
      </c>
      <c r="B903" t="s">
        <v>162</v>
      </c>
      <c r="C903" t="s">
        <v>269</v>
      </c>
      <c r="D903" t="s">
        <v>26</v>
      </c>
      <c r="E903" t="s">
        <v>17</v>
      </c>
      <c r="F903">
        <v>2050</v>
      </c>
      <c r="G903" s="55">
        <f>10^6*IF($E903="charcoal",params!$P$13*INDEX(BAU_Fuel_cons!$E$2:$AS$34,MATCH(D903&amp;"_"&amp;E903,BAU_Fuel_cons!$AT$2:$AT$34,0),MATCH(F903,BAU_Fuel_cons!$E$1:$AS$1,0)),INDEX(BAU_Fuel_cons!$E$2:$AS$34,MATCH(D903&amp;"_"&amp;E903,BAU_Fuel_cons!$AT$2:$AT$34,0),MATCH(F903,BAU_Fuel_cons!$E$1:$AS$1,0)))</f>
        <v>0</v>
      </c>
      <c r="H903" s="55">
        <f>G903+10^6*IF($E903="charcoal",params!$P$13*SUMIFS(nonresidential!$L:$L,nonresidential!$A:$A,$F903,nonresidential!$B:$B,$E903,nonresidential!$C:$C,$D903),SUMIFS(nonresidential!$L:$L,nonresidential!$A:$A,$F903,nonresidential!$B:$B,$E903,nonresidential!$C:$C,$D903))</f>
        <v>0</v>
      </c>
      <c r="I903">
        <f>1</f>
        <v>1</v>
      </c>
    </row>
    <row r="904" spans="1:9">
      <c r="A904" t="s">
        <v>305</v>
      </c>
      <c r="B904" t="s">
        <v>306</v>
      </c>
      <c r="C904" t="s">
        <v>269</v>
      </c>
      <c r="D904" t="s">
        <v>25</v>
      </c>
      <c r="E904" t="s">
        <v>40</v>
      </c>
      <c r="F904">
        <v>2010</v>
      </c>
      <c r="G904">
        <v>0</v>
      </c>
      <c r="H904">
        <v>0</v>
      </c>
      <c r="I904">
        <v>1</v>
      </c>
    </row>
    <row r="905" spans="1:9">
      <c r="A905" t="s">
        <v>305</v>
      </c>
      <c r="B905" t="s">
        <v>306</v>
      </c>
      <c r="C905" t="s">
        <v>269</v>
      </c>
      <c r="D905" t="s">
        <v>25</v>
      </c>
      <c r="E905" t="s">
        <v>40</v>
      </c>
      <c r="F905">
        <v>2011</v>
      </c>
      <c r="G905">
        <v>0</v>
      </c>
      <c r="H905">
        <v>0</v>
      </c>
      <c r="I905">
        <v>1</v>
      </c>
    </row>
    <row r="906" spans="1:9">
      <c r="A906" t="s">
        <v>305</v>
      </c>
      <c r="B906" t="s">
        <v>306</v>
      </c>
      <c r="C906" t="s">
        <v>269</v>
      </c>
      <c r="D906" t="s">
        <v>25</v>
      </c>
      <c r="E906" t="s">
        <v>40</v>
      </c>
      <c r="F906">
        <v>2012</v>
      </c>
      <c r="G906">
        <v>0</v>
      </c>
      <c r="H906">
        <v>0</v>
      </c>
      <c r="I906">
        <v>1</v>
      </c>
    </row>
    <row r="907" spans="1:9">
      <c r="A907" t="s">
        <v>305</v>
      </c>
      <c r="B907" t="s">
        <v>306</v>
      </c>
      <c r="C907" t="s">
        <v>269</v>
      </c>
      <c r="D907" t="s">
        <v>25</v>
      </c>
      <c r="E907" t="s">
        <v>40</v>
      </c>
      <c r="F907">
        <v>2013</v>
      </c>
      <c r="G907">
        <v>0</v>
      </c>
      <c r="H907">
        <v>0</v>
      </c>
      <c r="I907">
        <v>1</v>
      </c>
    </row>
    <row r="908" spans="1:9">
      <c r="A908" t="s">
        <v>305</v>
      </c>
      <c r="B908" t="s">
        <v>306</v>
      </c>
      <c r="C908" t="s">
        <v>269</v>
      </c>
      <c r="D908" t="s">
        <v>25</v>
      </c>
      <c r="E908" t="s">
        <v>40</v>
      </c>
      <c r="F908">
        <v>2014</v>
      </c>
      <c r="G908">
        <v>0</v>
      </c>
      <c r="H908">
        <v>0</v>
      </c>
      <c r="I908">
        <v>1</v>
      </c>
    </row>
    <row r="909" spans="1:9">
      <c r="A909" t="s">
        <v>305</v>
      </c>
      <c r="B909" t="s">
        <v>306</v>
      </c>
      <c r="C909" t="s">
        <v>269</v>
      </c>
      <c r="D909" t="s">
        <v>25</v>
      </c>
      <c r="E909" t="s">
        <v>40</v>
      </c>
      <c r="F909">
        <v>2015</v>
      </c>
      <c r="G909">
        <v>0</v>
      </c>
      <c r="H909">
        <v>0</v>
      </c>
      <c r="I909">
        <v>1</v>
      </c>
    </row>
    <row r="910" spans="1:9">
      <c r="A910" t="s">
        <v>305</v>
      </c>
      <c r="B910" t="s">
        <v>306</v>
      </c>
      <c r="C910" t="s">
        <v>269</v>
      </c>
      <c r="D910" t="s">
        <v>25</v>
      </c>
      <c r="E910" t="s">
        <v>40</v>
      </c>
      <c r="F910">
        <v>2016</v>
      </c>
      <c r="G910">
        <v>0</v>
      </c>
      <c r="H910">
        <v>0</v>
      </c>
      <c r="I910">
        <v>1</v>
      </c>
    </row>
    <row r="911" spans="1:9">
      <c r="A911" t="s">
        <v>305</v>
      </c>
      <c r="B911" t="s">
        <v>306</v>
      </c>
      <c r="C911" t="s">
        <v>269</v>
      </c>
      <c r="D911" t="s">
        <v>25</v>
      </c>
      <c r="E911" t="s">
        <v>40</v>
      </c>
      <c r="F911">
        <v>2017</v>
      </c>
      <c r="G911">
        <v>0</v>
      </c>
      <c r="H911">
        <v>0</v>
      </c>
      <c r="I911">
        <v>1</v>
      </c>
    </row>
    <row r="912" spans="1:9">
      <c r="A912" t="s">
        <v>305</v>
      </c>
      <c r="B912" t="s">
        <v>306</v>
      </c>
      <c r="C912" t="s">
        <v>269</v>
      </c>
      <c r="D912" t="s">
        <v>25</v>
      </c>
      <c r="E912" t="s">
        <v>40</v>
      </c>
      <c r="F912">
        <v>2018</v>
      </c>
      <c r="G912">
        <v>0</v>
      </c>
      <c r="H912">
        <v>0</v>
      </c>
      <c r="I912">
        <v>1</v>
      </c>
    </row>
    <row r="913" spans="1:9">
      <c r="A913" t="s">
        <v>305</v>
      </c>
      <c r="B913" t="s">
        <v>306</v>
      </c>
      <c r="C913" t="s">
        <v>269</v>
      </c>
      <c r="D913" t="s">
        <v>25</v>
      </c>
      <c r="E913" t="s">
        <v>40</v>
      </c>
      <c r="F913">
        <v>2019</v>
      </c>
      <c r="G913">
        <v>0</v>
      </c>
      <c r="H913">
        <v>0</v>
      </c>
      <c r="I913">
        <v>1</v>
      </c>
    </row>
    <row r="914" spans="1:9">
      <c r="A914" t="s">
        <v>305</v>
      </c>
      <c r="B914" t="s">
        <v>306</v>
      </c>
      <c r="C914" t="s">
        <v>269</v>
      </c>
      <c r="D914" t="s">
        <v>25</v>
      </c>
      <c r="E914" t="s">
        <v>40</v>
      </c>
      <c r="F914">
        <v>2020</v>
      </c>
      <c r="G914">
        <v>0</v>
      </c>
      <c r="H914">
        <v>0</v>
      </c>
      <c r="I914">
        <v>1</v>
      </c>
    </row>
    <row r="915" spans="1:9">
      <c r="A915" t="s">
        <v>305</v>
      </c>
      <c r="B915" t="s">
        <v>306</v>
      </c>
      <c r="C915" t="s">
        <v>269</v>
      </c>
      <c r="D915" t="s">
        <v>25</v>
      </c>
      <c r="E915" t="s">
        <v>40</v>
      </c>
      <c r="F915">
        <v>2021</v>
      </c>
      <c r="G915">
        <v>0</v>
      </c>
      <c r="H915">
        <v>0</v>
      </c>
      <c r="I915">
        <v>1</v>
      </c>
    </row>
    <row r="916" spans="1:9">
      <c r="A916" t="s">
        <v>305</v>
      </c>
      <c r="B916" t="s">
        <v>306</v>
      </c>
      <c r="C916" t="s">
        <v>269</v>
      </c>
      <c r="D916" t="s">
        <v>25</v>
      </c>
      <c r="E916" t="s">
        <v>40</v>
      </c>
      <c r="F916">
        <v>2022</v>
      </c>
      <c r="G916">
        <v>0</v>
      </c>
      <c r="H916">
        <v>0</v>
      </c>
      <c r="I916">
        <v>1</v>
      </c>
    </row>
    <row r="917" spans="1:9">
      <c r="A917" t="s">
        <v>305</v>
      </c>
      <c r="B917" t="s">
        <v>306</v>
      </c>
      <c r="C917" t="s">
        <v>269</v>
      </c>
      <c r="D917" t="s">
        <v>25</v>
      </c>
      <c r="E917" t="s">
        <v>40</v>
      </c>
      <c r="F917">
        <v>2023</v>
      </c>
      <c r="G917">
        <v>0</v>
      </c>
      <c r="H917">
        <v>0</v>
      </c>
      <c r="I917">
        <v>1</v>
      </c>
    </row>
    <row r="918" spans="1:9">
      <c r="A918" t="s">
        <v>305</v>
      </c>
      <c r="B918" t="s">
        <v>306</v>
      </c>
      <c r="C918" t="s">
        <v>269</v>
      </c>
      <c r="D918" t="s">
        <v>25</v>
      </c>
      <c r="E918" t="s">
        <v>40</v>
      </c>
      <c r="F918">
        <v>2024</v>
      </c>
      <c r="G918">
        <v>0</v>
      </c>
      <c r="H918">
        <v>0</v>
      </c>
      <c r="I918">
        <v>1</v>
      </c>
    </row>
    <row r="919" spans="1:9">
      <c r="A919" t="s">
        <v>305</v>
      </c>
      <c r="B919" t="s">
        <v>306</v>
      </c>
      <c r="C919" t="s">
        <v>269</v>
      </c>
      <c r="D919" t="s">
        <v>25</v>
      </c>
      <c r="E919" t="s">
        <v>40</v>
      </c>
      <c r="F919">
        <v>2025</v>
      </c>
      <c r="G919">
        <v>0</v>
      </c>
      <c r="H919">
        <v>0</v>
      </c>
      <c r="I919">
        <v>1</v>
      </c>
    </row>
    <row r="920" spans="1:9">
      <c r="A920" t="s">
        <v>305</v>
      </c>
      <c r="B920" t="s">
        <v>306</v>
      </c>
      <c r="C920" t="s">
        <v>269</v>
      </c>
      <c r="D920" t="s">
        <v>25</v>
      </c>
      <c r="E920" t="s">
        <v>40</v>
      </c>
      <c r="F920">
        <v>2026</v>
      </c>
      <c r="G920">
        <v>0</v>
      </c>
      <c r="H920">
        <v>0</v>
      </c>
      <c r="I920">
        <v>1</v>
      </c>
    </row>
    <row r="921" spans="1:9">
      <c r="A921" t="s">
        <v>305</v>
      </c>
      <c r="B921" t="s">
        <v>306</v>
      </c>
      <c r="C921" t="s">
        <v>269</v>
      </c>
      <c r="D921" t="s">
        <v>25</v>
      </c>
      <c r="E921" t="s">
        <v>40</v>
      </c>
      <c r="F921">
        <v>2027</v>
      </c>
      <c r="G921">
        <v>0</v>
      </c>
      <c r="H921">
        <v>0</v>
      </c>
      <c r="I921">
        <v>1</v>
      </c>
    </row>
    <row r="922" spans="1:9">
      <c r="A922" t="s">
        <v>305</v>
      </c>
      <c r="B922" t="s">
        <v>306</v>
      </c>
      <c r="C922" t="s">
        <v>269</v>
      </c>
      <c r="D922" t="s">
        <v>25</v>
      </c>
      <c r="E922" t="s">
        <v>40</v>
      </c>
      <c r="F922">
        <v>2028</v>
      </c>
      <c r="G922">
        <v>0</v>
      </c>
      <c r="H922">
        <v>0</v>
      </c>
      <c r="I922">
        <v>1</v>
      </c>
    </row>
    <row r="923" spans="1:9">
      <c r="A923" t="s">
        <v>305</v>
      </c>
      <c r="B923" t="s">
        <v>306</v>
      </c>
      <c r="C923" t="s">
        <v>269</v>
      </c>
      <c r="D923" t="s">
        <v>25</v>
      </c>
      <c r="E923" t="s">
        <v>40</v>
      </c>
      <c r="F923">
        <v>2029</v>
      </c>
      <c r="G923">
        <v>0</v>
      </c>
      <c r="H923">
        <v>0</v>
      </c>
      <c r="I923">
        <v>1</v>
      </c>
    </row>
    <row r="924" spans="1:9">
      <c r="A924" t="s">
        <v>305</v>
      </c>
      <c r="B924" t="s">
        <v>306</v>
      </c>
      <c r="C924" t="s">
        <v>269</v>
      </c>
      <c r="D924" t="s">
        <v>25</v>
      </c>
      <c r="E924" t="s">
        <v>40</v>
      </c>
      <c r="F924">
        <v>2030</v>
      </c>
      <c r="G924">
        <v>0</v>
      </c>
      <c r="H924">
        <v>0</v>
      </c>
      <c r="I924">
        <v>1</v>
      </c>
    </row>
    <row r="925" spans="1:9">
      <c r="A925" t="s">
        <v>305</v>
      </c>
      <c r="B925" t="s">
        <v>306</v>
      </c>
      <c r="C925" t="s">
        <v>269</v>
      </c>
      <c r="D925" t="s">
        <v>25</v>
      </c>
      <c r="E925" t="s">
        <v>40</v>
      </c>
      <c r="F925">
        <v>2031</v>
      </c>
      <c r="G925">
        <v>0</v>
      </c>
      <c r="H925">
        <v>0</v>
      </c>
      <c r="I925">
        <v>1</v>
      </c>
    </row>
    <row r="926" spans="1:9">
      <c r="A926" t="s">
        <v>305</v>
      </c>
      <c r="B926" t="s">
        <v>306</v>
      </c>
      <c r="C926" t="s">
        <v>269</v>
      </c>
      <c r="D926" t="s">
        <v>25</v>
      </c>
      <c r="E926" t="s">
        <v>40</v>
      </c>
      <c r="F926">
        <v>2032</v>
      </c>
      <c r="G926">
        <v>0</v>
      </c>
      <c r="H926">
        <v>0</v>
      </c>
      <c r="I926">
        <v>1</v>
      </c>
    </row>
    <row r="927" spans="1:9">
      <c r="A927" t="s">
        <v>305</v>
      </c>
      <c r="B927" t="s">
        <v>306</v>
      </c>
      <c r="C927" t="s">
        <v>269</v>
      </c>
      <c r="D927" t="s">
        <v>25</v>
      </c>
      <c r="E927" t="s">
        <v>40</v>
      </c>
      <c r="F927">
        <v>2033</v>
      </c>
      <c r="G927">
        <v>0</v>
      </c>
      <c r="H927">
        <v>0</v>
      </c>
      <c r="I927">
        <v>1</v>
      </c>
    </row>
    <row r="928" spans="1:9">
      <c r="A928" t="s">
        <v>305</v>
      </c>
      <c r="B928" t="s">
        <v>306</v>
      </c>
      <c r="C928" t="s">
        <v>269</v>
      </c>
      <c r="D928" t="s">
        <v>25</v>
      </c>
      <c r="E928" t="s">
        <v>40</v>
      </c>
      <c r="F928">
        <v>2034</v>
      </c>
      <c r="G928">
        <v>0</v>
      </c>
      <c r="H928">
        <v>0</v>
      </c>
      <c r="I928">
        <v>1</v>
      </c>
    </row>
    <row r="929" spans="1:9">
      <c r="A929" t="s">
        <v>305</v>
      </c>
      <c r="B929" t="s">
        <v>306</v>
      </c>
      <c r="C929" t="s">
        <v>269</v>
      </c>
      <c r="D929" t="s">
        <v>25</v>
      </c>
      <c r="E929" t="s">
        <v>40</v>
      </c>
      <c r="F929">
        <v>2035</v>
      </c>
      <c r="G929">
        <v>0</v>
      </c>
      <c r="H929">
        <v>0</v>
      </c>
      <c r="I929">
        <v>1</v>
      </c>
    </row>
    <row r="930" spans="1:9">
      <c r="A930" t="s">
        <v>305</v>
      </c>
      <c r="B930" t="s">
        <v>306</v>
      </c>
      <c r="C930" t="s">
        <v>269</v>
      </c>
      <c r="D930" t="s">
        <v>25</v>
      </c>
      <c r="E930" t="s">
        <v>40</v>
      </c>
      <c r="F930">
        <v>2036</v>
      </c>
      <c r="G930">
        <v>0</v>
      </c>
      <c r="H930">
        <v>0</v>
      </c>
      <c r="I930">
        <v>1</v>
      </c>
    </row>
    <row r="931" spans="1:9">
      <c r="A931" t="s">
        <v>305</v>
      </c>
      <c r="B931" t="s">
        <v>306</v>
      </c>
      <c r="C931" t="s">
        <v>269</v>
      </c>
      <c r="D931" t="s">
        <v>25</v>
      </c>
      <c r="E931" t="s">
        <v>40</v>
      </c>
      <c r="F931">
        <v>2037</v>
      </c>
      <c r="G931">
        <v>0</v>
      </c>
      <c r="H931">
        <v>0</v>
      </c>
      <c r="I931">
        <v>1</v>
      </c>
    </row>
    <row r="932" spans="1:9">
      <c r="A932" t="s">
        <v>305</v>
      </c>
      <c r="B932" t="s">
        <v>306</v>
      </c>
      <c r="C932" t="s">
        <v>269</v>
      </c>
      <c r="D932" t="s">
        <v>25</v>
      </c>
      <c r="E932" t="s">
        <v>40</v>
      </c>
      <c r="F932">
        <v>2038</v>
      </c>
      <c r="G932">
        <v>0</v>
      </c>
      <c r="H932">
        <v>0</v>
      </c>
      <c r="I932">
        <v>1</v>
      </c>
    </row>
    <row r="933" spans="1:9">
      <c r="A933" t="s">
        <v>305</v>
      </c>
      <c r="B933" t="s">
        <v>306</v>
      </c>
      <c r="C933" t="s">
        <v>269</v>
      </c>
      <c r="D933" t="s">
        <v>25</v>
      </c>
      <c r="E933" t="s">
        <v>40</v>
      </c>
      <c r="F933">
        <v>2039</v>
      </c>
      <c r="G933">
        <v>0</v>
      </c>
      <c r="H933">
        <v>0</v>
      </c>
      <c r="I933">
        <v>1</v>
      </c>
    </row>
    <row r="934" spans="1:9">
      <c r="A934" t="s">
        <v>305</v>
      </c>
      <c r="B934" t="s">
        <v>306</v>
      </c>
      <c r="C934" t="s">
        <v>269</v>
      </c>
      <c r="D934" t="s">
        <v>25</v>
      </c>
      <c r="E934" t="s">
        <v>40</v>
      </c>
      <c r="F934">
        <v>2040</v>
      </c>
      <c r="G934">
        <v>0</v>
      </c>
      <c r="H934">
        <v>0</v>
      </c>
      <c r="I934">
        <v>1</v>
      </c>
    </row>
    <row r="935" spans="1:9">
      <c r="A935" t="s">
        <v>305</v>
      </c>
      <c r="B935" t="s">
        <v>306</v>
      </c>
      <c r="C935" t="s">
        <v>269</v>
      </c>
      <c r="D935" t="s">
        <v>25</v>
      </c>
      <c r="E935" t="s">
        <v>40</v>
      </c>
      <c r="F935">
        <v>2041</v>
      </c>
      <c r="G935">
        <v>0</v>
      </c>
      <c r="H935">
        <v>0</v>
      </c>
      <c r="I935">
        <v>1</v>
      </c>
    </row>
    <row r="936" spans="1:9">
      <c r="A936" t="s">
        <v>305</v>
      </c>
      <c r="B936" t="s">
        <v>306</v>
      </c>
      <c r="C936" t="s">
        <v>269</v>
      </c>
      <c r="D936" t="s">
        <v>25</v>
      </c>
      <c r="E936" t="s">
        <v>40</v>
      </c>
      <c r="F936">
        <v>2042</v>
      </c>
      <c r="G936">
        <v>0</v>
      </c>
      <c r="H936">
        <v>0</v>
      </c>
      <c r="I936">
        <v>1</v>
      </c>
    </row>
    <row r="937" spans="1:9">
      <c r="A937" t="s">
        <v>305</v>
      </c>
      <c r="B937" t="s">
        <v>306</v>
      </c>
      <c r="C937" t="s">
        <v>269</v>
      </c>
      <c r="D937" t="s">
        <v>25</v>
      </c>
      <c r="E937" t="s">
        <v>40</v>
      </c>
      <c r="F937">
        <v>2043</v>
      </c>
      <c r="G937">
        <v>0</v>
      </c>
      <c r="H937">
        <v>0</v>
      </c>
      <c r="I937">
        <v>1</v>
      </c>
    </row>
    <row r="938" spans="1:9">
      <c r="A938" t="s">
        <v>305</v>
      </c>
      <c r="B938" t="s">
        <v>306</v>
      </c>
      <c r="C938" t="s">
        <v>269</v>
      </c>
      <c r="D938" t="s">
        <v>25</v>
      </c>
      <c r="E938" t="s">
        <v>40</v>
      </c>
      <c r="F938">
        <v>2044</v>
      </c>
      <c r="G938">
        <v>0</v>
      </c>
      <c r="H938">
        <v>0</v>
      </c>
      <c r="I938">
        <v>1</v>
      </c>
    </row>
    <row r="939" spans="1:9">
      <c r="A939" t="s">
        <v>305</v>
      </c>
      <c r="B939" t="s">
        <v>306</v>
      </c>
      <c r="C939" t="s">
        <v>269</v>
      </c>
      <c r="D939" t="s">
        <v>25</v>
      </c>
      <c r="E939" t="s">
        <v>40</v>
      </c>
      <c r="F939">
        <v>2045</v>
      </c>
      <c r="G939">
        <v>0</v>
      </c>
      <c r="H939">
        <v>0</v>
      </c>
      <c r="I939">
        <v>1</v>
      </c>
    </row>
    <row r="940" spans="1:9">
      <c r="A940" t="s">
        <v>305</v>
      </c>
      <c r="B940" t="s">
        <v>306</v>
      </c>
      <c r="C940" t="s">
        <v>269</v>
      </c>
      <c r="D940" t="s">
        <v>25</v>
      </c>
      <c r="E940" t="s">
        <v>40</v>
      </c>
      <c r="F940">
        <v>2046</v>
      </c>
      <c r="G940">
        <v>0</v>
      </c>
      <c r="H940">
        <v>0</v>
      </c>
      <c r="I940">
        <v>1</v>
      </c>
    </row>
    <row r="941" spans="1:9">
      <c r="A941" t="s">
        <v>305</v>
      </c>
      <c r="B941" t="s">
        <v>306</v>
      </c>
      <c r="C941" t="s">
        <v>269</v>
      </c>
      <c r="D941" t="s">
        <v>25</v>
      </c>
      <c r="E941" t="s">
        <v>40</v>
      </c>
      <c r="F941">
        <v>2047</v>
      </c>
      <c r="G941">
        <v>0</v>
      </c>
      <c r="H941">
        <v>0</v>
      </c>
      <c r="I941">
        <v>1</v>
      </c>
    </row>
    <row r="942" spans="1:9">
      <c r="A942" t="s">
        <v>305</v>
      </c>
      <c r="B942" t="s">
        <v>306</v>
      </c>
      <c r="C942" t="s">
        <v>269</v>
      </c>
      <c r="D942" t="s">
        <v>25</v>
      </c>
      <c r="E942" t="s">
        <v>40</v>
      </c>
      <c r="F942">
        <v>2048</v>
      </c>
      <c r="G942">
        <v>0</v>
      </c>
      <c r="H942">
        <v>0</v>
      </c>
      <c r="I942">
        <v>1</v>
      </c>
    </row>
    <row r="943" spans="1:9">
      <c r="A943" t="s">
        <v>305</v>
      </c>
      <c r="B943" t="s">
        <v>306</v>
      </c>
      <c r="C943" t="s">
        <v>269</v>
      </c>
      <c r="D943" t="s">
        <v>25</v>
      </c>
      <c r="E943" t="s">
        <v>40</v>
      </c>
      <c r="F943">
        <v>2049</v>
      </c>
      <c r="G943">
        <v>0</v>
      </c>
      <c r="H943">
        <v>0</v>
      </c>
      <c r="I943">
        <v>1</v>
      </c>
    </row>
    <row r="944" spans="1:9">
      <c r="A944" t="s">
        <v>305</v>
      </c>
      <c r="B944" t="s">
        <v>306</v>
      </c>
      <c r="C944" t="s">
        <v>269</v>
      </c>
      <c r="D944" t="s">
        <v>25</v>
      </c>
      <c r="E944" t="s">
        <v>40</v>
      </c>
      <c r="F944">
        <v>2050</v>
      </c>
      <c r="G944">
        <v>0</v>
      </c>
      <c r="H944">
        <v>0</v>
      </c>
      <c r="I944">
        <v>1</v>
      </c>
    </row>
    <row r="945" spans="1:9">
      <c r="A945" t="s">
        <v>305</v>
      </c>
      <c r="B945" t="s">
        <v>306</v>
      </c>
      <c r="C945" t="s">
        <v>269</v>
      </c>
      <c r="D945" t="s">
        <v>26</v>
      </c>
      <c r="E945" t="s">
        <v>40</v>
      </c>
      <c r="F945">
        <v>2010</v>
      </c>
      <c r="G945">
        <v>0</v>
      </c>
      <c r="H945">
        <v>0</v>
      </c>
      <c r="I945">
        <v>1</v>
      </c>
    </row>
    <row r="946" spans="1:9">
      <c r="A946" t="s">
        <v>305</v>
      </c>
      <c r="B946" t="s">
        <v>306</v>
      </c>
      <c r="C946" t="s">
        <v>269</v>
      </c>
      <c r="D946" t="s">
        <v>26</v>
      </c>
      <c r="E946" t="s">
        <v>40</v>
      </c>
      <c r="F946">
        <v>2011</v>
      </c>
      <c r="G946">
        <v>0</v>
      </c>
      <c r="H946">
        <v>0</v>
      </c>
      <c r="I946">
        <v>1</v>
      </c>
    </row>
    <row r="947" spans="1:9">
      <c r="A947" t="s">
        <v>305</v>
      </c>
      <c r="B947" t="s">
        <v>306</v>
      </c>
      <c r="C947" t="s">
        <v>269</v>
      </c>
      <c r="D947" t="s">
        <v>26</v>
      </c>
      <c r="E947" t="s">
        <v>40</v>
      </c>
      <c r="F947">
        <v>2012</v>
      </c>
      <c r="G947">
        <v>0</v>
      </c>
      <c r="H947">
        <v>0</v>
      </c>
      <c r="I947">
        <v>1</v>
      </c>
    </row>
    <row r="948" spans="1:9">
      <c r="A948" t="s">
        <v>305</v>
      </c>
      <c r="B948" t="s">
        <v>306</v>
      </c>
      <c r="C948" t="s">
        <v>269</v>
      </c>
      <c r="D948" t="s">
        <v>26</v>
      </c>
      <c r="E948" t="s">
        <v>40</v>
      </c>
      <c r="F948">
        <v>2013</v>
      </c>
      <c r="G948">
        <v>0</v>
      </c>
      <c r="H948">
        <v>0</v>
      </c>
      <c r="I948">
        <v>1</v>
      </c>
    </row>
    <row r="949" spans="1:9">
      <c r="A949" t="s">
        <v>305</v>
      </c>
      <c r="B949" t="s">
        <v>306</v>
      </c>
      <c r="C949" t="s">
        <v>269</v>
      </c>
      <c r="D949" t="s">
        <v>26</v>
      </c>
      <c r="E949" t="s">
        <v>40</v>
      </c>
      <c r="F949">
        <v>2014</v>
      </c>
      <c r="G949">
        <v>0</v>
      </c>
      <c r="H949">
        <v>0</v>
      </c>
      <c r="I949">
        <v>1</v>
      </c>
    </row>
    <row r="950" spans="1:9">
      <c r="A950" t="s">
        <v>305</v>
      </c>
      <c r="B950" t="s">
        <v>306</v>
      </c>
      <c r="C950" t="s">
        <v>269</v>
      </c>
      <c r="D950" t="s">
        <v>26</v>
      </c>
      <c r="E950" t="s">
        <v>40</v>
      </c>
      <c r="F950">
        <v>2015</v>
      </c>
      <c r="G950">
        <v>0</v>
      </c>
      <c r="H950">
        <v>0</v>
      </c>
      <c r="I950">
        <v>1</v>
      </c>
    </row>
    <row r="951" spans="1:9">
      <c r="A951" t="s">
        <v>305</v>
      </c>
      <c r="B951" t="s">
        <v>306</v>
      </c>
      <c r="C951" t="s">
        <v>269</v>
      </c>
      <c r="D951" t="s">
        <v>26</v>
      </c>
      <c r="E951" t="s">
        <v>40</v>
      </c>
      <c r="F951">
        <v>2016</v>
      </c>
      <c r="G951">
        <v>0</v>
      </c>
      <c r="H951">
        <v>0</v>
      </c>
      <c r="I951">
        <v>1</v>
      </c>
    </row>
    <row r="952" spans="1:9">
      <c r="A952" t="s">
        <v>305</v>
      </c>
      <c r="B952" t="s">
        <v>306</v>
      </c>
      <c r="C952" t="s">
        <v>269</v>
      </c>
      <c r="D952" t="s">
        <v>26</v>
      </c>
      <c r="E952" t="s">
        <v>40</v>
      </c>
      <c r="F952">
        <v>2017</v>
      </c>
      <c r="G952">
        <v>0</v>
      </c>
      <c r="H952">
        <v>0</v>
      </c>
      <c r="I952">
        <v>1</v>
      </c>
    </row>
    <row r="953" spans="1:9">
      <c r="A953" t="s">
        <v>305</v>
      </c>
      <c r="B953" t="s">
        <v>306</v>
      </c>
      <c r="C953" t="s">
        <v>269</v>
      </c>
      <c r="D953" t="s">
        <v>26</v>
      </c>
      <c r="E953" t="s">
        <v>40</v>
      </c>
      <c r="F953">
        <v>2018</v>
      </c>
      <c r="G953">
        <v>0</v>
      </c>
      <c r="H953">
        <v>0</v>
      </c>
      <c r="I953">
        <v>1</v>
      </c>
    </row>
    <row r="954" spans="1:9">
      <c r="A954" t="s">
        <v>305</v>
      </c>
      <c r="B954" t="s">
        <v>306</v>
      </c>
      <c r="C954" t="s">
        <v>269</v>
      </c>
      <c r="D954" t="s">
        <v>26</v>
      </c>
      <c r="E954" t="s">
        <v>40</v>
      </c>
      <c r="F954">
        <v>2019</v>
      </c>
      <c r="G954">
        <v>0</v>
      </c>
      <c r="H954">
        <v>0</v>
      </c>
      <c r="I954">
        <v>1</v>
      </c>
    </row>
    <row r="955" spans="1:9">
      <c r="A955" t="s">
        <v>305</v>
      </c>
      <c r="B955" t="s">
        <v>306</v>
      </c>
      <c r="C955" t="s">
        <v>269</v>
      </c>
      <c r="D955" t="s">
        <v>26</v>
      </c>
      <c r="E955" t="s">
        <v>40</v>
      </c>
      <c r="F955">
        <v>2020</v>
      </c>
      <c r="G955">
        <v>0</v>
      </c>
      <c r="H955">
        <v>0</v>
      </c>
      <c r="I955">
        <v>1</v>
      </c>
    </row>
    <row r="956" spans="1:9">
      <c r="A956" t="s">
        <v>305</v>
      </c>
      <c r="B956" t="s">
        <v>306</v>
      </c>
      <c r="C956" t="s">
        <v>269</v>
      </c>
      <c r="D956" t="s">
        <v>26</v>
      </c>
      <c r="E956" t="s">
        <v>40</v>
      </c>
      <c r="F956">
        <v>2021</v>
      </c>
      <c r="G956">
        <v>0</v>
      </c>
      <c r="H956">
        <v>0</v>
      </c>
      <c r="I956">
        <v>1</v>
      </c>
    </row>
    <row r="957" spans="1:9">
      <c r="A957" t="s">
        <v>305</v>
      </c>
      <c r="B957" t="s">
        <v>306</v>
      </c>
      <c r="C957" t="s">
        <v>269</v>
      </c>
      <c r="D957" t="s">
        <v>26</v>
      </c>
      <c r="E957" t="s">
        <v>40</v>
      </c>
      <c r="F957">
        <v>2022</v>
      </c>
      <c r="G957">
        <v>0</v>
      </c>
      <c r="H957">
        <v>0</v>
      </c>
      <c r="I957">
        <v>1</v>
      </c>
    </row>
    <row r="958" spans="1:9">
      <c r="A958" t="s">
        <v>305</v>
      </c>
      <c r="B958" t="s">
        <v>306</v>
      </c>
      <c r="C958" t="s">
        <v>269</v>
      </c>
      <c r="D958" t="s">
        <v>26</v>
      </c>
      <c r="E958" t="s">
        <v>40</v>
      </c>
      <c r="F958">
        <v>2023</v>
      </c>
      <c r="G958">
        <v>0</v>
      </c>
      <c r="H958">
        <v>0</v>
      </c>
      <c r="I958">
        <v>1</v>
      </c>
    </row>
    <row r="959" spans="1:9">
      <c r="A959" t="s">
        <v>305</v>
      </c>
      <c r="B959" t="s">
        <v>306</v>
      </c>
      <c r="C959" t="s">
        <v>269</v>
      </c>
      <c r="D959" t="s">
        <v>26</v>
      </c>
      <c r="E959" t="s">
        <v>40</v>
      </c>
      <c r="F959">
        <v>2024</v>
      </c>
      <c r="G959">
        <v>0</v>
      </c>
      <c r="H959">
        <v>0</v>
      </c>
      <c r="I959">
        <v>1</v>
      </c>
    </row>
    <row r="960" spans="1:9">
      <c r="A960" t="s">
        <v>305</v>
      </c>
      <c r="B960" t="s">
        <v>306</v>
      </c>
      <c r="C960" t="s">
        <v>269</v>
      </c>
      <c r="D960" t="s">
        <v>26</v>
      </c>
      <c r="E960" t="s">
        <v>40</v>
      </c>
      <c r="F960">
        <v>2025</v>
      </c>
      <c r="G960">
        <v>0</v>
      </c>
      <c r="H960">
        <v>0</v>
      </c>
      <c r="I960">
        <v>1</v>
      </c>
    </row>
    <row r="961" spans="1:9">
      <c r="A961" t="s">
        <v>305</v>
      </c>
      <c r="B961" t="s">
        <v>306</v>
      </c>
      <c r="C961" t="s">
        <v>269</v>
      </c>
      <c r="D961" t="s">
        <v>26</v>
      </c>
      <c r="E961" t="s">
        <v>40</v>
      </c>
      <c r="F961">
        <v>2026</v>
      </c>
      <c r="G961">
        <v>0</v>
      </c>
      <c r="H961">
        <v>0</v>
      </c>
      <c r="I961">
        <v>1</v>
      </c>
    </row>
    <row r="962" spans="1:9">
      <c r="A962" t="s">
        <v>305</v>
      </c>
      <c r="B962" t="s">
        <v>306</v>
      </c>
      <c r="C962" t="s">
        <v>269</v>
      </c>
      <c r="D962" t="s">
        <v>26</v>
      </c>
      <c r="E962" t="s">
        <v>40</v>
      </c>
      <c r="F962">
        <v>2027</v>
      </c>
      <c r="G962">
        <v>0</v>
      </c>
      <c r="H962">
        <v>0</v>
      </c>
      <c r="I962">
        <v>1</v>
      </c>
    </row>
    <row r="963" spans="1:9">
      <c r="A963" t="s">
        <v>305</v>
      </c>
      <c r="B963" t="s">
        <v>306</v>
      </c>
      <c r="C963" t="s">
        <v>269</v>
      </c>
      <c r="D963" t="s">
        <v>26</v>
      </c>
      <c r="E963" t="s">
        <v>40</v>
      </c>
      <c r="F963">
        <v>2028</v>
      </c>
      <c r="G963">
        <v>0</v>
      </c>
      <c r="H963">
        <v>0</v>
      </c>
      <c r="I963">
        <v>1</v>
      </c>
    </row>
    <row r="964" spans="1:9">
      <c r="A964" t="s">
        <v>305</v>
      </c>
      <c r="B964" t="s">
        <v>306</v>
      </c>
      <c r="C964" t="s">
        <v>269</v>
      </c>
      <c r="D964" t="s">
        <v>26</v>
      </c>
      <c r="E964" t="s">
        <v>40</v>
      </c>
      <c r="F964">
        <v>2029</v>
      </c>
      <c r="G964">
        <v>0</v>
      </c>
      <c r="H964">
        <v>0</v>
      </c>
      <c r="I964">
        <v>1</v>
      </c>
    </row>
    <row r="965" spans="1:9">
      <c r="A965" t="s">
        <v>305</v>
      </c>
      <c r="B965" t="s">
        <v>306</v>
      </c>
      <c r="C965" t="s">
        <v>269</v>
      </c>
      <c r="D965" t="s">
        <v>26</v>
      </c>
      <c r="E965" t="s">
        <v>40</v>
      </c>
      <c r="F965">
        <v>2030</v>
      </c>
      <c r="G965">
        <v>0</v>
      </c>
      <c r="H965">
        <v>0</v>
      </c>
      <c r="I965">
        <v>1</v>
      </c>
    </row>
    <row r="966" spans="1:9">
      <c r="A966" t="s">
        <v>305</v>
      </c>
      <c r="B966" t="s">
        <v>306</v>
      </c>
      <c r="C966" t="s">
        <v>269</v>
      </c>
      <c r="D966" t="s">
        <v>26</v>
      </c>
      <c r="E966" t="s">
        <v>40</v>
      </c>
      <c r="F966">
        <v>2031</v>
      </c>
      <c r="G966">
        <v>0</v>
      </c>
      <c r="H966">
        <v>0</v>
      </c>
      <c r="I966">
        <v>1</v>
      </c>
    </row>
    <row r="967" spans="1:9">
      <c r="A967" t="s">
        <v>305</v>
      </c>
      <c r="B967" t="s">
        <v>306</v>
      </c>
      <c r="C967" t="s">
        <v>269</v>
      </c>
      <c r="D967" t="s">
        <v>26</v>
      </c>
      <c r="E967" t="s">
        <v>40</v>
      </c>
      <c r="F967">
        <v>2032</v>
      </c>
      <c r="G967">
        <v>0</v>
      </c>
      <c r="H967">
        <v>0</v>
      </c>
      <c r="I967">
        <v>1</v>
      </c>
    </row>
    <row r="968" spans="1:9">
      <c r="A968" t="s">
        <v>305</v>
      </c>
      <c r="B968" t="s">
        <v>306</v>
      </c>
      <c r="C968" t="s">
        <v>269</v>
      </c>
      <c r="D968" t="s">
        <v>26</v>
      </c>
      <c r="E968" t="s">
        <v>40</v>
      </c>
      <c r="F968">
        <v>2033</v>
      </c>
      <c r="G968">
        <v>0</v>
      </c>
      <c r="H968">
        <v>0</v>
      </c>
      <c r="I968">
        <v>1</v>
      </c>
    </row>
    <row r="969" spans="1:9">
      <c r="A969" t="s">
        <v>305</v>
      </c>
      <c r="B969" t="s">
        <v>306</v>
      </c>
      <c r="C969" t="s">
        <v>269</v>
      </c>
      <c r="D969" t="s">
        <v>26</v>
      </c>
      <c r="E969" t="s">
        <v>40</v>
      </c>
      <c r="F969">
        <v>2034</v>
      </c>
      <c r="G969">
        <v>0</v>
      </c>
      <c r="H969">
        <v>0</v>
      </c>
      <c r="I969">
        <v>1</v>
      </c>
    </row>
    <row r="970" spans="1:9">
      <c r="A970" t="s">
        <v>305</v>
      </c>
      <c r="B970" t="s">
        <v>306</v>
      </c>
      <c r="C970" t="s">
        <v>269</v>
      </c>
      <c r="D970" t="s">
        <v>26</v>
      </c>
      <c r="E970" t="s">
        <v>40</v>
      </c>
      <c r="F970">
        <v>2035</v>
      </c>
      <c r="G970">
        <v>0</v>
      </c>
      <c r="H970">
        <v>0</v>
      </c>
      <c r="I970">
        <v>1</v>
      </c>
    </row>
    <row r="971" spans="1:9">
      <c r="A971" t="s">
        <v>305</v>
      </c>
      <c r="B971" t="s">
        <v>306</v>
      </c>
      <c r="C971" t="s">
        <v>269</v>
      </c>
      <c r="D971" t="s">
        <v>26</v>
      </c>
      <c r="E971" t="s">
        <v>40</v>
      </c>
      <c r="F971">
        <v>2036</v>
      </c>
      <c r="G971">
        <v>0</v>
      </c>
      <c r="H971">
        <v>0</v>
      </c>
      <c r="I971">
        <v>1</v>
      </c>
    </row>
    <row r="972" spans="1:9">
      <c r="A972" t="s">
        <v>305</v>
      </c>
      <c r="B972" t="s">
        <v>306</v>
      </c>
      <c r="C972" t="s">
        <v>269</v>
      </c>
      <c r="D972" t="s">
        <v>26</v>
      </c>
      <c r="E972" t="s">
        <v>40</v>
      </c>
      <c r="F972">
        <v>2037</v>
      </c>
      <c r="G972">
        <v>0</v>
      </c>
      <c r="H972">
        <v>0</v>
      </c>
      <c r="I972">
        <v>1</v>
      </c>
    </row>
    <row r="973" spans="1:9">
      <c r="A973" t="s">
        <v>305</v>
      </c>
      <c r="B973" t="s">
        <v>306</v>
      </c>
      <c r="C973" t="s">
        <v>269</v>
      </c>
      <c r="D973" t="s">
        <v>26</v>
      </c>
      <c r="E973" t="s">
        <v>40</v>
      </c>
      <c r="F973">
        <v>2038</v>
      </c>
      <c r="G973">
        <v>0</v>
      </c>
      <c r="H973">
        <v>0</v>
      </c>
      <c r="I973">
        <v>1</v>
      </c>
    </row>
    <row r="974" spans="1:9">
      <c r="A974" t="s">
        <v>305</v>
      </c>
      <c r="B974" t="s">
        <v>306</v>
      </c>
      <c r="C974" t="s">
        <v>269</v>
      </c>
      <c r="D974" t="s">
        <v>26</v>
      </c>
      <c r="E974" t="s">
        <v>40</v>
      </c>
      <c r="F974">
        <v>2039</v>
      </c>
      <c r="G974">
        <v>0</v>
      </c>
      <c r="H974">
        <v>0</v>
      </c>
      <c r="I974">
        <v>1</v>
      </c>
    </row>
    <row r="975" spans="1:9">
      <c r="A975" t="s">
        <v>305</v>
      </c>
      <c r="B975" t="s">
        <v>306</v>
      </c>
      <c r="C975" t="s">
        <v>269</v>
      </c>
      <c r="D975" t="s">
        <v>26</v>
      </c>
      <c r="E975" t="s">
        <v>40</v>
      </c>
      <c r="F975">
        <v>2040</v>
      </c>
      <c r="G975">
        <v>0</v>
      </c>
      <c r="H975">
        <v>0</v>
      </c>
      <c r="I975">
        <v>1</v>
      </c>
    </row>
    <row r="976" spans="1:9">
      <c r="A976" t="s">
        <v>305</v>
      </c>
      <c r="B976" t="s">
        <v>306</v>
      </c>
      <c r="C976" t="s">
        <v>269</v>
      </c>
      <c r="D976" t="s">
        <v>26</v>
      </c>
      <c r="E976" t="s">
        <v>40</v>
      </c>
      <c r="F976">
        <v>2041</v>
      </c>
      <c r="G976">
        <v>0</v>
      </c>
      <c r="H976">
        <v>0</v>
      </c>
      <c r="I976">
        <v>1</v>
      </c>
    </row>
    <row r="977" spans="1:9">
      <c r="A977" t="s">
        <v>305</v>
      </c>
      <c r="B977" t="s">
        <v>306</v>
      </c>
      <c r="C977" t="s">
        <v>269</v>
      </c>
      <c r="D977" t="s">
        <v>26</v>
      </c>
      <c r="E977" t="s">
        <v>40</v>
      </c>
      <c r="F977">
        <v>2042</v>
      </c>
      <c r="G977">
        <v>0</v>
      </c>
      <c r="H977">
        <v>0</v>
      </c>
      <c r="I977">
        <v>1</v>
      </c>
    </row>
    <row r="978" spans="1:9">
      <c r="A978" t="s">
        <v>305</v>
      </c>
      <c r="B978" t="s">
        <v>306</v>
      </c>
      <c r="C978" t="s">
        <v>269</v>
      </c>
      <c r="D978" t="s">
        <v>26</v>
      </c>
      <c r="E978" t="s">
        <v>40</v>
      </c>
      <c r="F978">
        <v>2043</v>
      </c>
      <c r="G978">
        <v>0</v>
      </c>
      <c r="H978">
        <v>0</v>
      </c>
      <c r="I978">
        <v>1</v>
      </c>
    </row>
    <row r="979" spans="1:9">
      <c r="A979" t="s">
        <v>305</v>
      </c>
      <c r="B979" t="s">
        <v>306</v>
      </c>
      <c r="C979" t="s">
        <v>269</v>
      </c>
      <c r="D979" t="s">
        <v>26</v>
      </c>
      <c r="E979" t="s">
        <v>40</v>
      </c>
      <c r="F979">
        <v>2044</v>
      </c>
      <c r="G979">
        <v>0</v>
      </c>
      <c r="H979">
        <v>0</v>
      </c>
      <c r="I979">
        <v>1</v>
      </c>
    </row>
    <row r="980" spans="1:9">
      <c r="A980" t="s">
        <v>305</v>
      </c>
      <c r="B980" t="s">
        <v>306</v>
      </c>
      <c r="C980" t="s">
        <v>269</v>
      </c>
      <c r="D980" t="s">
        <v>26</v>
      </c>
      <c r="E980" t="s">
        <v>40</v>
      </c>
      <c r="F980">
        <v>2045</v>
      </c>
      <c r="G980">
        <v>0</v>
      </c>
      <c r="H980">
        <v>0</v>
      </c>
      <c r="I980">
        <v>1</v>
      </c>
    </row>
    <row r="981" spans="1:9">
      <c r="A981" t="s">
        <v>305</v>
      </c>
      <c r="B981" t="s">
        <v>306</v>
      </c>
      <c r="C981" t="s">
        <v>269</v>
      </c>
      <c r="D981" t="s">
        <v>26</v>
      </c>
      <c r="E981" t="s">
        <v>40</v>
      </c>
      <c r="F981">
        <v>2046</v>
      </c>
      <c r="G981">
        <v>0</v>
      </c>
      <c r="H981">
        <v>0</v>
      </c>
      <c r="I981">
        <v>1</v>
      </c>
    </row>
    <row r="982" spans="1:9">
      <c r="A982" t="s">
        <v>305</v>
      </c>
      <c r="B982" t="s">
        <v>306</v>
      </c>
      <c r="C982" t="s">
        <v>269</v>
      </c>
      <c r="D982" t="s">
        <v>26</v>
      </c>
      <c r="E982" t="s">
        <v>40</v>
      </c>
      <c r="F982">
        <v>2047</v>
      </c>
      <c r="G982">
        <v>0</v>
      </c>
      <c r="H982">
        <v>0</v>
      </c>
      <c r="I982">
        <v>1</v>
      </c>
    </row>
    <row r="983" spans="1:9">
      <c r="A983" t="s">
        <v>305</v>
      </c>
      <c r="B983" t="s">
        <v>306</v>
      </c>
      <c r="C983" t="s">
        <v>269</v>
      </c>
      <c r="D983" t="s">
        <v>26</v>
      </c>
      <c r="E983" t="s">
        <v>40</v>
      </c>
      <c r="F983">
        <v>2048</v>
      </c>
      <c r="G983">
        <v>0</v>
      </c>
      <c r="H983">
        <v>0</v>
      </c>
      <c r="I983">
        <v>1</v>
      </c>
    </row>
    <row r="984" spans="1:9">
      <c r="A984" t="s">
        <v>305</v>
      </c>
      <c r="B984" t="s">
        <v>306</v>
      </c>
      <c r="C984" t="s">
        <v>269</v>
      </c>
      <c r="D984" t="s">
        <v>26</v>
      </c>
      <c r="E984" t="s">
        <v>40</v>
      </c>
      <c r="F984">
        <v>2049</v>
      </c>
      <c r="G984">
        <v>0</v>
      </c>
      <c r="H984">
        <v>0</v>
      </c>
      <c r="I984">
        <v>1</v>
      </c>
    </row>
    <row r="985" spans="1:9">
      <c r="A985" t="s">
        <v>305</v>
      </c>
      <c r="B985" t="s">
        <v>306</v>
      </c>
      <c r="C985" t="s">
        <v>269</v>
      </c>
      <c r="D985" t="s">
        <v>26</v>
      </c>
      <c r="E985" t="s">
        <v>40</v>
      </c>
      <c r="F985">
        <v>2050</v>
      </c>
      <c r="G985">
        <v>0</v>
      </c>
      <c r="H985">
        <v>0</v>
      </c>
      <c r="I985">
        <v>1</v>
      </c>
    </row>
    <row r="986" spans="1:9">
      <c r="A986" t="s">
        <v>305</v>
      </c>
      <c r="B986" t="s">
        <v>306</v>
      </c>
      <c r="C986" t="s">
        <v>269</v>
      </c>
      <c r="D986" t="s">
        <v>307</v>
      </c>
      <c r="E986" t="s">
        <v>40</v>
      </c>
      <c r="F986">
        <v>2010</v>
      </c>
      <c r="G986">
        <v>0</v>
      </c>
      <c r="H986">
        <v>0</v>
      </c>
      <c r="I986">
        <v>1</v>
      </c>
    </row>
    <row r="987" spans="1:9">
      <c r="A987" t="s">
        <v>305</v>
      </c>
      <c r="B987" t="s">
        <v>306</v>
      </c>
      <c r="C987" t="s">
        <v>269</v>
      </c>
      <c r="D987" t="s">
        <v>307</v>
      </c>
      <c r="E987" t="s">
        <v>40</v>
      </c>
      <c r="F987">
        <v>2011</v>
      </c>
      <c r="G987">
        <v>0</v>
      </c>
      <c r="H987">
        <v>0</v>
      </c>
      <c r="I987">
        <v>1</v>
      </c>
    </row>
    <row r="988" spans="1:9">
      <c r="A988" t="s">
        <v>305</v>
      </c>
      <c r="B988" t="s">
        <v>306</v>
      </c>
      <c r="C988" t="s">
        <v>269</v>
      </c>
      <c r="D988" t="s">
        <v>307</v>
      </c>
      <c r="E988" t="s">
        <v>40</v>
      </c>
      <c r="F988">
        <v>2012</v>
      </c>
      <c r="G988">
        <v>0</v>
      </c>
      <c r="H988">
        <v>0</v>
      </c>
      <c r="I988">
        <v>1</v>
      </c>
    </row>
    <row r="989" spans="1:9">
      <c r="A989" t="s">
        <v>305</v>
      </c>
      <c r="B989" t="s">
        <v>306</v>
      </c>
      <c r="C989" t="s">
        <v>269</v>
      </c>
      <c r="D989" t="s">
        <v>307</v>
      </c>
      <c r="E989" t="s">
        <v>40</v>
      </c>
      <c r="F989">
        <v>2013</v>
      </c>
      <c r="G989">
        <v>0</v>
      </c>
      <c r="H989">
        <v>0</v>
      </c>
      <c r="I989">
        <v>1</v>
      </c>
    </row>
    <row r="990" spans="1:9">
      <c r="A990" t="s">
        <v>305</v>
      </c>
      <c r="B990" t="s">
        <v>306</v>
      </c>
      <c r="C990" t="s">
        <v>269</v>
      </c>
      <c r="D990" t="s">
        <v>307</v>
      </c>
      <c r="E990" t="s">
        <v>40</v>
      </c>
      <c r="F990">
        <v>2014</v>
      </c>
      <c r="G990">
        <v>0</v>
      </c>
      <c r="H990">
        <v>0</v>
      </c>
      <c r="I990">
        <v>1</v>
      </c>
    </row>
    <row r="991" spans="1:9">
      <c r="A991" t="s">
        <v>305</v>
      </c>
      <c r="B991" t="s">
        <v>306</v>
      </c>
      <c r="C991" t="s">
        <v>269</v>
      </c>
      <c r="D991" t="s">
        <v>307</v>
      </c>
      <c r="E991" t="s">
        <v>40</v>
      </c>
      <c r="F991">
        <v>2015</v>
      </c>
      <c r="G991">
        <v>0</v>
      </c>
      <c r="H991">
        <v>0</v>
      </c>
      <c r="I991">
        <v>1</v>
      </c>
    </row>
    <row r="992" spans="1:9">
      <c r="A992" t="s">
        <v>305</v>
      </c>
      <c r="B992" t="s">
        <v>306</v>
      </c>
      <c r="C992" t="s">
        <v>269</v>
      </c>
      <c r="D992" t="s">
        <v>307</v>
      </c>
      <c r="E992" t="s">
        <v>40</v>
      </c>
      <c r="F992">
        <v>2016</v>
      </c>
      <c r="G992">
        <v>0</v>
      </c>
      <c r="H992">
        <v>0</v>
      </c>
      <c r="I992">
        <v>1</v>
      </c>
    </row>
    <row r="993" spans="1:9">
      <c r="A993" t="s">
        <v>305</v>
      </c>
      <c r="B993" t="s">
        <v>306</v>
      </c>
      <c r="C993" t="s">
        <v>269</v>
      </c>
      <c r="D993" t="s">
        <v>307</v>
      </c>
      <c r="E993" t="s">
        <v>40</v>
      </c>
      <c r="F993">
        <v>2017</v>
      </c>
      <c r="G993">
        <v>0</v>
      </c>
      <c r="H993">
        <v>0</v>
      </c>
      <c r="I993">
        <v>1</v>
      </c>
    </row>
    <row r="994" spans="1:9">
      <c r="A994" t="s">
        <v>305</v>
      </c>
      <c r="B994" t="s">
        <v>306</v>
      </c>
      <c r="C994" t="s">
        <v>269</v>
      </c>
      <c r="D994" t="s">
        <v>307</v>
      </c>
      <c r="E994" t="s">
        <v>40</v>
      </c>
      <c r="F994">
        <v>2018</v>
      </c>
      <c r="G994">
        <v>0</v>
      </c>
      <c r="H994">
        <v>0</v>
      </c>
      <c r="I994">
        <v>1</v>
      </c>
    </row>
    <row r="995" spans="1:9">
      <c r="A995" t="s">
        <v>305</v>
      </c>
      <c r="B995" t="s">
        <v>306</v>
      </c>
      <c r="C995" t="s">
        <v>269</v>
      </c>
      <c r="D995" t="s">
        <v>307</v>
      </c>
      <c r="E995" t="s">
        <v>40</v>
      </c>
      <c r="F995">
        <v>2019</v>
      </c>
      <c r="G995">
        <v>0</v>
      </c>
      <c r="H995">
        <v>0</v>
      </c>
      <c r="I995">
        <v>1</v>
      </c>
    </row>
    <row r="996" spans="1:9">
      <c r="A996" t="s">
        <v>305</v>
      </c>
      <c r="B996" t="s">
        <v>306</v>
      </c>
      <c r="C996" t="s">
        <v>269</v>
      </c>
      <c r="D996" t="s">
        <v>307</v>
      </c>
      <c r="E996" t="s">
        <v>40</v>
      </c>
      <c r="F996">
        <v>2020</v>
      </c>
      <c r="G996">
        <v>0</v>
      </c>
      <c r="H996">
        <v>0</v>
      </c>
      <c r="I996">
        <v>1</v>
      </c>
    </row>
    <row r="997" spans="1:9">
      <c r="A997" t="s">
        <v>305</v>
      </c>
      <c r="B997" t="s">
        <v>306</v>
      </c>
      <c r="C997" t="s">
        <v>269</v>
      </c>
      <c r="D997" t="s">
        <v>307</v>
      </c>
      <c r="E997" t="s">
        <v>40</v>
      </c>
      <c r="F997">
        <v>2021</v>
      </c>
      <c r="G997">
        <v>0</v>
      </c>
      <c r="H997">
        <v>0</v>
      </c>
      <c r="I997">
        <v>1</v>
      </c>
    </row>
    <row r="998" spans="1:9">
      <c r="A998" t="s">
        <v>305</v>
      </c>
      <c r="B998" t="s">
        <v>306</v>
      </c>
      <c r="C998" t="s">
        <v>269</v>
      </c>
      <c r="D998" t="s">
        <v>307</v>
      </c>
      <c r="E998" t="s">
        <v>40</v>
      </c>
      <c r="F998">
        <v>2022</v>
      </c>
      <c r="G998">
        <v>0</v>
      </c>
      <c r="H998">
        <v>0</v>
      </c>
      <c r="I998">
        <v>1</v>
      </c>
    </row>
    <row r="999" spans="1:9">
      <c r="A999" t="s">
        <v>305</v>
      </c>
      <c r="B999" t="s">
        <v>306</v>
      </c>
      <c r="C999" t="s">
        <v>269</v>
      </c>
      <c r="D999" t="s">
        <v>307</v>
      </c>
      <c r="E999" t="s">
        <v>40</v>
      </c>
      <c r="F999">
        <v>2023</v>
      </c>
      <c r="G999">
        <v>0</v>
      </c>
      <c r="H999">
        <v>0</v>
      </c>
      <c r="I999">
        <v>1</v>
      </c>
    </row>
    <row r="1000" spans="1:9">
      <c r="A1000" t="s">
        <v>305</v>
      </c>
      <c r="B1000" t="s">
        <v>306</v>
      </c>
      <c r="C1000" t="s">
        <v>269</v>
      </c>
      <c r="D1000" t="s">
        <v>307</v>
      </c>
      <c r="E1000" t="s">
        <v>40</v>
      </c>
      <c r="F1000">
        <v>2024</v>
      </c>
      <c r="G1000">
        <v>0</v>
      </c>
      <c r="H1000">
        <v>0</v>
      </c>
      <c r="I1000">
        <v>1</v>
      </c>
    </row>
    <row r="1001" spans="1:9">
      <c r="A1001" t="s">
        <v>305</v>
      </c>
      <c r="B1001" t="s">
        <v>306</v>
      </c>
      <c r="C1001" t="s">
        <v>269</v>
      </c>
      <c r="D1001" t="s">
        <v>307</v>
      </c>
      <c r="E1001" t="s">
        <v>40</v>
      </c>
      <c r="F1001">
        <v>2025</v>
      </c>
      <c r="G1001">
        <v>0</v>
      </c>
      <c r="H1001">
        <v>0</v>
      </c>
      <c r="I1001">
        <v>1</v>
      </c>
    </row>
    <row r="1002" spans="1:9">
      <c r="A1002" t="s">
        <v>305</v>
      </c>
      <c r="B1002" t="s">
        <v>306</v>
      </c>
      <c r="C1002" t="s">
        <v>269</v>
      </c>
      <c r="D1002" t="s">
        <v>307</v>
      </c>
      <c r="E1002" t="s">
        <v>40</v>
      </c>
      <c r="F1002">
        <v>2026</v>
      </c>
      <c r="G1002">
        <v>0</v>
      </c>
      <c r="H1002">
        <v>0</v>
      </c>
      <c r="I1002">
        <v>1</v>
      </c>
    </row>
    <row r="1003" spans="1:9">
      <c r="A1003" t="s">
        <v>305</v>
      </c>
      <c r="B1003" t="s">
        <v>306</v>
      </c>
      <c r="C1003" t="s">
        <v>269</v>
      </c>
      <c r="D1003" t="s">
        <v>307</v>
      </c>
      <c r="E1003" t="s">
        <v>40</v>
      </c>
      <c r="F1003">
        <v>2027</v>
      </c>
      <c r="G1003">
        <v>0</v>
      </c>
      <c r="H1003">
        <v>0</v>
      </c>
      <c r="I1003">
        <v>1</v>
      </c>
    </row>
    <row r="1004" spans="1:9">
      <c r="A1004" t="s">
        <v>305</v>
      </c>
      <c r="B1004" t="s">
        <v>306</v>
      </c>
      <c r="C1004" t="s">
        <v>269</v>
      </c>
      <c r="D1004" t="s">
        <v>307</v>
      </c>
      <c r="E1004" t="s">
        <v>40</v>
      </c>
      <c r="F1004">
        <v>2028</v>
      </c>
      <c r="G1004">
        <v>0</v>
      </c>
      <c r="H1004">
        <v>0</v>
      </c>
      <c r="I1004">
        <v>1</v>
      </c>
    </row>
    <row r="1005" spans="1:9">
      <c r="A1005" t="s">
        <v>305</v>
      </c>
      <c r="B1005" t="s">
        <v>306</v>
      </c>
      <c r="C1005" t="s">
        <v>269</v>
      </c>
      <c r="D1005" t="s">
        <v>307</v>
      </c>
      <c r="E1005" t="s">
        <v>40</v>
      </c>
      <c r="F1005">
        <v>2029</v>
      </c>
      <c r="G1005">
        <v>0</v>
      </c>
      <c r="H1005">
        <v>0</v>
      </c>
      <c r="I1005">
        <v>1</v>
      </c>
    </row>
    <row r="1006" spans="1:9">
      <c r="A1006" t="s">
        <v>305</v>
      </c>
      <c r="B1006" t="s">
        <v>306</v>
      </c>
      <c r="C1006" t="s">
        <v>269</v>
      </c>
      <c r="D1006" t="s">
        <v>307</v>
      </c>
      <c r="E1006" t="s">
        <v>40</v>
      </c>
      <c r="F1006">
        <v>2030</v>
      </c>
      <c r="G1006">
        <v>0</v>
      </c>
      <c r="H1006">
        <v>0</v>
      </c>
      <c r="I1006">
        <v>1</v>
      </c>
    </row>
    <row r="1007" spans="1:9">
      <c r="A1007" t="s">
        <v>305</v>
      </c>
      <c r="B1007" t="s">
        <v>306</v>
      </c>
      <c r="C1007" t="s">
        <v>269</v>
      </c>
      <c r="D1007" t="s">
        <v>307</v>
      </c>
      <c r="E1007" t="s">
        <v>40</v>
      </c>
      <c r="F1007">
        <v>2031</v>
      </c>
      <c r="G1007">
        <v>0</v>
      </c>
      <c r="H1007">
        <v>0</v>
      </c>
      <c r="I1007">
        <v>1</v>
      </c>
    </row>
    <row r="1008" spans="1:9">
      <c r="A1008" t="s">
        <v>305</v>
      </c>
      <c r="B1008" t="s">
        <v>306</v>
      </c>
      <c r="C1008" t="s">
        <v>269</v>
      </c>
      <c r="D1008" t="s">
        <v>307</v>
      </c>
      <c r="E1008" t="s">
        <v>40</v>
      </c>
      <c r="F1008">
        <v>2032</v>
      </c>
      <c r="G1008">
        <v>0</v>
      </c>
      <c r="H1008">
        <v>0</v>
      </c>
      <c r="I1008">
        <v>1</v>
      </c>
    </row>
    <row r="1009" spans="1:9">
      <c r="A1009" t="s">
        <v>305</v>
      </c>
      <c r="B1009" t="s">
        <v>306</v>
      </c>
      <c r="C1009" t="s">
        <v>269</v>
      </c>
      <c r="D1009" t="s">
        <v>307</v>
      </c>
      <c r="E1009" t="s">
        <v>40</v>
      </c>
      <c r="F1009">
        <v>2033</v>
      </c>
      <c r="G1009">
        <v>0</v>
      </c>
      <c r="H1009">
        <v>0</v>
      </c>
      <c r="I1009">
        <v>1</v>
      </c>
    </row>
    <row r="1010" spans="1:9">
      <c r="A1010" t="s">
        <v>305</v>
      </c>
      <c r="B1010" t="s">
        <v>306</v>
      </c>
      <c r="C1010" t="s">
        <v>269</v>
      </c>
      <c r="D1010" t="s">
        <v>307</v>
      </c>
      <c r="E1010" t="s">
        <v>40</v>
      </c>
      <c r="F1010">
        <v>2034</v>
      </c>
      <c r="G1010">
        <v>0</v>
      </c>
      <c r="H1010">
        <v>0</v>
      </c>
      <c r="I1010">
        <v>1</v>
      </c>
    </row>
    <row r="1011" spans="1:9">
      <c r="A1011" t="s">
        <v>305</v>
      </c>
      <c r="B1011" t="s">
        <v>306</v>
      </c>
      <c r="C1011" t="s">
        <v>269</v>
      </c>
      <c r="D1011" t="s">
        <v>307</v>
      </c>
      <c r="E1011" t="s">
        <v>40</v>
      </c>
      <c r="F1011">
        <v>2035</v>
      </c>
      <c r="G1011">
        <v>0</v>
      </c>
      <c r="H1011">
        <v>0</v>
      </c>
      <c r="I1011">
        <v>1</v>
      </c>
    </row>
    <row r="1012" spans="1:9">
      <c r="A1012" t="s">
        <v>305</v>
      </c>
      <c r="B1012" t="s">
        <v>306</v>
      </c>
      <c r="C1012" t="s">
        <v>269</v>
      </c>
      <c r="D1012" t="s">
        <v>307</v>
      </c>
      <c r="E1012" t="s">
        <v>40</v>
      </c>
      <c r="F1012">
        <v>2036</v>
      </c>
      <c r="G1012">
        <v>0</v>
      </c>
      <c r="H1012">
        <v>0</v>
      </c>
      <c r="I1012">
        <v>1</v>
      </c>
    </row>
    <row r="1013" spans="1:9">
      <c r="A1013" t="s">
        <v>305</v>
      </c>
      <c r="B1013" t="s">
        <v>306</v>
      </c>
      <c r="C1013" t="s">
        <v>269</v>
      </c>
      <c r="D1013" t="s">
        <v>307</v>
      </c>
      <c r="E1013" t="s">
        <v>40</v>
      </c>
      <c r="F1013">
        <v>2037</v>
      </c>
      <c r="G1013">
        <v>0</v>
      </c>
      <c r="H1013">
        <v>0</v>
      </c>
      <c r="I1013">
        <v>1</v>
      </c>
    </row>
    <row r="1014" spans="1:9">
      <c r="A1014" t="s">
        <v>305</v>
      </c>
      <c r="B1014" t="s">
        <v>306</v>
      </c>
      <c r="C1014" t="s">
        <v>269</v>
      </c>
      <c r="D1014" t="s">
        <v>307</v>
      </c>
      <c r="E1014" t="s">
        <v>40</v>
      </c>
      <c r="F1014">
        <v>2038</v>
      </c>
      <c r="G1014">
        <v>0</v>
      </c>
      <c r="H1014">
        <v>0</v>
      </c>
      <c r="I1014">
        <v>1</v>
      </c>
    </row>
    <row r="1015" spans="1:9">
      <c r="A1015" t="s">
        <v>305</v>
      </c>
      <c r="B1015" t="s">
        <v>306</v>
      </c>
      <c r="C1015" t="s">
        <v>269</v>
      </c>
      <c r="D1015" t="s">
        <v>307</v>
      </c>
      <c r="E1015" t="s">
        <v>40</v>
      </c>
      <c r="F1015">
        <v>2039</v>
      </c>
      <c r="G1015">
        <v>0</v>
      </c>
      <c r="H1015">
        <v>0</v>
      </c>
      <c r="I1015">
        <v>1</v>
      </c>
    </row>
    <row r="1016" spans="1:9">
      <c r="A1016" t="s">
        <v>305</v>
      </c>
      <c r="B1016" t="s">
        <v>306</v>
      </c>
      <c r="C1016" t="s">
        <v>269</v>
      </c>
      <c r="D1016" t="s">
        <v>307</v>
      </c>
      <c r="E1016" t="s">
        <v>40</v>
      </c>
      <c r="F1016">
        <v>2040</v>
      </c>
      <c r="G1016">
        <v>0</v>
      </c>
      <c r="H1016">
        <v>0</v>
      </c>
      <c r="I1016">
        <v>1</v>
      </c>
    </row>
    <row r="1017" spans="1:9">
      <c r="A1017" t="s">
        <v>305</v>
      </c>
      <c r="B1017" t="s">
        <v>306</v>
      </c>
      <c r="C1017" t="s">
        <v>269</v>
      </c>
      <c r="D1017" t="s">
        <v>307</v>
      </c>
      <c r="E1017" t="s">
        <v>40</v>
      </c>
      <c r="F1017">
        <v>2041</v>
      </c>
      <c r="G1017">
        <v>0</v>
      </c>
      <c r="H1017">
        <v>0</v>
      </c>
      <c r="I1017">
        <v>1</v>
      </c>
    </row>
    <row r="1018" spans="1:9">
      <c r="A1018" t="s">
        <v>305</v>
      </c>
      <c r="B1018" t="s">
        <v>306</v>
      </c>
      <c r="C1018" t="s">
        <v>269</v>
      </c>
      <c r="D1018" t="s">
        <v>307</v>
      </c>
      <c r="E1018" t="s">
        <v>40</v>
      </c>
      <c r="F1018">
        <v>2042</v>
      </c>
      <c r="G1018">
        <v>0</v>
      </c>
      <c r="H1018">
        <v>0</v>
      </c>
      <c r="I1018">
        <v>1</v>
      </c>
    </row>
    <row r="1019" spans="1:9">
      <c r="A1019" t="s">
        <v>305</v>
      </c>
      <c r="B1019" t="s">
        <v>306</v>
      </c>
      <c r="C1019" t="s">
        <v>269</v>
      </c>
      <c r="D1019" t="s">
        <v>307</v>
      </c>
      <c r="E1019" t="s">
        <v>40</v>
      </c>
      <c r="F1019">
        <v>2043</v>
      </c>
      <c r="G1019">
        <v>0</v>
      </c>
      <c r="H1019">
        <v>0</v>
      </c>
      <c r="I1019">
        <v>1</v>
      </c>
    </row>
    <row r="1020" spans="1:9">
      <c r="A1020" t="s">
        <v>305</v>
      </c>
      <c r="B1020" t="s">
        <v>306</v>
      </c>
      <c r="C1020" t="s">
        <v>269</v>
      </c>
      <c r="D1020" t="s">
        <v>307</v>
      </c>
      <c r="E1020" t="s">
        <v>40</v>
      </c>
      <c r="F1020">
        <v>2044</v>
      </c>
      <c r="G1020">
        <v>0</v>
      </c>
      <c r="H1020">
        <v>0</v>
      </c>
      <c r="I1020">
        <v>1</v>
      </c>
    </row>
    <row r="1021" spans="1:9">
      <c r="A1021" t="s">
        <v>305</v>
      </c>
      <c r="B1021" t="s">
        <v>306</v>
      </c>
      <c r="C1021" t="s">
        <v>269</v>
      </c>
      <c r="D1021" t="s">
        <v>307</v>
      </c>
      <c r="E1021" t="s">
        <v>40</v>
      </c>
      <c r="F1021">
        <v>2045</v>
      </c>
      <c r="G1021">
        <v>0</v>
      </c>
      <c r="H1021">
        <v>0</v>
      </c>
      <c r="I1021">
        <v>1</v>
      </c>
    </row>
    <row r="1022" spans="1:9">
      <c r="A1022" t="s">
        <v>305</v>
      </c>
      <c r="B1022" t="s">
        <v>306</v>
      </c>
      <c r="C1022" t="s">
        <v>269</v>
      </c>
      <c r="D1022" t="s">
        <v>307</v>
      </c>
      <c r="E1022" t="s">
        <v>40</v>
      </c>
      <c r="F1022">
        <v>2046</v>
      </c>
      <c r="G1022">
        <v>0</v>
      </c>
      <c r="H1022">
        <v>0</v>
      </c>
      <c r="I1022">
        <v>1</v>
      </c>
    </row>
    <row r="1023" spans="1:9">
      <c r="A1023" t="s">
        <v>305</v>
      </c>
      <c r="B1023" t="s">
        <v>306</v>
      </c>
      <c r="C1023" t="s">
        <v>269</v>
      </c>
      <c r="D1023" t="s">
        <v>307</v>
      </c>
      <c r="E1023" t="s">
        <v>40</v>
      </c>
      <c r="F1023">
        <v>2047</v>
      </c>
      <c r="G1023">
        <v>0</v>
      </c>
      <c r="H1023">
        <v>0</v>
      </c>
      <c r="I1023">
        <v>1</v>
      </c>
    </row>
    <row r="1024" spans="1:9">
      <c r="A1024" t="s">
        <v>305</v>
      </c>
      <c r="B1024" t="s">
        <v>306</v>
      </c>
      <c r="C1024" t="s">
        <v>269</v>
      </c>
      <c r="D1024" t="s">
        <v>307</v>
      </c>
      <c r="E1024" t="s">
        <v>40</v>
      </c>
      <c r="F1024">
        <v>2048</v>
      </c>
      <c r="G1024">
        <v>0</v>
      </c>
      <c r="H1024">
        <v>0</v>
      </c>
      <c r="I1024">
        <v>1</v>
      </c>
    </row>
    <row r="1025" spans="1:9">
      <c r="A1025" t="s">
        <v>305</v>
      </c>
      <c r="B1025" t="s">
        <v>306</v>
      </c>
      <c r="C1025" t="s">
        <v>269</v>
      </c>
      <c r="D1025" t="s">
        <v>307</v>
      </c>
      <c r="E1025" t="s">
        <v>40</v>
      </c>
      <c r="F1025">
        <v>2049</v>
      </c>
      <c r="G1025">
        <v>0</v>
      </c>
      <c r="H1025">
        <v>0</v>
      </c>
      <c r="I1025">
        <v>1</v>
      </c>
    </row>
    <row r="1026" spans="1:9">
      <c r="A1026" t="s">
        <v>305</v>
      </c>
      <c r="B1026" t="s">
        <v>306</v>
      </c>
      <c r="C1026" t="s">
        <v>269</v>
      </c>
      <c r="D1026" t="s">
        <v>307</v>
      </c>
      <c r="E1026" t="s">
        <v>40</v>
      </c>
      <c r="F1026">
        <v>2050</v>
      </c>
      <c r="G1026">
        <v>0</v>
      </c>
      <c r="H1026">
        <v>0</v>
      </c>
      <c r="I1026">
        <v>1</v>
      </c>
    </row>
    <row r="1027" spans="1:9">
      <c r="A1027" t="s">
        <v>305</v>
      </c>
      <c r="B1027" t="s">
        <v>306</v>
      </c>
      <c r="C1027" t="s">
        <v>269</v>
      </c>
      <c r="D1027" t="s">
        <v>25</v>
      </c>
      <c r="E1027" t="s">
        <v>11</v>
      </c>
      <c r="F1027">
        <v>2010</v>
      </c>
      <c r="G1027">
        <v>23684.066299999999</v>
      </c>
      <c r="H1027">
        <v>23684.066299999999</v>
      </c>
      <c r="I1027">
        <v>1</v>
      </c>
    </row>
    <row r="1028" spans="1:9">
      <c r="A1028" t="s">
        <v>305</v>
      </c>
      <c r="B1028" t="s">
        <v>306</v>
      </c>
      <c r="C1028" t="s">
        <v>269</v>
      </c>
      <c r="D1028" t="s">
        <v>25</v>
      </c>
      <c r="E1028" t="s">
        <v>11</v>
      </c>
      <c r="F1028">
        <v>2011</v>
      </c>
      <c r="G1028">
        <v>25934.505789999999</v>
      </c>
      <c r="H1028">
        <v>25934.505789999999</v>
      </c>
      <c r="I1028">
        <v>1</v>
      </c>
    </row>
    <row r="1029" spans="1:9">
      <c r="A1029" t="s">
        <v>305</v>
      </c>
      <c r="B1029" t="s">
        <v>306</v>
      </c>
      <c r="C1029" t="s">
        <v>269</v>
      </c>
      <c r="D1029" t="s">
        <v>25</v>
      </c>
      <c r="E1029" t="s">
        <v>11</v>
      </c>
      <c r="F1029">
        <v>2012</v>
      </c>
      <c r="G1029">
        <v>28337.7192</v>
      </c>
      <c r="H1029">
        <v>28337.7192</v>
      </c>
      <c r="I1029">
        <v>1</v>
      </c>
    </row>
    <row r="1030" spans="1:9">
      <c r="A1030" t="s">
        <v>305</v>
      </c>
      <c r="B1030" t="s">
        <v>306</v>
      </c>
      <c r="C1030" t="s">
        <v>269</v>
      </c>
      <c r="D1030" t="s">
        <v>25</v>
      </c>
      <c r="E1030" t="s">
        <v>11</v>
      </c>
      <c r="F1030">
        <v>2013</v>
      </c>
      <c r="G1030">
        <v>30476.542460000001</v>
      </c>
      <c r="H1030">
        <v>30476.542460000001</v>
      </c>
      <c r="I1030">
        <v>1</v>
      </c>
    </row>
    <row r="1031" spans="1:9">
      <c r="A1031" t="s">
        <v>305</v>
      </c>
      <c r="B1031" t="s">
        <v>306</v>
      </c>
      <c r="C1031" t="s">
        <v>269</v>
      </c>
      <c r="D1031" t="s">
        <v>25</v>
      </c>
      <c r="E1031" t="s">
        <v>11</v>
      </c>
      <c r="F1031">
        <v>2014</v>
      </c>
      <c r="G1031">
        <v>32745.735260000001</v>
      </c>
      <c r="H1031">
        <v>32745.735260000001</v>
      </c>
      <c r="I1031">
        <v>1</v>
      </c>
    </row>
    <row r="1032" spans="1:9">
      <c r="A1032" t="s">
        <v>305</v>
      </c>
      <c r="B1032" t="s">
        <v>306</v>
      </c>
      <c r="C1032" t="s">
        <v>269</v>
      </c>
      <c r="D1032" t="s">
        <v>25</v>
      </c>
      <c r="E1032" t="s">
        <v>11</v>
      </c>
      <c r="F1032">
        <v>2015</v>
      </c>
      <c r="G1032">
        <v>36538.20278</v>
      </c>
      <c r="H1032">
        <v>36538.20278</v>
      </c>
      <c r="I1032">
        <v>1</v>
      </c>
    </row>
    <row r="1033" spans="1:9">
      <c r="A1033" t="s">
        <v>305</v>
      </c>
      <c r="B1033" t="s">
        <v>306</v>
      </c>
      <c r="C1033" t="s">
        <v>269</v>
      </c>
      <c r="D1033" t="s">
        <v>25</v>
      </c>
      <c r="E1033" t="s">
        <v>11</v>
      </c>
      <c r="F1033">
        <v>2016</v>
      </c>
      <c r="G1033">
        <v>38665.094400000002</v>
      </c>
      <c r="H1033">
        <v>38665.094400000002</v>
      </c>
      <c r="I1033">
        <v>1</v>
      </c>
    </row>
    <row r="1034" spans="1:9">
      <c r="A1034" t="s">
        <v>305</v>
      </c>
      <c r="B1034" t="s">
        <v>306</v>
      </c>
      <c r="C1034" t="s">
        <v>269</v>
      </c>
      <c r="D1034" t="s">
        <v>25</v>
      </c>
      <c r="E1034" t="s">
        <v>11</v>
      </c>
      <c r="F1034">
        <v>2017</v>
      </c>
      <c r="G1034">
        <v>41402.965060000002</v>
      </c>
      <c r="H1034">
        <v>41402.965060000002</v>
      </c>
      <c r="I1034">
        <v>1</v>
      </c>
    </row>
    <row r="1035" spans="1:9">
      <c r="A1035" t="s">
        <v>305</v>
      </c>
      <c r="B1035" t="s">
        <v>306</v>
      </c>
      <c r="C1035" t="s">
        <v>269</v>
      </c>
      <c r="D1035" t="s">
        <v>25</v>
      </c>
      <c r="E1035" t="s">
        <v>11</v>
      </c>
      <c r="F1035">
        <v>2018</v>
      </c>
      <c r="G1035">
        <v>44298.05184</v>
      </c>
      <c r="H1035">
        <v>44298.05184</v>
      </c>
      <c r="I1035">
        <v>1</v>
      </c>
    </row>
    <row r="1036" spans="1:9">
      <c r="A1036" t="s">
        <v>305</v>
      </c>
      <c r="B1036" t="s">
        <v>306</v>
      </c>
      <c r="C1036" t="s">
        <v>269</v>
      </c>
      <c r="D1036" t="s">
        <v>25</v>
      </c>
      <c r="E1036" t="s">
        <v>11</v>
      </c>
      <c r="F1036">
        <v>2019</v>
      </c>
      <c r="G1036">
        <v>47910.989090000003</v>
      </c>
      <c r="H1036">
        <v>47910.989090000003</v>
      </c>
      <c r="I1036">
        <v>1</v>
      </c>
    </row>
    <row r="1037" spans="1:9">
      <c r="A1037" t="s">
        <v>305</v>
      </c>
      <c r="B1037" t="s">
        <v>306</v>
      </c>
      <c r="C1037" t="s">
        <v>269</v>
      </c>
      <c r="D1037" t="s">
        <v>25</v>
      </c>
      <c r="E1037" t="s">
        <v>11</v>
      </c>
      <c r="F1037">
        <v>2020</v>
      </c>
      <c r="G1037">
        <v>51171.891409999997</v>
      </c>
      <c r="H1037">
        <v>51171.891409999997</v>
      </c>
      <c r="I1037">
        <v>1</v>
      </c>
    </row>
    <row r="1038" spans="1:9">
      <c r="A1038" t="s">
        <v>305</v>
      </c>
      <c r="B1038" t="s">
        <v>306</v>
      </c>
      <c r="C1038" t="s">
        <v>269</v>
      </c>
      <c r="D1038" t="s">
        <v>25</v>
      </c>
      <c r="E1038" t="s">
        <v>11</v>
      </c>
      <c r="F1038">
        <v>2021</v>
      </c>
      <c r="G1038">
        <v>55815.81149</v>
      </c>
      <c r="H1038">
        <v>55815.81149</v>
      </c>
      <c r="I1038">
        <v>1</v>
      </c>
    </row>
    <row r="1039" spans="1:9">
      <c r="A1039" t="s">
        <v>305</v>
      </c>
      <c r="B1039" t="s">
        <v>306</v>
      </c>
      <c r="C1039" t="s">
        <v>269</v>
      </c>
      <c r="D1039" t="s">
        <v>25</v>
      </c>
      <c r="E1039" t="s">
        <v>11</v>
      </c>
      <c r="F1039">
        <v>2022</v>
      </c>
      <c r="G1039">
        <v>57623.275580000001</v>
      </c>
      <c r="H1039">
        <v>57623.275580000001</v>
      </c>
      <c r="I1039">
        <v>1</v>
      </c>
    </row>
    <row r="1040" spans="1:9">
      <c r="A1040" t="s">
        <v>305</v>
      </c>
      <c r="B1040" t="s">
        <v>306</v>
      </c>
      <c r="C1040" t="s">
        <v>269</v>
      </c>
      <c r="D1040" t="s">
        <v>25</v>
      </c>
      <c r="E1040" t="s">
        <v>11</v>
      </c>
      <c r="F1040">
        <v>2023</v>
      </c>
      <c r="G1040">
        <v>62082.639840000003</v>
      </c>
      <c r="H1040">
        <v>62082.639840000003</v>
      </c>
      <c r="I1040">
        <v>1</v>
      </c>
    </row>
    <row r="1041" spans="1:9">
      <c r="A1041" t="s">
        <v>305</v>
      </c>
      <c r="B1041" t="s">
        <v>306</v>
      </c>
      <c r="C1041" t="s">
        <v>269</v>
      </c>
      <c r="D1041" t="s">
        <v>25</v>
      </c>
      <c r="E1041" t="s">
        <v>11</v>
      </c>
      <c r="F1041">
        <v>2024</v>
      </c>
      <c r="G1041">
        <v>65441.631739999997</v>
      </c>
      <c r="H1041">
        <v>65441.631739999997</v>
      </c>
      <c r="I1041">
        <v>1</v>
      </c>
    </row>
    <row r="1042" spans="1:9">
      <c r="A1042" t="s">
        <v>305</v>
      </c>
      <c r="B1042" t="s">
        <v>306</v>
      </c>
      <c r="C1042" t="s">
        <v>269</v>
      </c>
      <c r="D1042" t="s">
        <v>25</v>
      </c>
      <c r="E1042" t="s">
        <v>11</v>
      </c>
      <c r="F1042">
        <v>2025</v>
      </c>
      <c r="G1042">
        <v>70380.346609999993</v>
      </c>
      <c r="H1042">
        <v>70380.346609999993</v>
      </c>
      <c r="I1042">
        <v>1</v>
      </c>
    </row>
    <row r="1043" spans="1:9">
      <c r="A1043" t="s">
        <v>305</v>
      </c>
      <c r="B1043" t="s">
        <v>306</v>
      </c>
      <c r="C1043" t="s">
        <v>269</v>
      </c>
      <c r="D1043" t="s">
        <v>25</v>
      </c>
      <c r="E1043" t="s">
        <v>11</v>
      </c>
      <c r="F1043">
        <v>2026</v>
      </c>
      <c r="G1043">
        <v>73379.595170000001</v>
      </c>
      <c r="H1043">
        <v>73379.595170000001</v>
      </c>
      <c r="I1043">
        <v>1</v>
      </c>
    </row>
    <row r="1044" spans="1:9">
      <c r="A1044" t="s">
        <v>305</v>
      </c>
      <c r="B1044" t="s">
        <v>306</v>
      </c>
      <c r="C1044" t="s">
        <v>269</v>
      </c>
      <c r="D1044" t="s">
        <v>25</v>
      </c>
      <c r="E1044" t="s">
        <v>11</v>
      </c>
      <c r="F1044">
        <v>2027</v>
      </c>
      <c r="G1044">
        <v>78803.749150000003</v>
      </c>
      <c r="H1044">
        <v>78803.749150000003</v>
      </c>
      <c r="I1044">
        <v>1</v>
      </c>
    </row>
    <row r="1045" spans="1:9">
      <c r="A1045" t="s">
        <v>305</v>
      </c>
      <c r="B1045" t="s">
        <v>306</v>
      </c>
      <c r="C1045" t="s">
        <v>269</v>
      </c>
      <c r="D1045" t="s">
        <v>25</v>
      </c>
      <c r="E1045" t="s">
        <v>11</v>
      </c>
      <c r="F1045">
        <v>2028</v>
      </c>
      <c r="G1045">
        <v>84531.620880000002</v>
      </c>
      <c r="H1045">
        <v>84531.620880000002</v>
      </c>
      <c r="I1045">
        <v>1</v>
      </c>
    </row>
    <row r="1046" spans="1:9">
      <c r="A1046" t="s">
        <v>305</v>
      </c>
      <c r="B1046" t="s">
        <v>306</v>
      </c>
      <c r="C1046" t="s">
        <v>269</v>
      </c>
      <c r="D1046" t="s">
        <v>25</v>
      </c>
      <c r="E1046" t="s">
        <v>11</v>
      </c>
      <c r="F1046">
        <v>2029</v>
      </c>
      <c r="G1046">
        <v>87220.124160000007</v>
      </c>
      <c r="H1046">
        <v>87220.124160000007</v>
      </c>
      <c r="I1046">
        <v>1</v>
      </c>
    </row>
    <row r="1047" spans="1:9">
      <c r="A1047" t="s">
        <v>305</v>
      </c>
      <c r="B1047" t="s">
        <v>306</v>
      </c>
      <c r="C1047" t="s">
        <v>269</v>
      </c>
      <c r="D1047" t="s">
        <v>25</v>
      </c>
      <c r="E1047" t="s">
        <v>11</v>
      </c>
      <c r="F1047">
        <v>2030</v>
      </c>
      <c r="G1047">
        <v>91704.286800000002</v>
      </c>
      <c r="H1047">
        <v>91704.286800000002</v>
      </c>
      <c r="I1047">
        <v>1</v>
      </c>
    </row>
    <row r="1048" spans="1:9">
      <c r="A1048" t="s">
        <v>305</v>
      </c>
      <c r="B1048" t="s">
        <v>306</v>
      </c>
      <c r="C1048" t="s">
        <v>269</v>
      </c>
      <c r="D1048" t="s">
        <v>25</v>
      </c>
      <c r="E1048" t="s">
        <v>11</v>
      </c>
      <c r="F1048">
        <v>2031</v>
      </c>
      <c r="G1048">
        <v>95469.438959999999</v>
      </c>
      <c r="H1048">
        <v>95469.438959999999</v>
      </c>
      <c r="I1048">
        <v>1</v>
      </c>
    </row>
    <row r="1049" spans="1:9">
      <c r="A1049" t="s">
        <v>305</v>
      </c>
      <c r="B1049" t="s">
        <v>306</v>
      </c>
      <c r="C1049" t="s">
        <v>269</v>
      </c>
      <c r="D1049" t="s">
        <v>25</v>
      </c>
      <c r="E1049" t="s">
        <v>11</v>
      </c>
      <c r="F1049">
        <v>2032</v>
      </c>
      <c r="G1049">
        <v>102193.70050000001</v>
      </c>
      <c r="H1049">
        <v>102193.70050000001</v>
      </c>
      <c r="I1049">
        <v>1</v>
      </c>
    </row>
    <row r="1050" spans="1:9">
      <c r="A1050" t="s">
        <v>305</v>
      </c>
      <c r="B1050" t="s">
        <v>306</v>
      </c>
      <c r="C1050" t="s">
        <v>269</v>
      </c>
      <c r="D1050" t="s">
        <v>25</v>
      </c>
      <c r="E1050" t="s">
        <v>11</v>
      </c>
      <c r="F1050">
        <v>2033</v>
      </c>
      <c r="G1050">
        <v>107298.2065</v>
      </c>
      <c r="H1050">
        <v>107298.2065</v>
      </c>
      <c r="I1050">
        <v>1</v>
      </c>
    </row>
    <row r="1051" spans="1:9">
      <c r="A1051" t="s">
        <v>305</v>
      </c>
      <c r="B1051" t="s">
        <v>306</v>
      </c>
      <c r="C1051" t="s">
        <v>269</v>
      </c>
      <c r="D1051" t="s">
        <v>25</v>
      </c>
      <c r="E1051" t="s">
        <v>11</v>
      </c>
      <c r="F1051">
        <v>2034</v>
      </c>
      <c r="G1051">
        <v>113627.5281</v>
      </c>
      <c r="H1051">
        <v>113627.5281</v>
      </c>
      <c r="I1051">
        <v>1</v>
      </c>
    </row>
    <row r="1052" spans="1:9">
      <c r="A1052" t="s">
        <v>305</v>
      </c>
      <c r="B1052" t="s">
        <v>306</v>
      </c>
      <c r="C1052" t="s">
        <v>269</v>
      </c>
      <c r="D1052" t="s">
        <v>25</v>
      </c>
      <c r="E1052" t="s">
        <v>11</v>
      </c>
      <c r="F1052">
        <v>2035</v>
      </c>
      <c r="G1052">
        <v>117049.0675</v>
      </c>
      <c r="H1052">
        <v>117049.0675</v>
      </c>
      <c r="I1052">
        <v>1</v>
      </c>
    </row>
    <row r="1053" spans="1:9">
      <c r="A1053" t="s">
        <v>305</v>
      </c>
      <c r="B1053" t="s">
        <v>306</v>
      </c>
      <c r="C1053" t="s">
        <v>269</v>
      </c>
      <c r="D1053" t="s">
        <v>25</v>
      </c>
      <c r="E1053" t="s">
        <v>11</v>
      </c>
      <c r="F1053">
        <v>2036</v>
      </c>
      <c r="G1053">
        <v>117195.2824</v>
      </c>
      <c r="H1053">
        <v>117195.2824</v>
      </c>
      <c r="I1053">
        <v>1</v>
      </c>
    </row>
    <row r="1054" spans="1:9">
      <c r="A1054" t="s">
        <v>305</v>
      </c>
      <c r="B1054" t="s">
        <v>306</v>
      </c>
      <c r="C1054" t="s">
        <v>269</v>
      </c>
      <c r="D1054" t="s">
        <v>25</v>
      </c>
      <c r="E1054" t="s">
        <v>11</v>
      </c>
      <c r="F1054">
        <v>2037</v>
      </c>
      <c r="G1054">
        <v>126309.5275</v>
      </c>
      <c r="H1054">
        <v>126309.5275</v>
      </c>
      <c r="I1054">
        <v>1</v>
      </c>
    </row>
    <row r="1055" spans="1:9">
      <c r="A1055" t="s">
        <v>305</v>
      </c>
      <c r="B1055" t="s">
        <v>306</v>
      </c>
      <c r="C1055" t="s">
        <v>269</v>
      </c>
      <c r="D1055" t="s">
        <v>25</v>
      </c>
      <c r="E1055" t="s">
        <v>11</v>
      </c>
      <c r="F1055">
        <v>2038</v>
      </c>
      <c r="G1055">
        <v>128739.4197</v>
      </c>
      <c r="H1055">
        <v>128739.4197</v>
      </c>
      <c r="I1055">
        <v>1</v>
      </c>
    </row>
    <row r="1056" spans="1:9">
      <c r="A1056" t="s">
        <v>305</v>
      </c>
      <c r="B1056" t="s">
        <v>306</v>
      </c>
      <c r="C1056" t="s">
        <v>269</v>
      </c>
      <c r="D1056" t="s">
        <v>25</v>
      </c>
      <c r="E1056" t="s">
        <v>11</v>
      </c>
      <c r="F1056">
        <v>2039</v>
      </c>
      <c r="G1056">
        <v>137295.2873</v>
      </c>
      <c r="H1056">
        <v>137295.2873</v>
      </c>
      <c r="I1056">
        <v>1</v>
      </c>
    </row>
    <row r="1057" spans="1:9">
      <c r="A1057" t="s">
        <v>305</v>
      </c>
      <c r="B1057" t="s">
        <v>306</v>
      </c>
      <c r="C1057" t="s">
        <v>269</v>
      </c>
      <c r="D1057" t="s">
        <v>25</v>
      </c>
      <c r="E1057" t="s">
        <v>11</v>
      </c>
      <c r="F1057">
        <v>2040</v>
      </c>
      <c r="G1057">
        <v>142395.43</v>
      </c>
      <c r="H1057">
        <v>142395.43</v>
      </c>
      <c r="I1057">
        <v>1</v>
      </c>
    </row>
    <row r="1058" spans="1:9">
      <c r="A1058" t="s">
        <v>305</v>
      </c>
      <c r="B1058" t="s">
        <v>306</v>
      </c>
      <c r="C1058" t="s">
        <v>269</v>
      </c>
      <c r="D1058" t="s">
        <v>25</v>
      </c>
      <c r="E1058" t="s">
        <v>11</v>
      </c>
      <c r="F1058">
        <v>2041</v>
      </c>
      <c r="G1058">
        <v>144953.96739999999</v>
      </c>
      <c r="H1058">
        <v>144953.96739999999</v>
      </c>
      <c r="I1058">
        <v>1</v>
      </c>
    </row>
    <row r="1059" spans="1:9">
      <c r="A1059" t="s">
        <v>305</v>
      </c>
      <c r="B1059" t="s">
        <v>306</v>
      </c>
      <c r="C1059" t="s">
        <v>269</v>
      </c>
      <c r="D1059" t="s">
        <v>25</v>
      </c>
      <c r="E1059" t="s">
        <v>11</v>
      </c>
      <c r="F1059">
        <v>2042</v>
      </c>
      <c r="G1059">
        <v>150191.01629999999</v>
      </c>
      <c r="H1059">
        <v>150191.01629999999</v>
      </c>
      <c r="I1059">
        <v>1</v>
      </c>
    </row>
    <row r="1060" spans="1:9">
      <c r="A1060" t="s">
        <v>305</v>
      </c>
      <c r="B1060" t="s">
        <v>306</v>
      </c>
      <c r="C1060" t="s">
        <v>269</v>
      </c>
      <c r="D1060" t="s">
        <v>25</v>
      </c>
      <c r="E1060" t="s">
        <v>11</v>
      </c>
      <c r="F1060">
        <v>2043</v>
      </c>
      <c r="G1060">
        <v>155535.95420000001</v>
      </c>
      <c r="H1060">
        <v>155535.95420000001</v>
      </c>
      <c r="I1060">
        <v>1</v>
      </c>
    </row>
    <row r="1061" spans="1:9">
      <c r="A1061" t="s">
        <v>305</v>
      </c>
      <c r="B1061" t="s">
        <v>306</v>
      </c>
      <c r="C1061" t="s">
        <v>269</v>
      </c>
      <c r="D1061" t="s">
        <v>25</v>
      </c>
      <c r="E1061" t="s">
        <v>11</v>
      </c>
      <c r="F1061">
        <v>2044</v>
      </c>
      <c r="G1061">
        <v>160979.59909999999</v>
      </c>
      <c r="H1061">
        <v>160979.59909999999</v>
      </c>
      <c r="I1061">
        <v>1</v>
      </c>
    </row>
    <row r="1062" spans="1:9">
      <c r="A1062" t="s">
        <v>305</v>
      </c>
      <c r="B1062" t="s">
        <v>306</v>
      </c>
      <c r="C1062" t="s">
        <v>269</v>
      </c>
      <c r="D1062" t="s">
        <v>25</v>
      </c>
      <c r="E1062" t="s">
        <v>11</v>
      </c>
      <c r="F1062">
        <v>2045</v>
      </c>
      <c r="G1062">
        <v>163488.68460000001</v>
      </c>
      <c r="H1062">
        <v>163488.68460000001</v>
      </c>
      <c r="I1062">
        <v>1</v>
      </c>
    </row>
    <row r="1063" spans="1:9">
      <c r="A1063" t="s">
        <v>305</v>
      </c>
      <c r="B1063" t="s">
        <v>306</v>
      </c>
      <c r="C1063" t="s">
        <v>269</v>
      </c>
      <c r="D1063" t="s">
        <v>25</v>
      </c>
      <c r="E1063" t="s">
        <v>11</v>
      </c>
      <c r="F1063">
        <v>2046</v>
      </c>
      <c r="G1063">
        <v>167482.25570000001</v>
      </c>
      <c r="H1063">
        <v>167482.25570000001</v>
      </c>
      <c r="I1063">
        <v>1</v>
      </c>
    </row>
    <row r="1064" spans="1:9">
      <c r="A1064" t="s">
        <v>305</v>
      </c>
      <c r="B1064" t="s">
        <v>306</v>
      </c>
      <c r="C1064" t="s">
        <v>269</v>
      </c>
      <c r="D1064" t="s">
        <v>25</v>
      </c>
      <c r="E1064" t="s">
        <v>11</v>
      </c>
      <c r="F1064">
        <v>2047</v>
      </c>
      <c r="G1064">
        <v>166580.2555</v>
      </c>
      <c r="H1064">
        <v>166580.2555</v>
      </c>
      <c r="I1064">
        <v>1</v>
      </c>
    </row>
    <row r="1065" spans="1:9">
      <c r="A1065" t="s">
        <v>305</v>
      </c>
      <c r="B1065" t="s">
        <v>306</v>
      </c>
      <c r="C1065" t="s">
        <v>269</v>
      </c>
      <c r="D1065" t="s">
        <v>25</v>
      </c>
      <c r="E1065" t="s">
        <v>11</v>
      </c>
      <c r="F1065">
        <v>2048</v>
      </c>
      <c r="G1065">
        <v>172103.3107</v>
      </c>
      <c r="H1065">
        <v>172103.3107</v>
      </c>
      <c r="I1065">
        <v>1</v>
      </c>
    </row>
    <row r="1066" spans="1:9">
      <c r="A1066" t="s">
        <v>305</v>
      </c>
      <c r="B1066" t="s">
        <v>306</v>
      </c>
      <c r="C1066" t="s">
        <v>269</v>
      </c>
      <c r="D1066" t="s">
        <v>25</v>
      </c>
      <c r="E1066" t="s">
        <v>11</v>
      </c>
      <c r="F1066">
        <v>2049</v>
      </c>
      <c r="G1066">
        <v>176860.5864</v>
      </c>
      <c r="H1066">
        <v>176860.5864</v>
      </c>
      <c r="I1066">
        <v>1</v>
      </c>
    </row>
    <row r="1067" spans="1:9">
      <c r="A1067" t="s">
        <v>305</v>
      </c>
      <c r="B1067" t="s">
        <v>306</v>
      </c>
      <c r="C1067" t="s">
        <v>269</v>
      </c>
      <c r="D1067" t="s">
        <v>25</v>
      </c>
      <c r="E1067" t="s">
        <v>11</v>
      </c>
      <c r="F1067">
        <v>2050</v>
      </c>
      <c r="G1067">
        <v>180767.6391</v>
      </c>
      <c r="H1067">
        <v>180767.6391</v>
      </c>
      <c r="I1067">
        <v>1</v>
      </c>
    </row>
    <row r="1068" spans="1:9">
      <c r="A1068" t="s">
        <v>305</v>
      </c>
      <c r="B1068" t="s">
        <v>306</v>
      </c>
      <c r="C1068" t="s">
        <v>269</v>
      </c>
      <c r="D1068" t="s">
        <v>26</v>
      </c>
      <c r="E1068" t="s">
        <v>11</v>
      </c>
      <c r="F1068">
        <v>2010</v>
      </c>
      <c r="G1068">
        <v>792.56390399999998</v>
      </c>
      <c r="H1068">
        <v>792.56390399999998</v>
      </c>
      <c r="I1068">
        <v>1</v>
      </c>
    </row>
    <row r="1069" spans="1:9">
      <c r="A1069" t="s">
        <v>305</v>
      </c>
      <c r="B1069" t="s">
        <v>306</v>
      </c>
      <c r="C1069" t="s">
        <v>269</v>
      </c>
      <c r="D1069" t="s">
        <v>26</v>
      </c>
      <c r="E1069" t="s">
        <v>11</v>
      </c>
      <c r="F1069">
        <v>2011</v>
      </c>
      <c r="G1069">
        <v>809.99006399999996</v>
      </c>
      <c r="H1069">
        <v>809.99006399999996</v>
      </c>
      <c r="I1069">
        <v>1</v>
      </c>
    </row>
    <row r="1070" spans="1:9">
      <c r="A1070" t="s">
        <v>305</v>
      </c>
      <c r="B1070" t="s">
        <v>306</v>
      </c>
      <c r="C1070" t="s">
        <v>269</v>
      </c>
      <c r="D1070" t="s">
        <v>26</v>
      </c>
      <c r="E1070" t="s">
        <v>11</v>
      </c>
      <c r="F1070">
        <v>2012</v>
      </c>
      <c r="G1070">
        <v>827.65252799999996</v>
      </c>
      <c r="H1070">
        <v>827.65252799999996</v>
      </c>
      <c r="I1070">
        <v>1</v>
      </c>
    </row>
    <row r="1071" spans="1:9">
      <c r="A1071" t="s">
        <v>305</v>
      </c>
      <c r="B1071" t="s">
        <v>306</v>
      </c>
      <c r="C1071" t="s">
        <v>269</v>
      </c>
      <c r="D1071" t="s">
        <v>26</v>
      </c>
      <c r="E1071" t="s">
        <v>11</v>
      </c>
      <c r="F1071">
        <v>2013</v>
      </c>
      <c r="G1071">
        <v>845.56454399999996</v>
      </c>
      <c r="H1071">
        <v>845.56454399999996</v>
      </c>
      <c r="I1071">
        <v>1</v>
      </c>
    </row>
    <row r="1072" spans="1:9">
      <c r="A1072" t="s">
        <v>305</v>
      </c>
      <c r="B1072" t="s">
        <v>306</v>
      </c>
      <c r="C1072" t="s">
        <v>269</v>
      </c>
      <c r="D1072" t="s">
        <v>26</v>
      </c>
      <c r="E1072" t="s">
        <v>11</v>
      </c>
      <c r="F1072">
        <v>2014</v>
      </c>
      <c r="G1072">
        <v>863.68439999999998</v>
      </c>
      <c r="H1072">
        <v>863.68439999999998</v>
      </c>
      <c r="I1072">
        <v>1</v>
      </c>
    </row>
    <row r="1073" spans="1:9">
      <c r="A1073" t="s">
        <v>305</v>
      </c>
      <c r="B1073" t="s">
        <v>306</v>
      </c>
      <c r="C1073" t="s">
        <v>269</v>
      </c>
      <c r="D1073" t="s">
        <v>26</v>
      </c>
      <c r="E1073" t="s">
        <v>11</v>
      </c>
      <c r="F1073">
        <v>2015</v>
      </c>
      <c r="G1073">
        <v>882.00427200000001</v>
      </c>
      <c r="H1073">
        <v>882.00427200000001</v>
      </c>
      <c r="I1073">
        <v>1</v>
      </c>
    </row>
    <row r="1074" spans="1:9">
      <c r="A1074" t="s">
        <v>305</v>
      </c>
      <c r="B1074" t="s">
        <v>306</v>
      </c>
      <c r="C1074" t="s">
        <v>269</v>
      </c>
      <c r="D1074" t="s">
        <v>26</v>
      </c>
      <c r="E1074" t="s">
        <v>11</v>
      </c>
      <c r="F1074">
        <v>2016</v>
      </c>
      <c r="G1074">
        <v>900.50116800000001</v>
      </c>
      <c r="H1074">
        <v>900.50116800000001</v>
      </c>
      <c r="I1074">
        <v>1</v>
      </c>
    </row>
    <row r="1075" spans="1:9">
      <c r="A1075" t="s">
        <v>305</v>
      </c>
      <c r="B1075" t="s">
        <v>306</v>
      </c>
      <c r="C1075" t="s">
        <v>269</v>
      </c>
      <c r="D1075" t="s">
        <v>26</v>
      </c>
      <c r="E1075" t="s">
        <v>11</v>
      </c>
      <c r="F1075">
        <v>2017</v>
      </c>
      <c r="G1075">
        <v>919.18982400000004</v>
      </c>
      <c r="H1075">
        <v>919.18982400000004</v>
      </c>
      <c r="I1075">
        <v>1</v>
      </c>
    </row>
    <row r="1076" spans="1:9">
      <c r="A1076" t="s">
        <v>305</v>
      </c>
      <c r="B1076" t="s">
        <v>306</v>
      </c>
      <c r="C1076" t="s">
        <v>269</v>
      </c>
      <c r="D1076" t="s">
        <v>26</v>
      </c>
      <c r="E1076" t="s">
        <v>11</v>
      </c>
      <c r="F1076">
        <v>2018</v>
      </c>
      <c r="G1076">
        <v>938.01854400000002</v>
      </c>
      <c r="H1076">
        <v>938.01854400000002</v>
      </c>
      <c r="I1076">
        <v>1</v>
      </c>
    </row>
    <row r="1077" spans="1:9">
      <c r="A1077" t="s">
        <v>305</v>
      </c>
      <c r="B1077" t="s">
        <v>306</v>
      </c>
      <c r="C1077" t="s">
        <v>269</v>
      </c>
      <c r="D1077" t="s">
        <v>26</v>
      </c>
      <c r="E1077" t="s">
        <v>11</v>
      </c>
      <c r="F1077">
        <v>2019</v>
      </c>
      <c r="G1077">
        <v>956.92247999999995</v>
      </c>
      <c r="H1077">
        <v>956.92247999999995</v>
      </c>
      <c r="I1077">
        <v>1</v>
      </c>
    </row>
    <row r="1078" spans="1:9">
      <c r="A1078" t="s">
        <v>305</v>
      </c>
      <c r="B1078" t="s">
        <v>306</v>
      </c>
      <c r="C1078" t="s">
        <v>269</v>
      </c>
      <c r="D1078" t="s">
        <v>26</v>
      </c>
      <c r="E1078" t="s">
        <v>11</v>
      </c>
      <c r="F1078">
        <v>2020</v>
      </c>
      <c r="G1078">
        <v>975.87628800000005</v>
      </c>
      <c r="H1078">
        <v>975.87628800000005</v>
      </c>
      <c r="I1078">
        <v>1</v>
      </c>
    </row>
    <row r="1079" spans="1:9">
      <c r="A1079" t="s">
        <v>305</v>
      </c>
      <c r="B1079" t="s">
        <v>306</v>
      </c>
      <c r="C1079" t="s">
        <v>269</v>
      </c>
      <c r="D1079" t="s">
        <v>26</v>
      </c>
      <c r="E1079" t="s">
        <v>11</v>
      </c>
      <c r="F1079">
        <v>2021</v>
      </c>
      <c r="G1079">
        <v>994.85385599999995</v>
      </c>
      <c r="H1079">
        <v>994.85385599999995</v>
      </c>
      <c r="I1079">
        <v>1</v>
      </c>
    </row>
    <row r="1080" spans="1:9">
      <c r="A1080" t="s">
        <v>305</v>
      </c>
      <c r="B1080" t="s">
        <v>306</v>
      </c>
      <c r="C1080" t="s">
        <v>269</v>
      </c>
      <c r="D1080" t="s">
        <v>26</v>
      </c>
      <c r="E1080" t="s">
        <v>11</v>
      </c>
      <c r="F1080">
        <v>2022</v>
      </c>
      <c r="G1080">
        <v>1013.835696</v>
      </c>
      <c r="H1080">
        <v>1013.835696</v>
      </c>
      <c r="I1080">
        <v>1</v>
      </c>
    </row>
    <row r="1081" spans="1:9">
      <c r="A1081" t="s">
        <v>305</v>
      </c>
      <c r="B1081" t="s">
        <v>306</v>
      </c>
      <c r="C1081" t="s">
        <v>269</v>
      </c>
      <c r="D1081" t="s">
        <v>26</v>
      </c>
      <c r="E1081" t="s">
        <v>11</v>
      </c>
      <c r="F1081">
        <v>2023</v>
      </c>
      <c r="G1081">
        <v>1032.8066879999999</v>
      </c>
      <c r="H1081">
        <v>1032.8066879999999</v>
      </c>
      <c r="I1081">
        <v>1</v>
      </c>
    </row>
    <row r="1082" spans="1:9">
      <c r="A1082" t="s">
        <v>305</v>
      </c>
      <c r="B1082" t="s">
        <v>306</v>
      </c>
      <c r="C1082" t="s">
        <v>269</v>
      </c>
      <c r="D1082" t="s">
        <v>26</v>
      </c>
      <c r="E1082" t="s">
        <v>11</v>
      </c>
      <c r="F1082">
        <v>2024</v>
      </c>
      <c r="G1082">
        <v>1051.7552639999999</v>
      </c>
      <c r="H1082">
        <v>1051.7552639999999</v>
      </c>
      <c r="I1082">
        <v>1</v>
      </c>
    </row>
    <row r="1083" spans="1:9">
      <c r="A1083" t="s">
        <v>305</v>
      </c>
      <c r="B1083" t="s">
        <v>306</v>
      </c>
      <c r="C1083" t="s">
        <v>269</v>
      </c>
      <c r="D1083" t="s">
        <v>26</v>
      </c>
      <c r="E1083" t="s">
        <v>11</v>
      </c>
      <c r="F1083">
        <v>2025</v>
      </c>
      <c r="G1083">
        <v>1070.664912</v>
      </c>
      <c r="H1083">
        <v>1070.664912</v>
      </c>
      <c r="I1083">
        <v>1</v>
      </c>
    </row>
    <row r="1084" spans="1:9">
      <c r="A1084" t="s">
        <v>305</v>
      </c>
      <c r="B1084" t="s">
        <v>306</v>
      </c>
      <c r="C1084" t="s">
        <v>269</v>
      </c>
      <c r="D1084" t="s">
        <v>26</v>
      </c>
      <c r="E1084" t="s">
        <v>11</v>
      </c>
      <c r="F1084">
        <v>2026</v>
      </c>
      <c r="G1084">
        <v>1089.5101440000001</v>
      </c>
      <c r="H1084">
        <v>1089.5101440000001</v>
      </c>
      <c r="I1084">
        <v>1</v>
      </c>
    </row>
    <row r="1085" spans="1:9">
      <c r="A1085" t="s">
        <v>305</v>
      </c>
      <c r="B1085" t="s">
        <v>306</v>
      </c>
      <c r="C1085" t="s">
        <v>269</v>
      </c>
      <c r="D1085" t="s">
        <v>26</v>
      </c>
      <c r="E1085" t="s">
        <v>11</v>
      </c>
      <c r="F1085">
        <v>2027</v>
      </c>
      <c r="G1085">
        <v>1108.2611039999999</v>
      </c>
      <c r="H1085">
        <v>1108.2611039999999</v>
      </c>
      <c r="I1085">
        <v>1</v>
      </c>
    </row>
    <row r="1086" spans="1:9">
      <c r="A1086" t="s">
        <v>305</v>
      </c>
      <c r="B1086" t="s">
        <v>306</v>
      </c>
      <c r="C1086" t="s">
        <v>269</v>
      </c>
      <c r="D1086" t="s">
        <v>26</v>
      </c>
      <c r="E1086" t="s">
        <v>11</v>
      </c>
      <c r="F1086">
        <v>2028</v>
      </c>
      <c r="G1086">
        <v>1126.89192</v>
      </c>
      <c r="H1086">
        <v>1126.89192</v>
      </c>
      <c r="I1086">
        <v>1</v>
      </c>
    </row>
    <row r="1087" spans="1:9">
      <c r="A1087" t="s">
        <v>305</v>
      </c>
      <c r="B1087" t="s">
        <v>306</v>
      </c>
      <c r="C1087" t="s">
        <v>269</v>
      </c>
      <c r="D1087" t="s">
        <v>26</v>
      </c>
      <c r="E1087" t="s">
        <v>11</v>
      </c>
      <c r="F1087">
        <v>2029</v>
      </c>
      <c r="G1087">
        <v>1145.3755200000001</v>
      </c>
      <c r="H1087">
        <v>1145.3755200000001</v>
      </c>
      <c r="I1087">
        <v>1</v>
      </c>
    </row>
    <row r="1088" spans="1:9">
      <c r="A1088" t="s">
        <v>305</v>
      </c>
      <c r="B1088" t="s">
        <v>306</v>
      </c>
      <c r="C1088" t="s">
        <v>269</v>
      </c>
      <c r="D1088" t="s">
        <v>26</v>
      </c>
      <c r="E1088" t="s">
        <v>11</v>
      </c>
      <c r="F1088">
        <v>2030</v>
      </c>
      <c r="G1088">
        <v>1163.6835840000001</v>
      </c>
      <c r="H1088">
        <v>1163.6835840000001</v>
      </c>
      <c r="I1088">
        <v>1</v>
      </c>
    </row>
    <row r="1089" spans="1:9">
      <c r="A1089" t="s">
        <v>305</v>
      </c>
      <c r="B1089" t="s">
        <v>306</v>
      </c>
      <c r="C1089" t="s">
        <v>269</v>
      </c>
      <c r="D1089" t="s">
        <v>26</v>
      </c>
      <c r="E1089" t="s">
        <v>11</v>
      </c>
      <c r="F1089">
        <v>2031</v>
      </c>
      <c r="G1089">
        <v>1181.7903839999999</v>
      </c>
      <c r="H1089">
        <v>1181.7903839999999</v>
      </c>
      <c r="I1089">
        <v>1</v>
      </c>
    </row>
    <row r="1090" spans="1:9">
      <c r="A1090" t="s">
        <v>305</v>
      </c>
      <c r="B1090" t="s">
        <v>306</v>
      </c>
      <c r="C1090" t="s">
        <v>269</v>
      </c>
      <c r="D1090" t="s">
        <v>26</v>
      </c>
      <c r="E1090" t="s">
        <v>11</v>
      </c>
      <c r="F1090">
        <v>2032</v>
      </c>
      <c r="G1090">
        <v>1199.6663040000001</v>
      </c>
      <c r="H1090">
        <v>1199.6663040000001</v>
      </c>
      <c r="I1090">
        <v>1</v>
      </c>
    </row>
    <row r="1091" spans="1:9">
      <c r="A1091" t="s">
        <v>305</v>
      </c>
      <c r="B1091" t="s">
        <v>306</v>
      </c>
      <c r="C1091" t="s">
        <v>269</v>
      </c>
      <c r="D1091" t="s">
        <v>26</v>
      </c>
      <c r="E1091" t="s">
        <v>11</v>
      </c>
      <c r="F1091">
        <v>2033</v>
      </c>
      <c r="G1091">
        <v>1217.2731839999999</v>
      </c>
      <c r="H1091">
        <v>1217.2731839999999</v>
      </c>
      <c r="I1091">
        <v>1</v>
      </c>
    </row>
    <row r="1092" spans="1:9">
      <c r="A1092" t="s">
        <v>305</v>
      </c>
      <c r="B1092" t="s">
        <v>306</v>
      </c>
      <c r="C1092" t="s">
        <v>269</v>
      </c>
      <c r="D1092" t="s">
        <v>26</v>
      </c>
      <c r="E1092" t="s">
        <v>11</v>
      </c>
      <c r="F1092">
        <v>2034</v>
      </c>
      <c r="G1092">
        <v>1234.569888</v>
      </c>
      <c r="H1092">
        <v>1234.569888</v>
      </c>
      <c r="I1092">
        <v>1</v>
      </c>
    </row>
    <row r="1093" spans="1:9">
      <c r="A1093" t="s">
        <v>305</v>
      </c>
      <c r="B1093" t="s">
        <v>306</v>
      </c>
      <c r="C1093" t="s">
        <v>269</v>
      </c>
      <c r="D1093" t="s">
        <v>26</v>
      </c>
      <c r="E1093" t="s">
        <v>11</v>
      </c>
      <c r="F1093">
        <v>2035</v>
      </c>
      <c r="G1093">
        <v>0</v>
      </c>
      <c r="H1093">
        <v>0</v>
      </c>
      <c r="I1093">
        <v>1</v>
      </c>
    </row>
    <row r="1094" spans="1:9">
      <c r="A1094" t="s">
        <v>305</v>
      </c>
      <c r="B1094" t="s">
        <v>306</v>
      </c>
      <c r="C1094" t="s">
        <v>269</v>
      </c>
      <c r="D1094" t="s">
        <v>26</v>
      </c>
      <c r="E1094" t="s">
        <v>11</v>
      </c>
      <c r="F1094">
        <v>2036</v>
      </c>
      <c r="G1094">
        <v>0</v>
      </c>
      <c r="H1094">
        <v>0</v>
      </c>
      <c r="I1094">
        <v>1</v>
      </c>
    </row>
    <row r="1095" spans="1:9">
      <c r="A1095" t="s">
        <v>305</v>
      </c>
      <c r="B1095" t="s">
        <v>306</v>
      </c>
      <c r="C1095" t="s">
        <v>269</v>
      </c>
      <c r="D1095" t="s">
        <v>26</v>
      </c>
      <c r="E1095" t="s">
        <v>11</v>
      </c>
      <c r="F1095">
        <v>2037</v>
      </c>
      <c r="G1095">
        <v>1284.303408</v>
      </c>
      <c r="H1095">
        <v>1284.303408</v>
      </c>
      <c r="I1095">
        <v>1</v>
      </c>
    </row>
    <row r="1096" spans="1:9">
      <c r="A1096" t="s">
        <v>305</v>
      </c>
      <c r="B1096" t="s">
        <v>306</v>
      </c>
      <c r="C1096" t="s">
        <v>269</v>
      </c>
      <c r="D1096" t="s">
        <v>26</v>
      </c>
      <c r="E1096" t="s">
        <v>11</v>
      </c>
      <c r="F1096">
        <v>2038</v>
      </c>
      <c r="G1096">
        <v>0</v>
      </c>
      <c r="H1096">
        <v>0</v>
      </c>
      <c r="I1096">
        <v>1</v>
      </c>
    </row>
    <row r="1097" spans="1:9">
      <c r="A1097" t="s">
        <v>305</v>
      </c>
      <c r="B1097" t="s">
        <v>306</v>
      </c>
      <c r="C1097" t="s">
        <v>269</v>
      </c>
      <c r="D1097" t="s">
        <v>26</v>
      </c>
      <c r="E1097" t="s">
        <v>11</v>
      </c>
      <c r="F1097">
        <v>2039</v>
      </c>
      <c r="G1097">
        <v>0</v>
      </c>
      <c r="H1097">
        <v>0</v>
      </c>
      <c r="I1097">
        <v>1</v>
      </c>
    </row>
    <row r="1098" spans="1:9">
      <c r="A1098" t="s">
        <v>305</v>
      </c>
      <c r="B1098" t="s">
        <v>306</v>
      </c>
      <c r="C1098" t="s">
        <v>269</v>
      </c>
      <c r="D1098" t="s">
        <v>26</v>
      </c>
      <c r="E1098" t="s">
        <v>11</v>
      </c>
      <c r="F1098">
        <v>2040</v>
      </c>
      <c r="G1098">
        <v>0</v>
      </c>
      <c r="H1098">
        <v>0</v>
      </c>
      <c r="I1098">
        <v>1</v>
      </c>
    </row>
    <row r="1099" spans="1:9">
      <c r="A1099" t="s">
        <v>305</v>
      </c>
      <c r="B1099" t="s">
        <v>306</v>
      </c>
      <c r="C1099" t="s">
        <v>269</v>
      </c>
      <c r="D1099" t="s">
        <v>26</v>
      </c>
      <c r="E1099" t="s">
        <v>11</v>
      </c>
      <c r="F1099">
        <v>2041</v>
      </c>
      <c r="G1099">
        <v>0</v>
      </c>
      <c r="H1099">
        <v>0</v>
      </c>
      <c r="I1099">
        <v>1</v>
      </c>
    </row>
    <row r="1100" spans="1:9">
      <c r="A1100" t="s">
        <v>305</v>
      </c>
      <c r="B1100" t="s">
        <v>306</v>
      </c>
      <c r="C1100" t="s">
        <v>269</v>
      </c>
      <c r="D1100" t="s">
        <v>26</v>
      </c>
      <c r="E1100" t="s">
        <v>11</v>
      </c>
      <c r="F1100">
        <v>2042</v>
      </c>
      <c r="G1100">
        <v>0</v>
      </c>
      <c r="H1100">
        <v>0</v>
      </c>
      <c r="I1100">
        <v>1</v>
      </c>
    </row>
    <row r="1101" spans="1:9">
      <c r="A1101" t="s">
        <v>305</v>
      </c>
      <c r="B1101" t="s">
        <v>306</v>
      </c>
      <c r="C1101" t="s">
        <v>269</v>
      </c>
      <c r="D1101" t="s">
        <v>26</v>
      </c>
      <c r="E1101" t="s">
        <v>11</v>
      </c>
      <c r="F1101">
        <v>2043</v>
      </c>
      <c r="G1101">
        <v>0</v>
      </c>
      <c r="H1101">
        <v>0</v>
      </c>
      <c r="I1101">
        <v>1</v>
      </c>
    </row>
    <row r="1102" spans="1:9">
      <c r="A1102" t="s">
        <v>305</v>
      </c>
      <c r="B1102" t="s">
        <v>306</v>
      </c>
      <c r="C1102" t="s">
        <v>269</v>
      </c>
      <c r="D1102" t="s">
        <v>26</v>
      </c>
      <c r="E1102" t="s">
        <v>11</v>
      </c>
      <c r="F1102">
        <v>2044</v>
      </c>
      <c r="G1102">
        <v>0</v>
      </c>
      <c r="H1102">
        <v>0</v>
      </c>
      <c r="I1102">
        <v>1</v>
      </c>
    </row>
    <row r="1103" spans="1:9">
      <c r="A1103" t="s">
        <v>305</v>
      </c>
      <c r="B1103" t="s">
        <v>306</v>
      </c>
      <c r="C1103" t="s">
        <v>269</v>
      </c>
      <c r="D1103" t="s">
        <v>26</v>
      </c>
      <c r="E1103" t="s">
        <v>11</v>
      </c>
      <c r="F1103">
        <v>2045</v>
      </c>
      <c r="G1103">
        <v>0</v>
      </c>
      <c r="H1103">
        <v>0</v>
      </c>
      <c r="I1103">
        <v>1</v>
      </c>
    </row>
    <row r="1104" spans="1:9">
      <c r="A1104" t="s">
        <v>305</v>
      </c>
      <c r="B1104" t="s">
        <v>306</v>
      </c>
      <c r="C1104" t="s">
        <v>269</v>
      </c>
      <c r="D1104" t="s">
        <v>26</v>
      </c>
      <c r="E1104" t="s">
        <v>11</v>
      </c>
      <c r="F1104">
        <v>2046</v>
      </c>
      <c r="G1104">
        <v>0</v>
      </c>
      <c r="H1104">
        <v>0</v>
      </c>
      <c r="I1104">
        <v>1</v>
      </c>
    </row>
    <row r="1105" spans="1:9">
      <c r="A1105" t="s">
        <v>305</v>
      </c>
      <c r="B1105" t="s">
        <v>306</v>
      </c>
      <c r="C1105" t="s">
        <v>269</v>
      </c>
      <c r="D1105" t="s">
        <v>26</v>
      </c>
      <c r="E1105" t="s">
        <v>11</v>
      </c>
      <c r="F1105">
        <v>2047</v>
      </c>
      <c r="G1105">
        <v>0</v>
      </c>
      <c r="H1105">
        <v>0</v>
      </c>
      <c r="I1105">
        <v>1</v>
      </c>
    </row>
    <row r="1106" spans="1:9">
      <c r="A1106" t="s">
        <v>305</v>
      </c>
      <c r="B1106" t="s">
        <v>306</v>
      </c>
      <c r="C1106" t="s">
        <v>269</v>
      </c>
      <c r="D1106" t="s">
        <v>26</v>
      </c>
      <c r="E1106" t="s">
        <v>11</v>
      </c>
      <c r="F1106">
        <v>2048</v>
      </c>
      <c r="G1106">
        <v>0</v>
      </c>
      <c r="H1106">
        <v>0</v>
      </c>
      <c r="I1106">
        <v>1</v>
      </c>
    </row>
    <row r="1107" spans="1:9">
      <c r="A1107" t="s">
        <v>305</v>
      </c>
      <c r="B1107" t="s">
        <v>306</v>
      </c>
      <c r="C1107" t="s">
        <v>269</v>
      </c>
      <c r="D1107" t="s">
        <v>26</v>
      </c>
      <c r="E1107" t="s">
        <v>11</v>
      </c>
      <c r="F1107">
        <v>2049</v>
      </c>
      <c r="G1107">
        <v>0</v>
      </c>
      <c r="H1107">
        <v>0</v>
      </c>
      <c r="I1107">
        <v>1</v>
      </c>
    </row>
    <row r="1108" spans="1:9">
      <c r="A1108" t="s">
        <v>305</v>
      </c>
      <c r="B1108" t="s">
        <v>306</v>
      </c>
      <c r="C1108" t="s">
        <v>269</v>
      </c>
      <c r="D1108" t="s">
        <v>26</v>
      </c>
      <c r="E1108" t="s">
        <v>11</v>
      </c>
      <c r="F1108">
        <v>2050</v>
      </c>
      <c r="G1108">
        <v>0</v>
      </c>
      <c r="H1108">
        <v>0</v>
      </c>
      <c r="I1108">
        <v>1</v>
      </c>
    </row>
    <row r="1109" spans="1:9">
      <c r="A1109" t="s">
        <v>305</v>
      </c>
      <c r="B1109" t="s">
        <v>306</v>
      </c>
      <c r="C1109" t="s">
        <v>269</v>
      </c>
      <c r="D1109" t="s">
        <v>307</v>
      </c>
      <c r="E1109" t="s">
        <v>11</v>
      </c>
      <c r="F1109">
        <v>2010</v>
      </c>
      <c r="G1109">
        <v>23252.5488</v>
      </c>
      <c r="H1109">
        <v>23252.5488</v>
      </c>
      <c r="I1109">
        <v>1</v>
      </c>
    </row>
    <row r="1110" spans="1:9">
      <c r="A1110" t="s">
        <v>305</v>
      </c>
      <c r="B1110" t="s">
        <v>306</v>
      </c>
      <c r="C1110" t="s">
        <v>269</v>
      </c>
      <c r="D1110" t="s">
        <v>307</v>
      </c>
      <c r="E1110" t="s">
        <v>11</v>
      </c>
      <c r="F1110">
        <v>2011</v>
      </c>
      <c r="G1110">
        <v>25138.517039999999</v>
      </c>
      <c r="H1110">
        <v>25138.517039999999</v>
      </c>
      <c r="I1110">
        <v>1</v>
      </c>
    </row>
    <row r="1111" spans="1:9">
      <c r="A1111" t="s">
        <v>305</v>
      </c>
      <c r="B1111" t="s">
        <v>306</v>
      </c>
      <c r="C1111" t="s">
        <v>269</v>
      </c>
      <c r="D1111" t="s">
        <v>307</v>
      </c>
      <c r="E1111" t="s">
        <v>11</v>
      </c>
      <c r="F1111">
        <v>2012</v>
      </c>
      <c r="G1111">
        <v>27114.495940000001</v>
      </c>
      <c r="H1111">
        <v>27114.495940000001</v>
      </c>
      <c r="I1111">
        <v>1</v>
      </c>
    </row>
    <row r="1112" spans="1:9">
      <c r="A1112" t="s">
        <v>305</v>
      </c>
      <c r="B1112" t="s">
        <v>306</v>
      </c>
      <c r="C1112" t="s">
        <v>269</v>
      </c>
      <c r="D1112" t="s">
        <v>307</v>
      </c>
      <c r="E1112" t="s">
        <v>11</v>
      </c>
      <c r="F1112">
        <v>2013</v>
      </c>
      <c r="G1112">
        <v>29183.546689999999</v>
      </c>
      <c r="H1112">
        <v>29183.546689999999</v>
      </c>
      <c r="I1112">
        <v>1</v>
      </c>
    </row>
    <row r="1113" spans="1:9">
      <c r="A1113" t="s">
        <v>305</v>
      </c>
      <c r="B1113" t="s">
        <v>306</v>
      </c>
      <c r="C1113" t="s">
        <v>269</v>
      </c>
      <c r="D1113" t="s">
        <v>307</v>
      </c>
      <c r="E1113" t="s">
        <v>11</v>
      </c>
      <c r="F1113">
        <v>2014</v>
      </c>
      <c r="G1113">
        <v>32654.858400000001</v>
      </c>
      <c r="H1113">
        <v>32654.858400000001</v>
      </c>
      <c r="I1113">
        <v>1</v>
      </c>
    </row>
    <row r="1114" spans="1:9">
      <c r="A1114" t="s">
        <v>305</v>
      </c>
      <c r="B1114" t="s">
        <v>306</v>
      </c>
      <c r="C1114" t="s">
        <v>269</v>
      </c>
      <c r="D1114" t="s">
        <v>307</v>
      </c>
      <c r="E1114" t="s">
        <v>11</v>
      </c>
      <c r="F1114">
        <v>2015</v>
      </c>
      <c r="G1114">
        <v>34957.342369999998</v>
      </c>
      <c r="H1114">
        <v>34957.342369999998</v>
      </c>
      <c r="I1114">
        <v>1</v>
      </c>
    </row>
    <row r="1115" spans="1:9">
      <c r="A1115" t="s">
        <v>305</v>
      </c>
      <c r="B1115" t="s">
        <v>306</v>
      </c>
      <c r="C1115" t="s">
        <v>269</v>
      </c>
      <c r="D1115" t="s">
        <v>307</v>
      </c>
      <c r="E1115" t="s">
        <v>11</v>
      </c>
      <c r="F1115">
        <v>2016</v>
      </c>
      <c r="G1115">
        <v>38746.815739999998</v>
      </c>
      <c r="H1115">
        <v>38746.815739999998</v>
      </c>
      <c r="I1115">
        <v>1</v>
      </c>
    </row>
    <row r="1116" spans="1:9">
      <c r="A1116" t="s">
        <v>305</v>
      </c>
      <c r="B1116" t="s">
        <v>306</v>
      </c>
      <c r="C1116" t="s">
        <v>269</v>
      </c>
      <c r="D1116" t="s">
        <v>307</v>
      </c>
      <c r="E1116" t="s">
        <v>11</v>
      </c>
      <c r="F1116">
        <v>2017</v>
      </c>
      <c r="G1116">
        <v>41299.016929999998</v>
      </c>
      <c r="H1116">
        <v>41299.016929999998</v>
      </c>
      <c r="I1116">
        <v>1</v>
      </c>
    </row>
    <row r="1117" spans="1:9">
      <c r="A1117" t="s">
        <v>305</v>
      </c>
      <c r="B1117" t="s">
        <v>306</v>
      </c>
      <c r="C1117" t="s">
        <v>269</v>
      </c>
      <c r="D1117" t="s">
        <v>307</v>
      </c>
      <c r="E1117" t="s">
        <v>11</v>
      </c>
      <c r="F1117">
        <v>2018</v>
      </c>
      <c r="G1117">
        <v>43961.289120000001</v>
      </c>
      <c r="H1117">
        <v>43961.289120000001</v>
      </c>
      <c r="I1117">
        <v>1</v>
      </c>
    </row>
    <row r="1118" spans="1:9">
      <c r="A1118" t="s">
        <v>305</v>
      </c>
      <c r="B1118" t="s">
        <v>306</v>
      </c>
      <c r="C1118" t="s">
        <v>269</v>
      </c>
      <c r="D1118" t="s">
        <v>307</v>
      </c>
      <c r="E1118" t="s">
        <v>11</v>
      </c>
      <c r="F1118">
        <v>2019</v>
      </c>
      <c r="G1118">
        <v>46736.32862</v>
      </c>
      <c r="H1118">
        <v>46736.32862</v>
      </c>
      <c r="I1118">
        <v>1</v>
      </c>
    </row>
    <row r="1119" spans="1:9">
      <c r="A1119" t="s">
        <v>305</v>
      </c>
      <c r="B1119" t="s">
        <v>306</v>
      </c>
      <c r="C1119" t="s">
        <v>269</v>
      </c>
      <c r="D1119" t="s">
        <v>307</v>
      </c>
      <c r="E1119" t="s">
        <v>11</v>
      </c>
      <c r="F1119">
        <v>2020</v>
      </c>
      <c r="G1119">
        <v>49626.923519999997</v>
      </c>
      <c r="H1119">
        <v>49626.923519999997</v>
      </c>
      <c r="I1119">
        <v>1</v>
      </c>
    </row>
    <row r="1120" spans="1:9">
      <c r="A1120" t="s">
        <v>305</v>
      </c>
      <c r="B1120" t="s">
        <v>306</v>
      </c>
      <c r="C1120" t="s">
        <v>269</v>
      </c>
      <c r="D1120" t="s">
        <v>307</v>
      </c>
      <c r="E1120" t="s">
        <v>11</v>
      </c>
      <c r="F1120">
        <v>2021</v>
      </c>
      <c r="G1120">
        <v>54230.811650000003</v>
      </c>
      <c r="H1120">
        <v>54230.811650000003</v>
      </c>
      <c r="I1120">
        <v>1</v>
      </c>
    </row>
    <row r="1121" spans="1:9">
      <c r="A1121" t="s">
        <v>305</v>
      </c>
      <c r="B1121" t="s">
        <v>306</v>
      </c>
      <c r="C1121" t="s">
        <v>269</v>
      </c>
      <c r="D1121" t="s">
        <v>307</v>
      </c>
      <c r="E1121" t="s">
        <v>11</v>
      </c>
      <c r="F1121">
        <v>2022</v>
      </c>
      <c r="G1121">
        <v>57406.147680000002</v>
      </c>
      <c r="H1121">
        <v>57406.147680000002</v>
      </c>
      <c r="I1121">
        <v>1</v>
      </c>
    </row>
    <row r="1122" spans="1:9">
      <c r="A1122" t="s">
        <v>305</v>
      </c>
      <c r="B1122" t="s">
        <v>306</v>
      </c>
      <c r="C1122" t="s">
        <v>269</v>
      </c>
      <c r="D1122" t="s">
        <v>307</v>
      </c>
      <c r="E1122" t="s">
        <v>11</v>
      </c>
      <c r="F1122">
        <v>2023</v>
      </c>
      <c r="G1122">
        <v>60707.093760000003</v>
      </c>
      <c r="H1122">
        <v>60707.093760000003</v>
      </c>
      <c r="I1122">
        <v>1</v>
      </c>
    </row>
    <row r="1123" spans="1:9">
      <c r="A1123" t="s">
        <v>305</v>
      </c>
      <c r="B1123" t="s">
        <v>306</v>
      </c>
      <c r="C1123" t="s">
        <v>269</v>
      </c>
      <c r="D1123" t="s">
        <v>307</v>
      </c>
      <c r="E1123" t="s">
        <v>11</v>
      </c>
      <c r="F1123">
        <v>2024</v>
      </c>
      <c r="G1123">
        <v>65870.679260000004</v>
      </c>
      <c r="H1123">
        <v>65870.679260000004</v>
      </c>
      <c r="I1123">
        <v>1</v>
      </c>
    </row>
    <row r="1124" spans="1:9">
      <c r="A1124" t="s">
        <v>305</v>
      </c>
      <c r="B1124" t="s">
        <v>306</v>
      </c>
      <c r="C1124" t="s">
        <v>269</v>
      </c>
      <c r="D1124" t="s">
        <v>307</v>
      </c>
      <c r="E1124" t="s">
        <v>11</v>
      </c>
      <c r="F1124">
        <v>2025</v>
      </c>
      <c r="G1124">
        <v>67699.94515</v>
      </c>
      <c r="H1124">
        <v>67699.94515</v>
      </c>
      <c r="I1124">
        <v>1</v>
      </c>
    </row>
    <row r="1125" spans="1:9">
      <c r="A1125" t="s">
        <v>305</v>
      </c>
      <c r="B1125" t="s">
        <v>306</v>
      </c>
      <c r="C1125" t="s">
        <v>269</v>
      </c>
      <c r="D1125" t="s">
        <v>307</v>
      </c>
      <c r="E1125" t="s">
        <v>11</v>
      </c>
      <c r="F1125">
        <v>2026</v>
      </c>
      <c r="G1125">
        <v>75059.445219999994</v>
      </c>
      <c r="H1125">
        <v>75059.445219999994</v>
      </c>
      <c r="I1125">
        <v>1</v>
      </c>
    </row>
    <row r="1126" spans="1:9">
      <c r="A1126" t="s">
        <v>305</v>
      </c>
      <c r="B1126" t="s">
        <v>306</v>
      </c>
      <c r="C1126" t="s">
        <v>269</v>
      </c>
      <c r="D1126" t="s">
        <v>307</v>
      </c>
      <c r="E1126" t="s">
        <v>11</v>
      </c>
      <c r="F1126">
        <v>2027</v>
      </c>
      <c r="G1126">
        <v>77114.722080000007</v>
      </c>
      <c r="H1126">
        <v>77114.722080000007</v>
      </c>
      <c r="I1126">
        <v>1</v>
      </c>
    </row>
    <row r="1127" spans="1:9">
      <c r="A1127" t="s">
        <v>305</v>
      </c>
      <c r="B1127" t="s">
        <v>306</v>
      </c>
      <c r="C1127" t="s">
        <v>269</v>
      </c>
      <c r="D1127" t="s">
        <v>307</v>
      </c>
      <c r="E1127" t="s">
        <v>11</v>
      </c>
      <c r="F1127">
        <v>2028</v>
      </c>
      <c r="G1127">
        <v>83074.063970000003</v>
      </c>
      <c r="H1127">
        <v>83074.063970000003</v>
      </c>
      <c r="I1127">
        <v>1</v>
      </c>
    </row>
    <row r="1128" spans="1:9">
      <c r="A1128" t="s">
        <v>305</v>
      </c>
      <c r="B1128" t="s">
        <v>306</v>
      </c>
      <c r="C1128" t="s">
        <v>269</v>
      </c>
      <c r="D1128" t="s">
        <v>307</v>
      </c>
      <c r="E1128" t="s">
        <v>11</v>
      </c>
      <c r="F1128">
        <v>2029</v>
      </c>
      <c r="G1128">
        <v>89281.375199999995</v>
      </c>
      <c r="H1128">
        <v>89281.375199999995</v>
      </c>
      <c r="I1128">
        <v>1</v>
      </c>
    </row>
    <row r="1129" spans="1:9">
      <c r="A1129" t="s">
        <v>305</v>
      </c>
      <c r="B1129" t="s">
        <v>306</v>
      </c>
      <c r="C1129" t="s">
        <v>269</v>
      </c>
      <c r="D1129" t="s">
        <v>307</v>
      </c>
      <c r="E1129" t="s">
        <v>11</v>
      </c>
      <c r="F1129">
        <v>2030</v>
      </c>
      <c r="G1129">
        <v>91667.598480000001</v>
      </c>
      <c r="H1129">
        <v>91667.598480000001</v>
      </c>
      <c r="I1129">
        <v>1</v>
      </c>
    </row>
    <row r="1130" spans="1:9">
      <c r="A1130" t="s">
        <v>305</v>
      </c>
      <c r="B1130" t="s">
        <v>306</v>
      </c>
      <c r="C1130" t="s">
        <v>269</v>
      </c>
      <c r="D1130" t="s">
        <v>307</v>
      </c>
      <c r="E1130" t="s">
        <v>11</v>
      </c>
      <c r="F1130">
        <v>2031</v>
      </c>
      <c r="G1130">
        <v>98278.087390000001</v>
      </c>
      <c r="H1130">
        <v>98278.087390000001</v>
      </c>
      <c r="I1130">
        <v>1</v>
      </c>
    </row>
    <row r="1131" spans="1:9">
      <c r="A1131" t="s">
        <v>305</v>
      </c>
      <c r="B1131" t="s">
        <v>306</v>
      </c>
      <c r="C1131" t="s">
        <v>269</v>
      </c>
      <c r="D1131" t="s">
        <v>307</v>
      </c>
      <c r="E1131" t="s">
        <v>11</v>
      </c>
      <c r="F1131">
        <v>2032</v>
      </c>
      <c r="G1131">
        <v>103003.4051</v>
      </c>
      <c r="H1131">
        <v>103003.4051</v>
      </c>
      <c r="I1131">
        <v>1</v>
      </c>
    </row>
    <row r="1132" spans="1:9">
      <c r="A1132" t="s">
        <v>305</v>
      </c>
      <c r="B1132" t="s">
        <v>306</v>
      </c>
      <c r="C1132" t="s">
        <v>269</v>
      </c>
      <c r="D1132" t="s">
        <v>307</v>
      </c>
      <c r="E1132" t="s">
        <v>11</v>
      </c>
      <c r="F1132">
        <v>2033</v>
      </c>
      <c r="G1132">
        <v>107881.3596</v>
      </c>
      <c r="H1132">
        <v>107881.3596</v>
      </c>
      <c r="I1132">
        <v>1</v>
      </c>
    </row>
    <row r="1133" spans="1:9">
      <c r="A1133" t="s">
        <v>305</v>
      </c>
      <c r="B1133" t="s">
        <v>306</v>
      </c>
      <c r="C1133" t="s">
        <v>269</v>
      </c>
      <c r="D1133" t="s">
        <v>307</v>
      </c>
      <c r="E1133" t="s">
        <v>11</v>
      </c>
      <c r="F1133">
        <v>2034</v>
      </c>
      <c r="G1133">
        <v>115170.3069</v>
      </c>
      <c r="H1133">
        <v>115170.3069</v>
      </c>
      <c r="I1133">
        <v>1</v>
      </c>
    </row>
    <row r="1134" spans="1:9">
      <c r="A1134" t="s">
        <v>305</v>
      </c>
      <c r="B1134" t="s">
        <v>306</v>
      </c>
      <c r="C1134" t="s">
        <v>269</v>
      </c>
      <c r="D1134" t="s">
        <v>307</v>
      </c>
      <c r="E1134" t="s">
        <v>11</v>
      </c>
      <c r="F1134">
        <v>2035</v>
      </c>
      <c r="G1134">
        <v>118095.8383</v>
      </c>
      <c r="H1134">
        <v>118095.8383</v>
      </c>
      <c r="I1134">
        <v>1</v>
      </c>
    </row>
    <row r="1135" spans="1:9">
      <c r="A1135" t="s">
        <v>305</v>
      </c>
      <c r="B1135" t="s">
        <v>306</v>
      </c>
      <c r="C1135" t="s">
        <v>269</v>
      </c>
      <c r="D1135" t="s">
        <v>307</v>
      </c>
      <c r="E1135" t="s">
        <v>11</v>
      </c>
      <c r="F1135">
        <v>2036</v>
      </c>
      <c r="G1135">
        <v>121059.81299999999</v>
      </c>
      <c r="H1135">
        <v>121059.81299999999</v>
      </c>
      <c r="I1135">
        <v>1</v>
      </c>
    </row>
    <row r="1136" spans="1:9">
      <c r="A1136" t="s">
        <v>305</v>
      </c>
      <c r="B1136" t="s">
        <v>306</v>
      </c>
      <c r="C1136" t="s">
        <v>269</v>
      </c>
      <c r="D1136" t="s">
        <v>307</v>
      </c>
      <c r="E1136" t="s">
        <v>11</v>
      </c>
      <c r="F1136">
        <v>2037</v>
      </c>
      <c r="G1136">
        <v>131358.87940000001</v>
      </c>
      <c r="H1136">
        <v>131358.87940000001</v>
      </c>
      <c r="I1136">
        <v>1</v>
      </c>
    </row>
    <row r="1137" spans="1:9">
      <c r="A1137" t="s">
        <v>305</v>
      </c>
      <c r="B1137" t="s">
        <v>306</v>
      </c>
      <c r="C1137" t="s">
        <v>269</v>
      </c>
      <c r="D1137" t="s">
        <v>307</v>
      </c>
      <c r="E1137" t="s">
        <v>11</v>
      </c>
      <c r="F1137">
        <v>2038</v>
      </c>
      <c r="G1137">
        <v>132082.84419999999</v>
      </c>
      <c r="H1137">
        <v>132082.84419999999</v>
      </c>
      <c r="I1137">
        <v>1</v>
      </c>
    </row>
    <row r="1138" spans="1:9">
      <c r="A1138" t="s">
        <v>305</v>
      </c>
      <c r="B1138" t="s">
        <v>306</v>
      </c>
      <c r="C1138" t="s">
        <v>269</v>
      </c>
      <c r="D1138" t="s">
        <v>307</v>
      </c>
      <c r="E1138" t="s">
        <v>11</v>
      </c>
      <c r="F1138">
        <v>2039</v>
      </c>
      <c r="G1138">
        <v>140380.3315</v>
      </c>
      <c r="H1138">
        <v>140380.3315</v>
      </c>
      <c r="I1138">
        <v>1</v>
      </c>
    </row>
    <row r="1139" spans="1:9">
      <c r="A1139" t="s">
        <v>305</v>
      </c>
      <c r="B1139" t="s">
        <v>306</v>
      </c>
      <c r="C1139" t="s">
        <v>269</v>
      </c>
      <c r="D1139" t="s">
        <v>307</v>
      </c>
      <c r="E1139" t="s">
        <v>11</v>
      </c>
      <c r="F1139">
        <v>2040</v>
      </c>
      <c r="G1139">
        <v>146343.0877</v>
      </c>
      <c r="H1139">
        <v>146343.0877</v>
      </c>
      <c r="I1139">
        <v>1</v>
      </c>
    </row>
    <row r="1140" spans="1:9">
      <c r="A1140" t="s">
        <v>305</v>
      </c>
      <c r="B1140" t="s">
        <v>306</v>
      </c>
      <c r="C1140" t="s">
        <v>269</v>
      </c>
      <c r="D1140" t="s">
        <v>307</v>
      </c>
      <c r="E1140" t="s">
        <v>11</v>
      </c>
      <c r="F1140">
        <v>2041</v>
      </c>
      <c r="G1140">
        <v>149789.09299999999</v>
      </c>
      <c r="H1140">
        <v>149789.09299999999</v>
      </c>
      <c r="I1140">
        <v>1</v>
      </c>
    </row>
    <row r="1141" spans="1:9">
      <c r="A1141" t="s">
        <v>305</v>
      </c>
      <c r="B1141" t="s">
        <v>306</v>
      </c>
      <c r="C1141" t="s">
        <v>269</v>
      </c>
      <c r="D1141" t="s">
        <v>307</v>
      </c>
      <c r="E1141" t="s">
        <v>11</v>
      </c>
      <c r="F1141">
        <v>2042</v>
      </c>
      <c r="G1141">
        <v>156006.31510000001</v>
      </c>
      <c r="H1141">
        <v>156006.31510000001</v>
      </c>
      <c r="I1141">
        <v>1</v>
      </c>
    </row>
    <row r="1142" spans="1:9">
      <c r="A1142" t="s">
        <v>305</v>
      </c>
      <c r="B1142" t="s">
        <v>306</v>
      </c>
      <c r="C1142" t="s">
        <v>269</v>
      </c>
      <c r="D1142" t="s">
        <v>307</v>
      </c>
      <c r="E1142" t="s">
        <v>11</v>
      </c>
      <c r="F1142">
        <v>2043</v>
      </c>
      <c r="G1142">
        <v>162381.67199999999</v>
      </c>
      <c r="H1142">
        <v>162381.67199999999</v>
      </c>
      <c r="I1142">
        <v>1</v>
      </c>
    </row>
    <row r="1143" spans="1:9">
      <c r="A1143" t="s">
        <v>305</v>
      </c>
      <c r="B1143" t="s">
        <v>306</v>
      </c>
      <c r="C1143" t="s">
        <v>269</v>
      </c>
      <c r="D1143" t="s">
        <v>307</v>
      </c>
      <c r="E1143" t="s">
        <v>11</v>
      </c>
      <c r="F1143">
        <v>2044</v>
      </c>
      <c r="G1143">
        <v>166052.15609999999</v>
      </c>
      <c r="H1143">
        <v>166052.15609999999</v>
      </c>
      <c r="I1143">
        <v>1</v>
      </c>
    </row>
    <row r="1144" spans="1:9">
      <c r="A1144" t="s">
        <v>305</v>
      </c>
      <c r="B1144" t="s">
        <v>306</v>
      </c>
      <c r="C1144" t="s">
        <v>269</v>
      </c>
      <c r="D1144" t="s">
        <v>307</v>
      </c>
      <c r="E1144" t="s">
        <v>11</v>
      </c>
      <c r="F1144">
        <v>2045</v>
      </c>
      <c r="G1144">
        <v>168289.86009999999</v>
      </c>
      <c r="H1144">
        <v>168289.86009999999</v>
      </c>
      <c r="I1144">
        <v>1</v>
      </c>
    </row>
    <row r="1145" spans="1:9">
      <c r="A1145" t="s">
        <v>305</v>
      </c>
      <c r="B1145" t="s">
        <v>306</v>
      </c>
      <c r="C1145" t="s">
        <v>269</v>
      </c>
      <c r="D1145" t="s">
        <v>307</v>
      </c>
      <c r="E1145" t="s">
        <v>11</v>
      </c>
      <c r="F1145">
        <v>2046</v>
      </c>
      <c r="G1145">
        <v>171987.83780000001</v>
      </c>
      <c r="H1145">
        <v>171987.83780000001</v>
      </c>
      <c r="I1145">
        <v>1</v>
      </c>
    </row>
    <row r="1146" spans="1:9">
      <c r="A1146" t="s">
        <v>305</v>
      </c>
      <c r="B1146" t="s">
        <v>306</v>
      </c>
      <c r="C1146" t="s">
        <v>269</v>
      </c>
      <c r="D1146" t="s">
        <v>307</v>
      </c>
      <c r="E1146" t="s">
        <v>11</v>
      </c>
      <c r="F1146">
        <v>2047</v>
      </c>
      <c r="G1146">
        <v>180297.52979999999</v>
      </c>
      <c r="H1146">
        <v>180297.52979999999</v>
      </c>
      <c r="I1146">
        <v>1</v>
      </c>
    </row>
    <row r="1147" spans="1:9">
      <c r="A1147" t="s">
        <v>305</v>
      </c>
      <c r="B1147" t="s">
        <v>306</v>
      </c>
      <c r="C1147" t="s">
        <v>269</v>
      </c>
      <c r="D1147" t="s">
        <v>307</v>
      </c>
      <c r="E1147" t="s">
        <v>11</v>
      </c>
      <c r="F1147">
        <v>2048</v>
      </c>
      <c r="G1147">
        <v>184149.0668</v>
      </c>
      <c r="H1147">
        <v>184149.0668</v>
      </c>
      <c r="I1147">
        <v>1</v>
      </c>
    </row>
    <row r="1148" spans="1:9">
      <c r="A1148" t="s">
        <v>305</v>
      </c>
      <c r="B1148" t="s">
        <v>306</v>
      </c>
      <c r="C1148" t="s">
        <v>269</v>
      </c>
      <c r="D1148" t="s">
        <v>307</v>
      </c>
      <c r="E1148" t="s">
        <v>11</v>
      </c>
      <c r="F1148">
        <v>2049</v>
      </c>
      <c r="G1148">
        <v>184842.55530000001</v>
      </c>
      <c r="H1148">
        <v>184842.55530000001</v>
      </c>
      <c r="I1148">
        <v>1</v>
      </c>
    </row>
    <row r="1149" spans="1:9">
      <c r="A1149" t="s">
        <v>305</v>
      </c>
      <c r="B1149" t="s">
        <v>306</v>
      </c>
      <c r="C1149" t="s">
        <v>269</v>
      </c>
      <c r="D1149" t="s">
        <v>307</v>
      </c>
      <c r="E1149" t="s">
        <v>11</v>
      </c>
      <c r="F1149">
        <v>2050</v>
      </c>
      <c r="G1149">
        <v>195191.8358</v>
      </c>
      <c r="H1149">
        <v>195191.8358</v>
      </c>
      <c r="I1149">
        <v>1</v>
      </c>
    </row>
    <row r="1150" spans="1:9">
      <c r="A1150" t="s">
        <v>305</v>
      </c>
      <c r="B1150" t="s">
        <v>306</v>
      </c>
      <c r="C1150" t="s">
        <v>269</v>
      </c>
      <c r="D1150" t="s">
        <v>25</v>
      </c>
      <c r="E1150" t="s">
        <v>42</v>
      </c>
      <c r="F1150">
        <v>2010</v>
      </c>
      <c r="G1150">
        <v>75995.190430000002</v>
      </c>
      <c r="H1150">
        <v>75995.190430000002</v>
      </c>
      <c r="I1150">
        <v>1</v>
      </c>
    </row>
    <row r="1151" spans="1:9">
      <c r="A1151" t="s">
        <v>305</v>
      </c>
      <c r="B1151" t="s">
        <v>306</v>
      </c>
      <c r="C1151" t="s">
        <v>269</v>
      </c>
      <c r="D1151" t="s">
        <v>25</v>
      </c>
      <c r="E1151" t="s">
        <v>42</v>
      </c>
      <c r="F1151">
        <v>2011</v>
      </c>
      <c r="G1151">
        <v>82946.180569999997</v>
      </c>
      <c r="H1151">
        <v>82946.180569999997</v>
      </c>
      <c r="I1151">
        <v>1</v>
      </c>
    </row>
    <row r="1152" spans="1:9">
      <c r="A1152" t="s">
        <v>305</v>
      </c>
      <c r="B1152" t="s">
        <v>306</v>
      </c>
      <c r="C1152" t="s">
        <v>269</v>
      </c>
      <c r="D1152" t="s">
        <v>25</v>
      </c>
      <c r="E1152" t="s">
        <v>42</v>
      </c>
      <c r="F1152">
        <v>2012</v>
      </c>
      <c r="G1152">
        <v>90362.625</v>
      </c>
      <c r="H1152">
        <v>90362.625</v>
      </c>
      <c r="I1152">
        <v>1</v>
      </c>
    </row>
    <row r="1153" spans="1:9">
      <c r="A1153" t="s">
        <v>305</v>
      </c>
      <c r="B1153" t="s">
        <v>306</v>
      </c>
      <c r="C1153" t="s">
        <v>269</v>
      </c>
      <c r="D1153" t="s">
        <v>25</v>
      </c>
      <c r="E1153" t="s">
        <v>42</v>
      </c>
      <c r="F1153">
        <v>2013</v>
      </c>
      <c r="G1153">
        <v>102041.99490000001</v>
      </c>
      <c r="H1153">
        <v>102041.99490000001</v>
      </c>
      <c r="I1153">
        <v>1</v>
      </c>
    </row>
    <row r="1154" spans="1:9">
      <c r="A1154" t="s">
        <v>305</v>
      </c>
      <c r="B1154" t="s">
        <v>306</v>
      </c>
      <c r="C1154" t="s">
        <v>269</v>
      </c>
      <c r="D1154" t="s">
        <v>25</v>
      </c>
      <c r="E1154" t="s">
        <v>42</v>
      </c>
      <c r="F1154">
        <v>2014</v>
      </c>
      <c r="G1154">
        <v>110627.484</v>
      </c>
      <c r="H1154">
        <v>110627.484</v>
      </c>
      <c r="I1154">
        <v>1</v>
      </c>
    </row>
    <row r="1155" spans="1:9">
      <c r="A1155" t="s">
        <v>305</v>
      </c>
      <c r="B1155" t="s">
        <v>306</v>
      </c>
      <c r="C1155" t="s">
        <v>269</v>
      </c>
      <c r="D1155" t="s">
        <v>25</v>
      </c>
      <c r="E1155" t="s">
        <v>42</v>
      </c>
      <c r="F1155">
        <v>2015</v>
      </c>
      <c r="G1155">
        <v>119756.7677</v>
      </c>
      <c r="H1155">
        <v>119756.7677</v>
      </c>
      <c r="I1155">
        <v>1</v>
      </c>
    </row>
    <row r="1156" spans="1:9">
      <c r="A1156" t="s">
        <v>305</v>
      </c>
      <c r="B1156" t="s">
        <v>306</v>
      </c>
      <c r="C1156" t="s">
        <v>269</v>
      </c>
      <c r="D1156" t="s">
        <v>25</v>
      </c>
      <c r="E1156" t="s">
        <v>42</v>
      </c>
      <c r="F1156">
        <v>2016</v>
      </c>
      <c r="G1156">
        <v>133774.32209999999</v>
      </c>
      <c r="H1156">
        <v>133774.32209999999</v>
      </c>
      <c r="I1156">
        <v>1</v>
      </c>
    </row>
    <row r="1157" spans="1:9">
      <c r="A1157" t="s">
        <v>305</v>
      </c>
      <c r="B1157" t="s">
        <v>306</v>
      </c>
      <c r="C1157" t="s">
        <v>269</v>
      </c>
      <c r="D1157" t="s">
        <v>25</v>
      </c>
      <c r="E1157" t="s">
        <v>42</v>
      </c>
      <c r="F1157">
        <v>2017</v>
      </c>
      <c r="G1157">
        <v>148769.36489999999</v>
      </c>
      <c r="H1157">
        <v>148769.36489999999</v>
      </c>
      <c r="I1157">
        <v>1</v>
      </c>
    </row>
    <row r="1158" spans="1:9">
      <c r="A1158" t="s">
        <v>305</v>
      </c>
      <c r="B1158" t="s">
        <v>306</v>
      </c>
      <c r="C1158" t="s">
        <v>269</v>
      </c>
      <c r="D1158" t="s">
        <v>25</v>
      </c>
      <c r="E1158" t="s">
        <v>42</v>
      </c>
      <c r="F1158">
        <v>2018</v>
      </c>
      <c r="G1158">
        <v>164799.29999999999</v>
      </c>
      <c r="H1158">
        <v>164799.29999999999</v>
      </c>
      <c r="I1158">
        <v>1</v>
      </c>
    </row>
    <row r="1159" spans="1:9">
      <c r="A1159" t="s">
        <v>305</v>
      </c>
      <c r="B1159" t="s">
        <v>306</v>
      </c>
      <c r="C1159" t="s">
        <v>269</v>
      </c>
      <c r="D1159" t="s">
        <v>25</v>
      </c>
      <c r="E1159" t="s">
        <v>42</v>
      </c>
      <c r="F1159">
        <v>2019</v>
      </c>
      <c r="G1159">
        <v>181928.01689999999</v>
      </c>
      <c r="H1159">
        <v>181928.01689999999</v>
      </c>
      <c r="I1159">
        <v>1</v>
      </c>
    </row>
    <row r="1160" spans="1:9">
      <c r="A1160" t="s">
        <v>305</v>
      </c>
      <c r="B1160" t="s">
        <v>306</v>
      </c>
      <c r="C1160" t="s">
        <v>269</v>
      </c>
      <c r="D1160" t="s">
        <v>25</v>
      </c>
      <c r="E1160" t="s">
        <v>42</v>
      </c>
      <c r="F1160">
        <v>2020</v>
      </c>
      <c r="G1160">
        <v>205344.6686</v>
      </c>
      <c r="H1160">
        <v>205344.6686</v>
      </c>
      <c r="I1160">
        <v>1</v>
      </c>
    </row>
    <row r="1161" spans="1:9">
      <c r="A1161" t="s">
        <v>305</v>
      </c>
      <c r="B1161" t="s">
        <v>306</v>
      </c>
      <c r="C1161" t="s">
        <v>269</v>
      </c>
      <c r="D1161" t="s">
        <v>25</v>
      </c>
      <c r="E1161" t="s">
        <v>42</v>
      </c>
      <c r="F1161">
        <v>2021</v>
      </c>
      <c r="G1161">
        <v>225063.75599999999</v>
      </c>
      <c r="H1161">
        <v>225063.75599999999</v>
      </c>
      <c r="I1161">
        <v>1</v>
      </c>
    </row>
    <row r="1162" spans="1:9">
      <c r="A1162" t="s">
        <v>305</v>
      </c>
      <c r="B1162" t="s">
        <v>306</v>
      </c>
      <c r="C1162" t="s">
        <v>269</v>
      </c>
      <c r="D1162" t="s">
        <v>25</v>
      </c>
      <c r="E1162" t="s">
        <v>42</v>
      </c>
      <c r="F1162">
        <v>2022</v>
      </c>
      <c r="G1162">
        <v>246062.12400000001</v>
      </c>
      <c r="H1162">
        <v>246062.12400000001</v>
      </c>
      <c r="I1162">
        <v>1</v>
      </c>
    </row>
    <row r="1163" spans="1:9">
      <c r="A1163" t="s">
        <v>305</v>
      </c>
      <c r="B1163" t="s">
        <v>306</v>
      </c>
      <c r="C1163" t="s">
        <v>269</v>
      </c>
      <c r="D1163" t="s">
        <v>25</v>
      </c>
      <c r="E1163" t="s">
        <v>42</v>
      </c>
      <c r="F1163">
        <v>2023</v>
      </c>
      <c r="G1163">
        <v>274237.22489999997</v>
      </c>
      <c r="H1163">
        <v>274237.22489999997</v>
      </c>
      <c r="I1163">
        <v>1</v>
      </c>
    </row>
    <row r="1164" spans="1:9">
      <c r="A1164" t="s">
        <v>305</v>
      </c>
      <c r="B1164" t="s">
        <v>306</v>
      </c>
      <c r="C1164" t="s">
        <v>269</v>
      </c>
      <c r="D1164" t="s">
        <v>25</v>
      </c>
      <c r="E1164" t="s">
        <v>42</v>
      </c>
      <c r="F1164">
        <v>2024</v>
      </c>
      <c r="G1164">
        <v>292150.14169999998</v>
      </c>
      <c r="H1164">
        <v>292150.14169999998</v>
      </c>
      <c r="I1164">
        <v>1</v>
      </c>
    </row>
    <row r="1165" spans="1:9">
      <c r="A1165" t="s">
        <v>305</v>
      </c>
      <c r="B1165" t="s">
        <v>306</v>
      </c>
      <c r="C1165" t="s">
        <v>269</v>
      </c>
      <c r="D1165" t="s">
        <v>25</v>
      </c>
      <c r="E1165" t="s">
        <v>42</v>
      </c>
      <c r="F1165">
        <v>2025</v>
      </c>
      <c r="G1165">
        <v>317371.69290000002</v>
      </c>
      <c r="H1165">
        <v>317371.69290000002</v>
      </c>
      <c r="I1165">
        <v>1</v>
      </c>
    </row>
    <row r="1166" spans="1:9">
      <c r="A1166" t="s">
        <v>305</v>
      </c>
      <c r="B1166" t="s">
        <v>306</v>
      </c>
      <c r="C1166" t="s">
        <v>269</v>
      </c>
      <c r="D1166" t="s">
        <v>25</v>
      </c>
      <c r="E1166" t="s">
        <v>42</v>
      </c>
      <c r="F1166">
        <v>2026</v>
      </c>
      <c r="G1166">
        <v>350750.22940000001</v>
      </c>
      <c r="H1166">
        <v>350750.22940000001</v>
      </c>
      <c r="I1166">
        <v>1</v>
      </c>
    </row>
    <row r="1167" spans="1:9">
      <c r="A1167" t="s">
        <v>305</v>
      </c>
      <c r="B1167" t="s">
        <v>306</v>
      </c>
      <c r="C1167" t="s">
        <v>269</v>
      </c>
      <c r="D1167" t="s">
        <v>25</v>
      </c>
      <c r="E1167" t="s">
        <v>42</v>
      </c>
      <c r="F1167">
        <v>2027</v>
      </c>
      <c r="G1167">
        <v>393190.97529999999</v>
      </c>
      <c r="H1167">
        <v>393190.97529999999</v>
      </c>
      <c r="I1167">
        <v>1</v>
      </c>
    </row>
    <row r="1168" spans="1:9">
      <c r="A1168" t="s">
        <v>305</v>
      </c>
      <c r="B1168" t="s">
        <v>306</v>
      </c>
      <c r="C1168" t="s">
        <v>269</v>
      </c>
      <c r="D1168" t="s">
        <v>25</v>
      </c>
      <c r="E1168" t="s">
        <v>42</v>
      </c>
      <c r="F1168">
        <v>2028</v>
      </c>
      <c r="G1168">
        <v>424095.717</v>
      </c>
      <c r="H1168">
        <v>424095.717</v>
      </c>
      <c r="I1168">
        <v>1</v>
      </c>
    </row>
    <row r="1169" spans="1:9">
      <c r="A1169" t="s">
        <v>305</v>
      </c>
      <c r="B1169" t="s">
        <v>306</v>
      </c>
      <c r="C1169" t="s">
        <v>269</v>
      </c>
      <c r="D1169" t="s">
        <v>25</v>
      </c>
      <c r="E1169" t="s">
        <v>42</v>
      </c>
      <c r="F1169">
        <v>2029</v>
      </c>
      <c r="G1169">
        <v>464255.46860000002</v>
      </c>
      <c r="H1169">
        <v>464255.46860000002</v>
      </c>
      <c r="I1169">
        <v>1</v>
      </c>
    </row>
    <row r="1170" spans="1:9">
      <c r="A1170" t="s">
        <v>305</v>
      </c>
      <c r="B1170" t="s">
        <v>306</v>
      </c>
      <c r="C1170" t="s">
        <v>269</v>
      </c>
      <c r="D1170" t="s">
        <v>25</v>
      </c>
      <c r="E1170" t="s">
        <v>42</v>
      </c>
      <c r="F1170">
        <v>2030</v>
      </c>
      <c r="G1170">
        <v>499070.9486</v>
      </c>
      <c r="H1170">
        <v>499070.9486</v>
      </c>
      <c r="I1170">
        <v>1</v>
      </c>
    </row>
    <row r="1171" spans="1:9">
      <c r="A1171" t="s">
        <v>305</v>
      </c>
      <c r="B1171" t="s">
        <v>306</v>
      </c>
      <c r="C1171" t="s">
        <v>269</v>
      </c>
      <c r="D1171" t="s">
        <v>25</v>
      </c>
      <c r="E1171" t="s">
        <v>42</v>
      </c>
      <c r="F1171">
        <v>2031</v>
      </c>
      <c r="G1171">
        <v>527679.72210000001</v>
      </c>
      <c r="H1171">
        <v>527679.72210000001</v>
      </c>
      <c r="I1171">
        <v>1</v>
      </c>
    </row>
    <row r="1172" spans="1:9">
      <c r="A1172" t="s">
        <v>305</v>
      </c>
      <c r="B1172" t="s">
        <v>306</v>
      </c>
      <c r="C1172" t="s">
        <v>269</v>
      </c>
      <c r="D1172" t="s">
        <v>25</v>
      </c>
      <c r="E1172" t="s">
        <v>42</v>
      </c>
      <c r="F1172">
        <v>2032</v>
      </c>
      <c r="G1172">
        <v>599847.28330000001</v>
      </c>
      <c r="H1172">
        <v>599847.28330000001</v>
      </c>
      <c r="I1172">
        <v>1</v>
      </c>
    </row>
    <row r="1173" spans="1:9">
      <c r="A1173" t="s">
        <v>305</v>
      </c>
      <c r="B1173" t="s">
        <v>306</v>
      </c>
      <c r="C1173" t="s">
        <v>269</v>
      </c>
      <c r="D1173" t="s">
        <v>25</v>
      </c>
      <c r="E1173" t="s">
        <v>42</v>
      </c>
      <c r="F1173">
        <v>2033</v>
      </c>
      <c r="G1173">
        <v>641609.52469999995</v>
      </c>
      <c r="H1173">
        <v>641609.52469999995</v>
      </c>
      <c r="I1173">
        <v>1</v>
      </c>
    </row>
    <row r="1174" spans="1:9">
      <c r="A1174" t="s">
        <v>305</v>
      </c>
      <c r="B1174" t="s">
        <v>306</v>
      </c>
      <c r="C1174" t="s">
        <v>269</v>
      </c>
      <c r="D1174" t="s">
        <v>25</v>
      </c>
      <c r="E1174" t="s">
        <v>42</v>
      </c>
      <c r="F1174">
        <v>2034</v>
      </c>
      <c r="G1174">
        <v>694634.18059999996</v>
      </c>
      <c r="H1174">
        <v>694634.18059999996</v>
      </c>
      <c r="I1174">
        <v>1</v>
      </c>
    </row>
    <row r="1175" spans="1:9">
      <c r="A1175" t="s">
        <v>305</v>
      </c>
      <c r="B1175" t="s">
        <v>306</v>
      </c>
      <c r="C1175" t="s">
        <v>269</v>
      </c>
      <c r="D1175" t="s">
        <v>25</v>
      </c>
      <c r="E1175" t="s">
        <v>42</v>
      </c>
      <c r="F1175">
        <v>2035</v>
      </c>
      <c r="G1175">
        <v>741057.40800000005</v>
      </c>
      <c r="H1175">
        <v>741057.40800000005</v>
      </c>
      <c r="I1175">
        <v>1</v>
      </c>
    </row>
    <row r="1176" spans="1:9">
      <c r="A1176" t="s">
        <v>305</v>
      </c>
      <c r="B1176" t="s">
        <v>306</v>
      </c>
      <c r="C1176" t="s">
        <v>269</v>
      </c>
      <c r="D1176" t="s">
        <v>25</v>
      </c>
      <c r="E1176" t="s">
        <v>42</v>
      </c>
      <c r="F1176">
        <v>2036</v>
      </c>
      <c r="G1176">
        <v>779854.05260000005</v>
      </c>
      <c r="H1176">
        <v>779854.05260000005</v>
      </c>
      <c r="I1176">
        <v>1</v>
      </c>
    </row>
    <row r="1177" spans="1:9">
      <c r="A1177" t="s">
        <v>305</v>
      </c>
      <c r="B1177" t="s">
        <v>306</v>
      </c>
      <c r="C1177" t="s">
        <v>269</v>
      </c>
      <c r="D1177" t="s">
        <v>25</v>
      </c>
      <c r="E1177" t="s">
        <v>42</v>
      </c>
      <c r="F1177">
        <v>2037</v>
      </c>
      <c r="G1177">
        <v>840696.53060000006</v>
      </c>
      <c r="H1177">
        <v>840696.53060000006</v>
      </c>
      <c r="I1177">
        <v>1</v>
      </c>
    </row>
    <row r="1178" spans="1:9">
      <c r="A1178" t="s">
        <v>305</v>
      </c>
      <c r="B1178" t="s">
        <v>306</v>
      </c>
      <c r="C1178" t="s">
        <v>269</v>
      </c>
      <c r="D1178" t="s">
        <v>25</v>
      </c>
      <c r="E1178" t="s">
        <v>42</v>
      </c>
      <c r="F1178">
        <v>2038</v>
      </c>
      <c r="G1178">
        <v>894023.74800000002</v>
      </c>
      <c r="H1178">
        <v>894023.74800000002</v>
      </c>
      <c r="I1178">
        <v>1</v>
      </c>
    </row>
    <row r="1179" spans="1:9">
      <c r="A1179" t="s">
        <v>305</v>
      </c>
      <c r="B1179" t="s">
        <v>306</v>
      </c>
      <c r="C1179" t="s">
        <v>269</v>
      </c>
      <c r="D1179" t="s">
        <v>25</v>
      </c>
      <c r="E1179" t="s">
        <v>42</v>
      </c>
      <c r="F1179">
        <v>2039</v>
      </c>
      <c r="G1179">
        <v>960801.9621</v>
      </c>
      <c r="H1179">
        <v>960801.9621</v>
      </c>
      <c r="I1179">
        <v>1</v>
      </c>
    </row>
    <row r="1180" spans="1:9">
      <c r="A1180" t="s">
        <v>305</v>
      </c>
      <c r="B1180" t="s">
        <v>306</v>
      </c>
      <c r="C1180" t="s">
        <v>269</v>
      </c>
      <c r="D1180" t="s">
        <v>25</v>
      </c>
      <c r="E1180" t="s">
        <v>42</v>
      </c>
      <c r="F1180">
        <v>2040</v>
      </c>
      <c r="G1180">
        <v>1030854.947</v>
      </c>
      <c r="H1180">
        <v>1030854.947</v>
      </c>
      <c r="I1180">
        <v>1</v>
      </c>
    </row>
    <row r="1181" spans="1:9">
      <c r="A1181" t="s">
        <v>305</v>
      </c>
      <c r="B1181" t="s">
        <v>306</v>
      </c>
      <c r="C1181" t="s">
        <v>269</v>
      </c>
      <c r="D1181" t="s">
        <v>25</v>
      </c>
      <c r="E1181" t="s">
        <v>42</v>
      </c>
      <c r="F1181">
        <v>2041</v>
      </c>
      <c r="G1181">
        <v>1068631.804</v>
      </c>
      <c r="H1181">
        <v>1068631.804</v>
      </c>
      <c r="I1181">
        <v>1</v>
      </c>
    </row>
    <row r="1182" spans="1:9">
      <c r="A1182" t="s">
        <v>305</v>
      </c>
      <c r="B1182" t="s">
        <v>306</v>
      </c>
      <c r="C1182" t="s">
        <v>269</v>
      </c>
      <c r="D1182" t="s">
        <v>25</v>
      </c>
      <c r="E1182" t="s">
        <v>42</v>
      </c>
      <c r="F1182">
        <v>2042</v>
      </c>
      <c r="G1182">
        <v>1144148.469</v>
      </c>
      <c r="H1182">
        <v>1144148.469</v>
      </c>
      <c r="I1182">
        <v>1</v>
      </c>
    </row>
    <row r="1183" spans="1:9">
      <c r="A1183" t="s">
        <v>305</v>
      </c>
      <c r="B1183" t="s">
        <v>306</v>
      </c>
      <c r="C1183" t="s">
        <v>269</v>
      </c>
      <c r="D1183" t="s">
        <v>25</v>
      </c>
      <c r="E1183" t="s">
        <v>42</v>
      </c>
      <c r="F1183">
        <v>2043</v>
      </c>
      <c r="G1183">
        <v>1235827.946</v>
      </c>
      <c r="H1183">
        <v>1235827.946</v>
      </c>
      <c r="I1183">
        <v>1</v>
      </c>
    </row>
    <row r="1184" spans="1:9">
      <c r="A1184" t="s">
        <v>305</v>
      </c>
      <c r="B1184" t="s">
        <v>306</v>
      </c>
      <c r="C1184" t="s">
        <v>269</v>
      </c>
      <c r="D1184" t="s">
        <v>25</v>
      </c>
      <c r="E1184" t="s">
        <v>42</v>
      </c>
      <c r="F1184">
        <v>2044</v>
      </c>
      <c r="G1184">
        <v>1305453.8259999999</v>
      </c>
      <c r="H1184">
        <v>1305453.8259999999</v>
      </c>
      <c r="I1184">
        <v>1</v>
      </c>
    </row>
    <row r="1185" spans="1:9">
      <c r="A1185" t="s">
        <v>305</v>
      </c>
      <c r="B1185" t="s">
        <v>306</v>
      </c>
      <c r="C1185" t="s">
        <v>269</v>
      </c>
      <c r="D1185" t="s">
        <v>25</v>
      </c>
      <c r="E1185" t="s">
        <v>42</v>
      </c>
      <c r="F1185">
        <v>2045</v>
      </c>
      <c r="G1185">
        <v>1405151.412</v>
      </c>
      <c r="H1185">
        <v>1405151.412</v>
      </c>
      <c r="I1185">
        <v>1</v>
      </c>
    </row>
    <row r="1186" spans="1:9">
      <c r="A1186" t="s">
        <v>305</v>
      </c>
      <c r="B1186" t="s">
        <v>306</v>
      </c>
      <c r="C1186" t="s">
        <v>269</v>
      </c>
      <c r="D1186" t="s">
        <v>25</v>
      </c>
      <c r="E1186" t="s">
        <v>42</v>
      </c>
      <c r="F1186">
        <v>2046</v>
      </c>
      <c r="G1186">
        <v>1438947.9509999999</v>
      </c>
      <c r="H1186">
        <v>1438947.9509999999</v>
      </c>
      <c r="I1186">
        <v>1</v>
      </c>
    </row>
    <row r="1187" spans="1:9">
      <c r="A1187" t="s">
        <v>305</v>
      </c>
      <c r="B1187" t="s">
        <v>306</v>
      </c>
      <c r="C1187" t="s">
        <v>269</v>
      </c>
      <c r="D1187" t="s">
        <v>25</v>
      </c>
      <c r="E1187" t="s">
        <v>42</v>
      </c>
      <c r="F1187">
        <v>2047</v>
      </c>
      <c r="G1187">
        <v>1487323.71</v>
      </c>
      <c r="H1187">
        <v>1487323.71</v>
      </c>
      <c r="I1187">
        <v>1</v>
      </c>
    </row>
    <row r="1188" spans="1:9">
      <c r="A1188" t="s">
        <v>305</v>
      </c>
      <c r="B1188" t="s">
        <v>306</v>
      </c>
      <c r="C1188" t="s">
        <v>269</v>
      </c>
      <c r="D1188" t="s">
        <v>25</v>
      </c>
      <c r="E1188" t="s">
        <v>42</v>
      </c>
      <c r="F1188">
        <v>2048</v>
      </c>
      <c r="G1188">
        <v>1596896.966</v>
      </c>
      <c r="H1188">
        <v>1596896.966</v>
      </c>
      <c r="I1188">
        <v>1</v>
      </c>
    </row>
    <row r="1189" spans="1:9">
      <c r="A1189" t="s">
        <v>305</v>
      </c>
      <c r="B1189" t="s">
        <v>306</v>
      </c>
      <c r="C1189" t="s">
        <v>269</v>
      </c>
      <c r="D1189" t="s">
        <v>25</v>
      </c>
      <c r="E1189" t="s">
        <v>42</v>
      </c>
      <c r="F1189">
        <v>2049</v>
      </c>
      <c r="G1189">
        <v>1711353.317</v>
      </c>
      <c r="H1189">
        <v>1711353.317</v>
      </c>
      <c r="I1189">
        <v>1</v>
      </c>
    </row>
    <row r="1190" spans="1:9">
      <c r="A1190" t="s">
        <v>305</v>
      </c>
      <c r="B1190" t="s">
        <v>306</v>
      </c>
      <c r="C1190" t="s">
        <v>269</v>
      </c>
      <c r="D1190" t="s">
        <v>25</v>
      </c>
      <c r="E1190" t="s">
        <v>42</v>
      </c>
      <c r="F1190">
        <v>2050</v>
      </c>
      <c r="G1190">
        <v>1782623.307</v>
      </c>
      <c r="H1190">
        <v>1782623.307</v>
      </c>
      <c r="I1190">
        <v>1</v>
      </c>
    </row>
    <row r="1191" spans="1:9">
      <c r="A1191" t="s">
        <v>305</v>
      </c>
      <c r="B1191" t="s">
        <v>306</v>
      </c>
      <c r="C1191" t="s">
        <v>269</v>
      </c>
      <c r="D1191" t="s">
        <v>26</v>
      </c>
      <c r="E1191" t="s">
        <v>42</v>
      </c>
      <c r="F1191">
        <v>2010</v>
      </c>
      <c r="G1191">
        <v>7076.4634290000004</v>
      </c>
      <c r="H1191">
        <v>7076.4634290000004</v>
      </c>
      <c r="I1191">
        <v>1</v>
      </c>
    </row>
    <row r="1192" spans="1:9">
      <c r="A1192" t="s">
        <v>305</v>
      </c>
      <c r="B1192" t="s">
        <v>306</v>
      </c>
      <c r="C1192" t="s">
        <v>269</v>
      </c>
      <c r="D1192" t="s">
        <v>26</v>
      </c>
      <c r="E1192" t="s">
        <v>42</v>
      </c>
      <c r="F1192">
        <v>2011</v>
      </c>
      <c r="G1192">
        <v>7232.0541430000003</v>
      </c>
      <c r="H1192">
        <v>7232.0541430000003</v>
      </c>
      <c r="I1192">
        <v>1</v>
      </c>
    </row>
    <row r="1193" spans="1:9">
      <c r="A1193" t="s">
        <v>305</v>
      </c>
      <c r="B1193" t="s">
        <v>306</v>
      </c>
      <c r="C1193" t="s">
        <v>269</v>
      </c>
      <c r="D1193" t="s">
        <v>26</v>
      </c>
      <c r="E1193" t="s">
        <v>42</v>
      </c>
      <c r="F1193">
        <v>2012</v>
      </c>
      <c r="G1193">
        <v>7389.7547139999997</v>
      </c>
      <c r="H1193">
        <v>7389.7547139999997</v>
      </c>
      <c r="I1193">
        <v>1</v>
      </c>
    </row>
    <row r="1194" spans="1:9">
      <c r="A1194" t="s">
        <v>305</v>
      </c>
      <c r="B1194" t="s">
        <v>306</v>
      </c>
      <c r="C1194" t="s">
        <v>269</v>
      </c>
      <c r="D1194" t="s">
        <v>26</v>
      </c>
      <c r="E1194" t="s">
        <v>42</v>
      </c>
      <c r="F1194">
        <v>2013</v>
      </c>
      <c r="G1194">
        <v>7549.6834289999997</v>
      </c>
      <c r="H1194">
        <v>7549.6834289999997</v>
      </c>
      <c r="I1194">
        <v>1</v>
      </c>
    </row>
    <row r="1195" spans="1:9">
      <c r="A1195" t="s">
        <v>305</v>
      </c>
      <c r="B1195" t="s">
        <v>306</v>
      </c>
      <c r="C1195" t="s">
        <v>269</v>
      </c>
      <c r="D1195" t="s">
        <v>26</v>
      </c>
      <c r="E1195" t="s">
        <v>42</v>
      </c>
      <c r="F1195">
        <v>2014</v>
      </c>
      <c r="G1195">
        <v>7711.4678569999996</v>
      </c>
      <c r="H1195">
        <v>7711.4678569999996</v>
      </c>
      <c r="I1195">
        <v>1</v>
      </c>
    </row>
    <row r="1196" spans="1:9">
      <c r="A1196" t="s">
        <v>305</v>
      </c>
      <c r="B1196" t="s">
        <v>306</v>
      </c>
      <c r="C1196" t="s">
        <v>269</v>
      </c>
      <c r="D1196" t="s">
        <v>26</v>
      </c>
      <c r="E1196" t="s">
        <v>42</v>
      </c>
      <c r="F1196">
        <v>2015</v>
      </c>
      <c r="G1196">
        <v>7875.0381429999998</v>
      </c>
      <c r="H1196">
        <v>7875.0381429999998</v>
      </c>
      <c r="I1196">
        <v>1</v>
      </c>
    </row>
    <row r="1197" spans="1:9">
      <c r="A1197" t="s">
        <v>305</v>
      </c>
      <c r="B1197" t="s">
        <v>306</v>
      </c>
      <c r="C1197" t="s">
        <v>269</v>
      </c>
      <c r="D1197" t="s">
        <v>26</v>
      </c>
      <c r="E1197" t="s">
        <v>42</v>
      </c>
      <c r="F1197">
        <v>2016</v>
      </c>
      <c r="G1197">
        <v>0</v>
      </c>
      <c r="H1197">
        <v>0</v>
      </c>
      <c r="I1197">
        <v>1</v>
      </c>
    </row>
    <row r="1198" spans="1:9">
      <c r="A1198" t="s">
        <v>305</v>
      </c>
      <c r="B1198" t="s">
        <v>306</v>
      </c>
      <c r="C1198" t="s">
        <v>269</v>
      </c>
      <c r="D1198" t="s">
        <v>26</v>
      </c>
      <c r="E1198" t="s">
        <v>42</v>
      </c>
      <c r="F1198">
        <v>2017</v>
      </c>
      <c r="G1198">
        <v>0</v>
      </c>
      <c r="H1198">
        <v>0</v>
      </c>
      <c r="I1198">
        <v>1</v>
      </c>
    </row>
    <row r="1199" spans="1:9">
      <c r="A1199" t="s">
        <v>305</v>
      </c>
      <c r="B1199" t="s">
        <v>306</v>
      </c>
      <c r="C1199" t="s">
        <v>269</v>
      </c>
      <c r="D1199" t="s">
        <v>26</v>
      </c>
      <c r="E1199" t="s">
        <v>42</v>
      </c>
      <c r="F1199">
        <v>2018</v>
      </c>
      <c r="G1199">
        <v>0</v>
      </c>
      <c r="H1199">
        <v>0</v>
      </c>
      <c r="I1199">
        <v>1</v>
      </c>
    </row>
    <row r="1200" spans="1:9">
      <c r="A1200" t="s">
        <v>305</v>
      </c>
      <c r="B1200" t="s">
        <v>306</v>
      </c>
      <c r="C1200" t="s">
        <v>269</v>
      </c>
      <c r="D1200" t="s">
        <v>26</v>
      </c>
      <c r="E1200" t="s">
        <v>42</v>
      </c>
      <c r="F1200">
        <v>2019</v>
      </c>
      <c r="G1200">
        <v>0</v>
      </c>
      <c r="H1200">
        <v>0</v>
      </c>
      <c r="I1200">
        <v>1</v>
      </c>
    </row>
    <row r="1201" spans="1:9">
      <c r="A1201" t="s">
        <v>305</v>
      </c>
      <c r="B1201" t="s">
        <v>306</v>
      </c>
      <c r="C1201" t="s">
        <v>269</v>
      </c>
      <c r="D1201" t="s">
        <v>26</v>
      </c>
      <c r="E1201" t="s">
        <v>42</v>
      </c>
      <c r="F1201">
        <v>2020</v>
      </c>
      <c r="G1201">
        <v>0</v>
      </c>
      <c r="H1201">
        <v>0</v>
      </c>
      <c r="I1201">
        <v>1</v>
      </c>
    </row>
    <row r="1202" spans="1:9">
      <c r="A1202" t="s">
        <v>305</v>
      </c>
      <c r="B1202" t="s">
        <v>306</v>
      </c>
      <c r="C1202" t="s">
        <v>269</v>
      </c>
      <c r="D1202" t="s">
        <v>26</v>
      </c>
      <c r="E1202" t="s">
        <v>42</v>
      </c>
      <c r="F1202">
        <v>2021</v>
      </c>
      <c r="G1202">
        <v>0</v>
      </c>
      <c r="H1202">
        <v>0</v>
      </c>
      <c r="I1202">
        <v>1</v>
      </c>
    </row>
    <row r="1203" spans="1:9">
      <c r="A1203" t="s">
        <v>305</v>
      </c>
      <c r="B1203" t="s">
        <v>306</v>
      </c>
      <c r="C1203" t="s">
        <v>269</v>
      </c>
      <c r="D1203" t="s">
        <v>26</v>
      </c>
      <c r="E1203" t="s">
        <v>42</v>
      </c>
      <c r="F1203">
        <v>2022</v>
      </c>
      <c r="G1203">
        <v>0</v>
      </c>
      <c r="H1203">
        <v>0</v>
      </c>
      <c r="I1203">
        <v>1</v>
      </c>
    </row>
    <row r="1204" spans="1:9">
      <c r="A1204" t="s">
        <v>305</v>
      </c>
      <c r="B1204" t="s">
        <v>306</v>
      </c>
      <c r="C1204" t="s">
        <v>269</v>
      </c>
      <c r="D1204" t="s">
        <v>26</v>
      </c>
      <c r="E1204" t="s">
        <v>42</v>
      </c>
      <c r="F1204">
        <v>2023</v>
      </c>
      <c r="G1204">
        <v>0</v>
      </c>
      <c r="H1204">
        <v>0</v>
      </c>
      <c r="I1204">
        <v>1</v>
      </c>
    </row>
    <row r="1205" spans="1:9">
      <c r="A1205" t="s">
        <v>305</v>
      </c>
      <c r="B1205" t="s">
        <v>306</v>
      </c>
      <c r="C1205" t="s">
        <v>269</v>
      </c>
      <c r="D1205" t="s">
        <v>26</v>
      </c>
      <c r="E1205" t="s">
        <v>42</v>
      </c>
      <c r="F1205">
        <v>2024</v>
      </c>
      <c r="G1205">
        <v>0</v>
      </c>
      <c r="H1205">
        <v>0</v>
      </c>
      <c r="I1205">
        <v>1</v>
      </c>
    </row>
    <row r="1206" spans="1:9">
      <c r="A1206" t="s">
        <v>305</v>
      </c>
      <c r="B1206" t="s">
        <v>306</v>
      </c>
      <c r="C1206" t="s">
        <v>269</v>
      </c>
      <c r="D1206" t="s">
        <v>26</v>
      </c>
      <c r="E1206" t="s">
        <v>42</v>
      </c>
      <c r="F1206">
        <v>2025</v>
      </c>
      <c r="G1206">
        <v>0</v>
      </c>
      <c r="H1206">
        <v>0</v>
      </c>
      <c r="I1206">
        <v>1</v>
      </c>
    </row>
    <row r="1207" spans="1:9">
      <c r="A1207" t="s">
        <v>305</v>
      </c>
      <c r="B1207" t="s">
        <v>306</v>
      </c>
      <c r="C1207" t="s">
        <v>269</v>
      </c>
      <c r="D1207" t="s">
        <v>26</v>
      </c>
      <c r="E1207" t="s">
        <v>42</v>
      </c>
      <c r="F1207">
        <v>2026</v>
      </c>
      <c r="G1207">
        <v>0</v>
      </c>
      <c r="H1207">
        <v>0</v>
      </c>
      <c r="I1207">
        <v>1</v>
      </c>
    </row>
    <row r="1208" spans="1:9">
      <c r="A1208" t="s">
        <v>305</v>
      </c>
      <c r="B1208" t="s">
        <v>306</v>
      </c>
      <c r="C1208" t="s">
        <v>269</v>
      </c>
      <c r="D1208" t="s">
        <v>26</v>
      </c>
      <c r="E1208" t="s">
        <v>42</v>
      </c>
      <c r="F1208">
        <v>2027</v>
      </c>
      <c r="G1208">
        <v>0</v>
      </c>
      <c r="H1208">
        <v>0</v>
      </c>
      <c r="I1208">
        <v>1</v>
      </c>
    </row>
    <row r="1209" spans="1:9">
      <c r="A1209" t="s">
        <v>305</v>
      </c>
      <c r="B1209" t="s">
        <v>306</v>
      </c>
      <c r="C1209" t="s">
        <v>269</v>
      </c>
      <c r="D1209" t="s">
        <v>26</v>
      </c>
      <c r="E1209" t="s">
        <v>42</v>
      </c>
      <c r="F1209">
        <v>2028</v>
      </c>
      <c r="G1209">
        <v>0</v>
      </c>
      <c r="H1209">
        <v>0</v>
      </c>
      <c r="I1209">
        <v>1</v>
      </c>
    </row>
    <row r="1210" spans="1:9">
      <c r="A1210" t="s">
        <v>305</v>
      </c>
      <c r="B1210" t="s">
        <v>306</v>
      </c>
      <c r="C1210" t="s">
        <v>269</v>
      </c>
      <c r="D1210" t="s">
        <v>26</v>
      </c>
      <c r="E1210" t="s">
        <v>42</v>
      </c>
      <c r="F1210">
        <v>2029</v>
      </c>
      <c r="G1210">
        <v>0</v>
      </c>
      <c r="H1210">
        <v>0</v>
      </c>
      <c r="I1210">
        <v>1</v>
      </c>
    </row>
    <row r="1211" spans="1:9">
      <c r="A1211" t="s">
        <v>305</v>
      </c>
      <c r="B1211" t="s">
        <v>306</v>
      </c>
      <c r="C1211" t="s">
        <v>269</v>
      </c>
      <c r="D1211" t="s">
        <v>26</v>
      </c>
      <c r="E1211" t="s">
        <v>42</v>
      </c>
      <c r="F1211">
        <v>2030</v>
      </c>
      <c r="G1211">
        <v>0</v>
      </c>
      <c r="H1211">
        <v>0</v>
      </c>
      <c r="I1211">
        <v>1</v>
      </c>
    </row>
    <row r="1212" spans="1:9">
      <c r="A1212" t="s">
        <v>305</v>
      </c>
      <c r="B1212" t="s">
        <v>306</v>
      </c>
      <c r="C1212" t="s">
        <v>269</v>
      </c>
      <c r="D1212" t="s">
        <v>26</v>
      </c>
      <c r="E1212" t="s">
        <v>42</v>
      </c>
      <c r="F1212">
        <v>2031</v>
      </c>
      <c r="G1212">
        <v>0</v>
      </c>
      <c r="H1212">
        <v>0</v>
      </c>
      <c r="I1212">
        <v>1</v>
      </c>
    </row>
    <row r="1213" spans="1:9">
      <c r="A1213" t="s">
        <v>305</v>
      </c>
      <c r="B1213" t="s">
        <v>306</v>
      </c>
      <c r="C1213" t="s">
        <v>269</v>
      </c>
      <c r="D1213" t="s">
        <v>26</v>
      </c>
      <c r="E1213" t="s">
        <v>42</v>
      </c>
      <c r="F1213">
        <v>2032</v>
      </c>
      <c r="G1213">
        <v>0</v>
      </c>
      <c r="H1213">
        <v>0</v>
      </c>
      <c r="I1213">
        <v>1</v>
      </c>
    </row>
    <row r="1214" spans="1:9">
      <c r="A1214" t="s">
        <v>305</v>
      </c>
      <c r="B1214" t="s">
        <v>306</v>
      </c>
      <c r="C1214" t="s">
        <v>269</v>
      </c>
      <c r="D1214" t="s">
        <v>26</v>
      </c>
      <c r="E1214" t="s">
        <v>42</v>
      </c>
      <c r="F1214">
        <v>2033</v>
      </c>
      <c r="G1214">
        <v>0</v>
      </c>
      <c r="H1214">
        <v>0</v>
      </c>
      <c r="I1214">
        <v>1</v>
      </c>
    </row>
    <row r="1215" spans="1:9">
      <c r="A1215" t="s">
        <v>305</v>
      </c>
      <c r="B1215" t="s">
        <v>306</v>
      </c>
      <c r="C1215" t="s">
        <v>269</v>
      </c>
      <c r="D1215" t="s">
        <v>26</v>
      </c>
      <c r="E1215" t="s">
        <v>42</v>
      </c>
      <c r="F1215">
        <v>2034</v>
      </c>
      <c r="G1215">
        <v>0</v>
      </c>
      <c r="H1215">
        <v>0</v>
      </c>
      <c r="I1215">
        <v>1</v>
      </c>
    </row>
    <row r="1216" spans="1:9">
      <c r="A1216" t="s">
        <v>305</v>
      </c>
      <c r="B1216" t="s">
        <v>306</v>
      </c>
      <c r="C1216" t="s">
        <v>269</v>
      </c>
      <c r="D1216" t="s">
        <v>26</v>
      </c>
      <c r="E1216" t="s">
        <v>42</v>
      </c>
      <c r="F1216">
        <v>2035</v>
      </c>
      <c r="G1216">
        <v>0</v>
      </c>
      <c r="H1216">
        <v>0</v>
      </c>
      <c r="I1216">
        <v>1</v>
      </c>
    </row>
    <row r="1217" spans="1:9">
      <c r="A1217" t="s">
        <v>305</v>
      </c>
      <c r="B1217" t="s">
        <v>306</v>
      </c>
      <c r="C1217" t="s">
        <v>269</v>
      </c>
      <c r="D1217" t="s">
        <v>26</v>
      </c>
      <c r="E1217" t="s">
        <v>42</v>
      </c>
      <c r="F1217">
        <v>2036</v>
      </c>
      <c r="G1217">
        <v>0</v>
      </c>
      <c r="H1217">
        <v>0</v>
      </c>
      <c r="I1217">
        <v>1</v>
      </c>
    </row>
    <row r="1218" spans="1:9">
      <c r="A1218" t="s">
        <v>305</v>
      </c>
      <c r="B1218" t="s">
        <v>306</v>
      </c>
      <c r="C1218" t="s">
        <v>269</v>
      </c>
      <c r="D1218" t="s">
        <v>26</v>
      </c>
      <c r="E1218" t="s">
        <v>42</v>
      </c>
      <c r="F1218">
        <v>2037</v>
      </c>
      <c r="G1218">
        <v>0</v>
      </c>
      <c r="H1218">
        <v>0</v>
      </c>
      <c r="I1218">
        <v>1</v>
      </c>
    </row>
    <row r="1219" spans="1:9">
      <c r="A1219" t="s">
        <v>305</v>
      </c>
      <c r="B1219" t="s">
        <v>306</v>
      </c>
      <c r="C1219" t="s">
        <v>269</v>
      </c>
      <c r="D1219" t="s">
        <v>26</v>
      </c>
      <c r="E1219" t="s">
        <v>42</v>
      </c>
      <c r="F1219">
        <v>2038</v>
      </c>
      <c r="G1219">
        <v>0</v>
      </c>
      <c r="H1219">
        <v>0</v>
      </c>
      <c r="I1219">
        <v>1</v>
      </c>
    </row>
    <row r="1220" spans="1:9">
      <c r="A1220" t="s">
        <v>305</v>
      </c>
      <c r="B1220" t="s">
        <v>306</v>
      </c>
      <c r="C1220" t="s">
        <v>269</v>
      </c>
      <c r="D1220" t="s">
        <v>26</v>
      </c>
      <c r="E1220" t="s">
        <v>42</v>
      </c>
      <c r="F1220">
        <v>2039</v>
      </c>
      <c r="G1220">
        <v>0</v>
      </c>
      <c r="H1220">
        <v>0</v>
      </c>
      <c r="I1220">
        <v>1</v>
      </c>
    </row>
    <row r="1221" spans="1:9">
      <c r="A1221" t="s">
        <v>305</v>
      </c>
      <c r="B1221" t="s">
        <v>306</v>
      </c>
      <c r="C1221" t="s">
        <v>269</v>
      </c>
      <c r="D1221" t="s">
        <v>26</v>
      </c>
      <c r="E1221" t="s">
        <v>42</v>
      </c>
      <c r="F1221">
        <v>2040</v>
      </c>
      <c r="G1221">
        <v>0</v>
      </c>
      <c r="H1221">
        <v>0</v>
      </c>
      <c r="I1221">
        <v>1</v>
      </c>
    </row>
    <row r="1222" spans="1:9">
      <c r="A1222" t="s">
        <v>305</v>
      </c>
      <c r="B1222" t="s">
        <v>306</v>
      </c>
      <c r="C1222" t="s">
        <v>269</v>
      </c>
      <c r="D1222" t="s">
        <v>26</v>
      </c>
      <c r="E1222" t="s">
        <v>42</v>
      </c>
      <c r="F1222">
        <v>2041</v>
      </c>
      <c r="G1222">
        <v>0</v>
      </c>
      <c r="H1222">
        <v>0</v>
      </c>
      <c r="I1222">
        <v>1</v>
      </c>
    </row>
    <row r="1223" spans="1:9">
      <c r="A1223" t="s">
        <v>305</v>
      </c>
      <c r="B1223" t="s">
        <v>306</v>
      </c>
      <c r="C1223" t="s">
        <v>269</v>
      </c>
      <c r="D1223" t="s">
        <v>26</v>
      </c>
      <c r="E1223" t="s">
        <v>42</v>
      </c>
      <c r="F1223">
        <v>2042</v>
      </c>
      <c r="G1223">
        <v>0</v>
      </c>
      <c r="H1223">
        <v>0</v>
      </c>
      <c r="I1223">
        <v>1</v>
      </c>
    </row>
    <row r="1224" spans="1:9">
      <c r="A1224" t="s">
        <v>305</v>
      </c>
      <c r="B1224" t="s">
        <v>306</v>
      </c>
      <c r="C1224" t="s">
        <v>269</v>
      </c>
      <c r="D1224" t="s">
        <v>26</v>
      </c>
      <c r="E1224" t="s">
        <v>42</v>
      </c>
      <c r="F1224">
        <v>2043</v>
      </c>
      <c r="G1224">
        <v>0</v>
      </c>
      <c r="H1224">
        <v>0</v>
      </c>
      <c r="I1224">
        <v>1</v>
      </c>
    </row>
    <row r="1225" spans="1:9">
      <c r="A1225" t="s">
        <v>305</v>
      </c>
      <c r="B1225" t="s">
        <v>306</v>
      </c>
      <c r="C1225" t="s">
        <v>269</v>
      </c>
      <c r="D1225" t="s">
        <v>26</v>
      </c>
      <c r="E1225" t="s">
        <v>42</v>
      </c>
      <c r="F1225">
        <v>2044</v>
      </c>
      <c r="G1225">
        <v>0</v>
      </c>
      <c r="H1225">
        <v>0</v>
      </c>
      <c r="I1225">
        <v>1</v>
      </c>
    </row>
    <row r="1226" spans="1:9">
      <c r="A1226" t="s">
        <v>305</v>
      </c>
      <c r="B1226" t="s">
        <v>306</v>
      </c>
      <c r="C1226" t="s">
        <v>269</v>
      </c>
      <c r="D1226" t="s">
        <v>26</v>
      </c>
      <c r="E1226" t="s">
        <v>42</v>
      </c>
      <c r="F1226">
        <v>2045</v>
      </c>
      <c r="G1226">
        <v>0</v>
      </c>
      <c r="H1226">
        <v>0</v>
      </c>
      <c r="I1226">
        <v>1</v>
      </c>
    </row>
    <row r="1227" spans="1:9">
      <c r="A1227" t="s">
        <v>305</v>
      </c>
      <c r="B1227" t="s">
        <v>306</v>
      </c>
      <c r="C1227" t="s">
        <v>269</v>
      </c>
      <c r="D1227" t="s">
        <v>26</v>
      </c>
      <c r="E1227" t="s">
        <v>42</v>
      </c>
      <c r="F1227">
        <v>2046</v>
      </c>
      <c r="G1227">
        <v>0</v>
      </c>
      <c r="H1227">
        <v>0</v>
      </c>
      <c r="I1227">
        <v>1</v>
      </c>
    </row>
    <row r="1228" spans="1:9">
      <c r="A1228" t="s">
        <v>305</v>
      </c>
      <c r="B1228" t="s">
        <v>306</v>
      </c>
      <c r="C1228" t="s">
        <v>269</v>
      </c>
      <c r="D1228" t="s">
        <v>26</v>
      </c>
      <c r="E1228" t="s">
        <v>42</v>
      </c>
      <c r="F1228">
        <v>2047</v>
      </c>
      <c r="G1228">
        <v>0</v>
      </c>
      <c r="H1228">
        <v>0</v>
      </c>
      <c r="I1228">
        <v>1</v>
      </c>
    </row>
    <row r="1229" spans="1:9">
      <c r="A1229" t="s">
        <v>305</v>
      </c>
      <c r="B1229" t="s">
        <v>306</v>
      </c>
      <c r="C1229" t="s">
        <v>269</v>
      </c>
      <c r="D1229" t="s">
        <v>26</v>
      </c>
      <c r="E1229" t="s">
        <v>42</v>
      </c>
      <c r="F1229">
        <v>2048</v>
      </c>
      <c r="G1229">
        <v>0</v>
      </c>
      <c r="H1229">
        <v>0</v>
      </c>
      <c r="I1229">
        <v>1</v>
      </c>
    </row>
    <row r="1230" spans="1:9">
      <c r="A1230" t="s">
        <v>305</v>
      </c>
      <c r="B1230" t="s">
        <v>306</v>
      </c>
      <c r="C1230" t="s">
        <v>269</v>
      </c>
      <c r="D1230" t="s">
        <v>26</v>
      </c>
      <c r="E1230" t="s">
        <v>42</v>
      </c>
      <c r="F1230">
        <v>2049</v>
      </c>
      <c r="G1230">
        <v>0</v>
      </c>
      <c r="H1230">
        <v>0</v>
      </c>
      <c r="I1230">
        <v>1</v>
      </c>
    </row>
    <row r="1231" spans="1:9">
      <c r="A1231" t="s">
        <v>305</v>
      </c>
      <c r="B1231" t="s">
        <v>306</v>
      </c>
      <c r="C1231" t="s">
        <v>269</v>
      </c>
      <c r="D1231" t="s">
        <v>26</v>
      </c>
      <c r="E1231" t="s">
        <v>42</v>
      </c>
      <c r="F1231">
        <v>2050</v>
      </c>
      <c r="G1231">
        <v>0</v>
      </c>
      <c r="H1231">
        <v>0</v>
      </c>
      <c r="I1231">
        <v>1</v>
      </c>
    </row>
    <row r="1232" spans="1:9">
      <c r="A1232" t="s">
        <v>305</v>
      </c>
      <c r="B1232" t="s">
        <v>306</v>
      </c>
      <c r="C1232" t="s">
        <v>269</v>
      </c>
      <c r="D1232" t="s">
        <v>307</v>
      </c>
      <c r="E1232" t="s">
        <v>42</v>
      </c>
      <c r="F1232">
        <v>2010</v>
      </c>
      <c r="G1232">
        <v>83044.817139999999</v>
      </c>
      <c r="H1232">
        <v>83044.817139999999</v>
      </c>
      <c r="I1232">
        <v>1</v>
      </c>
    </row>
    <row r="1233" spans="1:9">
      <c r="A1233" t="s">
        <v>305</v>
      </c>
      <c r="B1233" t="s">
        <v>306</v>
      </c>
      <c r="C1233" t="s">
        <v>269</v>
      </c>
      <c r="D1233" t="s">
        <v>307</v>
      </c>
      <c r="E1233" t="s">
        <v>42</v>
      </c>
      <c r="F1233">
        <v>2011</v>
      </c>
      <c r="G1233">
        <v>85505.16</v>
      </c>
      <c r="H1233">
        <v>85505.16</v>
      </c>
      <c r="I1233">
        <v>1</v>
      </c>
    </row>
    <row r="1234" spans="1:9">
      <c r="A1234" t="s">
        <v>305</v>
      </c>
      <c r="B1234" t="s">
        <v>306</v>
      </c>
      <c r="C1234" t="s">
        <v>269</v>
      </c>
      <c r="D1234" t="s">
        <v>307</v>
      </c>
      <c r="E1234" t="s">
        <v>42</v>
      </c>
      <c r="F1234">
        <v>2012</v>
      </c>
      <c r="G1234">
        <v>88034.077709999998</v>
      </c>
      <c r="H1234">
        <v>88034.077709999998</v>
      </c>
      <c r="I1234">
        <v>1</v>
      </c>
    </row>
    <row r="1235" spans="1:9">
      <c r="A1235" t="s">
        <v>305</v>
      </c>
      <c r="B1235" t="s">
        <v>306</v>
      </c>
      <c r="C1235" t="s">
        <v>269</v>
      </c>
      <c r="D1235" t="s">
        <v>307</v>
      </c>
      <c r="E1235" t="s">
        <v>42</v>
      </c>
      <c r="F1235">
        <v>2013</v>
      </c>
      <c r="G1235">
        <v>101961.1491</v>
      </c>
      <c r="H1235">
        <v>101961.1491</v>
      </c>
      <c r="I1235">
        <v>1</v>
      </c>
    </row>
    <row r="1236" spans="1:9">
      <c r="A1236" t="s">
        <v>305</v>
      </c>
      <c r="B1236" t="s">
        <v>306</v>
      </c>
      <c r="C1236" t="s">
        <v>269</v>
      </c>
      <c r="D1236" t="s">
        <v>307</v>
      </c>
      <c r="E1236" t="s">
        <v>42</v>
      </c>
      <c r="F1236">
        <v>2014</v>
      </c>
      <c r="G1236">
        <v>116624.49430000001</v>
      </c>
      <c r="H1236">
        <v>116624.49430000001</v>
      </c>
      <c r="I1236">
        <v>1</v>
      </c>
    </row>
    <row r="1237" spans="1:9">
      <c r="A1237" t="s">
        <v>305</v>
      </c>
      <c r="B1237" t="s">
        <v>306</v>
      </c>
      <c r="C1237" t="s">
        <v>269</v>
      </c>
      <c r="D1237" t="s">
        <v>307</v>
      </c>
      <c r="E1237" t="s">
        <v>42</v>
      </c>
      <c r="F1237">
        <v>2015</v>
      </c>
      <c r="G1237">
        <v>120045.8186</v>
      </c>
      <c r="H1237">
        <v>120045.8186</v>
      </c>
      <c r="I1237">
        <v>1</v>
      </c>
    </row>
    <row r="1238" spans="1:9">
      <c r="A1238" t="s">
        <v>305</v>
      </c>
      <c r="B1238" t="s">
        <v>306</v>
      </c>
      <c r="C1238" t="s">
        <v>269</v>
      </c>
      <c r="D1238" t="s">
        <v>307</v>
      </c>
      <c r="E1238" t="s">
        <v>42</v>
      </c>
      <c r="F1238">
        <v>2016</v>
      </c>
      <c r="G1238">
        <v>135910.38690000001</v>
      </c>
      <c r="H1238">
        <v>135910.38690000001</v>
      </c>
      <c r="I1238">
        <v>1</v>
      </c>
    </row>
    <row r="1239" spans="1:9">
      <c r="A1239" t="s">
        <v>305</v>
      </c>
      <c r="B1239" t="s">
        <v>306</v>
      </c>
      <c r="C1239" t="s">
        <v>269</v>
      </c>
      <c r="D1239" t="s">
        <v>307</v>
      </c>
      <c r="E1239" t="s">
        <v>42</v>
      </c>
      <c r="F1239">
        <v>2017</v>
      </c>
      <c r="G1239">
        <v>152582.57490000001</v>
      </c>
      <c r="H1239">
        <v>152582.57490000001</v>
      </c>
      <c r="I1239">
        <v>1</v>
      </c>
    </row>
    <row r="1240" spans="1:9">
      <c r="A1240" t="s">
        <v>305</v>
      </c>
      <c r="B1240" t="s">
        <v>306</v>
      </c>
      <c r="C1240" t="s">
        <v>269</v>
      </c>
      <c r="D1240" t="s">
        <v>307</v>
      </c>
      <c r="E1240" t="s">
        <v>42</v>
      </c>
      <c r="F1240">
        <v>2018</v>
      </c>
      <c r="G1240">
        <v>170088.321</v>
      </c>
      <c r="H1240">
        <v>170088.321</v>
      </c>
      <c r="I1240">
        <v>1</v>
      </c>
    </row>
    <row r="1241" spans="1:9">
      <c r="A1241" t="s">
        <v>305</v>
      </c>
      <c r="B1241" t="s">
        <v>306</v>
      </c>
      <c r="C1241" t="s">
        <v>269</v>
      </c>
      <c r="D1241" t="s">
        <v>307</v>
      </c>
      <c r="E1241" t="s">
        <v>42</v>
      </c>
      <c r="F1241">
        <v>2019</v>
      </c>
      <c r="G1241">
        <v>188452.93799999999</v>
      </c>
      <c r="H1241">
        <v>188452.93799999999</v>
      </c>
      <c r="I1241">
        <v>1</v>
      </c>
    </row>
    <row r="1242" spans="1:9">
      <c r="A1242" t="s">
        <v>305</v>
      </c>
      <c r="B1242" t="s">
        <v>306</v>
      </c>
      <c r="C1242" t="s">
        <v>269</v>
      </c>
      <c r="D1242" t="s">
        <v>307</v>
      </c>
      <c r="E1242" t="s">
        <v>42</v>
      </c>
      <c r="F1242">
        <v>2020</v>
      </c>
      <c r="G1242">
        <v>207701.96789999999</v>
      </c>
      <c r="H1242">
        <v>207701.96789999999</v>
      </c>
      <c r="I1242">
        <v>1</v>
      </c>
    </row>
    <row r="1243" spans="1:9">
      <c r="A1243" t="s">
        <v>305</v>
      </c>
      <c r="B1243" t="s">
        <v>306</v>
      </c>
      <c r="C1243" t="s">
        <v>269</v>
      </c>
      <c r="D1243" t="s">
        <v>307</v>
      </c>
      <c r="E1243" t="s">
        <v>42</v>
      </c>
      <c r="F1243">
        <v>2021</v>
      </c>
      <c r="G1243">
        <v>213619.26860000001</v>
      </c>
      <c r="H1243">
        <v>213619.26860000001</v>
      </c>
      <c r="I1243">
        <v>1</v>
      </c>
    </row>
    <row r="1244" spans="1:9">
      <c r="A1244" t="s">
        <v>305</v>
      </c>
      <c r="B1244" t="s">
        <v>306</v>
      </c>
      <c r="C1244" t="s">
        <v>269</v>
      </c>
      <c r="D1244" t="s">
        <v>307</v>
      </c>
      <c r="E1244" t="s">
        <v>42</v>
      </c>
      <c r="F1244">
        <v>2022</v>
      </c>
      <c r="G1244">
        <v>234310.8069</v>
      </c>
      <c r="H1244">
        <v>234310.8069</v>
      </c>
      <c r="I1244">
        <v>1</v>
      </c>
    </row>
    <row r="1245" spans="1:9">
      <c r="A1245" t="s">
        <v>305</v>
      </c>
      <c r="B1245" t="s">
        <v>306</v>
      </c>
      <c r="C1245" t="s">
        <v>269</v>
      </c>
      <c r="D1245" t="s">
        <v>307</v>
      </c>
      <c r="E1245" t="s">
        <v>42</v>
      </c>
      <c r="F1245">
        <v>2023</v>
      </c>
      <c r="G1245">
        <v>271013.81140000001</v>
      </c>
      <c r="H1245">
        <v>271013.81140000001</v>
      </c>
      <c r="I1245">
        <v>1</v>
      </c>
    </row>
    <row r="1246" spans="1:9">
      <c r="A1246" t="s">
        <v>305</v>
      </c>
      <c r="B1246" t="s">
        <v>306</v>
      </c>
      <c r="C1246" t="s">
        <v>269</v>
      </c>
      <c r="D1246" t="s">
        <v>307</v>
      </c>
      <c r="E1246" t="s">
        <v>42</v>
      </c>
      <c r="F1246">
        <v>2024</v>
      </c>
      <c r="G1246">
        <v>294065.53240000003</v>
      </c>
      <c r="H1246">
        <v>294065.53240000003</v>
      </c>
      <c r="I1246">
        <v>1</v>
      </c>
    </row>
    <row r="1247" spans="1:9">
      <c r="A1247" t="s">
        <v>305</v>
      </c>
      <c r="B1247" t="s">
        <v>306</v>
      </c>
      <c r="C1247" t="s">
        <v>269</v>
      </c>
      <c r="D1247" t="s">
        <v>307</v>
      </c>
      <c r="E1247" t="s">
        <v>42</v>
      </c>
      <c r="F1247">
        <v>2025</v>
      </c>
      <c r="G1247">
        <v>318138.84000000003</v>
      </c>
      <c r="H1247">
        <v>318138.84000000003</v>
      </c>
      <c r="I1247">
        <v>1</v>
      </c>
    </row>
    <row r="1248" spans="1:9">
      <c r="A1248" t="s">
        <v>305</v>
      </c>
      <c r="B1248" t="s">
        <v>306</v>
      </c>
      <c r="C1248" t="s">
        <v>269</v>
      </c>
      <c r="D1248" t="s">
        <v>307</v>
      </c>
      <c r="E1248" t="s">
        <v>42</v>
      </c>
      <c r="F1248">
        <v>2026</v>
      </c>
      <c r="G1248">
        <v>359605.35600000003</v>
      </c>
      <c r="H1248">
        <v>359605.35600000003</v>
      </c>
      <c r="I1248">
        <v>1</v>
      </c>
    </row>
    <row r="1249" spans="1:9">
      <c r="A1249" t="s">
        <v>305</v>
      </c>
      <c r="B1249" t="s">
        <v>306</v>
      </c>
      <c r="C1249" t="s">
        <v>269</v>
      </c>
      <c r="D1249" t="s">
        <v>307</v>
      </c>
      <c r="E1249" t="s">
        <v>42</v>
      </c>
      <c r="F1249">
        <v>2027</v>
      </c>
      <c r="G1249">
        <v>386245.34139999998</v>
      </c>
      <c r="H1249">
        <v>386245.34139999998</v>
      </c>
      <c r="I1249">
        <v>1</v>
      </c>
    </row>
    <row r="1250" spans="1:9">
      <c r="A1250" t="s">
        <v>305</v>
      </c>
      <c r="B1250" t="s">
        <v>306</v>
      </c>
      <c r="C1250" t="s">
        <v>269</v>
      </c>
      <c r="D1250" t="s">
        <v>307</v>
      </c>
      <c r="E1250" t="s">
        <v>42</v>
      </c>
      <c r="F1250">
        <v>2028</v>
      </c>
      <c r="G1250">
        <v>413990.35200000001</v>
      </c>
      <c r="H1250">
        <v>413990.35200000001</v>
      </c>
      <c r="I1250">
        <v>1</v>
      </c>
    </row>
    <row r="1251" spans="1:9">
      <c r="A1251" t="s">
        <v>305</v>
      </c>
      <c r="B1251" t="s">
        <v>306</v>
      </c>
      <c r="C1251" t="s">
        <v>269</v>
      </c>
      <c r="D1251" t="s">
        <v>307</v>
      </c>
      <c r="E1251" t="s">
        <v>42</v>
      </c>
      <c r="F1251">
        <v>2029</v>
      </c>
      <c r="G1251">
        <v>442863.96429999999</v>
      </c>
      <c r="H1251">
        <v>442863.96429999999</v>
      </c>
      <c r="I1251">
        <v>1</v>
      </c>
    </row>
    <row r="1252" spans="1:9">
      <c r="A1252" t="s">
        <v>305</v>
      </c>
      <c r="B1252" t="s">
        <v>306</v>
      </c>
      <c r="C1252" t="s">
        <v>269</v>
      </c>
      <c r="D1252" t="s">
        <v>307</v>
      </c>
      <c r="E1252" t="s">
        <v>42</v>
      </c>
      <c r="F1252">
        <v>2030</v>
      </c>
      <c r="G1252">
        <v>491076.4204</v>
      </c>
      <c r="H1252">
        <v>491076.4204</v>
      </c>
      <c r="I1252">
        <v>1</v>
      </c>
    </row>
    <row r="1253" spans="1:9">
      <c r="A1253" t="s">
        <v>305</v>
      </c>
      <c r="B1253" t="s">
        <v>306</v>
      </c>
      <c r="C1253" t="s">
        <v>269</v>
      </c>
      <c r="D1253" t="s">
        <v>307</v>
      </c>
      <c r="E1253" t="s">
        <v>42</v>
      </c>
      <c r="F1253">
        <v>2031</v>
      </c>
      <c r="G1253">
        <v>541425.63340000005</v>
      </c>
      <c r="H1253">
        <v>541425.63340000005</v>
      </c>
      <c r="I1253">
        <v>1</v>
      </c>
    </row>
    <row r="1254" spans="1:9">
      <c r="A1254" t="s">
        <v>305</v>
      </c>
      <c r="B1254" t="s">
        <v>306</v>
      </c>
      <c r="C1254" t="s">
        <v>269</v>
      </c>
      <c r="D1254" t="s">
        <v>307</v>
      </c>
      <c r="E1254" t="s">
        <v>42</v>
      </c>
      <c r="F1254">
        <v>2032</v>
      </c>
      <c r="G1254">
        <v>574795.78709999996</v>
      </c>
      <c r="H1254">
        <v>574795.78709999996</v>
      </c>
      <c r="I1254">
        <v>1</v>
      </c>
    </row>
    <row r="1255" spans="1:9">
      <c r="A1255" t="s">
        <v>305</v>
      </c>
      <c r="B1255" t="s">
        <v>306</v>
      </c>
      <c r="C1255" t="s">
        <v>269</v>
      </c>
      <c r="D1255" t="s">
        <v>307</v>
      </c>
      <c r="E1255" t="s">
        <v>42</v>
      </c>
      <c r="F1255">
        <v>2033</v>
      </c>
      <c r="G1255">
        <v>619216.98750000005</v>
      </c>
      <c r="H1255">
        <v>619216.98750000005</v>
      </c>
      <c r="I1255">
        <v>1</v>
      </c>
    </row>
    <row r="1256" spans="1:9">
      <c r="A1256" t="s">
        <v>305</v>
      </c>
      <c r="B1256" t="s">
        <v>306</v>
      </c>
      <c r="C1256" t="s">
        <v>269</v>
      </c>
      <c r="D1256" t="s">
        <v>307</v>
      </c>
      <c r="E1256" t="s">
        <v>42</v>
      </c>
      <c r="F1256">
        <v>2034</v>
      </c>
      <c r="G1256">
        <v>685537.54110000003</v>
      </c>
      <c r="H1256">
        <v>685537.54110000003</v>
      </c>
      <c r="I1256">
        <v>1</v>
      </c>
    </row>
    <row r="1257" spans="1:9">
      <c r="A1257" t="s">
        <v>305</v>
      </c>
      <c r="B1257" t="s">
        <v>306</v>
      </c>
      <c r="C1257" t="s">
        <v>269</v>
      </c>
      <c r="D1257" t="s">
        <v>307</v>
      </c>
      <c r="E1257" t="s">
        <v>42</v>
      </c>
      <c r="F1257">
        <v>2035</v>
      </c>
      <c r="G1257">
        <v>723626.46</v>
      </c>
      <c r="H1257">
        <v>723626.46</v>
      </c>
      <c r="I1257">
        <v>1</v>
      </c>
    </row>
    <row r="1258" spans="1:9">
      <c r="A1258" t="s">
        <v>305</v>
      </c>
      <c r="B1258" t="s">
        <v>306</v>
      </c>
      <c r="C1258" t="s">
        <v>269</v>
      </c>
      <c r="D1258" t="s">
        <v>307</v>
      </c>
      <c r="E1258" t="s">
        <v>42</v>
      </c>
      <c r="F1258">
        <v>2036</v>
      </c>
      <c r="G1258">
        <v>784175.95970000001</v>
      </c>
      <c r="H1258">
        <v>784175.95970000001</v>
      </c>
      <c r="I1258">
        <v>1</v>
      </c>
    </row>
    <row r="1259" spans="1:9">
      <c r="A1259" t="s">
        <v>305</v>
      </c>
      <c r="B1259" t="s">
        <v>306</v>
      </c>
      <c r="C1259" t="s">
        <v>269</v>
      </c>
      <c r="D1259" t="s">
        <v>307</v>
      </c>
      <c r="E1259" t="s">
        <v>42</v>
      </c>
      <c r="F1259">
        <v>2037</v>
      </c>
      <c r="G1259">
        <v>825336.87430000002</v>
      </c>
      <c r="H1259">
        <v>825336.87430000002</v>
      </c>
      <c r="I1259">
        <v>1</v>
      </c>
    </row>
    <row r="1260" spans="1:9">
      <c r="A1260" t="s">
        <v>305</v>
      </c>
      <c r="B1260" t="s">
        <v>306</v>
      </c>
      <c r="C1260" t="s">
        <v>269</v>
      </c>
      <c r="D1260" t="s">
        <v>307</v>
      </c>
      <c r="E1260" t="s">
        <v>42</v>
      </c>
      <c r="F1260">
        <v>2038</v>
      </c>
      <c r="G1260">
        <v>890046.12</v>
      </c>
      <c r="H1260">
        <v>890046.12</v>
      </c>
      <c r="I1260">
        <v>1</v>
      </c>
    </row>
    <row r="1261" spans="1:9">
      <c r="A1261" t="s">
        <v>305</v>
      </c>
      <c r="B1261" t="s">
        <v>306</v>
      </c>
      <c r="C1261" t="s">
        <v>269</v>
      </c>
      <c r="D1261" t="s">
        <v>307</v>
      </c>
      <c r="E1261" t="s">
        <v>42</v>
      </c>
      <c r="F1261">
        <v>2039</v>
      </c>
      <c r="G1261">
        <v>934349.6091</v>
      </c>
      <c r="H1261">
        <v>934349.6091</v>
      </c>
      <c r="I1261">
        <v>1</v>
      </c>
    </row>
    <row r="1262" spans="1:9">
      <c r="A1262" t="s">
        <v>305</v>
      </c>
      <c r="B1262" t="s">
        <v>306</v>
      </c>
      <c r="C1262" t="s">
        <v>269</v>
      </c>
      <c r="D1262" t="s">
        <v>307</v>
      </c>
      <c r="E1262" t="s">
        <v>42</v>
      </c>
      <c r="F1262">
        <v>2040</v>
      </c>
      <c r="G1262">
        <v>979976.03399999999</v>
      </c>
      <c r="H1262">
        <v>979976.03399999999</v>
      </c>
      <c r="I1262">
        <v>1</v>
      </c>
    </row>
    <row r="1263" spans="1:9">
      <c r="A1263" t="s">
        <v>305</v>
      </c>
      <c r="B1263" t="s">
        <v>306</v>
      </c>
      <c r="C1263" t="s">
        <v>269</v>
      </c>
      <c r="D1263" t="s">
        <v>307</v>
      </c>
      <c r="E1263" t="s">
        <v>42</v>
      </c>
      <c r="F1263">
        <v>2041</v>
      </c>
      <c r="G1263">
        <v>1050816.341</v>
      </c>
      <c r="H1263">
        <v>1050816.341</v>
      </c>
      <c r="I1263">
        <v>1</v>
      </c>
    </row>
    <row r="1264" spans="1:9">
      <c r="A1264" t="s">
        <v>305</v>
      </c>
      <c r="B1264" t="s">
        <v>306</v>
      </c>
      <c r="C1264" t="s">
        <v>269</v>
      </c>
      <c r="D1264" t="s">
        <v>307</v>
      </c>
      <c r="E1264" t="s">
        <v>42</v>
      </c>
      <c r="F1264">
        <v>2042</v>
      </c>
      <c r="G1264">
        <v>1148542.733</v>
      </c>
      <c r="H1264">
        <v>1148542.733</v>
      </c>
      <c r="I1264">
        <v>1</v>
      </c>
    </row>
    <row r="1265" spans="1:9">
      <c r="A1265" t="s">
        <v>305</v>
      </c>
      <c r="B1265" t="s">
        <v>306</v>
      </c>
      <c r="C1265" t="s">
        <v>269</v>
      </c>
      <c r="D1265" t="s">
        <v>307</v>
      </c>
      <c r="E1265" t="s">
        <v>42</v>
      </c>
      <c r="F1265">
        <v>2043</v>
      </c>
      <c r="G1265">
        <v>1149870.2139999999</v>
      </c>
      <c r="H1265">
        <v>1149870.2139999999</v>
      </c>
      <c r="I1265">
        <v>1</v>
      </c>
    </row>
    <row r="1266" spans="1:9">
      <c r="A1266" t="s">
        <v>305</v>
      </c>
      <c r="B1266" t="s">
        <v>306</v>
      </c>
      <c r="C1266" t="s">
        <v>269</v>
      </c>
      <c r="D1266" t="s">
        <v>307</v>
      </c>
      <c r="E1266" t="s">
        <v>42</v>
      </c>
      <c r="F1266">
        <v>2044</v>
      </c>
      <c r="G1266">
        <v>1278110.807</v>
      </c>
      <c r="H1266">
        <v>1278110.807</v>
      </c>
      <c r="I1266">
        <v>1</v>
      </c>
    </row>
    <row r="1267" spans="1:9">
      <c r="A1267" t="s">
        <v>305</v>
      </c>
      <c r="B1267" t="s">
        <v>306</v>
      </c>
      <c r="C1267" t="s">
        <v>269</v>
      </c>
      <c r="D1267" t="s">
        <v>307</v>
      </c>
      <c r="E1267" t="s">
        <v>42</v>
      </c>
      <c r="F1267">
        <v>2045</v>
      </c>
      <c r="G1267">
        <v>1280466.327</v>
      </c>
      <c r="H1267">
        <v>1280466.327</v>
      </c>
      <c r="I1267">
        <v>1</v>
      </c>
    </row>
    <row r="1268" spans="1:9">
      <c r="A1268" t="s">
        <v>305</v>
      </c>
      <c r="B1268" t="s">
        <v>306</v>
      </c>
      <c r="C1268" t="s">
        <v>269</v>
      </c>
      <c r="D1268" t="s">
        <v>307</v>
      </c>
      <c r="E1268" t="s">
        <v>42</v>
      </c>
      <c r="F1268">
        <v>2046</v>
      </c>
      <c r="G1268">
        <v>1362015.486</v>
      </c>
      <c r="H1268">
        <v>1362015.486</v>
      </c>
      <c r="I1268">
        <v>1</v>
      </c>
    </row>
    <row r="1269" spans="1:9">
      <c r="A1269" t="s">
        <v>305</v>
      </c>
      <c r="B1269" t="s">
        <v>306</v>
      </c>
      <c r="C1269" t="s">
        <v>269</v>
      </c>
      <c r="D1269" t="s">
        <v>307</v>
      </c>
      <c r="E1269" t="s">
        <v>42</v>
      </c>
      <c r="F1269">
        <v>2047</v>
      </c>
      <c r="G1269">
        <v>1500660.433</v>
      </c>
      <c r="H1269">
        <v>1500660.433</v>
      </c>
      <c r="I1269">
        <v>1</v>
      </c>
    </row>
    <row r="1270" spans="1:9">
      <c r="A1270" t="s">
        <v>305</v>
      </c>
      <c r="B1270" t="s">
        <v>306</v>
      </c>
      <c r="C1270" t="s">
        <v>269</v>
      </c>
      <c r="D1270" t="s">
        <v>307</v>
      </c>
      <c r="E1270" t="s">
        <v>42</v>
      </c>
      <c r="F1270">
        <v>2048</v>
      </c>
      <c r="G1270">
        <v>1560585.3119999999</v>
      </c>
      <c r="H1270">
        <v>1560585.3119999999</v>
      </c>
      <c r="I1270">
        <v>1</v>
      </c>
    </row>
    <row r="1271" spans="1:9">
      <c r="A1271" t="s">
        <v>305</v>
      </c>
      <c r="B1271" t="s">
        <v>306</v>
      </c>
      <c r="C1271" t="s">
        <v>269</v>
      </c>
      <c r="D1271" t="s">
        <v>307</v>
      </c>
      <c r="E1271" t="s">
        <v>42</v>
      </c>
      <c r="F1271">
        <v>2049</v>
      </c>
      <c r="G1271">
        <v>1621925.1310000001</v>
      </c>
      <c r="H1271">
        <v>1621925.1310000001</v>
      </c>
      <c r="I1271">
        <v>1</v>
      </c>
    </row>
    <row r="1272" spans="1:9">
      <c r="A1272" t="s">
        <v>305</v>
      </c>
      <c r="B1272" t="s">
        <v>306</v>
      </c>
      <c r="C1272" t="s">
        <v>269</v>
      </c>
      <c r="D1272" t="s">
        <v>307</v>
      </c>
      <c r="E1272" t="s">
        <v>42</v>
      </c>
      <c r="F1272">
        <v>2050</v>
      </c>
      <c r="G1272">
        <v>1684691.44</v>
      </c>
      <c r="H1272">
        <v>1684691.44</v>
      </c>
      <c r="I1272">
        <v>1</v>
      </c>
    </row>
    <row r="1273" spans="1:9">
      <c r="A1273" t="s">
        <v>305</v>
      </c>
      <c r="B1273" t="s">
        <v>306</v>
      </c>
      <c r="C1273" t="s">
        <v>269</v>
      </c>
      <c r="D1273" t="s">
        <v>25</v>
      </c>
      <c r="E1273" t="s">
        <v>107</v>
      </c>
      <c r="F1273">
        <v>2010</v>
      </c>
      <c r="G1273">
        <v>1509550.841</v>
      </c>
      <c r="H1273">
        <v>1509550.841</v>
      </c>
      <c r="I1273">
        <v>1</v>
      </c>
    </row>
    <row r="1274" spans="1:9">
      <c r="A1274" t="s">
        <v>305</v>
      </c>
      <c r="B1274" t="s">
        <v>306</v>
      </c>
      <c r="C1274" t="s">
        <v>269</v>
      </c>
      <c r="D1274" t="s">
        <v>25</v>
      </c>
      <c r="E1274" t="s">
        <v>107</v>
      </c>
      <c r="F1274">
        <v>2011</v>
      </c>
      <c r="G1274">
        <v>1532845.4169999999</v>
      </c>
      <c r="H1274">
        <v>1532845.4169999999</v>
      </c>
      <c r="I1274">
        <v>1</v>
      </c>
    </row>
    <row r="1275" spans="1:9">
      <c r="A1275" t="s">
        <v>305</v>
      </c>
      <c r="B1275" t="s">
        <v>306</v>
      </c>
      <c r="C1275" t="s">
        <v>269</v>
      </c>
      <c r="D1275" t="s">
        <v>25</v>
      </c>
      <c r="E1275" t="s">
        <v>107</v>
      </c>
      <c r="F1275">
        <v>2012</v>
      </c>
      <c r="G1275">
        <v>1565996.34</v>
      </c>
      <c r="H1275">
        <v>1565996.34</v>
      </c>
      <c r="I1275">
        <v>1</v>
      </c>
    </row>
    <row r="1276" spans="1:9">
      <c r="A1276" t="s">
        <v>305</v>
      </c>
      <c r="B1276" t="s">
        <v>306</v>
      </c>
      <c r="C1276" t="s">
        <v>269</v>
      </c>
      <c r="D1276" t="s">
        <v>25</v>
      </c>
      <c r="E1276" t="s">
        <v>107</v>
      </c>
      <c r="F1276">
        <v>2013</v>
      </c>
      <c r="G1276">
        <v>1583087.067</v>
      </c>
      <c r="H1276">
        <v>1583087.067</v>
      </c>
      <c r="I1276">
        <v>1</v>
      </c>
    </row>
    <row r="1277" spans="1:9">
      <c r="A1277" t="s">
        <v>305</v>
      </c>
      <c r="B1277" t="s">
        <v>306</v>
      </c>
      <c r="C1277" t="s">
        <v>269</v>
      </c>
      <c r="D1277" t="s">
        <v>25</v>
      </c>
      <c r="E1277" t="s">
        <v>107</v>
      </c>
      <c r="F1277">
        <v>2014</v>
      </c>
      <c r="G1277">
        <v>1610367.409</v>
      </c>
      <c r="H1277">
        <v>1610367.409</v>
      </c>
      <c r="I1277">
        <v>1</v>
      </c>
    </row>
    <row r="1278" spans="1:9">
      <c r="A1278" t="s">
        <v>305</v>
      </c>
      <c r="B1278" t="s">
        <v>306</v>
      </c>
      <c r="C1278" t="s">
        <v>269</v>
      </c>
      <c r="D1278" t="s">
        <v>25</v>
      </c>
      <c r="E1278" t="s">
        <v>107</v>
      </c>
      <c r="F1278">
        <v>2015</v>
      </c>
      <c r="G1278">
        <v>1640750.3089999999</v>
      </c>
      <c r="H1278">
        <v>1640750.3089999999</v>
      </c>
      <c r="I1278">
        <v>1</v>
      </c>
    </row>
    <row r="1279" spans="1:9">
      <c r="A1279" t="s">
        <v>305</v>
      </c>
      <c r="B1279" t="s">
        <v>306</v>
      </c>
      <c r="C1279" t="s">
        <v>269</v>
      </c>
      <c r="D1279" t="s">
        <v>25</v>
      </c>
      <c r="E1279" t="s">
        <v>107</v>
      </c>
      <c r="F1279">
        <v>2016</v>
      </c>
      <c r="G1279">
        <v>1670251.5260000001</v>
      </c>
      <c r="H1279">
        <v>1670251.5260000001</v>
      </c>
      <c r="I1279">
        <v>1</v>
      </c>
    </row>
    <row r="1280" spans="1:9">
      <c r="A1280" t="s">
        <v>305</v>
      </c>
      <c r="B1280" t="s">
        <v>306</v>
      </c>
      <c r="C1280" t="s">
        <v>269</v>
      </c>
      <c r="D1280" t="s">
        <v>25</v>
      </c>
      <c r="E1280" t="s">
        <v>107</v>
      </c>
      <c r="F1280">
        <v>2017</v>
      </c>
      <c r="G1280">
        <v>1666216.8859999999</v>
      </c>
      <c r="H1280">
        <v>1666216.8859999999</v>
      </c>
      <c r="I1280">
        <v>1</v>
      </c>
    </row>
    <row r="1281" spans="1:9">
      <c r="A1281" t="s">
        <v>305</v>
      </c>
      <c r="B1281" t="s">
        <v>306</v>
      </c>
      <c r="C1281" t="s">
        <v>269</v>
      </c>
      <c r="D1281" t="s">
        <v>25</v>
      </c>
      <c r="E1281" t="s">
        <v>107</v>
      </c>
      <c r="F1281">
        <v>2018</v>
      </c>
      <c r="G1281">
        <v>1706441.818</v>
      </c>
      <c r="H1281">
        <v>1706441.818</v>
      </c>
      <c r="I1281">
        <v>1</v>
      </c>
    </row>
    <row r="1282" spans="1:9">
      <c r="A1282" t="s">
        <v>305</v>
      </c>
      <c r="B1282" t="s">
        <v>306</v>
      </c>
      <c r="C1282" t="s">
        <v>269</v>
      </c>
      <c r="D1282" t="s">
        <v>25</v>
      </c>
      <c r="E1282" t="s">
        <v>107</v>
      </c>
      <c r="F1282">
        <v>2019</v>
      </c>
      <c r="G1282">
        <v>1711303.432</v>
      </c>
      <c r="H1282">
        <v>1711303.432</v>
      </c>
      <c r="I1282">
        <v>1</v>
      </c>
    </row>
    <row r="1283" spans="1:9">
      <c r="A1283" t="s">
        <v>305</v>
      </c>
      <c r="B1283" t="s">
        <v>306</v>
      </c>
      <c r="C1283" t="s">
        <v>269</v>
      </c>
      <c r="D1283" t="s">
        <v>25</v>
      </c>
      <c r="E1283" t="s">
        <v>107</v>
      </c>
      <c r="F1283">
        <v>2020</v>
      </c>
      <c r="G1283">
        <v>1733998.83</v>
      </c>
      <c r="H1283">
        <v>1733998.83</v>
      </c>
      <c r="I1283">
        <v>1</v>
      </c>
    </row>
    <row r="1284" spans="1:9">
      <c r="A1284" t="s">
        <v>305</v>
      </c>
      <c r="B1284" t="s">
        <v>306</v>
      </c>
      <c r="C1284" t="s">
        <v>269</v>
      </c>
      <c r="D1284" t="s">
        <v>25</v>
      </c>
      <c r="E1284" t="s">
        <v>107</v>
      </c>
      <c r="F1284">
        <v>2021</v>
      </c>
      <c r="G1284">
        <v>1754997.155</v>
      </c>
      <c r="H1284">
        <v>1754997.155</v>
      </c>
      <c r="I1284">
        <v>1</v>
      </c>
    </row>
    <row r="1285" spans="1:9">
      <c r="A1285" t="s">
        <v>305</v>
      </c>
      <c r="B1285" t="s">
        <v>306</v>
      </c>
      <c r="C1285" t="s">
        <v>269</v>
      </c>
      <c r="D1285" t="s">
        <v>25</v>
      </c>
      <c r="E1285" t="s">
        <v>107</v>
      </c>
      <c r="F1285">
        <v>2022</v>
      </c>
      <c r="G1285">
        <v>1785590.8130000001</v>
      </c>
      <c r="H1285">
        <v>1785590.8130000001</v>
      </c>
      <c r="I1285">
        <v>1</v>
      </c>
    </row>
    <row r="1286" spans="1:9">
      <c r="A1286" t="s">
        <v>305</v>
      </c>
      <c r="B1286" t="s">
        <v>306</v>
      </c>
      <c r="C1286" t="s">
        <v>269</v>
      </c>
      <c r="D1286" t="s">
        <v>25</v>
      </c>
      <c r="E1286" t="s">
        <v>107</v>
      </c>
      <c r="F1286">
        <v>2023</v>
      </c>
      <c r="G1286">
        <v>1773167.327</v>
      </c>
      <c r="H1286">
        <v>1773167.327</v>
      </c>
      <c r="I1286">
        <v>1</v>
      </c>
    </row>
    <row r="1287" spans="1:9">
      <c r="A1287" t="s">
        <v>305</v>
      </c>
      <c r="B1287" t="s">
        <v>306</v>
      </c>
      <c r="C1287" t="s">
        <v>269</v>
      </c>
      <c r="D1287" t="s">
        <v>25</v>
      </c>
      <c r="E1287" t="s">
        <v>107</v>
      </c>
      <c r="F1287">
        <v>2024</v>
      </c>
      <c r="G1287">
        <v>1787147.3389999999</v>
      </c>
      <c r="H1287">
        <v>1787147.3389999999</v>
      </c>
      <c r="I1287">
        <v>1</v>
      </c>
    </row>
    <row r="1288" spans="1:9">
      <c r="A1288" t="s">
        <v>305</v>
      </c>
      <c r="B1288" t="s">
        <v>306</v>
      </c>
      <c r="C1288" t="s">
        <v>269</v>
      </c>
      <c r="D1288" t="s">
        <v>25</v>
      </c>
      <c r="E1288" t="s">
        <v>107</v>
      </c>
      <c r="F1288">
        <v>2025</v>
      </c>
      <c r="G1288">
        <v>1792092.159</v>
      </c>
      <c r="H1288">
        <v>1792092.159</v>
      </c>
      <c r="I1288">
        <v>1</v>
      </c>
    </row>
    <row r="1289" spans="1:9">
      <c r="A1289" t="s">
        <v>305</v>
      </c>
      <c r="B1289" t="s">
        <v>306</v>
      </c>
      <c r="C1289" t="s">
        <v>269</v>
      </c>
      <c r="D1289" t="s">
        <v>25</v>
      </c>
      <c r="E1289" t="s">
        <v>107</v>
      </c>
      <c r="F1289">
        <v>2026</v>
      </c>
      <c r="G1289">
        <v>1807312.2509999999</v>
      </c>
      <c r="H1289">
        <v>1807312.2509999999</v>
      </c>
      <c r="I1289">
        <v>1</v>
      </c>
    </row>
    <row r="1290" spans="1:9">
      <c r="A1290" t="s">
        <v>305</v>
      </c>
      <c r="B1290" t="s">
        <v>306</v>
      </c>
      <c r="C1290" t="s">
        <v>269</v>
      </c>
      <c r="D1290" t="s">
        <v>25</v>
      </c>
      <c r="E1290" t="s">
        <v>107</v>
      </c>
      <c r="F1290">
        <v>2027</v>
      </c>
      <c r="G1290">
        <v>1802378.233</v>
      </c>
      <c r="H1290">
        <v>1802378.233</v>
      </c>
      <c r="I1290">
        <v>1</v>
      </c>
    </row>
    <row r="1291" spans="1:9">
      <c r="A1291" t="s">
        <v>305</v>
      </c>
      <c r="B1291" t="s">
        <v>306</v>
      </c>
      <c r="C1291" t="s">
        <v>269</v>
      </c>
      <c r="D1291" t="s">
        <v>25</v>
      </c>
      <c r="E1291" t="s">
        <v>107</v>
      </c>
      <c r="F1291">
        <v>2028</v>
      </c>
      <c r="G1291">
        <v>1826486.808</v>
      </c>
      <c r="H1291">
        <v>1826486.808</v>
      </c>
      <c r="I1291">
        <v>1</v>
      </c>
    </row>
    <row r="1292" spans="1:9">
      <c r="A1292" t="s">
        <v>305</v>
      </c>
      <c r="B1292" t="s">
        <v>306</v>
      </c>
      <c r="C1292" t="s">
        <v>269</v>
      </c>
      <c r="D1292" t="s">
        <v>25</v>
      </c>
      <c r="E1292" t="s">
        <v>107</v>
      </c>
      <c r="F1292">
        <v>2029</v>
      </c>
      <c r="G1292">
        <v>1814290.4029999999</v>
      </c>
      <c r="H1292">
        <v>1814290.4029999999</v>
      </c>
      <c r="I1292">
        <v>1</v>
      </c>
    </row>
    <row r="1293" spans="1:9">
      <c r="A1293" t="s">
        <v>305</v>
      </c>
      <c r="B1293" t="s">
        <v>306</v>
      </c>
      <c r="C1293" t="s">
        <v>269</v>
      </c>
      <c r="D1293" t="s">
        <v>25</v>
      </c>
      <c r="E1293" t="s">
        <v>107</v>
      </c>
      <c r="F1293">
        <v>2030</v>
      </c>
      <c r="G1293">
        <v>1809340.135</v>
      </c>
      <c r="H1293">
        <v>1809340.135</v>
      </c>
      <c r="I1293">
        <v>1</v>
      </c>
    </row>
    <row r="1294" spans="1:9">
      <c r="A1294" t="s">
        <v>305</v>
      </c>
      <c r="B1294" t="s">
        <v>306</v>
      </c>
      <c r="C1294" t="s">
        <v>269</v>
      </c>
      <c r="D1294" t="s">
        <v>25</v>
      </c>
      <c r="E1294" t="s">
        <v>107</v>
      </c>
      <c r="F1294">
        <v>2031</v>
      </c>
      <c r="G1294">
        <v>1833619.3829999999</v>
      </c>
      <c r="H1294">
        <v>1833619.3829999999</v>
      </c>
      <c r="I1294">
        <v>1</v>
      </c>
    </row>
    <row r="1295" spans="1:9">
      <c r="A1295" t="s">
        <v>305</v>
      </c>
      <c r="B1295" t="s">
        <v>306</v>
      </c>
      <c r="C1295" t="s">
        <v>269</v>
      </c>
      <c r="D1295" t="s">
        <v>25</v>
      </c>
      <c r="E1295" t="s">
        <v>107</v>
      </c>
      <c r="F1295">
        <v>2032</v>
      </c>
      <c r="G1295">
        <v>1795486.544</v>
      </c>
      <c r="H1295">
        <v>1795486.544</v>
      </c>
      <c r="I1295">
        <v>1</v>
      </c>
    </row>
    <row r="1296" spans="1:9">
      <c r="A1296" t="s">
        <v>305</v>
      </c>
      <c r="B1296" t="s">
        <v>306</v>
      </c>
      <c r="C1296" t="s">
        <v>269</v>
      </c>
      <c r="D1296" t="s">
        <v>25</v>
      </c>
      <c r="E1296" t="s">
        <v>107</v>
      </c>
      <c r="F1296">
        <v>2033</v>
      </c>
      <c r="G1296">
        <v>1777639.2479999999</v>
      </c>
      <c r="H1296">
        <v>1777639.2479999999</v>
      </c>
      <c r="I1296">
        <v>1</v>
      </c>
    </row>
    <row r="1297" spans="1:9">
      <c r="A1297" t="s">
        <v>305</v>
      </c>
      <c r="B1297" t="s">
        <v>306</v>
      </c>
      <c r="C1297" t="s">
        <v>269</v>
      </c>
      <c r="D1297" t="s">
        <v>25</v>
      </c>
      <c r="E1297" t="s">
        <v>107</v>
      </c>
      <c r="F1297">
        <v>2034</v>
      </c>
      <c r="G1297">
        <v>1764127.0870000001</v>
      </c>
      <c r="H1297">
        <v>1764127.0870000001</v>
      </c>
      <c r="I1297">
        <v>1</v>
      </c>
    </row>
    <row r="1298" spans="1:9">
      <c r="A1298" t="s">
        <v>305</v>
      </c>
      <c r="B1298" t="s">
        <v>306</v>
      </c>
      <c r="C1298" t="s">
        <v>269</v>
      </c>
      <c r="D1298" t="s">
        <v>25</v>
      </c>
      <c r="E1298" t="s">
        <v>107</v>
      </c>
      <c r="F1298">
        <v>2035</v>
      </c>
      <c r="G1298">
        <v>1706965.568</v>
      </c>
      <c r="H1298">
        <v>1706965.568</v>
      </c>
      <c r="I1298">
        <v>1</v>
      </c>
    </row>
    <row r="1299" spans="1:9">
      <c r="A1299" t="s">
        <v>305</v>
      </c>
      <c r="B1299" t="s">
        <v>306</v>
      </c>
      <c r="C1299" t="s">
        <v>269</v>
      </c>
      <c r="D1299" t="s">
        <v>25</v>
      </c>
      <c r="E1299" t="s">
        <v>107</v>
      </c>
      <c r="F1299">
        <v>2036</v>
      </c>
      <c r="G1299">
        <v>1753322.504</v>
      </c>
      <c r="H1299">
        <v>1753322.504</v>
      </c>
      <c r="I1299">
        <v>1</v>
      </c>
    </row>
    <row r="1300" spans="1:9">
      <c r="A1300" t="s">
        <v>305</v>
      </c>
      <c r="B1300" t="s">
        <v>306</v>
      </c>
      <c r="C1300" t="s">
        <v>269</v>
      </c>
      <c r="D1300" t="s">
        <v>25</v>
      </c>
      <c r="E1300" t="s">
        <v>107</v>
      </c>
      <c r="F1300">
        <v>2037</v>
      </c>
      <c r="G1300">
        <v>1710441.5190000001</v>
      </c>
      <c r="H1300">
        <v>1710441.5190000001</v>
      </c>
      <c r="I1300">
        <v>1</v>
      </c>
    </row>
    <row r="1301" spans="1:9">
      <c r="A1301" t="s">
        <v>305</v>
      </c>
      <c r="B1301" t="s">
        <v>306</v>
      </c>
      <c r="C1301" t="s">
        <v>269</v>
      </c>
      <c r="D1301" t="s">
        <v>25</v>
      </c>
      <c r="E1301" t="s">
        <v>107</v>
      </c>
      <c r="F1301">
        <v>2038</v>
      </c>
      <c r="G1301">
        <v>1671824.409</v>
      </c>
      <c r="H1301">
        <v>1671824.409</v>
      </c>
      <c r="I1301">
        <v>1</v>
      </c>
    </row>
    <row r="1302" spans="1:9">
      <c r="A1302" t="s">
        <v>305</v>
      </c>
      <c r="B1302" t="s">
        <v>306</v>
      </c>
      <c r="C1302" t="s">
        <v>269</v>
      </c>
      <c r="D1302" t="s">
        <v>25</v>
      </c>
      <c r="E1302" t="s">
        <v>107</v>
      </c>
      <c r="F1302">
        <v>2039</v>
      </c>
      <c r="G1302">
        <v>1621362.514</v>
      </c>
      <c r="H1302">
        <v>1621362.514</v>
      </c>
      <c r="I1302">
        <v>1</v>
      </c>
    </row>
    <row r="1303" spans="1:9">
      <c r="A1303" t="s">
        <v>305</v>
      </c>
      <c r="B1303" t="s">
        <v>306</v>
      </c>
      <c r="C1303" t="s">
        <v>269</v>
      </c>
      <c r="D1303" t="s">
        <v>25</v>
      </c>
      <c r="E1303" t="s">
        <v>107</v>
      </c>
      <c r="F1303">
        <v>2040</v>
      </c>
      <c r="G1303">
        <v>1581636.9269999999</v>
      </c>
      <c r="H1303">
        <v>1581636.9269999999</v>
      </c>
      <c r="I1303">
        <v>1</v>
      </c>
    </row>
    <row r="1304" spans="1:9">
      <c r="A1304" t="s">
        <v>305</v>
      </c>
      <c r="B1304" t="s">
        <v>306</v>
      </c>
      <c r="C1304" t="s">
        <v>269</v>
      </c>
      <c r="D1304" t="s">
        <v>25</v>
      </c>
      <c r="E1304" t="s">
        <v>107</v>
      </c>
      <c r="F1304">
        <v>2041</v>
      </c>
      <c r="G1304">
        <v>1596931.7050000001</v>
      </c>
      <c r="H1304">
        <v>1596931.7050000001</v>
      </c>
      <c r="I1304">
        <v>1</v>
      </c>
    </row>
    <row r="1305" spans="1:9">
      <c r="A1305" t="s">
        <v>305</v>
      </c>
      <c r="B1305" t="s">
        <v>306</v>
      </c>
      <c r="C1305" t="s">
        <v>269</v>
      </c>
      <c r="D1305" t="s">
        <v>25</v>
      </c>
      <c r="E1305" t="s">
        <v>107</v>
      </c>
      <c r="F1305">
        <v>2042</v>
      </c>
      <c r="G1305">
        <v>1566212.1270000001</v>
      </c>
      <c r="H1305">
        <v>1566212.1270000001</v>
      </c>
      <c r="I1305">
        <v>1</v>
      </c>
    </row>
    <row r="1306" spans="1:9">
      <c r="A1306" t="s">
        <v>305</v>
      </c>
      <c r="B1306" t="s">
        <v>306</v>
      </c>
      <c r="C1306" t="s">
        <v>269</v>
      </c>
      <c r="D1306" t="s">
        <v>25</v>
      </c>
      <c r="E1306" t="s">
        <v>107</v>
      </c>
      <c r="F1306">
        <v>2043</v>
      </c>
      <c r="G1306">
        <v>1517307.933</v>
      </c>
      <c r="H1306">
        <v>1517307.933</v>
      </c>
      <c r="I1306">
        <v>1</v>
      </c>
    </row>
    <row r="1307" spans="1:9">
      <c r="A1307" t="s">
        <v>305</v>
      </c>
      <c r="B1307" t="s">
        <v>306</v>
      </c>
      <c r="C1307" t="s">
        <v>269</v>
      </c>
      <c r="D1307" t="s">
        <v>25</v>
      </c>
      <c r="E1307" t="s">
        <v>107</v>
      </c>
      <c r="F1307">
        <v>2044</v>
      </c>
      <c r="G1307">
        <v>1475646.325</v>
      </c>
      <c r="H1307">
        <v>1475646.325</v>
      </c>
      <c r="I1307">
        <v>1</v>
      </c>
    </row>
    <row r="1308" spans="1:9">
      <c r="A1308" t="s">
        <v>305</v>
      </c>
      <c r="B1308" t="s">
        <v>306</v>
      </c>
      <c r="C1308" t="s">
        <v>269</v>
      </c>
      <c r="D1308" t="s">
        <v>25</v>
      </c>
      <c r="E1308" t="s">
        <v>107</v>
      </c>
      <c r="F1308">
        <v>2045</v>
      </c>
      <c r="G1308">
        <v>1407607.0160000001</v>
      </c>
      <c r="H1308">
        <v>1407607.0160000001</v>
      </c>
      <c r="I1308">
        <v>1</v>
      </c>
    </row>
    <row r="1309" spans="1:9">
      <c r="A1309" t="s">
        <v>305</v>
      </c>
      <c r="B1309" t="s">
        <v>306</v>
      </c>
      <c r="C1309" t="s">
        <v>269</v>
      </c>
      <c r="D1309" t="s">
        <v>25</v>
      </c>
      <c r="E1309" t="s">
        <v>107</v>
      </c>
      <c r="F1309">
        <v>2046</v>
      </c>
      <c r="G1309">
        <v>1390418.726</v>
      </c>
      <c r="H1309">
        <v>1390418.726</v>
      </c>
      <c r="I1309">
        <v>1</v>
      </c>
    </row>
    <row r="1310" spans="1:9">
      <c r="A1310" t="s">
        <v>305</v>
      </c>
      <c r="B1310" t="s">
        <v>306</v>
      </c>
      <c r="C1310" t="s">
        <v>269</v>
      </c>
      <c r="D1310" t="s">
        <v>25</v>
      </c>
      <c r="E1310" t="s">
        <v>107</v>
      </c>
      <c r="F1310">
        <v>2047</v>
      </c>
      <c r="G1310">
        <v>1347340.3019999999</v>
      </c>
      <c r="H1310">
        <v>1347340.3019999999</v>
      </c>
      <c r="I1310">
        <v>1</v>
      </c>
    </row>
    <row r="1311" spans="1:9">
      <c r="A1311" t="s">
        <v>305</v>
      </c>
      <c r="B1311" t="s">
        <v>306</v>
      </c>
      <c r="C1311" t="s">
        <v>269</v>
      </c>
      <c r="D1311" t="s">
        <v>25</v>
      </c>
      <c r="E1311" t="s">
        <v>107</v>
      </c>
      <c r="F1311">
        <v>2048</v>
      </c>
      <c r="G1311">
        <v>1345611.67</v>
      </c>
      <c r="H1311">
        <v>1345611.67</v>
      </c>
      <c r="I1311">
        <v>1</v>
      </c>
    </row>
    <row r="1312" spans="1:9">
      <c r="A1312" t="s">
        <v>305</v>
      </c>
      <c r="B1312" t="s">
        <v>306</v>
      </c>
      <c r="C1312" t="s">
        <v>269</v>
      </c>
      <c r="D1312" t="s">
        <v>25</v>
      </c>
      <c r="E1312" t="s">
        <v>107</v>
      </c>
      <c r="F1312">
        <v>2049</v>
      </c>
      <c r="G1312">
        <v>1309755.7390000001</v>
      </c>
      <c r="H1312">
        <v>1309755.7390000001</v>
      </c>
      <c r="I1312">
        <v>1</v>
      </c>
    </row>
    <row r="1313" spans="1:9">
      <c r="A1313" t="s">
        <v>305</v>
      </c>
      <c r="B1313" t="s">
        <v>306</v>
      </c>
      <c r="C1313" t="s">
        <v>269</v>
      </c>
      <c r="D1313" t="s">
        <v>25</v>
      </c>
      <c r="E1313" t="s">
        <v>107</v>
      </c>
      <c r="F1313">
        <v>2050</v>
      </c>
      <c r="G1313">
        <v>1244838.51</v>
      </c>
      <c r="H1313">
        <v>1244838.51</v>
      </c>
      <c r="I1313">
        <v>1</v>
      </c>
    </row>
    <row r="1314" spans="1:9">
      <c r="A1314" t="s">
        <v>305</v>
      </c>
      <c r="B1314" t="s">
        <v>306</v>
      </c>
      <c r="C1314" t="s">
        <v>269</v>
      </c>
      <c r="D1314" t="s">
        <v>26</v>
      </c>
      <c r="E1314" t="s">
        <v>107</v>
      </c>
      <c r="F1314">
        <v>2010</v>
      </c>
      <c r="G1314">
        <v>7018153.3700000001</v>
      </c>
      <c r="H1314">
        <v>7018153.3700000001</v>
      </c>
      <c r="I1314">
        <v>1</v>
      </c>
    </row>
    <row r="1315" spans="1:9">
      <c r="A1315" t="s">
        <v>305</v>
      </c>
      <c r="B1315" t="s">
        <v>306</v>
      </c>
      <c r="C1315" t="s">
        <v>269</v>
      </c>
      <c r="D1315" t="s">
        <v>26</v>
      </c>
      <c r="E1315" t="s">
        <v>107</v>
      </c>
      <c r="F1315">
        <v>2011</v>
      </c>
      <c r="G1315">
        <v>7150187.29</v>
      </c>
      <c r="H1315">
        <v>7150187.29</v>
      </c>
      <c r="I1315">
        <v>1</v>
      </c>
    </row>
    <row r="1316" spans="1:9">
      <c r="A1316" t="s">
        <v>305</v>
      </c>
      <c r="B1316" t="s">
        <v>306</v>
      </c>
      <c r="C1316" t="s">
        <v>269</v>
      </c>
      <c r="D1316" t="s">
        <v>26</v>
      </c>
      <c r="E1316" t="s">
        <v>107</v>
      </c>
      <c r="F1316">
        <v>2012</v>
      </c>
      <c r="G1316">
        <v>7275755.432</v>
      </c>
      <c r="H1316">
        <v>7275755.432</v>
      </c>
      <c r="I1316">
        <v>1</v>
      </c>
    </row>
    <row r="1317" spans="1:9">
      <c r="A1317" t="s">
        <v>305</v>
      </c>
      <c r="B1317" t="s">
        <v>306</v>
      </c>
      <c r="C1317" t="s">
        <v>269</v>
      </c>
      <c r="D1317" t="s">
        <v>26</v>
      </c>
      <c r="E1317" t="s">
        <v>107</v>
      </c>
      <c r="F1317">
        <v>2013</v>
      </c>
      <c r="G1317">
        <v>7394461.9369999999</v>
      </c>
      <c r="H1317">
        <v>7394461.9369999999</v>
      </c>
      <c r="I1317">
        <v>1</v>
      </c>
    </row>
    <row r="1318" spans="1:9">
      <c r="A1318" t="s">
        <v>305</v>
      </c>
      <c r="B1318" t="s">
        <v>306</v>
      </c>
      <c r="C1318" t="s">
        <v>269</v>
      </c>
      <c r="D1318" t="s">
        <v>26</v>
      </c>
      <c r="E1318" t="s">
        <v>107</v>
      </c>
      <c r="F1318">
        <v>2014</v>
      </c>
      <c r="G1318">
        <v>7529168.7570000002</v>
      </c>
      <c r="H1318">
        <v>7529168.7570000002</v>
      </c>
      <c r="I1318">
        <v>1</v>
      </c>
    </row>
    <row r="1319" spans="1:9">
      <c r="A1319" t="s">
        <v>305</v>
      </c>
      <c r="B1319" t="s">
        <v>306</v>
      </c>
      <c r="C1319" t="s">
        <v>269</v>
      </c>
      <c r="D1319" t="s">
        <v>26</v>
      </c>
      <c r="E1319" t="s">
        <v>107</v>
      </c>
      <c r="F1319">
        <v>2015</v>
      </c>
      <c r="G1319">
        <v>7656532.085</v>
      </c>
      <c r="H1319">
        <v>7656532.085</v>
      </c>
      <c r="I1319">
        <v>1</v>
      </c>
    </row>
    <row r="1320" spans="1:9">
      <c r="A1320" t="s">
        <v>305</v>
      </c>
      <c r="B1320" t="s">
        <v>306</v>
      </c>
      <c r="C1320" t="s">
        <v>269</v>
      </c>
      <c r="D1320" t="s">
        <v>26</v>
      </c>
      <c r="E1320" t="s">
        <v>107</v>
      </c>
      <c r="F1320">
        <v>2016</v>
      </c>
      <c r="G1320">
        <v>7784082.1799999997</v>
      </c>
      <c r="H1320">
        <v>7784082.1799999997</v>
      </c>
      <c r="I1320">
        <v>1</v>
      </c>
    </row>
    <row r="1321" spans="1:9">
      <c r="A1321" t="s">
        <v>305</v>
      </c>
      <c r="B1321" t="s">
        <v>306</v>
      </c>
      <c r="C1321" t="s">
        <v>269</v>
      </c>
      <c r="D1321" t="s">
        <v>26</v>
      </c>
      <c r="E1321" t="s">
        <v>107</v>
      </c>
      <c r="F1321">
        <v>2017</v>
      </c>
      <c r="G1321">
        <v>7911926.4100000001</v>
      </c>
      <c r="H1321">
        <v>7911926.4100000001</v>
      </c>
      <c r="I1321">
        <v>1</v>
      </c>
    </row>
    <row r="1322" spans="1:9">
      <c r="A1322" t="s">
        <v>305</v>
      </c>
      <c r="B1322" t="s">
        <v>306</v>
      </c>
      <c r="C1322" t="s">
        <v>269</v>
      </c>
      <c r="D1322" t="s">
        <v>26</v>
      </c>
      <c r="E1322" t="s">
        <v>107</v>
      </c>
      <c r="F1322">
        <v>2018</v>
      </c>
      <c r="G1322">
        <v>8022403.5980000002</v>
      </c>
      <c r="H1322">
        <v>8022403.5980000002</v>
      </c>
      <c r="I1322">
        <v>1</v>
      </c>
    </row>
    <row r="1323" spans="1:9">
      <c r="A1323" t="s">
        <v>305</v>
      </c>
      <c r="B1323" t="s">
        <v>306</v>
      </c>
      <c r="C1323" t="s">
        <v>269</v>
      </c>
      <c r="D1323" t="s">
        <v>26</v>
      </c>
      <c r="E1323" t="s">
        <v>107</v>
      </c>
      <c r="F1323">
        <v>2019</v>
      </c>
      <c r="G1323">
        <v>8148992.3530000001</v>
      </c>
      <c r="H1323">
        <v>8148992.3530000001</v>
      </c>
      <c r="I1323">
        <v>1</v>
      </c>
    </row>
    <row r="1324" spans="1:9">
      <c r="A1324" t="s">
        <v>305</v>
      </c>
      <c r="B1324" t="s">
        <v>306</v>
      </c>
      <c r="C1324" t="s">
        <v>269</v>
      </c>
      <c r="D1324" t="s">
        <v>26</v>
      </c>
      <c r="E1324" t="s">
        <v>107</v>
      </c>
      <c r="F1324">
        <v>2020</v>
      </c>
      <c r="G1324">
        <v>8256726.6270000003</v>
      </c>
      <c r="H1324">
        <v>8256726.6270000003</v>
      </c>
      <c r="I1324">
        <v>1</v>
      </c>
    </row>
    <row r="1325" spans="1:9">
      <c r="A1325" t="s">
        <v>305</v>
      </c>
      <c r="B1325" t="s">
        <v>306</v>
      </c>
      <c r="C1325" t="s">
        <v>269</v>
      </c>
      <c r="D1325" t="s">
        <v>26</v>
      </c>
      <c r="E1325" t="s">
        <v>107</v>
      </c>
      <c r="F1325">
        <v>2021</v>
      </c>
      <c r="G1325">
        <v>8353456.2110000001</v>
      </c>
      <c r="H1325">
        <v>8353456.2110000001</v>
      </c>
      <c r="I1325">
        <v>1</v>
      </c>
    </row>
    <row r="1326" spans="1:9">
      <c r="A1326" t="s">
        <v>305</v>
      </c>
      <c r="B1326" t="s">
        <v>306</v>
      </c>
      <c r="C1326" t="s">
        <v>269</v>
      </c>
      <c r="D1326" t="s">
        <v>26</v>
      </c>
      <c r="E1326" t="s">
        <v>107</v>
      </c>
      <c r="F1326">
        <v>2022</v>
      </c>
      <c r="G1326">
        <v>8475666.4189999998</v>
      </c>
      <c r="H1326">
        <v>8475666.4189999998</v>
      </c>
      <c r="I1326">
        <v>1</v>
      </c>
    </row>
    <row r="1327" spans="1:9">
      <c r="A1327" t="s">
        <v>305</v>
      </c>
      <c r="B1327" t="s">
        <v>306</v>
      </c>
      <c r="C1327" t="s">
        <v>269</v>
      </c>
      <c r="D1327" t="s">
        <v>26</v>
      </c>
      <c r="E1327" t="s">
        <v>107</v>
      </c>
      <c r="F1327">
        <v>2023</v>
      </c>
      <c r="G1327">
        <v>8567992.1490000002</v>
      </c>
      <c r="H1327">
        <v>8567992.1490000002</v>
      </c>
      <c r="I1327">
        <v>1</v>
      </c>
    </row>
    <row r="1328" spans="1:9">
      <c r="A1328" t="s">
        <v>305</v>
      </c>
      <c r="B1328" t="s">
        <v>306</v>
      </c>
      <c r="C1328" t="s">
        <v>269</v>
      </c>
      <c r="D1328" t="s">
        <v>26</v>
      </c>
      <c r="E1328" t="s">
        <v>107</v>
      </c>
      <c r="F1328">
        <v>2024</v>
      </c>
      <c r="G1328">
        <v>8638416.568</v>
      </c>
      <c r="H1328">
        <v>8638416.568</v>
      </c>
      <c r="I1328">
        <v>1</v>
      </c>
    </row>
    <row r="1329" spans="1:9">
      <c r="A1329" t="s">
        <v>305</v>
      </c>
      <c r="B1329" t="s">
        <v>306</v>
      </c>
      <c r="C1329" t="s">
        <v>269</v>
      </c>
      <c r="D1329" t="s">
        <v>26</v>
      </c>
      <c r="E1329" t="s">
        <v>107</v>
      </c>
      <c r="F1329">
        <v>2025</v>
      </c>
      <c r="G1329">
        <v>8734841.2400000002</v>
      </c>
      <c r="H1329">
        <v>8734841.2400000002</v>
      </c>
      <c r="I1329">
        <v>1</v>
      </c>
    </row>
    <row r="1330" spans="1:9">
      <c r="A1330" t="s">
        <v>305</v>
      </c>
      <c r="B1330" t="s">
        <v>306</v>
      </c>
      <c r="C1330" t="s">
        <v>269</v>
      </c>
      <c r="D1330" t="s">
        <v>26</v>
      </c>
      <c r="E1330" t="s">
        <v>107</v>
      </c>
      <c r="F1330">
        <v>2026</v>
      </c>
      <c r="G1330">
        <v>8818676.6909999996</v>
      </c>
      <c r="H1330">
        <v>8818676.6909999996</v>
      </c>
      <c r="I1330">
        <v>1</v>
      </c>
    </row>
    <row r="1331" spans="1:9">
      <c r="A1331" t="s">
        <v>305</v>
      </c>
      <c r="B1331" t="s">
        <v>306</v>
      </c>
      <c r="C1331" t="s">
        <v>269</v>
      </c>
      <c r="D1331" t="s">
        <v>26</v>
      </c>
      <c r="E1331" t="s">
        <v>107</v>
      </c>
      <c r="F1331">
        <v>2027</v>
      </c>
      <c r="G1331">
        <v>8894257.1349999998</v>
      </c>
      <c r="H1331">
        <v>8894257.1349999998</v>
      </c>
      <c r="I1331">
        <v>1</v>
      </c>
    </row>
    <row r="1332" spans="1:9">
      <c r="A1332" t="s">
        <v>305</v>
      </c>
      <c r="B1332" t="s">
        <v>306</v>
      </c>
      <c r="C1332" t="s">
        <v>269</v>
      </c>
      <c r="D1332" t="s">
        <v>26</v>
      </c>
      <c r="E1332" t="s">
        <v>107</v>
      </c>
      <c r="F1332">
        <v>2028</v>
      </c>
      <c r="G1332">
        <v>8914654.1640000008</v>
      </c>
      <c r="H1332">
        <v>8914654.1640000008</v>
      </c>
      <c r="I1332">
        <v>1</v>
      </c>
    </row>
    <row r="1333" spans="1:9">
      <c r="A1333" t="s">
        <v>305</v>
      </c>
      <c r="B1333" t="s">
        <v>306</v>
      </c>
      <c r="C1333" t="s">
        <v>269</v>
      </c>
      <c r="D1333" t="s">
        <v>26</v>
      </c>
      <c r="E1333" t="s">
        <v>107</v>
      </c>
      <c r="F1333">
        <v>2029</v>
      </c>
      <c r="G1333">
        <v>8987379.9140000008</v>
      </c>
      <c r="H1333">
        <v>8987379.9140000008</v>
      </c>
      <c r="I1333">
        <v>1</v>
      </c>
    </row>
    <row r="1334" spans="1:9">
      <c r="A1334" t="s">
        <v>305</v>
      </c>
      <c r="B1334" t="s">
        <v>306</v>
      </c>
      <c r="C1334" t="s">
        <v>269</v>
      </c>
      <c r="D1334" t="s">
        <v>26</v>
      </c>
      <c r="E1334" t="s">
        <v>107</v>
      </c>
      <c r="F1334">
        <v>2030</v>
      </c>
      <c r="G1334">
        <v>9003031.9949999992</v>
      </c>
      <c r="H1334">
        <v>9003031.9949999992</v>
      </c>
      <c r="I1334">
        <v>1</v>
      </c>
    </row>
    <row r="1335" spans="1:9">
      <c r="A1335" t="s">
        <v>305</v>
      </c>
      <c r="B1335" t="s">
        <v>306</v>
      </c>
      <c r="C1335" t="s">
        <v>269</v>
      </c>
      <c r="D1335" t="s">
        <v>26</v>
      </c>
      <c r="E1335" t="s">
        <v>107</v>
      </c>
      <c r="F1335">
        <v>2031</v>
      </c>
      <c r="G1335">
        <v>9056453.6429999992</v>
      </c>
      <c r="H1335">
        <v>9056453.6429999992</v>
      </c>
      <c r="I1335">
        <v>1</v>
      </c>
    </row>
    <row r="1336" spans="1:9">
      <c r="A1336" t="s">
        <v>305</v>
      </c>
      <c r="B1336" t="s">
        <v>306</v>
      </c>
      <c r="C1336" t="s">
        <v>269</v>
      </c>
      <c r="D1336" t="s">
        <v>26</v>
      </c>
      <c r="E1336" t="s">
        <v>107</v>
      </c>
      <c r="F1336">
        <v>2032</v>
      </c>
      <c r="G1336">
        <v>9083473.3650000002</v>
      </c>
      <c r="H1336">
        <v>9083473.3650000002</v>
      </c>
      <c r="I1336">
        <v>1</v>
      </c>
    </row>
    <row r="1337" spans="1:9">
      <c r="A1337" t="s">
        <v>305</v>
      </c>
      <c r="B1337" t="s">
        <v>306</v>
      </c>
      <c r="C1337" t="s">
        <v>269</v>
      </c>
      <c r="D1337" t="s">
        <v>26</v>
      </c>
      <c r="E1337" t="s">
        <v>107</v>
      </c>
      <c r="F1337">
        <v>2033</v>
      </c>
      <c r="G1337">
        <v>9071728.4039999992</v>
      </c>
      <c r="H1337">
        <v>9071728.4039999992</v>
      </c>
      <c r="I1337">
        <v>1</v>
      </c>
    </row>
    <row r="1338" spans="1:9">
      <c r="A1338" t="s">
        <v>305</v>
      </c>
      <c r="B1338" t="s">
        <v>306</v>
      </c>
      <c r="C1338" t="s">
        <v>269</v>
      </c>
      <c r="D1338" t="s">
        <v>26</v>
      </c>
      <c r="E1338" t="s">
        <v>107</v>
      </c>
      <c r="F1338">
        <v>2034</v>
      </c>
      <c r="G1338">
        <v>9076146.2929999996</v>
      </c>
      <c r="H1338">
        <v>9076146.2929999996</v>
      </c>
      <c r="I1338">
        <v>1</v>
      </c>
    </row>
    <row r="1339" spans="1:9">
      <c r="A1339" t="s">
        <v>305</v>
      </c>
      <c r="B1339" t="s">
        <v>306</v>
      </c>
      <c r="C1339" t="s">
        <v>269</v>
      </c>
      <c r="D1339" t="s">
        <v>26</v>
      </c>
      <c r="E1339" t="s">
        <v>107</v>
      </c>
      <c r="F1339">
        <v>2035</v>
      </c>
      <c r="G1339">
        <v>9040162.3139999993</v>
      </c>
      <c r="H1339">
        <v>9040162.3139999993</v>
      </c>
      <c r="I1339">
        <v>1</v>
      </c>
    </row>
    <row r="1340" spans="1:9">
      <c r="A1340" t="s">
        <v>305</v>
      </c>
      <c r="B1340" t="s">
        <v>306</v>
      </c>
      <c r="C1340" t="s">
        <v>269</v>
      </c>
      <c r="D1340" t="s">
        <v>26</v>
      </c>
      <c r="E1340" t="s">
        <v>107</v>
      </c>
      <c r="F1340">
        <v>2036</v>
      </c>
      <c r="G1340">
        <v>9032084.6429999992</v>
      </c>
      <c r="H1340">
        <v>9032084.6429999992</v>
      </c>
      <c r="I1340">
        <v>1</v>
      </c>
    </row>
    <row r="1341" spans="1:9">
      <c r="A1341" t="s">
        <v>305</v>
      </c>
      <c r="B1341" t="s">
        <v>306</v>
      </c>
      <c r="C1341" t="s">
        <v>269</v>
      </c>
      <c r="D1341" t="s">
        <v>26</v>
      </c>
      <c r="E1341" t="s">
        <v>107</v>
      </c>
      <c r="F1341">
        <v>2037</v>
      </c>
      <c r="G1341">
        <v>9006177.6490000002</v>
      </c>
      <c r="H1341">
        <v>9006177.6490000002</v>
      </c>
      <c r="I1341">
        <v>1</v>
      </c>
    </row>
    <row r="1342" spans="1:9">
      <c r="A1342" t="s">
        <v>305</v>
      </c>
      <c r="B1342" t="s">
        <v>306</v>
      </c>
      <c r="C1342" t="s">
        <v>269</v>
      </c>
      <c r="D1342" t="s">
        <v>26</v>
      </c>
      <c r="E1342" t="s">
        <v>107</v>
      </c>
      <c r="F1342">
        <v>2038</v>
      </c>
      <c r="G1342">
        <v>8902417.4399999995</v>
      </c>
      <c r="H1342">
        <v>8902417.4399999995</v>
      </c>
      <c r="I1342">
        <v>1</v>
      </c>
    </row>
    <row r="1343" spans="1:9">
      <c r="A1343" t="s">
        <v>305</v>
      </c>
      <c r="B1343" t="s">
        <v>306</v>
      </c>
      <c r="C1343" t="s">
        <v>269</v>
      </c>
      <c r="D1343" t="s">
        <v>26</v>
      </c>
      <c r="E1343" t="s">
        <v>107</v>
      </c>
      <c r="F1343">
        <v>2039</v>
      </c>
      <c r="G1343">
        <v>8863014.0519999992</v>
      </c>
      <c r="H1343">
        <v>8863014.0519999992</v>
      </c>
      <c r="I1343">
        <v>1</v>
      </c>
    </row>
    <row r="1344" spans="1:9">
      <c r="A1344" t="s">
        <v>305</v>
      </c>
      <c r="B1344" t="s">
        <v>306</v>
      </c>
      <c r="C1344" t="s">
        <v>269</v>
      </c>
      <c r="D1344" t="s">
        <v>26</v>
      </c>
      <c r="E1344" t="s">
        <v>107</v>
      </c>
      <c r="F1344">
        <v>2040</v>
      </c>
      <c r="G1344">
        <v>8744236.1370000001</v>
      </c>
      <c r="H1344">
        <v>8744236.1370000001</v>
      </c>
      <c r="I1344">
        <v>1</v>
      </c>
    </row>
    <row r="1345" spans="1:9">
      <c r="A1345" t="s">
        <v>305</v>
      </c>
      <c r="B1345" t="s">
        <v>306</v>
      </c>
      <c r="C1345" t="s">
        <v>269</v>
      </c>
      <c r="D1345" t="s">
        <v>26</v>
      </c>
      <c r="E1345" t="s">
        <v>107</v>
      </c>
      <c r="F1345">
        <v>2041</v>
      </c>
      <c r="G1345">
        <v>8580795.8019999992</v>
      </c>
      <c r="H1345">
        <v>8580795.8019999992</v>
      </c>
      <c r="I1345">
        <v>1</v>
      </c>
    </row>
    <row r="1346" spans="1:9">
      <c r="A1346" t="s">
        <v>305</v>
      </c>
      <c r="B1346" t="s">
        <v>306</v>
      </c>
      <c r="C1346" t="s">
        <v>269</v>
      </c>
      <c r="D1346" t="s">
        <v>26</v>
      </c>
      <c r="E1346" t="s">
        <v>107</v>
      </c>
      <c r="F1346">
        <v>2042</v>
      </c>
      <c r="G1346">
        <v>8490121.4930000007</v>
      </c>
      <c r="H1346">
        <v>8490121.4930000007</v>
      </c>
      <c r="I1346">
        <v>1</v>
      </c>
    </row>
    <row r="1347" spans="1:9">
      <c r="A1347" t="s">
        <v>305</v>
      </c>
      <c r="B1347" t="s">
        <v>306</v>
      </c>
      <c r="C1347" t="s">
        <v>269</v>
      </c>
      <c r="D1347" t="s">
        <v>26</v>
      </c>
      <c r="E1347" t="s">
        <v>107</v>
      </c>
      <c r="F1347">
        <v>2043</v>
      </c>
      <c r="G1347">
        <v>8305129.2719999999</v>
      </c>
      <c r="H1347">
        <v>8305129.2719999999</v>
      </c>
      <c r="I1347">
        <v>1</v>
      </c>
    </row>
    <row r="1348" spans="1:9">
      <c r="A1348" t="s">
        <v>305</v>
      </c>
      <c r="B1348" t="s">
        <v>306</v>
      </c>
      <c r="C1348" t="s">
        <v>269</v>
      </c>
      <c r="D1348" t="s">
        <v>26</v>
      </c>
      <c r="E1348" t="s">
        <v>107</v>
      </c>
      <c r="F1348">
        <v>2044</v>
      </c>
      <c r="G1348">
        <v>8258793.1140000001</v>
      </c>
      <c r="H1348">
        <v>8258793.1140000001</v>
      </c>
      <c r="I1348">
        <v>1</v>
      </c>
    </row>
    <row r="1349" spans="1:9">
      <c r="A1349" t="s">
        <v>305</v>
      </c>
      <c r="B1349" t="s">
        <v>306</v>
      </c>
      <c r="C1349" t="s">
        <v>269</v>
      </c>
      <c r="D1349" t="s">
        <v>26</v>
      </c>
      <c r="E1349" t="s">
        <v>107</v>
      </c>
      <c r="F1349">
        <v>2045</v>
      </c>
      <c r="G1349">
        <v>8168109.79</v>
      </c>
      <c r="H1349">
        <v>8168109.79</v>
      </c>
      <c r="I1349">
        <v>1</v>
      </c>
    </row>
    <row r="1350" spans="1:9">
      <c r="A1350" t="s">
        <v>305</v>
      </c>
      <c r="B1350" t="s">
        <v>306</v>
      </c>
      <c r="C1350" t="s">
        <v>269</v>
      </c>
      <c r="D1350" t="s">
        <v>26</v>
      </c>
      <c r="E1350" t="s">
        <v>107</v>
      </c>
      <c r="F1350">
        <v>2046</v>
      </c>
      <c r="G1350">
        <v>7961383.2860000003</v>
      </c>
      <c r="H1350">
        <v>7961383.2860000003</v>
      </c>
      <c r="I1350">
        <v>1</v>
      </c>
    </row>
    <row r="1351" spans="1:9">
      <c r="A1351" t="s">
        <v>305</v>
      </c>
      <c r="B1351" t="s">
        <v>306</v>
      </c>
      <c r="C1351" t="s">
        <v>269</v>
      </c>
      <c r="D1351" t="s">
        <v>26</v>
      </c>
      <c r="E1351" t="s">
        <v>107</v>
      </c>
      <c r="F1351">
        <v>2047</v>
      </c>
      <c r="G1351">
        <v>7746876.8859999999</v>
      </c>
      <c r="H1351">
        <v>7746876.8859999999</v>
      </c>
      <c r="I1351">
        <v>1</v>
      </c>
    </row>
    <row r="1352" spans="1:9">
      <c r="A1352" t="s">
        <v>305</v>
      </c>
      <c r="B1352" t="s">
        <v>306</v>
      </c>
      <c r="C1352" t="s">
        <v>269</v>
      </c>
      <c r="D1352" t="s">
        <v>26</v>
      </c>
      <c r="E1352" t="s">
        <v>107</v>
      </c>
      <c r="F1352">
        <v>2048</v>
      </c>
      <c r="G1352">
        <v>7603763.4589999998</v>
      </c>
      <c r="H1352">
        <v>7603763.4589999998</v>
      </c>
      <c r="I1352">
        <v>1</v>
      </c>
    </row>
    <row r="1353" spans="1:9">
      <c r="A1353" t="s">
        <v>305</v>
      </c>
      <c r="B1353" t="s">
        <v>306</v>
      </c>
      <c r="C1353" t="s">
        <v>269</v>
      </c>
      <c r="D1353" t="s">
        <v>26</v>
      </c>
      <c r="E1353" t="s">
        <v>107</v>
      </c>
      <c r="F1353">
        <v>2049</v>
      </c>
      <c r="G1353">
        <v>7401714.1260000002</v>
      </c>
      <c r="H1353">
        <v>7401714.1260000002</v>
      </c>
      <c r="I1353">
        <v>1</v>
      </c>
    </row>
    <row r="1354" spans="1:9">
      <c r="A1354" t="s">
        <v>305</v>
      </c>
      <c r="B1354" t="s">
        <v>306</v>
      </c>
      <c r="C1354" t="s">
        <v>269</v>
      </c>
      <c r="D1354" t="s">
        <v>26</v>
      </c>
      <c r="E1354" t="s">
        <v>107</v>
      </c>
      <c r="F1354">
        <v>2050</v>
      </c>
      <c r="G1354">
        <v>7086514.8210000005</v>
      </c>
      <c r="H1354">
        <v>7086514.8210000005</v>
      </c>
      <c r="I1354">
        <v>1</v>
      </c>
    </row>
    <row r="1355" spans="1:9">
      <c r="A1355" t="s">
        <v>305</v>
      </c>
      <c r="B1355" t="s">
        <v>306</v>
      </c>
      <c r="C1355" t="s">
        <v>269</v>
      </c>
      <c r="D1355" t="s">
        <v>307</v>
      </c>
      <c r="E1355" t="s">
        <v>107</v>
      </c>
      <c r="F1355">
        <v>2010</v>
      </c>
      <c r="G1355">
        <v>8568564.2329999991</v>
      </c>
      <c r="H1355">
        <v>8568564.2329999991</v>
      </c>
      <c r="I1355">
        <v>1</v>
      </c>
    </row>
    <row r="1356" spans="1:9">
      <c r="A1356" t="s">
        <v>305</v>
      </c>
      <c r="B1356" t="s">
        <v>306</v>
      </c>
      <c r="C1356" t="s">
        <v>269</v>
      </c>
      <c r="D1356" t="s">
        <v>307</v>
      </c>
      <c r="E1356" t="s">
        <v>107</v>
      </c>
      <c r="F1356">
        <v>2011</v>
      </c>
      <c r="G1356">
        <v>8734637.1109999996</v>
      </c>
      <c r="H1356">
        <v>8734637.1109999996</v>
      </c>
      <c r="I1356">
        <v>1</v>
      </c>
    </row>
    <row r="1357" spans="1:9">
      <c r="A1357" t="s">
        <v>305</v>
      </c>
      <c r="B1357" t="s">
        <v>306</v>
      </c>
      <c r="C1357" t="s">
        <v>269</v>
      </c>
      <c r="D1357" t="s">
        <v>307</v>
      </c>
      <c r="E1357" t="s">
        <v>107</v>
      </c>
      <c r="F1357">
        <v>2012</v>
      </c>
      <c r="G1357">
        <v>8891295.1260000002</v>
      </c>
      <c r="H1357">
        <v>8891295.1260000002</v>
      </c>
      <c r="I1357">
        <v>1</v>
      </c>
    </row>
    <row r="1358" spans="1:9">
      <c r="A1358" t="s">
        <v>305</v>
      </c>
      <c r="B1358" t="s">
        <v>306</v>
      </c>
      <c r="C1358" t="s">
        <v>269</v>
      </c>
      <c r="D1358" t="s">
        <v>307</v>
      </c>
      <c r="E1358" t="s">
        <v>107</v>
      </c>
      <c r="F1358">
        <v>2013</v>
      </c>
      <c r="G1358">
        <v>9037383.0989999995</v>
      </c>
      <c r="H1358">
        <v>9037383.0989999995</v>
      </c>
      <c r="I1358">
        <v>1</v>
      </c>
    </row>
    <row r="1359" spans="1:9">
      <c r="A1359" t="s">
        <v>305</v>
      </c>
      <c r="B1359" t="s">
        <v>306</v>
      </c>
      <c r="C1359" t="s">
        <v>269</v>
      </c>
      <c r="D1359" t="s">
        <v>307</v>
      </c>
      <c r="E1359" t="s">
        <v>107</v>
      </c>
      <c r="F1359">
        <v>2014</v>
      </c>
      <c r="G1359">
        <v>9171661.2290000003</v>
      </c>
      <c r="H1359">
        <v>9171661.2290000003</v>
      </c>
      <c r="I1359">
        <v>1</v>
      </c>
    </row>
    <row r="1360" spans="1:9">
      <c r="A1360" t="s">
        <v>305</v>
      </c>
      <c r="B1360" t="s">
        <v>306</v>
      </c>
      <c r="C1360" t="s">
        <v>269</v>
      </c>
      <c r="D1360" t="s">
        <v>307</v>
      </c>
      <c r="E1360" t="s">
        <v>107</v>
      </c>
      <c r="F1360">
        <v>2015</v>
      </c>
      <c r="G1360">
        <v>9354450.3660000004</v>
      </c>
      <c r="H1360">
        <v>9354450.3660000004</v>
      </c>
      <c r="I1360">
        <v>1</v>
      </c>
    </row>
    <row r="1361" spans="1:9">
      <c r="A1361" t="s">
        <v>305</v>
      </c>
      <c r="B1361" t="s">
        <v>306</v>
      </c>
      <c r="C1361" t="s">
        <v>269</v>
      </c>
      <c r="D1361" t="s">
        <v>307</v>
      </c>
      <c r="E1361" t="s">
        <v>107</v>
      </c>
      <c r="F1361">
        <v>2016</v>
      </c>
      <c r="G1361">
        <v>9462987.2019999996</v>
      </c>
      <c r="H1361">
        <v>9462987.2019999996</v>
      </c>
      <c r="I1361">
        <v>1</v>
      </c>
    </row>
    <row r="1362" spans="1:9">
      <c r="A1362" t="s">
        <v>305</v>
      </c>
      <c r="B1362" t="s">
        <v>306</v>
      </c>
      <c r="C1362" t="s">
        <v>269</v>
      </c>
      <c r="D1362" t="s">
        <v>307</v>
      </c>
      <c r="E1362" t="s">
        <v>107</v>
      </c>
      <c r="F1362">
        <v>2017</v>
      </c>
      <c r="G1362">
        <v>9634063.7760000005</v>
      </c>
      <c r="H1362">
        <v>9634063.7760000005</v>
      </c>
      <c r="I1362">
        <v>1</v>
      </c>
    </row>
    <row r="1363" spans="1:9">
      <c r="A1363" t="s">
        <v>305</v>
      </c>
      <c r="B1363" t="s">
        <v>306</v>
      </c>
      <c r="C1363" t="s">
        <v>269</v>
      </c>
      <c r="D1363" t="s">
        <v>307</v>
      </c>
      <c r="E1363" t="s">
        <v>107</v>
      </c>
      <c r="F1363">
        <v>2018</v>
      </c>
      <c r="G1363">
        <v>9752079.3029999994</v>
      </c>
      <c r="H1363">
        <v>9752079.3029999994</v>
      </c>
      <c r="I1363">
        <v>1</v>
      </c>
    </row>
    <row r="1364" spans="1:9">
      <c r="A1364" t="s">
        <v>305</v>
      </c>
      <c r="B1364" t="s">
        <v>306</v>
      </c>
      <c r="C1364" t="s">
        <v>269</v>
      </c>
      <c r="D1364" t="s">
        <v>307</v>
      </c>
      <c r="E1364" t="s">
        <v>107</v>
      </c>
      <c r="F1364">
        <v>2019</v>
      </c>
      <c r="G1364">
        <v>9881215.716</v>
      </c>
      <c r="H1364">
        <v>9881215.716</v>
      </c>
      <c r="I1364">
        <v>1</v>
      </c>
    </row>
    <row r="1365" spans="1:9">
      <c r="A1365" t="s">
        <v>305</v>
      </c>
      <c r="B1365" t="s">
        <v>306</v>
      </c>
      <c r="C1365" t="s">
        <v>269</v>
      </c>
      <c r="D1365" t="s">
        <v>307</v>
      </c>
      <c r="E1365" t="s">
        <v>107</v>
      </c>
      <c r="F1365">
        <v>2020</v>
      </c>
      <c r="G1365">
        <v>9993880.1970000006</v>
      </c>
      <c r="H1365">
        <v>9993880.1970000006</v>
      </c>
      <c r="I1365">
        <v>1</v>
      </c>
    </row>
    <row r="1366" spans="1:9">
      <c r="A1366" t="s">
        <v>305</v>
      </c>
      <c r="B1366" t="s">
        <v>306</v>
      </c>
      <c r="C1366" t="s">
        <v>269</v>
      </c>
      <c r="D1366" t="s">
        <v>307</v>
      </c>
      <c r="E1366" t="s">
        <v>107</v>
      </c>
      <c r="F1366">
        <v>2021</v>
      </c>
      <c r="G1366">
        <v>10147010.199999999</v>
      </c>
      <c r="H1366">
        <v>10147010.199999999</v>
      </c>
      <c r="I1366">
        <v>1</v>
      </c>
    </row>
    <row r="1367" spans="1:9">
      <c r="A1367" t="s">
        <v>305</v>
      </c>
      <c r="B1367" t="s">
        <v>306</v>
      </c>
      <c r="C1367" t="s">
        <v>269</v>
      </c>
      <c r="D1367" t="s">
        <v>307</v>
      </c>
      <c r="E1367" t="s">
        <v>107</v>
      </c>
      <c r="F1367">
        <v>2022</v>
      </c>
      <c r="G1367">
        <v>10238796.48</v>
      </c>
      <c r="H1367">
        <v>10238796.48</v>
      </c>
      <c r="I1367">
        <v>1</v>
      </c>
    </row>
    <row r="1368" spans="1:9">
      <c r="A1368" t="s">
        <v>305</v>
      </c>
      <c r="B1368" t="s">
        <v>306</v>
      </c>
      <c r="C1368" t="s">
        <v>269</v>
      </c>
      <c r="D1368" t="s">
        <v>307</v>
      </c>
      <c r="E1368" t="s">
        <v>107</v>
      </c>
      <c r="F1368">
        <v>2023</v>
      </c>
      <c r="G1368">
        <v>10372200.439999999</v>
      </c>
      <c r="H1368">
        <v>10372200.439999999</v>
      </c>
      <c r="I1368">
        <v>1</v>
      </c>
    </row>
    <row r="1369" spans="1:9">
      <c r="A1369" t="s">
        <v>305</v>
      </c>
      <c r="B1369" t="s">
        <v>306</v>
      </c>
      <c r="C1369" t="s">
        <v>269</v>
      </c>
      <c r="D1369" t="s">
        <v>307</v>
      </c>
      <c r="E1369" t="s">
        <v>107</v>
      </c>
      <c r="F1369">
        <v>2024</v>
      </c>
      <c r="G1369">
        <v>10455525.800000001</v>
      </c>
      <c r="H1369">
        <v>10455525.800000001</v>
      </c>
      <c r="I1369">
        <v>1</v>
      </c>
    </row>
    <row r="1370" spans="1:9">
      <c r="A1370" t="s">
        <v>305</v>
      </c>
      <c r="B1370" t="s">
        <v>306</v>
      </c>
      <c r="C1370" t="s">
        <v>269</v>
      </c>
      <c r="D1370" t="s">
        <v>307</v>
      </c>
      <c r="E1370" t="s">
        <v>107</v>
      </c>
      <c r="F1370">
        <v>2025</v>
      </c>
      <c r="G1370">
        <v>10500914.74</v>
      </c>
      <c r="H1370">
        <v>10500914.74</v>
      </c>
      <c r="I1370">
        <v>1</v>
      </c>
    </row>
    <row r="1371" spans="1:9">
      <c r="A1371" t="s">
        <v>305</v>
      </c>
      <c r="B1371" t="s">
        <v>306</v>
      </c>
      <c r="C1371" t="s">
        <v>269</v>
      </c>
      <c r="D1371" t="s">
        <v>307</v>
      </c>
      <c r="E1371" t="s">
        <v>107</v>
      </c>
      <c r="F1371">
        <v>2026</v>
      </c>
      <c r="G1371">
        <v>10522052.720000001</v>
      </c>
      <c r="H1371">
        <v>10522052.720000001</v>
      </c>
      <c r="I1371">
        <v>1</v>
      </c>
    </row>
    <row r="1372" spans="1:9">
      <c r="A1372" t="s">
        <v>305</v>
      </c>
      <c r="B1372" t="s">
        <v>306</v>
      </c>
      <c r="C1372" t="s">
        <v>269</v>
      </c>
      <c r="D1372" t="s">
        <v>307</v>
      </c>
      <c r="E1372" t="s">
        <v>107</v>
      </c>
      <c r="F1372">
        <v>2027</v>
      </c>
      <c r="G1372">
        <v>10603274.289999999</v>
      </c>
      <c r="H1372">
        <v>10603274.289999999</v>
      </c>
      <c r="I1372">
        <v>1</v>
      </c>
    </row>
    <row r="1373" spans="1:9">
      <c r="A1373" t="s">
        <v>305</v>
      </c>
      <c r="B1373" t="s">
        <v>306</v>
      </c>
      <c r="C1373" t="s">
        <v>269</v>
      </c>
      <c r="D1373" t="s">
        <v>307</v>
      </c>
      <c r="E1373" t="s">
        <v>107</v>
      </c>
      <c r="F1373">
        <v>2028</v>
      </c>
      <c r="G1373">
        <v>10608042.779999999</v>
      </c>
      <c r="H1373">
        <v>10608042.779999999</v>
      </c>
      <c r="I1373">
        <v>1</v>
      </c>
    </row>
    <row r="1374" spans="1:9">
      <c r="A1374" t="s">
        <v>305</v>
      </c>
      <c r="B1374" t="s">
        <v>306</v>
      </c>
      <c r="C1374" t="s">
        <v>269</v>
      </c>
      <c r="D1374" t="s">
        <v>307</v>
      </c>
      <c r="E1374" t="s">
        <v>107</v>
      </c>
      <c r="F1374">
        <v>2029</v>
      </c>
      <c r="G1374">
        <v>10693924.720000001</v>
      </c>
      <c r="H1374">
        <v>10693924.720000001</v>
      </c>
      <c r="I1374">
        <v>1</v>
      </c>
    </row>
    <row r="1375" spans="1:9">
      <c r="A1375" t="s">
        <v>305</v>
      </c>
      <c r="B1375" t="s">
        <v>306</v>
      </c>
      <c r="C1375" t="s">
        <v>269</v>
      </c>
      <c r="D1375" t="s">
        <v>307</v>
      </c>
      <c r="E1375" t="s">
        <v>107</v>
      </c>
      <c r="F1375">
        <v>2030</v>
      </c>
      <c r="G1375">
        <v>10718318.83</v>
      </c>
      <c r="H1375">
        <v>10718318.83</v>
      </c>
      <c r="I1375">
        <v>1</v>
      </c>
    </row>
    <row r="1376" spans="1:9">
      <c r="A1376" t="s">
        <v>305</v>
      </c>
      <c r="B1376" t="s">
        <v>306</v>
      </c>
      <c r="C1376" t="s">
        <v>269</v>
      </c>
      <c r="D1376" t="s">
        <v>307</v>
      </c>
      <c r="E1376" t="s">
        <v>107</v>
      </c>
      <c r="F1376">
        <v>2031</v>
      </c>
      <c r="G1376">
        <v>10753086.48</v>
      </c>
      <c r="H1376">
        <v>10753086.48</v>
      </c>
      <c r="I1376">
        <v>1</v>
      </c>
    </row>
    <row r="1377" spans="1:9">
      <c r="A1377" t="s">
        <v>305</v>
      </c>
      <c r="B1377" t="s">
        <v>306</v>
      </c>
      <c r="C1377" t="s">
        <v>269</v>
      </c>
      <c r="D1377" t="s">
        <v>307</v>
      </c>
      <c r="E1377" t="s">
        <v>107</v>
      </c>
      <c r="F1377">
        <v>2032</v>
      </c>
      <c r="G1377">
        <v>10661567.720000001</v>
      </c>
      <c r="H1377">
        <v>10661567.720000001</v>
      </c>
      <c r="I1377">
        <v>1</v>
      </c>
    </row>
    <row r="1378" spans="1:9">
      <c r="A1378" t="s">
        <v>305</v>
      </c>
      <c r="B1378" t="s">
        <v>306</v>
      </c>
      <c r="C1378" t="s">
        <v>269</v>
      </c>
      <c r="D1378" t="s">
        <v>307</v>
      </c>
      <c r="E1378" t="s">
        <v>107</v>
      </c>
      <c r="F1378">
        <v>2033</v>
      </c>
      <c r="G1378">
        <v>10635854.449999999</v>
      </c>
      <c r="H1378">
        <v>10635854.449999999</v>
      </c>
      <c r="I1378">
        <v>1</v>
      </c>
    </row>
    <row r="1379" spans="1:9">
      <c r="A1379" t="s">
        <v>305</v>
      </c>
      <c r="B1379" t="s">
        <v>306</v>
      </c>
      <c r="C1379" t="s">
        <v>269</v>
      </c>
      <c r="D1379" t="s">
        <v>307</v>
      </c>
      <c r="E1379" t="s">
        <v>107</v>
      </c>
      <c r="F1379">
        <v>2034</v>
      </c>
      <c r="G1379">
        <v>10577978.68</v>
      </c>
      <c r="H1379">
        <v>10577978.68</v>
      </c>
      <c r="I1379">
        <v>1</v>
      </c>
    </row>
    <row r="1380" spans="1:9">
      <c r="A1380" t="s">
        <v>305</v>
      </c>
      <c r="B1380" t="s">
        <v>306</v>
      </c>
      <c r="C1380" t="s">
        <v>269</v>
      </c>
      <c r="D1380" t="s">
        <v>307</v>
      </c>
      <c r="E1380" t="s">
        <v>107</v>
      </c>
      <c r="F1380">
        <v>2035</v>
      </c>
      <c r="G1380">
        <v>10549508.949999999</v>
      </c>
      <c r="H1380">
        <v>10549508.949999999</v>
      </c>
      <c r="I1380">
        <v>1</v>
      </c>
    </row>
    <row r="1381" spans="1:9">
      <c r="A1381" t="s">
        <v>305</v>
      </c>
      <c r="B1381" t="s">
        <v>306</v>
      </c>
      <c r="C1381" t="s">
        <v>269</v>
      </c>
      <c r="D1381" t="s">
        <v>307</v>
      </c>
      <c r="E1381" t="s">
        <v>107</v>
      </c>
      <c r="F1381">
        <v>2036</v>
      </c>
      <c r="G1381">
        <v>10596689.84</v>
      </c>
      <c r="H1381">
        <v>10596689.84</v>
      </c>
      <c r="I1381">
        <v>1</v>
      </c>
    </row>
    <row r="1382" spans="1:9">
      <c r="A1382" t="s">
        <v>305</v>
      </c>
      <c r="B1382" t="s">
        <v>306</v>
      </c>
      <c r="C1382" t="s">
        <v>269</v>
      </c>
      <c r="D1382" t="s">
        <v>307</v>
      </c>
      <c r="E1382" t="s">
        <v>107</v>
      </c>
      <c r="F1382">
        <v>2037</v>
      </c>
      <c r="G1382">
        <v>10379986.76</v>
      </c>
      <c r="H1382">
        <v>10379986.76</v>
      </c>
      <c r="I1382">
        <v>1</v>
      </c>
    </row>
    <row r="1383" spans="1:9">
      <c r="A1383" t="s">
        <v>305</v>
      </c>
      <c r="B1383" t="s">
        <v>306</v>
      </c>
      <c r="C1383" t="s">
        <v>269</v>
      </c>
      <c r="D1383" t="s">
        <v>307</v>
      </c>
      <c r="E1383" t="s">
        <v>107</v>
      </c>
      <c r="F1383">
        <v>2038</v>
      </c>
      <c r="G1383">
        <v>10371410.75</v>
      </c>
      <c r="H1383">
        <v>10371410.75</v>
      </c>
      <c r="I1383">
        <v>1</v>
      </c>
    </row>
    <row r="1384" spans="1:9">
      <c r="A1384" t="s">
        <v>305</v>
      </c>
      <c r="B1384" t="s">
        <v>306</v>
      </c>
      <c r="C1384" t="s">
        <v>269</v>
      </c>
      <c r="D1384" t="s">
        <v>307</v>
      </c>
      <c r="E1384" t="s">
        <v>107</v>
      </c>
      <c r="F1384">
        <v>2039</v>
      </c>
      <c r="G1384">
        <v>10306256.01</v>
      </c>
      <c r="H1384">
        <v>10306256.01</v>
      </c>
      <c r="I1384">
        <v>1</v>
      </c>
    </row>
    <row r="1385" spans="1:9">
      <c r="A1385" t="s">
        <v>305</v>
      </c>
      <c r="B1385" t="s">
        <v>306</v>
      </c>
      <c r="C1385" t="s">
        <v>269</v>
      </c>
      <c r="D1385" t="s">
        <v>307</v>
      </c>
      <c r="E1385" t="s">
        <v>107</v>
      </c>
      <c r="F1385">
        <v>2040</v>
      </c>
      <c r="G1385">
        <v>10132952.189999999</v>
      </c>
      <c r="H1385">
        <v>10132952.189999999</v>
      </c>
      <c r="I1385">
        <v>1</v>
      </c>
    </row>
    <row r="1386" spans="1:9">
      <c r="A1386" t="s">
        <v>305</v>
      </c>
      <c r="B1386" t="s">
        <v>306</v>
      </c>
      <c r="C1386" t="s">
        <v>269</v>
      </c>
      <c r="D1386" t="s">
        <v>307</v>
      </c>
      <c r="E1386" t="s">
        <v>107</v>
      </c>
      <c r="F1386">
        <v>2041</v>
      </c>
      <c r="G1386">
        <v>10077328.710000001</v>
      </c>
      <c r="H1386">
        <v>10077328.710000001</v>
      </c>
      <c r="I1386">
        <v>1</v>
      </c>
    </row>
    <row r="1387" spans="1:9">
      <c r="A1387" t="s">
        <v>305</v>
      </c>
      <c r="B1387" t="s">
        <v>306</v>
      </c>
      <c r="C1387" t="s">
        <v>269</v>
      </c>
      <c r="D1387" t="s">
        <v>307</v>
      </c>
      <c r="E1387" t="s">
        <v>107</v>
      </c>
      <c r="F1387">
        <v>2042</v>
      </c>
      <c r="G1387">
        <v>9960227.7469999995</v>
      </c>
      <c r="H1387">
        <v>9960227.7469999995</v>
      </c>
      <c r="I1387">
        <v>1</v>
      </c>
    </row>
    <row r="1388" spans="1:9">
      <c r="A1388" t="s">
        <v>305</v>
      </c>
      <c r="B1388" t="s">
        <v>306</v>
      </c>
      <c r="C1388" t="s">
        <v>269</v>
      </c>
      <c r="D1388" t="s">
        <v>307</v>
      </c>
      <c r="E1388" t="s">
        <v>107</v>
      </c>
      <c r="F1388">
        <v>2043</v>
      </c>
      <c r="G1388">
        <v>9726568.8300000001</v>
      </c>
      <c r="H1388">
        <v>9726568.8300000001</v>
      </c>
      <c r="I1388">
        <v>1</v>
      </c>
    </row>
    <row r="1389" spans="1:9">
      <c r="A1389" t="s">
        <v>305</v>
      </c>
      <c r="B1389" t="s">
        <v>306</v>
      </c>
      <c r="C1389" t="s">
        <v>269</v>
      </c>
      <c r="D1389" t="s">
        <v>307</v>
      </c>
      <c r="E1389" t="s">
        <v>107</v>
      </c>
      <c r="F1389">
        <v>2044</v>
      </c>
      <c r="G1389">
        <v>9710233.8389999997</v>
      </c>
      <c r="H1389">
        <v>9710233.8389999997</v>
      </c>
      <c r="I1389">
        <v>1</v>
      </c>
    </row>
    <row r="1390" spans="1:9">
      <c r="A1390" t="s">
        <v>305</v>
      </c>
      <c r="B1390" t="s">
        <v>306</v>
      </c>
      <c r="C1390" t="s">
        <v>269</v>
      </c>
      <c r="D1390" t="s">
        <v>307</v>
      </c>
      <c r="E1390" t="s">
        <v>107</v>
      </c>
      <c r="F1390">
        <v>2045</v>
      </c>
      <c r="G1390">
        <v>9551059.3080000002</v>
      </c>
      <c r="H1390">
        <v>9551059.3080000002</v>
      </c>
      <c r="I1390">
        <v>1</v>
      </c>
    </row>
    <row r="1391" spans="1:9">
      <c r="A1391" t="s">
        <v>305</v>
      </c>
      <c r="B1391" t="s">
        <v>306</v>
      </c>
      <c r="C1391" t="s">
        <v>269</v>
      </c>
      <c r="D1391" t="s">
        <v>307</v>
      </c>
      <c r="E1391" t="s">
        <v>107</v>
      </c>
      <c r="F1391">
        <v>2046</v>
      </c>
      <c r="G1391">
        <v>9294820.9749999996</v>
      </c>
      <c r="H1391">
        <v>9294820.9749999996</v>
      </c>
      <c r="I1391">
        <v>1</v>
      </c>
    </row>
    <row r="1392" spans="1:9">
      <c r="A1392" t="s">
        <v>305</v>
      </c>
      <c r="B1392" t="s">
        <v>306</v>
      </c>
      <c r="C1392" t="s">
        <v>269</v>
      </c>
      <c r="D1392" t="s">
        <v>307</v>
      </c>
      <c r="E1392" t="s">
        <v>107</v>
      </c>
      <c r="F1392">
        <v>2047</v>
      </c>
      <c r="G1392">
        <v>9244068.2660000008</v>
      </c>
      <c r="H1392">
        <v>9244068.2660000008</v>
      </c>
      <c r="I1392">
        <v>1</v>
      </c>
    </row>
    <row r="1393" spans="1:9">
      <c r="A1393" t="s">
        <v>305</v>
      </c>
      <c r="B1393" t="s">
        <v>306</v>
      </c>
      <c r="C1393" t="s">
        <v>269</v>
      </c>
      <c r="D1393" t="s">
        <v>307</v>
      </c>
      <c r="E1393" t="s">
        <v>107</v>
      </c>
      <c r="F1393">
        <v>2048</v>
      </c>
      <c r="G1393">
        <v>9012380.1769999992</v>
      </c>
      <c r="H1393">
        <v>9012380.1769999992</v>
      </c>
      <c r="I1393">
        <v>1</v>
      </c>
    </row>
    <row r="1394" spans="1:9">
      <c r="A1394" t="s">
        <v>305</v>
      </c>
      <c r="B1394" t="s">
        <v>306</v>
      </c>
      <c r="C1394" t="s">
        <v>269</v>
      </c>
      <c r="D1394" t="s">
        <v>307</v>
      </c>
      <c r="E1394" t="s">
        <v>107</v>
      </c>
      <c r="F1394">
        <v>2049</v>
      </c>
      <c r="G1394">
        <v>8851727.5390000008</v>
      </c>
      <c r="H1394">
        <v>8851727.5390000008</v>
      </c>
      <c r="I1394">
        <v>1</v>
      </c>
    </row>
    <row r="1395" spans="1:9">
      <c r="A1395" t="s">
        <v>305</v>
      </c>
      <c r="B1395" t="s">
        <v>306</v>
      </c>
      <c r="C1395" t="s">
        <v>269</v>
      </c>
      <c r="D1395" t="s">
        <v>307</v>
      </c>
      <c r="E1395" t="s">
        <v>107</v>
      </c>
      <c r="F1395">
        <v>2050</v>
      </c>
      <c r="G1395">
        <v>8767366.6260000002</v>
      </c>
      <c r="H1395">
        <v>8767366.6260000002</v>
      </c>
      <c r="I1395">
        <v>1</v>
      </c>
    </row>
    <row r="1396" spans="1:9">
      <c r="A1396" t="s">
        <v>305</v>
      </c>
      <c r="B1396" t="s">
        <v>306</v>
      </c>
      <c r="C1396" t="s">
        <v>269</v>
      </c>
      <c r="D1396" t="s">
        <v>25</v>
      </c>
      <c r="E1396" t="s">
        <v>30</v>
      </c>
      <c r="F1396">
        <v>2010</v>
      </c>
      <c r="G1396">
        <v>6133803.1090000002</v>
      </c>
      <c r="H1396">
        <v>6133803.1090000002</v>
      </c>
      <c r="I1396">
        <v>1</v>
      </c>
    </row>
    <row r="1397" spans="1:9">
      <c r="A1397" t="s">
        <v>305</v>
      </c>
      <c r="B1397" t="s">
        <v>306</v>
      </c>
      <c r="C1397" t="s">
        <v>269</v>
      </c>
      <c r="D1397" t="s">
        <v>25</v>
      </c>
      <c r="E1397" t="s">
        <v>30</v>
      </c>
      <c r="F1397">
        <v>2011</v>
      </c>
      <c r="G1397">
        <v>6459433.8119999999</v>
      </c>
      <c r="H1397">
        <v>6459433.8119999999</v>
      </c>
      <c r="I1397">
        <v>1</v>
      </c>
    </row>
    <row r="1398" spans="1:9">
      <c r="A1398" t="s">
        <v>305</v>
      </c>
      <c r="B1398" t="s">
        <v>306</v>
      </c>
      <c r="C1398" t="s">
        <v>269</v>
      </c>
      <c r="D1398" t="s">
        <v>25</v>
      </c>
      <c r="E1398" t="s">
        <v>30</v>
      </c>
      <c r="F1398">
        <v>2012</v>
      </c>
      <c r="G1398">
        <v>6884547.6739999996</v>
      </c>
      <c r="H1398">
        <v>6884547.6739999996</v>
      </c>
      <c r="I1398">
        <v>1</v>
      </c>
    </row>
    <row r="1399" spans="1:9">
      <c r="A1399" t="s">
        <v>305</v>
      </c>
      <c r="B1399" t="s">
        <v>306</v>
      </c>
      <c r="C1399" t="s">
        <v>269</v>
      </c>
      <c r="D1399" t="s">
        <v>25</v>
      </c>
      <c r="E1399" t="s">
        <v>30</v>
      </c>
      <c r="F1399">
        <v>2013</v>
      </c>
      <c r="G1399">
        <v>7269925.2340000002</v>
      </c>
      <c r="H1399">
        <v>7269925.2340000002</v>
      </c>
      <c r="I1399">
        <v>1</v>
      </c>
    </row>
    <row r="1400" spans="1:9">
      <c r="A1400" t="s">
        <v>305</v>
      </c>
      <c r="B1400" t="s">
        <v>306</v>
      </c>
      <c r="C1400" t="s">
        <v>269</v>
      </c>
      <c r="D1400" t="s">
        <v>25</v>
      </c>
      <c r="E1400" t="s">
        <v>30</v>
      </c>
      <c r="F1400">
        <v>2014</v>
      </c>
      <c r="G1400">
        <v>7691375.8250000002</v>
      </c>
      <c r="H1400">
        <v>7691375.8250000002</v>
      </c>
      <c r="I1400">
        <v>1</v>
      </c>
    </row>
    <row r="1401" spans="1:9">
      <c r="A1401" t="s">
        <v>305</v>
      </c>
      <c r="B1401" t="s">
        <v>306</v>
      </c>
      <c r="C1401" t="s">
        <v>269</v>
      </c>
      <c r="D1401" t="s">
        <v>25</v>
      </c>
      <c r="E1401" t="s">
        <v>30</v>
      </c>
      <c r="F1401">
        <v>2015</v>
      </c>
      <c r="G1401">
        <v>8064998.8739999998</v>
      </c>
      <c r="H1401">
        <v>8064998.8739999998</v>
      </c>
      <c r="I1401">
        <v>1</v>
      </c>
    </row>
    <row r="1402" spans="1:9">
      <c r="A1402" t="s">
        <v>305</v>
      </c>
      <c r="B1402" t="s">
        <v>306</v>
      </c>
      <c r="C1402" t="s">
        <v>269</v>
      </c>
      <c r="D1402" t="s">
        <v>25</v>
      </c>
      <c r="E1402" t="s">
        <v>30</v>
      </c>
      <c r="F1402">
        <v>2016</v>
      </c>
      <c r="G1402">
        <v>8518403.6099999994</v>
      </c>
      <c r="H1402">
        <v>8518403.6099999994</v>
      </c>
      <c r="I1402">
        <v>1</v>
      </c>
    </row>
    <row r="1403" spans="1:9">
      <c r="A1403" t="s">
        <v>305</v>
      </c>
      <c r="B1403" t="s">
        <v>306</v>
      </c>
      <c r="C1403" t="s">
        <v>269</v>
      </c>
      <c r="D1403" t="s">
        <v>25</v>
      </c>
      <c r="E1403" t="s">
        <v>30</v>
      </c>
      <c r="F1403">
        <v>2017</v>
      </c>
      <c r="G1403">
        <v>9031652.8959999997</v>
      </c>
      <c r="H1403">
        <v>9031652.8959999997</v>
      </c>
      <c r="I1403">
        <v>1</v>
      </c>
    </row>
    <row r="1404" spans="1:9">
      <c r="A1404" t="s">
        <v>305</v>
      </c>
      <c r="B1404" t="s">
        <v>306</v>
      </c>
      <c r="C1404" t="s">
        <v>269</v>
      </c>
      <c r="D1404" t="s">
        <v>25</v>
      </c>
      <c r="E1404" t="s">
        <v>30</v>
      </c>
      <c r="F1404">
        <v>2018</v>
      </c>
      <c r="G1404">
        <v>9551767.4279999994</v>
      </c>
      <c r="H1404">
        <v>9551767.4279999994</v>
      </c>
      <c r="I1404">
        <v>1</v>
      </c>
    </row>
    <row r="1405" spans="1:9">
      <c r="A1405" t="s">
        <v>305</v>
      </c>
      <c r="B1405" t="s">
        <v>306</v>
      </c>
      <c r="C1405" t="s">
        <v>269</v>
      </c>
      <c r="D1405" t="s">
        <v>25</v>
      </c>
      <c r="E1405" t="s">
        <v>30</v>
      </c>
      <c r="F1405">
        <v>2019</v>
      </c>
      <c r="G1405">
        <v>9902292.7880000006</v>
      </c>
      <c r="H1405">
        <v>9902292.7880000006</v>
      </c>
      <c r="I1405">
        <v>1</v>
      </c>
    </row>
    <row r="1406" spans="1:9">
      <c r="A1406" t="s">
        <v>305</v>
      </c>
      <c r="B1406" t="s">
        <v>306</v>
      </c>
      <c r="C1406" t="s">
        <v>269</v>
      </c>
      <c r="D1406" t="s">
        <v>25</v>
      </c>
      <c r="E1406" t="s">
        <v>30</v>
      </c>
      <c r="F1406">
        <v>2020</v>
      </c>
      <c r="G1406">
        <v>10392493.68</v>
      </c>
      <c r="H1406">
        <v>10392493.68</v>
      </c>
      <c r="I1406">
        <v>1</v>
      </c>
    </row>
    <row r="1407" spans="1:9">
      <c r="A1407" t="s">
        <v>305</v>
      </c>
      <c r="B1407" t="s">
        <v>306</v>
      </c>
      <c r="C1407" t="s">
        <v>269</v>
      </c>
      <c r="D1407" t="s">
        <v>25</v>
      </c>
      <c r="E1407" t="s">
        <v>30</v>
      </c>
      <c r="F1407">
        <v>2021</v>
      </c>
      <c r="G1407">
        <v>10848073.039999999</v>
      </c>
      <c r="H1407">
        <v>10848073.039999999</v>
      </c>
      <c r="I1407">
        <v>1</v>
      </c>
    </row>
    <row r="1408" spans="1:9">
      <c r="A1408" t="s">
        <v>305</v>
      </c>
      <c r="B1408" t="s">
        <v>306</v>
      </c>
      <c r="C1408" t="s">
        <v>269</v>
      </c>
      <c r="D1408" t="s">
        <v>25</v>
      </c>
      <c r="E1408" t="s">
        <v>30</v>
      </c>
      <c r="F1408">
        <v>2022</v>
      </c>
      <c r="G1408">
        <v>11368070.130000001</v>
      </c>
      <c r="H1408">
        <v>11368070.130000001</v>
      </c>
      <c r="I1408">
        <v>1</v>
      </c>
    </row>
    <row r="1409" spans="1:9">
      <c r="A1409" t="s">
        <v>305</v>
      </c>
      <c r="B1409" t="s">
        <v>306</v>
      </c>
      <c r="C1409" t="s">
        <v>269</v>
      </c>
      <c r="D1409" t="s">
        <v>25</v>
      </c>
      <c r="E1409" t="s">
        <v>30</v>
      </c>
      <c r="F1409">
        <v>2023</v>
      </c>
      <c r="G1409">
        <v>11861051.720000001</v>
      </c>
      <c r="H1409">
        <v>11861051.720000001</v>
      </c>
      <c r="I1409">
        <v>1</v>
      </c>
    </row>
    <row r="1410" spans="1:9">
      <c r="A1410" t="s">
        <v>305</v>
      </c>
      <c r="B1410" t="s">
        <v>306</v>
      </c>
      <c r="C1410" t="s">
        <v>269</v>
      </c>
      <c r="D1410" t="s">
        <v>25</v>
      </c>
      <c r="E1410" t="s">
        <v>30</v>
      </c>
      <c r="F1410">
        <v>2024</v>
      </c>
      <c r="G1410">
        <v>12270305.949999999</v>
      </c>
      <c r="H1410">
        <v>12270305.949999999</v>
      </c>
      <c r="I1410">
        <v>1</v>
      </c>
    </row>
    <row r="1411" spans="1:9">
      <c r="A1411" t="s">
        <v>305</v>
      </c>
      <c r="B1411" t="s">
        <v>306</v>
      </c>
      <c r="C1411" t="s">
        <v>269</v>
      </c>
      <c r="D1411" t="s">
        <v>25</v>
      </c>
      <c r="E1411" t="s">
        <v>30</v>
      </c>
      <c r="F1411">
        <v>2025</v>
      </c>
      <c r="G1411">
        <v>12743108.210000001</v>
      </c>
      <c r="H1411">
        <v>12743108.210000001</v>
      </c>
      <c r="I1411">
        <v>1</v>
      </c>
    </row>
    <row r="1412" spans="1:9">
      <c r="A1412" t="s">
        <v>305</v>
      </c>
      <c r="B1412" t="s">
        <v>306</v>
      </c>
      <c r="C1412" t="s">
        <v>269</v>
      </c>
      <c r="D1412" t="s">
        <v>25</v>
      </c>
      <c r="E1412" t="s">
        <v>30</v>
      </c>
      <c r="F1412">
        <v>2026</v>
      </c>
      <c r="G1412">
        <v>13091586.869999999</v>
      </c>
      <c r="H1412">
        <v>13091586.869999999</v>
      </c>
      <c r="I1412">
        <v>1</v>
      </c>
    </row>
    <row r="1413" spans="1:9">
      <c r="A1413" t="s">
        <v>305</v>
      </c>
      <c r="B1413" t="s">
        <v>306</v>
      </c>
      <c r="C1413" t="s">
        <v>269</v>
      </c>
      <c r="D1413" t="s">
        <v>25</v>
      </c>
      <c r="E1413" t="s">
        <v>30</v>
      </c>
      <c r="F1413">
        <v>2027</v>
      </c>
      <c r="G1413">
        <v>13558880.369999999</v>
      </c>
      <c r="H1413">
        <v>13558880.369999999</v>
      </c>
      <c r="I1413">
        <v>1</v>
      </c>
    </row>
    <row r="1414" spans="1:9">
      <c r="A1414" t="s">
        <v>305</v>
      </c>
      <c r="B1414" t="s">
        <v>306</v>
      </c>
      <c r="C1414" t="s">
        <v>269</v>
      </c>
      <c r="D1414" t="s">
        <v>25</v>
      </c>
      <c r="E1414" t="s">
        <v>30</v>
      </c>
      <c r="F1414">
        <v>2028</v>
      </c>
      <c r="G1414">
        <v>13947717.449999999</v>
      </c>
      <c r="H1414">
        <v>13947717.449999999</v>
      </c>
      <c r="I1414">
        <v>1</v>
      </c>
    </row>
    <row r="1415" spans="1:9">
      <c r="A1415" t="s">
        <v>305</v>
      </c>
      <c r="B1415" t="s">
        <v>306</v>
      </c>
      <c r="C1415" t="s">
        <v>269</v>
      </c>
      <c r="D1415" t="s">
        <v>25</v>
      </c>
      <c r="E1415" t="s">
        <v>30</v>
      </c>
      <c r="F1415">
        <v>2029</v>
      </c>
      <c r="G1415">
        <v>14262377.27</v>
      </c>
      <c r="H1415">
        <v>14262377.27</v>
      </c>
      <c r="I1415">
        <v>1</v>
      </c>
    </row>
    <row r="1416" spans="1:9">
      <c r="A1416" t="s">
        <v>305</v>
      </c>
      <c r="B1416" t="s">
        <v>306</v>
      </c>
      <c r="C1416" t="s">
        <v>269</v>
      </c>
      <c r="D1416" t="s">
        <v>25</v>
      </c>
      <c r="E1416" t="s">
        <v>30</v>
      </c>
      <c r="F1416">
        <v>2030</v>
      </c>
      <c r="G1416">
        <v>14639934.359999999</v>
      </c>
      <c r="H1416">
        <v>14639934.359999999</v>
      </c>
      <c r="I1416">
        <v>1</v>
      </c>
    </row>
    <row r="1417" spans="1:9">
      <c r="A1417" t="s">
        <v>305</v>
      </c>
      <c r="B1417" t="s">
        <v>306</v>
      </c>
      <c r="C1417" t="s">
        <v>269</v>
      </c>
      <c r="D1417" t="s">
        <v>25</v>
      </c>
      <c r="E1417" t="s">
        <v>30</v>
      </c>
      <c r="F1417">
        <v>2031</v>
      </c>
      <c r="G1417">
        <v>14900051.720000001</v>
      </c>
      <c r="H1417">
        <v>14900051.720000001</v>
      </c>
      <c r="I1417">
        <v>1</v>
      </c>
    </row>
    <row r="1418" spans="1:9">
      <c r="A1418" t="s">
        <v>305</v>
      </c>
      <c r="B1418" t="s">
        <v>306</v>
      </c>
      <c r="C1418" t="s">
        <v>269</v>
      </c>
      <c r="D1418" t="s">
        <v>25</v>
      </c>
      <c r="E1418" t="s">
        <v>30</v>
      </c>
      <c r="F1418">
        <v>2032</v>
      </c>
      <c r="G1418">
        <v>15222603.310000001</v>
      </c>
      <c r="H1418">
        <v>15222603.310000001</v>
      </c>
      <c r="I1418">
        <v>1</v>
      </c>
    </row>
    <row r="1419" spans="1:9">
      <c r="A1419" t="s">
        <v>305</v>
      </c>
      <c r="B1419" t="s">
        <v>306</v>
      </c>
      <c r="C1419" t="s">
        <v>269</v>
      </c>
      <c r="D1419" t="s">
        <v>25</v>
      </c>
      <c r="E1419" t="s">
        <v>30</v>
      </c>
      <c r="F1419">
        <v>2033</v>
      </c>
      <c r="G1419">
        <v>15393355.09</v>
      </c>
      <c r="H1419">
        <v>15393355.09</v>
      </c>
      <c r="I1419">
        <v>1</v>
      </c>
    </row>
    <row r="1420" spans="1:9">
      <c r="A1420" t="s">
        <v>305</v>
      </c>
      <c r="B1420" t="s">
        <v>306</v>
      </c>
      <c r="C1420" t="s">
        <v>269</v>
      </c>
      <c r="D1420" t="s">
        <v>25</v>
      </c>
      <c r="E1420" t="s">
        <v>30</v>
      </c>
      <c r="F1420">
        <v>2034</v>
      </c>
      <c r="G1420">
        <v>15585397.43</v>
      </c>
      <c r="H1420">
        <v>15585397.43</v>
      </c>
      <c r="I1420">
        <v>1</v>
      </c>
    </row>
    <row r="1421" spans="1:9">
      <c r="A1421" t="s">
        <v>305</v>
      </c>
      <c r="B1421" t="s">
        <v>306</v>
      </c>
      <c r="C1421" t="s">
        <v>269</v>
      </c>
      <c r="D1421" t="s">
        <v>25</v>
      </c>
      <c r="E1421" t="s">
        <v>30</v>
      </c>
      <c r="F1421">
        <v>2035</v>
      </c>
      <c r="G1421">
        <v>15681914.84</v>
      </c>
      <c r="H1421">
        <v>15681914.84</v>
      </c>
      <c r="I1421">
        <v>1</v>
      </c>
    </row>
    <row r="1422" spans="1:9">
      <c r="A1422" t="s">
        <v>305</v>
      </c>
      <c r="B1422" t="s">
        <v>306</v>
      </c>
      <c r="C1422" t="s">
        <v>269</v>
      </c>
      <c r="D1422" t="s">
        <v>25</v>
      </c>
      <c r="E1422" t="s">
        <v>30</v>
      </c>
      <c r="F1422">
        <v>2036</v>
      </c>
      <c r="G1422">
        <v>16003789.75</v>
      </c>
      <c r="H1422">
        <v>16003789.75</v>
      </c>
      <c r="I1422">
        <v>1</v>
      </c>
    </row>
    <row r="1423" spans="1:9">
      <c r="A1423" t="s">
        <v>305</v>
      </c>
      <c r="B1423" t="s">
        <v>306</v>
      </c>
      <c r="C1423" t="s">
        <v>269</v>
      </c>
      <c r="D1423" t="s">
        <v>25</v>
      </c>
      <c r="E1423" t="s">
        <v>30</v>
      </c>
      <c r="F1423">
        <v>2037</v>
      </c>
      <c r="G1423">
        <v>16233644.960000001</v>
      </c>
      <c r="H1423">
        <v>16233644.960000001</v>
      </c>
      <c r="I1423">
        <v>1</v>
      </c>
    </row>
    <row r="1424" spans="1:9">
      <c r="A1424" t="s">
        <v>305</v>
      </c>
      <c r="B1424" t="s">
        <v>306</v>
      </c>
      <c r="C1424" t="s">
        <v>269</v>
      </c>
      <c r="D1424" t="s">
        <v>25</v>
      </c>
      <c r="E1424" t="s">
        <v>30</v>
      </c>
      <c r="F1424">
        <v>2038</v>
      </c>
      <c r="G1424">
        <v>16226531.029999999</v>
      </c>
      <c r="H1424">
        <v>16226531.029999999</v>
      </c>
      <c r="I1424">
        <v>1</v>
      </c>
    </row>
    <row r="1425" spans="1:9">
      <c r="A1425" t="s">
        <v>305</v>
      </c>
      <c r="B1425" t="s">
        <v>306</v>
      </c>
      <c r="C1425" t="s">
        <v>269</v>
      </c>
      <c r="D1425" t="s">
        <v>25</v>
      </c>
      <c r="E1425" t="s">
        <v>30</v>
      </c>
      <c r="F1425">
        <v>2039</v>
      </c>
      <c r="G1425">
        <v>16187856.51</v>
      </c>
      <c r="H1425">
        <v>16187856.51</v>
      </c>
      <c r="I1425">
        <v>1</v>
      </c>
    </row>
    <row r="1426" spans="1:9">
      <c r="A1426" t="s">
        <v>305</v>
      </c>
      <c r="B1426" t="s">
        <v>306</v>
      </c>
      <c r="C1426" t="s">
        <v>269</v>
      </c>
      <c r="D1426" t="s">
        <v>25</v>
      </c>
      <c r="E1426" t="s">
        <v>30</v>
      </c>
      <c r="F1426">
        <v>2040</v>
      </c>
      <c r="G1426">
        <v>15971379.310000001</v>
      </c>
      <c r="H1426">
        <v>15971379.310000001</v>
      </c>
      <c r="I1426">
        <v>1</v>
      </c>
    </row>
    <row r="1427" spans="1:9">
      <c r="A1427" t="s">
        <v>305</v>
      </c>
      <c r="B1427" t="s">
        <v>306</v>
      </c>
      <c r="C1427" t="s">
        <v>269</v>
      </c>
      <c r="D1427" t="s">
        <v>25</v>
      </c>
      <c r="E1427" t="s">
        <v>30</v>
      </c>
      <c r="F1427">
        <v>2041</v>
      </c>
      <c r="G1427">
        <v>15858495.98</v>
      </c>
      <c r="H1427">
        <v>15858495.98</v>
      </c>
      <c r="I1427">
        <v>1</v>
      </c>
    </row>
    <row r="1428" spans="1:9">
      <c r="A1428" t="s">
        <v>305</v>
      </c>
      <c r="B1428" t="s">
        <v>306</v>
      </c>
      <c r="C1428" t="s">
        <v>269</v>
      </c>
      <c r="D1428" t="s">
        <v>25</v>
      </c>
      <c r="E1428" t="s">
        <v>30</v>
      </c>
      <c r="F1428">
        <v>2042</v>
      </c>
      <c r="G1428">
        <v>15914736.130000001</v>
      </c>
      <c r="H1428">
        <v>15914736.130000001</v>
      </c>
      <c r="I1428">
        <v>1</v>
      </c>
    </row>
    <row r="1429" spans="1:9">
      <c r="A1429" t="s">
        <v>305</v>
      </c>
      <c r="B1429" t="s">
        <v>306</v>
      </c>
      <c r="C1429" t="s">
        <v>269</v>
      </c>
      <c r="D1429" t="s">
        <v>25</v>
      </c>
      <c r="E1429" t="s">
        <v>30</v>
      </c>
      <c r="F1429">
        <v>2043</v>
      </c>
      <c r="G1429">
        <v>15651697.23</v>
      </c>
      <c r="H1429">
        <v>15651697.23</v>
      </c>
      <c r="I1429">
        <v>1</v>
      </c>
    </row>
    <row r="1430" spans="1:9">
      <c r="A1430" t="s">
        <v>305</v>
      </c>
      <c r="B1430" t="s">
        <v>306</v>
      </c>
      <c r="C1430" t="s">
        <v>269</v>
      </c>
      <c r="D1430" t="s">
        <v>25</v>
      </c>
      <c r="E1430" t="s">
        <v>30</v>
      </c>
      <c r="F1430">
        <v>2044</v>
      </c>
      <c r="G1430">
        <v>15562591.98</v>
      </c>
      <c r="H1430">
        <v>15562591.98</v>
      </c>
      <c r="I1430">
        <v>1</v>
      </c>
    </row>
    <row r="1431" spans="1:9">
      <c r="A1431" t="s">
        <v>305</v>
      </c>
      <c r="B1431" t="s">
        <v>306</v>
      </c>
      <c r="C1431" t="s">
        <v>269</v>
      </c>
      <c r="D1431" t="s">
        <v>25</v>
      </c>
      <c r="E1431" t="s">
        <v>30</v>
      </c>
      <c r="F1431">
        <v>2045</v>
      </c>
      <c r="G1431">
        <v>15441659.060000001</v>
      </c>
      <c r="H1431">
        <v>15441659.060000001</v>
      </c>
      <c r="I1431">
        <v>1</v>
      </c>
    </row>
    <row r="1432" spans="1:9">
      <c r="A1432" t="s">
        <v>305</v>
      </c>
      <c r="B1432" t="s">
        <v>306</v>
      </c>
      <c r="C1432" t="s">
        <v>269</v>
      </c>
      <c r="D1432" t="s">
        <v>25</v>
      </c>
      <c r="E1432" t="s">
        <v>30</v>
      </c>
      <c r="F1432">
        <v>2046</v>
      </c>
      <c r="G1432">
        <v>14871950.300000001</v>
      </c>
      <c r="H1432">
        <v>14871950.300000001</v>
      </c>
      <c r="I1432">
        <v>1</v>
      </c>
    </row>
    <row r="1433" spans="1:9">
      <c r="A1433" t="s">
        <v>305</v>
      </c>
      <c r="B1433" t="s">
        <v>306</v>
      </c>
      <c r="C1433" t="s">
        <v>269</v>
      </c>
      <c r="D1433" t="s">
        <v>25</v>
      </c>
      <c r="E1433" t="s">
        <v>30</v>
      </c>
      <c r="F1433">
        <v>2047</v>
      </c>
      <c r="G1433">
        <v>14851364.689999999</v>
      </c>
      <c r="H1433">
        <v>14851364.689999999</v>
      </c>
      <c r="I1433">
        <v>1</v>
      </c>
    </row>
    <row r="1434" spans="1:9">
      <c r="A1434" t="s">
        <v>305</v>
      </c>
      <c r="B1434" t="s">
        <v>306</v>
      </c>
      <c r="C1434" t="s">
        <v>269</v>
      </c>
      <c r="D1434" t="s">
        <v>25</v>
      </c>
      <c r="E1434" t="s">
        <v>30</v>
      </c>
      <c r="F1434">
        <v>2048</v>
      </c>
      <c r="G1434">
        <v>14299760.380000001</v>
      </c>
      <c r="H1434">
        <v>14299760.380000001</v>
      </c>
      <c r="I1434">
        <v>1</v>
      </c>
    </row>
    <row r="1435" spans="1:9">
      <c r="A1435" t="s">
        <v>305</v>
      </c>
      <c r="B1435" t="s">
        <v>306</v>
      </c>
      <c r="C1435" t="s">
        <v>269</v>
      </c>
      <c r="D1435" t="s">
        <v>25</v>
      </c>
      <c r="E1435" t="s">
        <v>30</v>
      </c>
      <c r="F1435">
        <v>2049</v>
      </c>
      <c r="G1435">
        <v>13852627.210000001</v>
      </c>
      <c r="H1435">
        <v>13852627.210000001</v>
      </c>
      <c r="I1435">
        <v>1</v>
      </c>
    </row>
    <row r="1436" spans="1:9">
      <c r="A1436" t="s">
        <v>305</v>
      </c>
      <c r="B1436" t="s">
        <v>306</v>
      </c>
      <c r="C1436" t="s">
        <v>269</v>
      </c>
      <c r="D1436" t="s">
        <v>25</v>
      </c>
      <c r="E1436" t="s">
        <v>30</v>
      </c>
      <c r="F1436">
        <v>2050</v>
      </c>
      <c r="G1436">
        <v>13220319.869999999</v>
      </c>
      <c r="H1436">
        <v>13220319.869999999</v>
      </c>
      <c r="I1436">
        <v>1</v>
      </c>
    </row>
    <row r="1437" spans="1:9">
      <c r="A1437" t="s">
        <v>305</v>
      </c>
      <c r="B1437" t="s">
        <v>306</v>
      </c>
      <c r="C1437" t="s">
        <v>269</v>
      </c>
      <c r="D1437" t="s">
        <v>26</v>
      </c>
      <c r="E1437" t="s">
        <v>30</v>
      </c>
      <c r="F1437">
        <v>2010</v>
      </c>
      <c r="G1437">
        <v>653865.22080000001</v>
      </c>
      <c r="H1437">
        <v>653865.22080000001</v>
      </c>
      <c r="I1437">
        <v>1</v>
      </c>
    </row>
    <row r="1438" spans="1:9">
      <c r="A1438" t="s">
        <v>305</v>
      </c>
      <c r="B1438" t="s">
        <v>306</v>
      </c>
      <c r="C1438" t="s">
        <v>269</v>
      </c>
      <c r="D1438" t="s">
        <v>26</v>
      </c>
      <c r="E1438" t="s">
        <v>30</v>
      </c>
      <c r="F1438">
        <v>2011</v>
      </c>
      <c r="G1438">
        <v>759365.68500000006</v>
      </c>
      <c r="H1438">
        <v>759365.68500000006</v>
      </c>
      <c r="I1438">
        <v>1</v>
      </c>
    </row>
    <row r="1439" spans="1:9">
      <c r="A1439" t="s">
        <v>305</v>
      </c>
      <c r="B1439" t="s">
        <v>306</v>
      </c>
      <c r="C1439" t="s">
        <v>269</v>
      </c>
      <c r="D1439" t="s">
        <v>26</v>
      </c>
      <c r="E1439" t="s">
        <v>30</v>
      </c>
      <c r="F1439">
        <v>2012</v>
      </c>
      <c r="G1439">
        <v>931109.09400000004</v>
      </c>
      <c r="H1439">
        <v>931109.09400000004</v>
      </c>
      <c r="I1439">
        <v>1</v>
      </c>
    </row>
    <row r="1440" spans="1:9">
      <c r="A1440" t="s">
        <v>305</v>
      </c>
      <c r="B1440" t="s">
        <v>306</v>
      </c>
      <c r="C1440" t="s">
        <v>269</v>
      </c>
      <c r="D1440" t="s">
        <v>26</v>
      </c>
      <c r="E1440" t="s">
        <v>30</v>
      </c>
      <c r="F1440">
        <v>2013</v>
      </c>
      <c r="G1440">
        <v>1109803.4639999999</v>
      </c>
      <c r="H1440">
        <v>1109803.4639999999</v>
      </c>
      <c r="I1440">
        <v>1</v>
      </c>
    </row>
    <row r="1441" spans="1:9">
      <c r="A1441" t="s">
        <v>305</v>
      </c>
      <c r="B1441" t="s">
        <v>306</v>
      </c>
      <c r="C1441" t="s">
        <v>269</v>
      </c>
      <c r="D1441" t="s">
        <v>26</v>
      </c>
      <c r="E1441" t="s">
        <v>30</v>
      </c>
      <c r="F1441">
        <v>2014</v>
      </c>
      <c r="G1441">
        <v>1230750.27</v>
      </c>
      <c r="H1441">
        <v>1230750.27</v>
      </c>
      <c r="I1441">
        <v>1</v>
      </c>
    </row>
    <row r="1442" spans="1:9">
      <c r="A1442" t="s">
        <v>305</v>
      </c>
      <c r="B1442" t="s">
        <v>306</v>
      </c>
      <c r="C1442" t="s">
        <v>269</v>
      </c>
      <c r="D1442" t="s">
        <v>26</v>
      </c>
      <c r="E1442" t="s">
        <v>30</v>
      </c>
      <c r="F1442">
        <v>2015</v>
      </c>
      <c r="G1442">
        <v>1389156.7279999999</v>
      </c>
      <c r="H1442">
        <v>1389156.7279999999</v>
      </c>
      <c r="I1442">
        <v>1</v>
      </c>
    </row>
    <row r="1443" spans="1:9">
      <c r="A1443" t="s">
        <v>305</v>
      </c>
      <c r="B1443" t="s">
        <v>306</v>
      </c>
      <c r="C1443" t="s">
        <v>269</v>
      </c>
      <c r="D1443" t="s">
        <v>26</v>
      </c>
      <c r="E1443" t="s">
        <v>30</v>
      </c>
      <c r="F1443">
        <v>2016</v>
      </c>
      <c r="G1443">
        <v>1519595.7209999999</v>
      </c>
      <c r="H1443">
        <v>1519595.7209999999</v>
      </c>
      <c r="I1443">
        <v>1</v>
      </c>
    </row>
    <row r="1444" spans="1:9">
      <c r="A1444" t="s">
        <v>305</v>
      </c>
      <c r="B1444" t="s">
        <v>306</v>
      </c>
      <c r="C1444" t="s">
        <v>269</v>
      </c>
      <c r="D1444" t="s">
        <v>26</v>
      </c>
      <c r="E1444" t="s">
        <v>30</v>
      </c>
      <c r="F1444">
        <v>2017</v>
      </c>
      <c r="G1444">
        <v>1723480.92</v>
      </c>
      <c r="H1444">
        <v>1723480.92</v>
      </c>
      <c r="I1444">
        <v>1</v>
      </c>
    </row>
    <row r="1445" spans="1:9">
      <c r="A1445" t="s">
        <v>305</v>
      </c>
      <c r="B1445" t="s">
        <v>306</v>
      </c>
      <c r="C1445" t="s">
        <v>269</v>
      </c>
      <c r="D1445" t="s">
        <v>26</v>
      </c>
      <c r="E1445" t="s">
        <v>30</v>
      </c>
      <c r="F1445">
        <v>2018</v>
      </c>
      <c r="G1445">
        <v>1969838.942</v>
      </c>
      <c r="H1445">
        <v>1969838.942</v>
      </c>
      <c r="I1445">
        <v>1</v>
      </c>
    </row>
    <row r="1446" spans="1:9">
      <c r="A1446" t="s">
        <v>305</v>
      </c>
      <c r="B1446" t="s">
        <v>306</v>
      </c>
      <c r="C1446" t="s">
        <v>269</v>
      </c>
      <c r="D1446" t="s">
        <v>26</v>
      </c>
      <c r="E1446" t="s">
        <v>30</v>
      </c>
      <c r="F1446">
        <v>2019</v>
      </c>
      <c r="G1446">
        <v>2117190.9870000002</v>
      </c>
      <c r="H1446">
        <v>2117190.9870000002</v>
      </c>
      <c r="I1446">
        <v>1</v>
      </c>
    </row>
    <row r="1447" spans="1:9">
      <c r="A1447" t="s">
        <v>305</v>
      </c>
      <c r="B1447" t="s">
        <v>306</v>
      </c>
      <c r="C1447" t="s">
        <v>269</v>
      </c>
      <c r="D1447" t="s">
        <v>26</v>
      </c>
      <c r="E1447" t="s">
        <v>30</v>
      </c>
      <c r="F1447">
        <v>2020</v>
      </c>
      <c r="G1447">
        <v>2342103.091</v>
      </c>
      <c r="H1447">
        <v>2342103.091</v>
      </c>
      <c r="I1447">
        <v>1</v>
      </c>
    </row>
    <row r="1448" spans="1:9">
      <c r="A1448" t="s">
        <v>305</v>
      </c>
      <c r="B1448" t="s">
        <v>306</v>
      </c>
      <c r="C1448" t="s">
        <v>269</v>
      </c>
      <c r="D1448" t="s">
        <v>26</v>
      </c>
      <c r="E1448" t="s">
        <v>30</v>
      </c>
      <c r="F1448">
        <v>2021</v>
      </c>
      <c r="G1448">
        <v>2611491.372</v>
      </c>
      <c r="H1448">
        <v>2611491.372</v>
      </c>
      <c r="I1448">
        <v>1</v>
      </c>
    </row>
    <row r="1449" spans="1:9">
      <c r="A1449" t="s">
        <v>305</v>
      </c>
      <c r="B1449" t="s">
        <v>306</v>
      </c>
      <c r="C1449" t="s">
        <v>269</v>
      </c>
      <c r="D1449" t="s">
        <v>26</v>
      </c>
      <c r="E1449" t="s">
        <v>30</v>
      </c>
      <c r="F1449">
        <v>2022</v>
      </c>
      <c r="G1449">
        <v>2851412.895</v>
      </c>
      <c r="H1449">
        <v>2851412.895</v>
      </c>
      <c r="I1449">
        <v>1</v>
      </c>
    </row>
    <row r="1450" spans="1:9">
      <c r="A1450" t="s">
        <v>305</v>
      </c>
      <c r="B1450" t="s">
        <v>306</v>
      </c>
      <c r="C1450" t="s">
        <v>269</v>
      </c>
      <c r="D1450" t="s">
        <v>26</v>
      </c>
      <c r="E1450" t="s">
        <v>30</v>
      </c>
      <c r="F1450">
        <v>2023</v>
      </c>
      <c r="G1450">
        <v>3137150.3149999999</v>
      </c>
      <c r="H1450">
        <v>3137150.3149999999</v>
      </c>
      <c r="I1450">
        <v>1</v>
      </c>
    </row>
    <row r="1451" spans="1:9">
      <c r="A1451" t="s">
        <v>305</v>
      </c>
      <c r="B1451" t="s">
        <v>306</v>
      </c>
      <c r="C1451" t="s">
        <v>269</v>
      </c>
      <c r="D1451" t="s">
        <v>26</v>
      </c>
      <c r="E1451" t="s">
        <v>30</v>
      </c>
      <c r="F1451">
        <v>2024</v>
      </c>
      <c r="G1451">
        <v>3549674.0159999998</v>
      </c>
      <c r="H1451">
        <v>3549674.0159999998</v>
      </c>
      <c r="I1451">
        <v>1</v>
      </c>
    </row>
    <row r="1452" spans="1:9">
      <c r="A1452" t="s">
        <v>305</v>
      </c>
      <c r="B1452" t="s">
        <v>306</v>
      </c>
      <c r="C1452" t="s">
        <v>269</v>
      </c>
      <c r="D1452" t="s">
        <v>26</v>
      </c>
      <c r="E1452" t="s">
        <v>30</v>
      </c>
      <c r="F1452">
        <v>2025</v>
      </c>
      <c r="G1452">
        <v>3774093.8149999999</v>
      </c>
      <c r="H1452">
        <v>3774093.8149999999</v>
      </c>
      <c r="I1452">
        <v>1</v>
      </c>
    </row>
    <row r="1453" spans="1:9">
      <c r="A1453" t="s">
        <v>305</v>
      </c>
      <c r="B1453" t="s">
        <v>306</v>
      </c>
      <c r="C1453" t="s">
        <v>269</v>
      </c>
      <c r="D1453" t="s">
        <v>26</v>
      </c>
      <c r="E1453" t="s">
        <v>30</v>
      </c>
      <c r="F1453">
        <v>2026</v>
      </c>
      <c r="G1453">
        <v>4126519.67</v>
      </c>
      <c r="H1453">
        <v>4126519.67</v>
      </c>
      <c r="I1453">
        <v>1</v>
      </c>
    </row>
    <row r="1454" spans="1:9">
      <c r="A1454" t="s">
        <v>305</v>
      </c>
      <c r="B1454" t="s">
        <v>306</v>
      </c>
      <c r="C1454" t="s">
        <v>269</v>
      </c>
      <c r="D1454" t="s">
        <v>26</v>
      </c>
      <c r="E1454" t="s">
        <v>30</v>
      </c>
      <c r="F1454">
        <v>2027</v>
      </c>
      <c r="G1454">
        <v>4488457.4709999999</v>
      </c>
      <c r="H1454">
        <v>4488457.4709999999</v>
      </c>
      <c r="I1454">
        <v>1</v>
      </c>
    </row>
    <row r="1455" spans="1:9">
      <c r="A1455" t="s">
        <v>305</v>
      </c>
      <c r="B1455" t="s">
        <v>306</v>
      </c>
      <c r="C1455" t="s">
        <v>269</v>
      </c>
      <c r="D1455" t="s">
        <v>26</v>
      </c>
      <c r="E1455" t="s">
        <v>30</v>
      </c>
      <c r="F1455">
        <v>2028</v>
      </c>
      <c r="G1455">
        <v>4986496.7460000003</v>
      </c>
      <c r="H1455">
        <v>4986496.7460000003</v>
      </c>
      <c r="I1455">
        <v>1</v>
      </c>
    </row>
    <row r="1456" spans="1:9">
      <c r="A1456" t="s">
        <v>305</v>
      </c>
      <c r="B1456" t="s">
        <v>306</v>
      </c>
      <c r="C1456" t="s">
        <v>269</v>
      </c>
      <c r="D1456" t="s">
        <v>26</v>
      </c>
      <c r="E1456" t="s">
        <v>30</v>
      </c>
      <c r="F1456">
        <v>2029</v>
      </c>
      <c r="G1456">
        <v>5368947.75</v>
      </c>
      <c r="H1456">
        <v>5368947.75</v>
      </c>
      <c r="I1456">
        <v>1</v>
      </c>
    </row>
    <row r="1457" spans="1:9">
      <c r="A1457" t="s">
        <v>305</v>
      </c>
      <c r="B1457" t="s">
        <v>306</v>
      </c>
      <c r="C1457" t="s">
        <v>269</v>
      </c>
      <c r="D1457" t="s">
        <v>26</v>
      </c>
      <c r="E1457" t="s">
        <v>30</v>
      </c>
      <c r="F1457">
        <v>2030</v>
      </c>
      <c r="G1457">
        <v>5934786.2779999999</v>
      </c>
      <c r="H1457">
        <v>5934786.2779999999</v>
      </c>
      <c r="I1457">
        <v>1</v>
      </c>
    </row>
    <row r="1458" spans="1:9">
      <c r="A1458" t="s">
        <v>305</v>
      </c>
      <c r="B1458" t="s">
        <v>306</v>
      </c>
      <c r="C1458" t="s">
        <v>269</v>
      </c>
      <c r="D1458" t="s">
        <v>26</v>
      </c>
      <c r="E1458" t="s">
        <v>30</v>
      </c>
      <c r="F1458">
        <v>2031</v>
      </c>
      <c r="G1458">
        <v>6293033.7949999999</v>
      </c>
      <c r="H1458">
        <v>6293033.7949999999</v>
      </c>
      <c r="I1458">
        <v>1</v>
      </c>
    </row>
    <row r="1459" spans="1:9">
      <c r="A1459" t="s">
        <v>305</v>
      </c>
      <c r="B1459" t="s">
        <v>306</v>
      </c>
      <c r="C1459" t="s">
        <v>269</v>
      </c>
      <c r="D1459" t="s">
        <v>26</v>
      </c>
      <c r="E1459" t="s">
        <v>30</v>
      </c>
      <c r="F1459">
        <v>2032</v>
      </c>
      <c r="G1459">
        <v>6838097.9330000002</v>
      </c>
      <c r="H1459">
        <v>6838097.9330000002</v>
      </c>
      <c r="I1459">
        <v>1</v>
      </c>
    </row>
    <row r="1460" spans="1:9">
      <c r="A1460" t="s">
        <v>305</v>
      </c>
      <c r="B1460" t="s">
        <v>306</v>
      </c>
      <c r="C1460" t="s">
        <v>269</v>
      </c>
      <c r="D1460" t="s">
        <v>26</v>
      </c>
      <c r="E1460" t="s">
        <v>30</v>
      </c>
      <c r="F1460">
        <v>2033</v>
      </c>
      <c r="G1460">
        <v>7440582.3370000003</v>
      </c>
      <c r="H1460">
        <v>7440582.3370000003</v>
      </c>
      <c r="I1460">
        <v>1</v>
      </c>
    </row>
    <row r="1461" spans="1:9">
      <c r="A1461" t="s">
        <v>305</v>
      </c>
      <c r="B1461" t="s">
        <v>306</v>
      </c>
      <c r="C1461" t="s">
        <v>269</v>
      </c>
      <c r="D1461" t="s">
        <v>26</v>
      </c>
      <c r="E1461" t="s">
        <v>30</v>
      </c>
      <c r="F1461">
        <v>2034</v>
      </c>
      <c r="G1461">
        <v>7916679.4069999997</v>
      </c>
      <c r="H1461">
        <v>7916679.4069999997</v>
      </c>
      <c r="I1461">
        <v>1</v>
      </c>
    </row>
    <row r="1462" spans="1:9">
      <c r="A1462" t="s">
        <v>305</v>
      </c>
      <c r="B1462" t="s">
        <v>306</v>
      </c>
      <c r="C1462" t="s">
        <v>269</v>
      </c>
      <c r="D1462" t="s">
        <v>26</v>
      </c>
      <c r="E1462" t="s">
        <v>30</v>
      </c>
      <c r="F1462">
        <v>2035</v>
      </c>
      <c r="G1462">
        <v>8494707.2039999999</v>
      </c>
      <c r="H1462">
        <v>8494707.2039999999</v>
      </c>
      <c r="I1462">
        <v>1</v>
      </c>
    </row>
    <row r="1463" spans="1:9">
      <c r="A1463" t="s">
        <v>305</v>
      </c>
      <c r="B1463" t="s">
        <v>306</v>
      </c>
      <c r="C1463" t="s">
        <v>269</v>
      </c>
      <c r="D1463" t="s">
        <v>26</v>
      </c>
      <c r="E1463" t="s">
        <v>30</v>
      </c>
      <c r="F1463">
        <v>2036</v>
      </c>
      <c r="G1463">
        <v>9225470.8010000009</v>
      </c>
      <c r="H1463">
        <v>9225470.8010000009</v>
      </c>
      <c r="I1463">
        <v>1</v>
      </c>
    </row>
    <row r="1464" spans="1:9">
      <c r="A1464" t="s">
        <v>305</v>
      </c>
      <c r="B1464" t="s">
        <v>306</v>
      </c>
      <c r="C1464" t="s">
        <v>269</v>
      </c>
      <c r="D1464" t="s">
        <v>26</v>
      </c>
      <c r="E1464" t="s">
        <v>30</v>
      </c>
      <c r="F1464">
        <v>2037</v>
      </c>
      <c r="G1464">
        <v>9824921.0710000005</v>
      </c>
      <c r="H1464">
        <v>9824921.0710000005</v>
      </c>
      <c r="I1464">
        <v>1</v>
      </c>
    </row>
    <row r="1465" spans="1:9">
      <c r="A1465" t="s">
        <v>305</v>
      </c>
      <c r="B1465" t="s">
        <v>306</v>
      </c>
      <c r="C1465" t="s">
        <v>269</v>
      </c>
      <c r="D1465" t="s">
        <v>26</v>
      </c>
      <c r="E1465" t="s">
        <v>30</v>
      </c>
      <c r="F1465">
        <v>2038</v>
      </c>
      <c r="G1465">
        <v>10482035.869999999</v>
      </c>
      <c r="H1465">
        <v>10482035.869999999</v>
      </c>
      <c r="I1465">
        <v>1</v>
      </c>
    </row>
    <row r="1466" spans="1:9">
      <c r="A1466" t="s">
        <v>305</v>
      </c>
      <c r="B1466" t="s">
        <v>306</v>
      </c>
      <c r="C1466" t="s">
        <v>269</v>
      </c>
      <c r="D1466" t="s">
        <v>26</v>
      </c>
      <c r="E1466" t="s">
        <v>30</v>
      </c>
      <c r="F1466">
        <v>2039</v>
      </c>
      <c r="G1466">
        <v>11148652.18</v>
      </c>
      <c r="H1466">
        <v>11148652.18</v>
      </c>
      <c r="I1466">
        <v>1</v>
      </c>
    </row>
    <row r="1467" spans="1:9">
      <c r="A1467" t="s">
        <v>305</v>
      </c>
      <c r="B1467" t="s">
        <v>306</v>
      </c>
      <c r="C1467" t="s">
        <v>269</v>
      </c>
      <c r="D1467" t="s">
        <v>26</v>
      </c>
      <c r="E1467" t="s">
        <v>30</v>
      </c>
      <c r="F1467">
        <v>2040</v>
      </c>
      <c r="G1467">
        <v>12148468.050000001</v>
      </c>
      <c r="H1467">
        <v>12148468.050000001</v>
      </c>
      <c r="I1467">
        <v>1</v>
      </c>
    </row>
    <row r="1468" spans="1:9">
      <c r="A1468" t="s">
        <v>305</v>
      </c>
      <c r="B1468" t="s">
        <v>306</v>
      </c>
      <c r="C1468" t="s">
        <v>269</v>
      </c>
      <c r="D1468" t="s">
        <v>26</v>
      </c>
      <c r="E1468" t="s">
        <v>30</v>
      </c>
      <c r="F1468">
        <v>2041</v>
      </c>
      <c r="G1468">
        <v>12709799.42</v>
      </c>
      <c r="H1468">
        <v>12709799.42</v>
      </c>
      <c r="I1468">
        <v>1</v>
      </c>
    </row>
    <row r="1469" spans="1:9">
      <c r="A1469" t="s">
        <v>305</v>
      </c>
      <c r="B1469" t="s">
        <v>306</v>
      </c>
      <c r="C1469" t="s">
        <v>269</v>
      </c>
      <c r="D1469" t="s">
        <v>26</v>
      </c>
      <c r="E1469" t="s">
        <v>30</v>
      </c>
      <c r="F1469">
        <v>2042</v>
      </c>
      <c r="G1469">
        <v>13505595.789999999</v>
      </c>
      <c r="H1469">
        <v>13505595.789999999</v>
      </c>
      <c r="I1469">
        <v>1</v>
      </c>
    </row>
    <row r="1470" spans="1:9">
      <c r="A1470" t="s">
        <v>305</v>
      </c>
      <c r="B1470" t="s">
        <v>306</v>
      </c>
      <c r="C1470" t="s">
        <v>269</v>
      </c>
      <c r="D1470" t="s">
        <v>26</v>
      </c>
      <c r="E1470" t="s">
        <v>30</v>
      </c>
      <c r="F1470">
        <v>2043</v>
      </c>
      <c r="G1470">
        <v>14516816.869999999</v>
      </c>
      <c r="H1470">
        <v>14516816.869999999</v>
      </c>
      <c r="I1470">
        <v>1</v>
      </c>
    </row>
    <row r="1471" spans="1:9">
      <c r="A1471" t="s">
        <v>305</v>
      </c>
      <c r="B1471" t="s">
        <v>306</v>
      </c>
      <c r="C1471" t="s">
        <v>269</v>
      </c>
      <c r="D1471" t="s">
        <v>26</v>
      </c>
      <c r="E1471" t="s">
        <v>30</v>
      </c>
      <c r="F1471">
        <v>2044</v>
      </c>
      <c r="G1471">
        <v>15047752.07</v>
      </c>
      <c r="H1471">
        <v>15047752.07</v>
      </c>
      <c r="I1471">
        <v>1</v>
      </c>
    </row>
    <row r="1472" spans="1:9">
      <c r="A1472" t="s">
        <v>305</v>
      </c>
      <c r="B1472" t="s">
        <v>306</v>
      </c>
      <c r="C1472" t="s">
        <v>269</v>
      </c>
      <c r="D1472" t="s">
        <v>26</v>
      </c>
      <c r="E1472" t="s">
        <v>30</v>
      </c>
      <c r="F1472">
        <v>2045</v>
      </c>
      <c r="G1472">
        <v>15684589.300000001</v>
      </c>
      <c r="H1472">
        <v>15684589.300000001</v>
      </c>
      <c r="I1472">
        <v>1</v>
      </c>
    </row>
    <row r="1473" spans="1:9">
      <c r="A1473" t="s">
        <v>305</v>
      </c>
      <c r="B1473" t="s">
        <v>306</v>
      </c>
      <c r="C1473" t="s">
        <v>269</v>
      </c>
      <c r="D1473" t="s">
        <v>26</v>
      </c>
      <c r="E1473" t="s">
        <v>30</v>
      </c>
      <c r="F1473">
        <v>2046</v>
      </c>
      <c r="G1473">
        <v>16535994.75</v>
      </c>
      <c r="H1473">
        <v>16535994.75</v>
      </c>
      <c r="I1473">
        <v>1</v>
      </c>
    </row>
    <row r="1474" spans="1:9">
      <c r="A1474" t="s">
        <v>305</v>
      </c>
      <c r="B1474" t="s">
        <v>306</v>
      </c>
      <c r="C1474" t="s">
        <v>269</v>
      </c>
      <c r="D1474" t="s">
        <v>26</v>
      </c>
      <c r="E1474" t="s">
        <v>30</v>
      </c>
      <c r="F1474">
        <v>2047</v>
      </c>
      <c r="G1474">
        <v>17233066.350000001</v>
      </c>
      <c r="H1474">
        <v>17233066.350000001</v>
      </c>
      <c r="I1474">
        <v>1</v>
      </c>
    </row>
    <row r="1475" spans="1:9">
      <c r="A1475" t="s">
        <v>305</v>
      </c>
      <c r="B1475" t="s">
        <v>306</v>
      </c>
      <c r="C1475" t="s">
        <v>269</v>
      </c>
      <c r="D1475" t="s">
        <v>26</v>
      </c>
      <c r="E1475" t="s">
        <v>30</v>
      </c>
      <c r="F1475">
        <v>2048</v>
      </c>
      <c r="G1475">
        <v>18013158.5</v>
      </c>
      <c r="H1475">
        <v>18013158.5</v>
      </c>
      <c r="I1475">
        <v>1</v>
      </c>
    </row>
    <row r="1476" spans="1:9">
      <c r="A1476" t="s">
        <v>305</v>
      </c>
      <c r="B1476" t="s">
        <v>306</v>
      </c>
      <c r="C1476" t="s">
        <v>269</v>
      </c>
      <c r="D1476" t="s">
        <v>26</v>
      </c>
      <c r="E1476" t="s">
        <v>30</v>
      </c>
      <c r="F1476">
        <v>2049</v>
      </c>
      <c r="G1476">
        <v>18714937.449999999</v>
      </c>
      <c r="H1476">
        <v>18714937.449999999</v>
      </c>
      <c r="I1476">
        <v>1</v>
      </c>
    </row>
    <row r="1477" spans="1:9">
      <c r="A1477" t="s">
        <v>305</v>
      </c>
      <c r="B1477" t="s">
        <v>306</v>
      </c>
      <c r="C1477" t="s">
        <v>269</v>
      </c>
      <c r="D1477" t="s">
        <v>26</v>
      </c>
      <c r="E1477" t="s">
        <v>30</v>
      </c>
      <c r="F1477">
        <v>2050</v>
      </c>
      <c r="G1477">
        <v>19445037.890000001</v>
      </c>
      <c r="H1477">
        <v>19445037.890000001</v>
      </c>
      <c r="I1477">
        <v>1</v>
      </c>
    </row>
    <row r="1478" spans="1:9">
      <c r="A1478" t="s">
        <v>305</v>
      </c>
      <c r="B1478" t="s">
        <v>306</v>
      </c>
      <c r="C1478" t="s">
        <v>269</v>
      </c>
      <c r="D1478" t="s">
        <v>307</v>
      </c>
      <c r="E1478" t="s">
        <v>30</v>
      </c>
      <c r="F1478">
        <v>2010</v>
      </c>
      <c r="G1478">
        <v>6714173.466</v>
      </c>
      <c r="H1478">
        <v>6714173.466</v>
      </c>
      <c r="I1478">
        <v>1</v>
      </c>
    </row>
    <row r="1479" spans="1:9">
      <c r="A1479" t="s">
        <v>305</v>
      </c>
      <c r="B1479" t="s">
        <v>306</v>
      </c>
      <c r="C1479" t="s">
        <v>269</v>
      </c>
      <c r="D1479" t="s">
        <v>307</v>
      </c>
      <c r="E1479" t="s">
        <v>30</v>
      </c>
      <c r="F1479">
        <v>2011</v>
      </c>
      <c r="G1479">
        <v>7092653.0219999999</v>
      </c>
      <c r="H1479">
        <v>7092653.0219999999</v>
      </c>
      <c r="I1479">
        <v>1</v>
      </c>
    </row>
    <row r="1480" spans="1:9">
      <c r="A1480" t="s">
        <v>305</v>
      </c>
      <c r="B1480" t="s">
        <v>306</v>
      </c>
      <c r="C1480" t="s">
        <v>269</v>
      </c>
      <c r="D1480" t="s">
        <v>307</v>
      </c>
      <c r="E1480" t="s">
        <v>30</v>
      </c>
      <c r="F1480">
        <v>2012</v>
      </c>
      <c r="G1480">
        <v>7625951.9819999998</v>
      </c>
      <c r="H1480">
        <v>7625951.9819999998</v>
      </c>
      <c r="I1480">
        <v>1</v>
      </c>
    </row>
    <row r="1481" spans="1:9">
      <c r="A1481" t="s">
        <v>305</v>
      </c>
      <c r="B1481" t="s">
        <v>306</v>
      </c>
      <c r="C1481" t="s">
        <v>269</v>
      </c>
      <c r="D1481" t="s">
        <v>307</v>
      </c>
      <c r="E1481" t="s">
        <v>30</v>
      </c>
      <c r="F1481">
        <v>2013</v>
      </c>
      <c r="G1481">
        <v>8231663.4409999996</v>
      </c>
      <c r="H1481">
        <v>8231663.4409999996</v>
      </c>
      <c r="I1481">
        <v>1</v>
      </c>
    </row>
    <row r="1482" spans="1:9">
      <c r="A1482" t="s">
        <v>305</v>
      </c>
      <c r="B1482" t="s">
        <v>306</v>
      </c>
      <c r="C1482" t="s">
        <v>269</v>
      </c>
      <c r="D1482" t="s">
        <v>307</v>
      </c>
      <c r="E1482" t="s">
        <v>30</v>
      </c>
      <c r="F1482">
        <v>2014</v>
      </c>
      <c r="G1482">
        <v>8767829.4800000004</v>
      </c>
      <c r="H1482">
        <v>8767829.4800000004</v>
      </c>
      <c r="I1482">
        <v>1</v>
      </c>
    </row>
    <row r="1483" spans="1:9">
      <c r="A1483" t="s">
        <v>305</v>
      </c>
      <c r="B1483" t="s">
        <v>306</v>
      </c>
      <c r="C1483" t="s">
        <v>269</v>
      </c>
      <c r="D1483" t="s">
        <v>307</v>
      </c>
      <c r="E1483" t="s">
        <v>30</v>
      </c>
      <c r="F1483">
        <v>2015</v>
      </c>
      <c r="G1483">
        <v>9327560.1030000001</v>
      </c>
      <c r="H1483">
        <v>9327560.1030000001</v>
      </c>
      <c r="I1483">
        <v>1</v>
      </c>
    </row>
    <row r="1484" spans="1:9">
      <c r="A1484" t="s">
        <v>305</v>
      </c>
      <c r="B1484" t="s">
        <v>306</v>
      </c>
      <c r="C1484" t="s">
        <v>269</v>
      </c>
      <c r="D1484" t="s">
        <v>307</v>
      </c>
      <c r="E1484" t="s">
        <v>30</v>
      </c>
      <c r="F1484">
        <v>2016</v>
      </c>
      <c r="G1484">
        <v>10015359.960000001</v>
      </c>
      <c r="H1484">
        <v>10015359.960000001</v>
      </c>
      <c r="I1484">
        <v>1</v>
      </c>
    </row>
    <row r="1485" spans="1:9">
      <c r="A1485" t="s">
        <v>305</v>
      </c>
      <c r="B1485" t="s">
        <v>306</v>
      </c>
      <c r="C1485" t="s">
        <v>269</v>
      </c>
      <c r="D1485" t="s">
        <v>307</v>
      </c>
      <c r="E1485" t="s">
        <v>30</v>
      </c>
      <c r="F1485">
        <v>2017</v>
      </c>
      <c r="G1485">
        <v>10573972.439999999</v>
      </c>
      <c r="H1485">
        <v>10573972.439999999</v>
      </c>
      <c r="I1485">
        <v>1</v>
      </c>
    </row>
    <row r="1486" spans="1:9">
      <c r="A1486" t="s">
        <v>305</v>
      </c>
      <c r="B1486" t="s">
        <v>306</v>
      </c>
      <c r="C1486" t="s">
        <v>269</v>
      </c>
      <c r="D1486" t="s">
        <v>307</v>
      </c>
      <c r="E1486" t="s">
        <v>30</v>
      </c>
      <c r="F1486">
        <v>2018</v>
      </c>
      <c r="G1486">
        <v>11374983.560000001</v>
      </c>
      <c r="H1486">
        <v>11374983.560000001</v>
      </c>
      <c r="I1486">
        <v>1</v>
      </c>
    </row>
    <row r="1487" spans="1:9">
      <c r="A1487" t="s">
        <v>305</v>
      </c>
      <c r="B1487" t="s">
        <v>306</v>
      </c>
      <c r="C1487" t="s">
        <v>269</v>
      </c>
      <c r="D1487" t="s">
        <v>307</v>
      </c>
      <c r="E1487" t="s">
        <v>30</v>
      </c>
      <c r="F1487">
        <v>2019</v>
      </c>
      <c r="G1487">
        <v>12098678.619999999</v>
      </c>
      <c r="H1487">
        <v>12098678.619999999</v>
      </c>
      <c r="I1487">
        <v>1</v>
      </c>
    </row>
    <row r="1488" spans="1:9">
      <c r="A1488" t="s">
        <v>305</v>
      </c>
      <c r="B1488" t="s">
        <v>306</v>
      </c>
      <c r="C1488" t="s">
        <v>269</v>
      </c>
      <c r="D1488" t="s">
        <v>307</v>
      </c>
      <c r="E1488" t="s">
        <v>30</v>
      </c>
      <c r="F1488">
        <v>2020</v>
      </c>
      <c r="G1488">
        <v>12852597.77</v>
      </c>
      <c r="H1488">
        <v>12852597.77</v>
      </c>
      <c r="I1488">
        <v>1</v>
      </c>
    </row>
    <row r="1489" spans="1:9">
      <c r="A1489" t="s">
        <v>305</v>
      </c>
      <c r="B1489" t="s">
        <v>306</v>
      </c>
      <c r="C1489" t="s">
        <v>269</v>
      </c>
      <c r="D1489" t="s">
        <v>307</v>
      </c>
      <c r="E1489" t="s">
        <v>30</v>
      </c>
      <c r="F1489">
        <v>2021</v>
      </c>
      <c r="G1489">
        <v>13577640.710000001</v>
      </c>
      <c r="H1489">
        <v>13577640.710000001</v>
      </c>
      <c r="I1489">
        <v>1</v>
      </c>
    </row>
    <row r="1490" spans="1:9">
      <c r="A1490" t="s">
        <v>305</v>
      </c>
      <c r="B1490" t="s">
        <v>306</v>
      </c>
      <c r="C1490" t="s">
        <v>269</v>
      </c>
      <c r="D1490" t="s">
        <v>307</v>
      </c>
      <c r="E1490" t="s">
        <v>30</v>
      </c>
      <c r="F1490">
        <v>2022</v>
      </c>
      <c r="G1490">
        <v>14392541.310000001</v>
      </c>
      <c r="H1490">
        <v>14392541.310000001</v>
      </c>
      <c r="I1490">
        <v>1</v>
      </c>
    </row>
    <row r="1491" spans="1:9">
      <c r="A1491" t="s">
        <v>305</v>
      </c>
      <c r="B1491" t="s">
        <v>306</v>
      </c>
      <c r="C1491" t="s">
        <v>269</v>
      </c>
      <c r="D1491" t="s">
        <v>307</v>
      </c>
      <c r="E1491" t="s">
        <v>30</v>
      </c>
      <c r="F1491">
        <v>2023</v>
      </c>
      <c r="G1491">
        <v>15240010</v>
      </c>
      <c r="H1491">
        <v>15240010</v>
      </c>
      <c r="I1491">
        <v>1</v>
      </c>
    </row>
    <row r="1492" spans="1:9">
      <c r="A1492" t="s">
        <v>305</v>
      </c>
      <c r="B1492" t="s">
        <v>306</v>
      </c>
      <c r="C1492" t="s">
        <v>269</v>
      </c>
      <c r="D1492" t="s">
        <v>307</v>
      </c>
      <c r="E1492" t="s">
        <v>30</v>
      </c>
      <c r="F1492">
        <v>2024</v>
      </c>
      <c r="G1492">
        <v>15990974.109999999</v>
      </c>
      <c r="H1492">
        <v>15990974.109999999</v>
      </c>
      <c r="I1492">
        <v>1</v>
      </c>
    </row>
    <row r="1493" spans="1:9">
      <c r="A1493" t="s">
        <v>305</v>
      </c>
      <c r="B1493" t="s">
        <v>306</v>
      </c>
      <c r="C1493" t="s">
        <v>269</v>
      </c>
      <c r="D1493" t="s">
        <v>307</v>
      </c>
      <c r="E1493" t="s">
        <v>30</v>
      </c>
      <c r="F1493">
        <v>2025</v>
      </c>
      <c r="G1493">
        <v>16969525.73</v>
      </c>
      <c r="H1493">
        <v>16969525.73</v>
      </c>
      <c r="I1493">
        <v>1</v>
      </c>
    </row>
    <row r="1494" spans="1:9">
      <c r="A1494" t="s">
        <v>305</v>
      </c>
      <c r="B1494" t="s">
        <v>306</v>
      </c>
      <c r="C1494" t="s">
        <v>269</v>
      </c>
      <c r="D1494" t="s">
        <v>307</v>
      </c>
      <c r="E1494" t="s">
        <v>30</v>
      </c>
      <c r="F1494">
        <v>2026</v>
      </c>
      <c r="G1494">
        <v>17849502.219999999</v>
      </c>
      <c r="H1494">
        <v>17849502.219999999</v>
      </c>
      <c r="I1494">
        <v>1</v>
      </c>
    </row>
    <row r="1495" spans="1:9">
      <c r="A1495" t="s">
        <v>305</v>
      </c>
      <c r="B1495" t="s">
        <v>306</v>
      </c>
      <c r="C1495" t="s">
        <v>269</v>
      </c>
      <c r="D1495" t="s">
        <v>307</v>
      </c>
      <c r="E1495" t="s">
        <v>30</v>
      </c>
      <c r="F1495">
        <v>2027</v>
      </c>
      <c r="G1495">
        <v>18479320.600000001</v>
      </c>
      <c r="H1495">
        <v>18479320.600000001</v>
      </c>
      <c r="I1495">
        <v>1</v>
      </c>
    </row>
    <row r="1496" spans="1:9">
      <c r="A1496" t="s">
        <v>305</v>
      </c>
      <c r="B1496" t="s">
        <v>306</v>
      </c>
      <c r="C1496" t="s">
        <v>269</v>
      </c>
      <c r="D1496" t="s">
        <v>307</v>
      </c>
      <c r="E1496" t="s">
        <v>30</v>
      </c>
      <c r="F1496">
        <v>2028</v>
      </c>
      <c r="G1496">
        <v>19705940.760000002</v>
      </c>
      <c r="H1496">
        <v>19705940.760000002</v>
      </c>
      <c r="I1496">
        <v>1</v>
      </c>
    </row>
    <row r="1497" spans="1:9">
      <c r="A1497" t="s">
        <v>305</v>
      </c>
      <c r="B1497" t="s">
        <v>306</v>
      </c>
      <c r="C1497" t="s">
        <v>269</v>
      </c>
      <c r="D1497" t="s">
        <v>307</v>
      </c>
      <c r="E1497" t="s">
        <v>30</v>
      </c>
      <c r="F1497">
        <v>2029</v>
      </c>
      <c r="G1497">
        <v>20311512.859999999</v>
      </c>
      <c r="H1497">
        <v>20311512.859999999</v>
      </c>
      <c r="I1497">
        <v>1</v>
      </c>
    </row>
    <row r="1498" spans="1:9">
      <c r="A1498" t="s">
        <v>305</v>
      </c>
      <c r="B1498" t="s">
        <v>306</v>
      </c>
      <c r="C1498" t="s">
        <v>269</v>
      </c>
      <c r="D1498" t="s">
        <v>307</v>
      </c>
      <c r="E1498" t="s">
        <v>30</v>
      </c>
      <c r="F1498">
        <v>2030</v>
      </c>
      <c r="G1498">
        <v>21159937.32</v>
      </c>
      <c r="H1498">
        <v>21159937.32</v>
      </c>
      <c r="I1498">
        <v>1</v>
      </c>
    </row>
    <row r="1499" spans="1:9">
      <c r="A1499" t="s">
        <v>305</v>
      </c>
      <c r="B1499" t="s">
        <v>306</v>
      </c>
      <c r="C1499" t="s">
        <v>269</v>
      </c>
      <c r="D1499" t="s">
        <v>307</v>
      </c>
      <c r="E1499" t="s">
        <v>30</v>
      </c>
      <c r="F1499">
        <v>2031</v>
      </c>
      <c r="G1499">
        <v>22034156.300000001</v>
      </c>
      <c r="H1499">
        <v>22034156.300000001</v>
      </c>
      <c r="I1499">
        <v>1</v>
      </c>
    </row>
    <row r="1500" spans="1:9">
      <c r="A1500" t="s">
        <v>305</v>
      </c>
      <c r="B1500" t="s">
        <v>306</v>
      </c>
      <c r="C1500" t="s">
        <v>269</v>
      </c>
      <c r="D1500" t="s">
        <v>307</v>
      </c>
      <c r="E1500" t="s">
        <v>30</v>
      </c>
      <c r="F1500">
        <v>2032</v>
      </c>
      <c r="G1500">
        <v>23256237.550000001</v>
      </c>
      <c r="H1500">
        <v>23256237.550000001</v>
      </c>
      <c r="I1500">
        <v>1</v>
      </c>
    </row>
    <row r="1501" spans="1:9">
      <c r="A1501" t="s">
        <v>305</v>
      </c>
      <c r="B1501" t="s">
        <v>306</v>
      </c>
      <c r="C1501" t="s">
        <v>269</v>
      </c>
      <c r="D1501" t="s">
        <v>307</v>
      </c>
      <c r="E1501" t="s">
        <v>30</v>
      </c>
      <c r="F1501">
        <v>2033</v>
      </c>
      <c r="G1501">
        <v>24190743.649999999</v>
      </c>
      <c r="H1501">
        <v>24190743.649999999</v>
      </c>
      <c r="I1501">
        <v>1</v>
      </c>
    </row>
    <row r="1502" spans="1:9">
      <c r="A1502" t="s">
        <v>305</v>
      </c>
      <c r="B1502" t="s">
        <v>306</v>
      </c>
      <c r="C1502" t="s">
        <v>269</v>
      </c>
      <c r="D1502" t="s">
        <v>307</v>
      </c>
      <c r="E1502" t="s">
        <v>30</v>
      </c>
      <c r="F1502">
        <v>2034</v>
      </c>
      <c r="G1502">
        <v>24981794.510000002</v>
      </c>
      <c r="H1502">
        <v>24981794.510000002</v>
      </c>
      <c r="I1502">
        <v>1</v>
      </c>
    </row>
    <row r="1503" spans="1:9">
      <c r="A1503" t="s">
        <v>305</v>
      </c>
      <c r="B1503" t="s">
        <v>306</v>
      </c>
      <c r="C1503" t="s">
        <v>269</v>
      </c>
      <c r="D1503" t="s">
        <v>307</v>
      </c>
      <c r="E1503" t="s">
        <v>30</v>
      </c>
      <c r="F1503">
        <v>2035</v>
      </c>
      <c r="G1503">
        <v>26050552.559999999</v>
      </c>
      <c r="H1503">
        <v>26050552.559999999</v>
      </c>
      <c r="I1503">
        <v>1</v>
      </c>
    </row>
    <row r="1504" spans="1:9">
      <c r="A1504" t="s">
        <v>305</v>
      </c>
      <c r="B1504" t="s">
        <v>306</v>
      </c>
      <c r="C1504" t="s">
        <v>269</v>
      </c>
      <c r="D1504" t="s">
        <v>307</v>
      </c>
      <c r="E1504" t="s">
        <v>30</v>
      </c>
      <c r="F1504">
        <v>2036</v>
      </c>
      <c r="G1504">
        <v>26704370.52</v>
      </c>
      <c r="H1504">
        <v>26704370.52</v>
      </c>
      <c r="I1504">
        <v>1</v>
      </c>
    </row>
    <row r="1505" spans="1:9">
      <c r="A1505" t="s">
        <v>305</v>
      </c>
      <c r="B1505" t="s">
        <v>306</v>
      </c>
      <c r="C1505" t="s">
        <v>269</v>
      </c>
      <c r="D1505" t="s">
        <v>307</v>
      </c>
      <c r="E1505" t="s">
        <v>30</v>
      </c>
      <c r="F1505">
        <v>2037</v>
      </c>
      <c r="G1505">
        <v>28141815.469999999</v>
      </c>
      <c r="H1505">
        <v>28141815.469999999</v>
      </c>
      <c r="I1505">
        <v>1</v>
      </c>
    </row>
    <row r="1506" spans="1:9">
      <c r="A1506" t="s">
        <v>305</v>
      </c>
      <c r="B1506" t="s">
        <v>306</v>
      </c>
      <c r="C1506" t="s">
        <v>269</v>
      </c>
      <c r="D1506" t="s">
        <v>307</v>
      </c>
      <c r="E1506" t="s">
        <v>30</v>
      </c>
      <c r="F1506">
        <v>2038</v>
      </c>
      <c r="G1506">
        <v>28597181.84</v>
      </c>
      <c r="H1506">
        <v>28597181.84</v>
      </c>
      <c r="I1506">
        <v>1</v>
      </c>
    </row>
    <row r="1507" spans="1:9">
      <c r="A1507" t="s">
        <v>305</v>
      </c>
      <c r="B1507" t="s">
        <v>306</v>
      </c>
      <c r="C1507" t="s">
        <v>269</v>
      </c>
      <c r="D1507" t="s">
        <v>307</v>
      </c>
      <c r="E1507" t="s">
        <v>30</v>
      </c>
      <c r="F1507">
        <v>2039</v>
      </c>
      <c r="G1507">
        <v>29671297.34</v>
      </c>
      <c r="H1507">
        <v>29671297.34</v>
      </c>
      <c r="I1507">
        <v>1</v>
      </c>
    </row>
    <row r="1508" spans="1:9">
      <c r="A1508" t="s">
        <v>305</v>
      </c>
      <c r="B1508" t="s">
        <v>306</v>
      </c>
      <c r="C1508" t="s">
        <v>269</v>
      </c>
      <c r="D1508" t="s">
        <v>307</v>
      </c>
      <c r="E1508" t="s">
        <v>30</v>
      </c>
      <c r="F1508">
        <v>2040</v>
      </c>
      <c r="G1508">
        <v>30379257.050000001</v>
      </c>
      <c r="H1508">
        <v>30379257.050000001</v>
      </c>
      <c r="I1508">
        <v>1</v>
      </c>
    </row>
    <row r="1509" spans="1:9">
      <c r="A1509" t="s">
        <v>305</v>
      </c>
      <c r="B1509" t="s">
        <v>306</v>
      </c>
      <c r="C1509" t="s">
        <v>269</v>
      </c>
      <c r="D1509" t="s">
        <v>307</v>
      </c>
      <c r="E1509" t="s">
        <v>30</v>
      </c>
      <c r="F1509">
        <v>2041</v>
      </c>
      <c r="G1509">
        <v>31696442</v>
      </c>
      <c r="H1509">
        <v>31696442</v>
      </c>
      <c r="I1509">
        <v>1</v>
      </c>
    </row>
    <row r="1510" spans="1:9">
      <c r="A1510" t="s">
        <v>305</v>
      </c>
      <c r="B1510" t="s">
        <v>306</v>
      </c>
      <c r="C1510" t="s">
        <v>269</v>
      </c>
      <c r="D1510" t="s">
        <v>307</v>
      </c>
      <c r="E1510" t="s">
        <v>30</v>
      </c>
      <c r="F1510">
        <v>2042</v>
      </c>
      <c r="G1510">
        <v>32124984.620000001</v>
      </c>
      <c r="H1510">
        <v>32124984.620000001</v>
      </c>
      <c r="I1510">
        <v>1</v>
      </c>
    </row>
    <row r="1511" spans="1:9">
      <c r="A1511" t="s">
        <v>305</v>
      </c>
      <c r="B1511" t="s">
        <v>306</v>
      </c>
      <c r="C1511" t="s">
        <v>269</v>
      </c>
      <c r="D1511" t="s">
        <v>307</v>
      </c>
      <c r="E1511" t="s">
        <v>30</v>
      </c>
      <c r="F1511">
        <v>2043</v>
      </c>
      <c r="G1511">
        <v>32913785.030000001</v>
      </c>
      <c r="H1511">
        <v>32913785.030000001</v>
      </c>
      <c r="I1511">
        <v>1</v>
      </c>
    </row>
    <row r="1512" spans="1:9">
      <c r="A1512" t="s">
        <v>305</v>
      </c>
      <c r="B1512" t="s">
        <v>306</v>
      </c>
      <c r="C1512" t="s">
        <v>269</v>
      </c>
      <c r="D1512" t="s">
        <v>307</v>
      </c>
      <c r="E1512" t="s">
        <v>30</v>
      </c>
      <c r="F1512">
        <v>2044</v>
      </c>
      <c r="G1512">
        <v>34033534.57</v>
      </c>
      <c r="H1512">
        <v>34033534.57</v>
      </c>
      <c r="I1512">
        <v>1</v>
      </c>
    </row>
    <row r="1513" spans="1:9">
      <c r="A1513" t="s">
        <v>305</v>
      </c>
      <c r="B1513" t="s">
        <v>306</v>
      </c>
      <c r="C1513" t="s">
        <v>269</v>
      </c>
      <c r="D1513" t="s">
        <v>307</v>
      </c>
      <c r="E1513" t="s">
        <v>30</v>
      </c>
      <c r="F1513">
        <v>2045</v>
      </c>
      <c r="G1513">
        <v>34627467.960000001</v>
      </c>
      <c r="H1513">
        <v>34627467.960000001</v>
      </c>
      <c r="I1513">
        <v>1</v>
      </c>
    </row>
    <row r="1514" spans="1:9">
      <c r="A1514" t="s">
        <v>305</v>
      </c>
      <c r="B1514" t="s">
        <v>306</v>
      </c>
      <c r="C1514" t="s">
        <v>269</v>
      </c>
      <c r="D1514" t="s">
        <v>307</v>
      </c>
      <c r="E1514" t="s">
        <v>30</v>
      </c>
      <c r="F1514">
        <v>2046</v>
      </c>
      <c r="G1514">
        <v>35220118.100000001</v>
      </c>
      <c r="H1514">
        <v>35220118.100000001</v>
      </c>
      <c r="I1514">
        <v>1</v>
      </c>
    </row>
    <row r="1515" spans="1:9">
      <c r="A1515" t="s">
        <v>305</v>
      </c>
      <c r="B1515" t="s">
        <v>306</v>
      </c>
      <c r="C1515" t="s">
        <v>269</v>
      </c>
      <c r="D1515" t="s">
        <v>307</v>
      </c>
      <c r="E1515" t="s">
        <v>30</v>
      </c>
      <c r="F1515">
        <v>2047</v>
      </c>
      <c r="G1515">
        <v>35983108.710000001</v>
      </c>
      <c r="H1515">
        <v>35983108.710000001</v>
      </c>
      <c r="I1515">
        <v>1</v>
      </c>
    </row>
    <row r="1516" spans="1:9">
      <c r="A1516" t="s">
        <v>305</v>
      </c>
      <c r="B1516" t="s">
        <v>306</v>
      </c>
      <c r="C1516" t="s">
        <v>269</v>
      </c>
      <c r="D1516" t="s">
        <v>307</v>
      </c>
      <c r="E1516" t="s">
        <v>30</v>
      </c>
      <c r="F1516">
        <v>2048</v>
      </c>
      <c r="G1516">
        <v>36634740.200000003</v>
      </c>
      <c r="H1516">
        <v>36634740.200000003</v>
      </c>
      <c r="I1516">
        <v>1</v>
      </c>
    </row>
    <row r="1517" spans="1:9">
      <c r="A1517" t="s">
        <v>305</v>
      </c>
      <c r="B1517" t="s">
        <v>306</v>
      </c>
      <c r="C1517" t="s">
        <v>269</v>
      </c>
      <c r="D1517" t="s">
        <v>307</v>
      </c>
      <c r="E1517" t="s">
        <v>30</v>
      </c>
      <c r="F1517">
        <v>2049</v>
      </c>
      <c r="G1517">
        <v>37406715.390000001</v>
      </c>
      <c r="H1517">
        <v>37406715.390000001</v>
      </c>
      <c r="I1517">
        <v>1</v>
      </c>
    </row>
    <row r="1518" spans="1:9">
      <c r="A1518" t="s">
        <v>305</v>
      </c>
      <c r="B1518" t="s">
        <v>306</v>
      </c>
      <c r="C1518" t="s">
        <v>269</v>
      </c>
      <c r="D1518" t="s">
        <v>307</v>
      </c>
      <c r="E1518" t="s">
        <v>30</v>
      </c>
      <c r="F1518">
        <v>2050</v>
      </c>
      <c r="G1518">
        <v>38062407.990000002</v>
      </c>
      <c r="H1518">
        <v>38062407.990000002</v>
      </c>
      <c r="I1518">
        <v>1</v>
      </c>
    </row>
    <row r="1519" spans="1:9">
      <c r="A1519" t="s">
        <v>305</v>
      </c>
      <c r="B1519" t="s">
        <v>306</v>
      </c>
      <c r="C1519" t="s">
        <v>269</v>
      </c>
      <c r="D1519" t="s">
        <v>25</v>
      </c>
      <c r="E1519" t="s">
        <v>46</v>
      </c>
      <c r="F1519">
        <v>2010</v>
      </c>
      <c r="G1519">
        <v>30751.018260000001</v>
      </c>
      <c r="H1519">
        <v>30751.018260000001</v>
      </c>
      <c r="I1519">
        <v>1</v>
      </c>
    </row>
    <row r="1520" spans="1:9">
      <c r="A1520" t="s">
        <v>305</v>
      </c>
      <c r="B1520" t="s">
        <v>306</v>
      </c>
      <c r="C1520" t="s">
        <v>269</v>
      </c>
      <c r="D1520" t="s">
        <v>25</v>
      </c>
      <c r="E1520" t="s">
        <v>46</v>
      </c>
      <c r="F1520">
        <v>2011</v>
      </c>
      <c r="G1520">
        <v>37113.702949999999</v>
      </c>
      <c r="H1520">
        <v>37113.702949999999</v>
      </c>
      <c r="I1520">
        <v>1</v>
      </c>
    </row>
    <row r="1521" spans="1:9">
      <c r="A1521" t="s">
        <v>305</v>
      </c>
      <c r="B1521" t="s">
        <v>306</v>
      </c>
      <c r="C1521" t="s">
        <v>269</v>
      </c>
      <c r="D1521" t="s">
        <v>25</v>
      </c>
      <c r="E1521" t="s">
        <v>46</v>
      </c>
      <c r="F1521">
        <v>2012</v>
      </c>
      <c r="G1521">
        <v>43990.168810000003</v>
      </c>
      <c r="H1521">
        <v>43990.168810000003</v>
      </c>
      <c r="I1521">
        <v>1</v>
      </c>
    </row>
    <row r="1522" spans="1:9">
      <c r="A1522" t="s">
        <v>305</v>
      </c>
      <c r="B1522" t="s">
        <v>306</v>
      </c>
      <c r="C1522" t="s">
        <v>269</v>
      </c>
      <c r="D1522" t="s">
        <v>25</v>
      </c>
      <c r="E1522" t="s">
        <v>46</v>
      </c>
      <c r="F1522">
        <v>2013</v>
      </c>
      <c r="G1522">
        <v>51407.520140000001</v>
      </c>
      <c r="H1522">
        <v>51407.520140000001</v>
      </c>
      <c r="I1522">
        <v>1</v>
      </c>
    </row>
    <row r="1523" spans="1:9">
      <c r="A1523" t="s">
        <v>305</v>
      </c>
      <c r="B1523" t="s">
        <v>306</v>
      </c>
      <c r="C1523" t="s">
        <v>269</v>
      </c>
      <c r="D1523" t="s">
        <v>25</v>
      </c>
      <c r="E1523" t="s">
        <v>46</v>
      </c>
      <c r="F1523">
        <v>2014</v>
      </c>
      <c r="G1523">
        <v>59399.416120000002</v>
      </c>
      <c r="H1523">
        <v>59399.416120000002</v>
      </c>
      <c r="I1523">
        <v>1</v>
      </c>
    </row>
    <row r="1524" spans="1:9">
      <c r="A1524" t="s">
        <v>305</v>
      </c>
      <c r="B1524" t="s">
        <v>306</v>
      </c>
      <c r="C1524" t="s">
        <v>269</v>
      </c>
      <c r="D1524" t="s">
        <v>25</v>
      </c>
      <c r="E1524" t="s">
        <v>46</v>
      </c>
      <c r="F1524">
        <v>2015</v>
      </c>
      <c r="G1524">
        <v>70953.069270000007</v>
      </c>
      <c r="H1524">
        <v>70953.069270000007</v>
      </c>
      <c r="I1524">
        <v>1</v>
      </c>
    </row>
    <row r="1525" spans="1:9">
      <c r="A1525" t="s">
        <v>305</v>
      </c>
      <c r="B1525" t="s">
        <v>306</v>
      </c>
      <c r="C1525" t="s">
        <v>269</v>
      </c>
      <c r="D1525" t="s">
        <v>25</v>
      </c>
      <c r="E1525" t="s">
        <v>46</v>
      </c>
      <c r="F1525">
        <v>2016</v>
      </c>
      <c r="G1525">
        <v>77234.075280000005</v>
      </c>
      <c r="H1525">
        <v>77234.075280000005</v>
      </c>
      <c r="I1525">
        <v>1</v>
      </c>
    </row>
    <row r="1526" spans="1:9">
      <c r="A1526" t="s">
        <v>305</v>
      </c>
      <c r="B1526" t="s">
        <v>306</v>
      </c>
      <c r="C1526" t="s">
        <v>269</v>
      </c>
      <c r="D1526" t="s">
        <v>25</v>
      </c>
      <c r="E1526" t="s">
        <v>46</v>
      </c>
      <c r="F1526">
        <v>2017</v>
      </c>
      <c r="G1526">
        <v>90368.167910000004</v>
      </c>
      <c r="H1526">
        <v>90368.167910000004</v>
      </c>
      <c r="I1526">
        <v>1</v>
      </c>
    </row>
    <row r="1527" spans="1:9">
      <c r="A1527" t="s">
        <v>305</v>
      </c>
      <c r="B1527" t="s">
        <v>306</v>
      </c>
      <c r="C1527" t="s">
        <v>269</v>
      </c>
      <c r="D1527" t="s">
        <v>25</v>
      </c>
      <c r="E1527" t="s">
        <v>46</v>
      </c>
      <c r="F1527">
        <v>2018</v>
      </c>
      <c r="G1527">
        <v>101126.8432</v>
      </c>
      <c r="H1527">
        <v>101126.8432</v>
      </c>
      <c r="I1527">
        <v>1</v>
      </c>
    </row>
    <row r="1528" spans="1:9">
      <c r="A1528" t="s">
        <v>305</v>
      </c>
      <c r="B1528" t="s">
        <v>306</v>
      </c>
      <c r="C1528" t="s">
        <v>269</v>
      </c>
      <c r="D1528" t="s">
        <v>25</v>
      </c>
      <c r="E1528" t="s">
        <v>46</v>
      </c>
      <c r="F1528">
        <v>2019</v>
      </c>
      <c r="G1528">
        <v>116163.4973</v>
      </c>
      <c r="H1528">
        <v>116163.4973</v>
      </c>
      <c r="I1528">
        <v>1</v>
      </c>
    </row>
    <row r="1529" spans="1:9">
      <c r="A1529" t="s">
        <v>305</v>
      </c>
      <c r="B1529" t="s">
        <v>306</v>
      </c>
      <c r="C1529" t="s">
        <v>269</v>
      </c>
      <c r="D1529" t="s">
        <v>25</v>
      </c>
      <c r="E1529" t="s">
        <v>46</v>
      </c>
      <c r="F1529">
        <v>2020</v>
      </c>
      <c r="G1529">
        <v>132307.30350000001</v>
      </c>
      <c r="H1529">
        <v>132307.30350000001</v>
      </c>
      <c r="I1529">
        <v>1</v>
      </c>
    </row>
    <row r="1530" spans="1:9">
      <c r="A1530" t="s">
        <v>305</v>
      </c>
      <c r="B1530" t="s">
        <v>306</v>
      </c>
      <c r="C1530" t="s">
        <v>269</v>
      </c>
      <c r="D1530" t="s">
        <v>25</v>
      </c>
      <c r="E1530" t="s">
        <v>46</v>
      </c>
      <c r="F1530">
        <v>2021</v>
      </c>
      <c r="G1530">
        <v>149616.2469</v>
      </c>
      <c r="H1530">
        <v>149616.2469</v>
      </c>
      <c r="I1530">
        <v>1</v>
      </c>
    </row>
    <row r="1531" spans="1:9">
      <c r="A1531" t="s">
        <v>305</v>
      </c>
      <c r="B1531" t="s">
        <v>306</v>
      </c>
      <c r="C1531" t="s">
        <v>269</v>
      </c>
      <c r="D1531" t="s">
        <v>25</v>
      </c>
      <c r="E1531" t="s">
        <v>46</v>
      </c>
      <c r="F1531">
        <v>2022</v>
      </c>
      <c r="G1531">
        <v>168150.9246</v>
      </c>
      <c r="H1531">
        <v>168150.9246</v>
      </c>
      <c r="I1531">
        <v>1</v>
      </c>
    </row>
    <row r="1532" spans="1:9">
      <c r="A1532" t="s">
        <v>305</v>
      </c>
      <c r="B1532" t="s">
        <v>306</v>
      </c>
      <c r="C1532" t="s">
        <v>269</v>
      </c>
      <c r="D1532" t="s">
        <v>25</v>
      </c>
      <c r="E1532" t="s">
        <v>46</v>
      </c>
      <c r="F1532">
        <v>2023</v>
      </c>
      <c r="G1532">
        <v>192151.71119999999</v>
      </c>
      <c r="H1532">
        <v>192151.71119999999</v>
      </c>
      <c r="I1532">
        <v>1</v>
      </c>
    </row>
    <row r="1533" spans="1:9">
      <c r="A1533" t="s">
        <v>305</v>
      </c>
      <c r="B1533" t="s">
        <v>306</v>
      </c>
      <c r="C1533" t="s">
        <v>269</v>
      </c>
      <c r="D1533" t="s">
        <v>25</v>
      </c>
      <c r="E1533" t="s">
        <v>46</v>
      </c>
      <c r="F1533">
        <v>2024</v>
      </c>
      <c r="G1533">
        <v>209152.9424</v>
      </c>
      <c r="H1533">
        <v>209152.9424</v>
      </c>
      <c r="I1533">
        <v>1</v>
      </c>
    </row>
    <row r="1534" spans="1:9">
      <c r="A1534" t="s">
        <v>305</v>
      </c>
      <c r="B1534" t="s">
        <v>306</v>
      </c>
      <c r="C1534" t="s">
        <v>269</v>
      </c>
      <c r="D1534" t="s">
        <v>25</v>
      </c>
      <c r="E1534" t="s">
        <v>46</v>
      </c>
      <c r="F1534">
        <v>2025</v>
      </c>
      <c r="G1534">
        <v>231753.4657</v>
      </c>
      <c r="H1534">
        <v>231753.4657</v>
      </c>
      <c r="I1534">
        <v>1</v>
      </c>
    </row>
    <row r="1535" spans="1:9">
      <c r="A1535" t="s">
        <v>305</v>
      </c>
      <c r="B1535" t="s">
        <v>306</v>
      </c>
      <c r="C1535" t="s">
        <v>269</v>
      </c>
      <c r="D1535" t="s">
        <v>25</v>
      </c>
      <c r="E1535" t="s">
        <v>46</v>
      </c>
      <c r="F1535">
        <v>2026</v>
      </c>
      <c r="G1535">
        <v>258212.03099999999</v>
      </c>
      <c r="H1535">
        <v>258212.03099999999</v>
      </c>
      <c r="I1535">
        <v>1</v>
      </c>
    </row>
    <row r="1536" spans="1:9">
      <c r="A1536" t="s">
        <v>305</v>
      </c>
      <c r="B1536" t="s">
        <v>306</v>
      </c>
      <c r="C1536" t="s">
        <v>269</v>
      </c>
      <c r="D1536" t="s">
        <v>25</v>
      </c>
      <c r="E1536" t="s">
        <v>46</v>
      </c>
      <c r="F1536">
        <v>2027</v>
      </c>
      <c r="G1536">
        <v>291365.80050000001</v>
      </c>
      <c r="H1536">
        <v>291365.80050000001</v>
      </c>
      <c r="I1536">
        <v>1</v>
      </c>
    </row>
    <row r="1537" spans="1:9">
      <c r="A1537" t="s">
        <v>305</v>
      </c>
      <c r="B1537" t="s">
        <v>306</v>
      </c>
      <c r="C1537" t="s">
        <v>269</v>
      </c>
      <c r="D1537" t="s">
        <v>25</v>
      </c>
      <c r="E1537" t="s">
        <v>46</v>
      </c>
      <c r="F1537">
        <v>2028</v>
      </c>
      <c r="G1537">
        <v>319051.97820000001</v>
      </c>
      <c r="H1537">
        <v>319051.97820000001</v>
      </c>
      <c r="I1537">
        <v>1</v>
      </c>
    </row>
    <row r="1538" spans="1:9">
      <c r="A1538" t="s">
        <v>305</v>
      </c>
      <c r="B1538" t="s">
        <v>306</v>
      </c>
      <c r="C1538" t="s">
        <v>269</v>
      </c>
      <c r="D1538" t="s">
        <v>25</v>
      </c>
      <c r="E1538" t="s">
        <v>46</v>
      </c>
      <c r="F1538">
        <v>2029</v>
      </c>
      <c r="G1538">
        <v>353807.59499999997</v>
      </c>
      <c r="H1538">
        <v>353807.59499999997</v>
      </c>
      <c r="I1538">
        <v>1</v>
      </c>
    </row>
    <row r="1539" spans="1:9">
      <c r="A1539" t="s">
        <v>305</v>
      </c>
      <c r="B1539" t="s">
        <v>306</v>
      </c>
      <c r="C1539" t="s">
        <v>269</v>
      </c>
      <c r="D1539" t="s">
        <v>25</v>
      </c>
      <c r="E1539" t="s">
        <v>46</v>
      </c>
      <c r="F1539">
        <v>2030</v>
      </c>
      <c r="G1539">
        <v>385202.66570000001</v>
      </c>
      <c r="H1539">
        <v>385202.66570000001</v>
      </c>
      <c r="I1539">
        <v>1</v>
      </c>
    </row>
    <row r="1540" spans="1:9">
      <c r="A1540" t="s">
        <v>305</v>
      </c>
      <c r="B1540" t="s">
        <v>306</v>
      </c>
      <c r="C1540" t="s">
        <v>269</v>
      </c>
      <c r="D1540" t="s">
        <v>25</v>
      </c>
      <c r="E1540" t="s">
        <v>46</v>
      </c>
      <c r="F1540">
        <v>2031</v>
      </c>
      <c r="G1540">
        <v>430077.42389999999</v>
      </c>
      <c r="H1540">
        <v>430077.42389999999</v>
      </c>
      <c r="I1540">
        <v>1</v>
      </c>
    </row>
    <row r="1541" spans="1:9">
      <c r="A1541" t="s">
        <v>305</v>
      </c>
      <c r="B1541" t="s">
        <v>306</v>
      </c>
      <c r="C1541" t="s">
        <v>269</v>
      </c>
      <c r="D1541" t="s">
        <v>25</v>
      </c>
      <c r="E1541" t="s">
        <v>46</v>
      </c>
      <c r="F1541">
        <v>2032</v>
      </c>
      <c r="G1541">
        <v>465726.4999</v>
      </c>
      <c r="H1541">
        <v>465726.4999</v>
      </c>
      <c r="I1541">
        <v>1</v>
      </c>
    </row>
    <row r="1542" spans="1:9">
      <c r="A1542" t="s">
        <v>305</v>
      </c>
      <c r="B1542" t="s">
        <v>306</v>
      </c>
      <c r="C1542" t="s">
        <v>269</v>
      </c>
      <c r="D1542" t="s">
        <v>25</v>
      </c>
      <c r="E1542" t="s">
        <v>46</v>
      </c>
      <c r="F1542">
        <v>2033</v>
      </c>
      <c r="G1542">
        <v>503379.82640000002</v>
      </c>
      <c r="H1542">
        <v>503379.82640000002</v>
      </c>
      <c r="I1542">
        <v>1</v>
      </c>
    </row>
    <row r="1543" spans="1:9">
      <c r="A1543" t="s">
        <v>305</v>
      </c>
      <c r="B1543" t="s">
        <v>306</v>
      </c>
      <c r="C1543" t="s">
        <v>269</v>
      </c>
      <c r="D1543" t="s">
        <v>25</v>
      </c>
      <c r="E1543" t="s">
        <v>46</v>
      </c>
      <c r="F1543">
        <v>2034</v>
      </c>
      <c r="G1543">
        <v>549641.75890000002</v>
      </c>
      <c r="H1543">
        <v>549641.75890000002</v>
      </c>
      <c r="I1543">
        <v>1</v>
      </c>
    </row>
    <row r="1544" spans="1:9">
      <c r="A1544" t="s">
        <v>305</v>
      </c>
      <c r="B1544" t="s">
        <v>306</v>
      </c>
      <c r="C1544" t="s">
        <v>269</v>
      </c>
      <c r="D1544" t="s">
        <v>25</v>
      </c>
      <c r="E1544" t="s">
        <v>46</v>
      </c>
      <c r="F1544">
        <v>2035</v>
      </c>
      <c r="G1544">
        <v>605348.03130000003</v>
      </c>
      <c r="H1544">
        <v>605348.03130000003</v>
      </c>
      <c r="I1544">
        <v>1</v>
      </c>
    </row>
    <row r="1545" spans="1:9">
      <c r="A1545" t="s">
        <v>305</v>
      </c>
      <c r="B1545" t="s">
        <v>306</v>
      </c>
      <c r="C1545" t="s">
        <v>269</v>
      </c>
      <c r="D1545" t="s">
        <v>25</v>
      </c>
      <c r="E1545" t="s">
        <v>46</v>
      </c>
      <c r="F1545">
        <v>2036</v>
      </c>
      <c r="G1545">
        <v>639576.7953</v>
      </c>
      <c r="H1545">
        <v>639576.7953</v>
      </c>
      <c r="I1545">
        <v>1</v>
      </c>
    </row>
    <row r="1546" spans="1:9">
      <c r="A1546" t="s">
        <v>305</v>
      </c>
      <c r="B1546" t="s">
        <v>306</v>
      </c>
      <c r="C1546" t="s">
        <v>269</v>
      </c>
      <c r="D1546" t="s">
        <v>25</v>
      </c>
      <c r="E1546" t="s">
        <v>46</v>
      </c>
      <c r="F1546">
        <v>2037</v>
      </c>
      <c r="G1546">
        <v>697279.48109999998</v>
      </c>
      <c r="H1546">
        <v>697279.48109999998</v>
      </c>
      <c r="I1546">
        <v>1</v>
      </c>
    </row>
    <row r="1547" spans="1:9">
      <c r="A1547" t="s">
        <v>305</v>
      </c>
      <c r="B1547" t="s">
        <v>306</v>
      </c>
      <c r="C1547" t="s">
        <v>269</v>
      </c>
      <c r="D1547" t="s">
        <v>25</v>
      </c>
      <c r="E1547" t="s">
        <v>46</v>
      </c>
      <c r="F1547">
        <v>2038</v>
      </c>
      <c r="G1547">
        <v>761952.05799999996</v>
      </c>
      <c r="H1547">
        <v>761952.05799999996</v>
      </c>
      <c r="I1547">
        <v>1</v>
      </c>
    </row>
    <row r="1548" spans="1:9">
      <c r="A1548" t="s">
        <v>305</v>
      </c>
      <c r="B1548" t="s">
        <v>306</v>
      </c>
      <c r="C1548" t="s">
        <v>269</v>
      </c>
      <c r="D1548" t="s">
        <v>25</v>
      </c>
      <c r="E1548" t="s">
        <v>46</v>
      </c>
      <c r="F1548">
        <v>2039</v>
      </c>
      <c r="G1548">
        <v>798534.85959999997</v>
      </c>
      <c r="H1548">
        <v>798534.85959999997</v>
      </c>
      <c r="I1548">
        <v>1</v>
      </c>
    </row>
    <row r="1549" spans="1:9">
      <c r="A1549" t="s">
        <v>305</v>
      </c>
      <c r="B1549" t="s">
        <v>306</v>
      </c>
      <c r="C1549" t="s">
        <v>269</v>
      </c>
      <c r="D1549" t="s">
        <v>25</v>
      </c>
      <c r="E1549" t="s">
        <v>46</v>
      </c>
      <c r="F1549">
        <v>2040</v>
      </c>
      <c r="G1549">
        <v>885598.11369999999</v>
      </c>
      <c r="H1549">
        <v>885598.11369999999</v>
      </c>
      <c r="I1549">
        <v>1</v>
      </c>
    </row>
    <row r="1550" spans="1:9">
      <c r="A1550" t="s">
        <v>305</v>
      </c>
      <c r="B1550" t="s">
        <v>306</v>
      </c>
      <c r="C1550" t="s">
        <v>269</v>
      </c>
      <c r="D1550" t="s">
        <v>25</v>
      </c>
      <c r="E1550" t="s">
        <v>46</v>
      </c>
      <c r="F1550">
        <v>2041</v>
      </c>
      <c r="G1550">
        <v>901050.90769999998</v>
      </c>
      <c r="H1550">
        <v>901050.90769999998</v>
      </c>
      <c r="I1550">
        <v>1</v>
      </c>
    </row>
    <row r="1551" spans="1:9">
      <c r="A1551" t="s">
        <v>305</v>
      </c>
      <c r="B1551" t="s">
        <v>306</v>
      </c>
      <c r="C1551" t="s">
        <v>269</v>
      </c>
      <c r="D1551" t="s">
        <v>25</v>
      </c>
      <c r="E1551" t="s">
        <v>46</v>
      </c>
      <c r="F1551">
        <v>2042</v>
      </c>
      <c r="G1551">
        <v>977642.99199999997</v>
      </c>
      <c r="H1551">
        <v>977642.99199999997</v>
      </c>
      <c r="I1551">
        <v>1</v>
      </c>
    </row>
    <row r="1552" spans="1:9">
      <c r="A1552" t="s">
        <v>305</v>
      </c>
      <c r="B1552" t="s">
        <v>306</v>
      </c>
      <c r="C1552" t="s">
        <v>269</v>
      </c>
      <c r="D1552" t="s">
        <v>25</v>
      </c>
      <c r="E1552" t="s">
        <v>46</v>
      </c>
      <c r="F1552">
        <v>2043</v>
      </c>
      <c r="G1552">
        <v>1030677.032</v>
      </c>
      <c r="H1552">
        <v>1030677.032</v>
      </c>
      <c r="I1552">
        <v>1</v>
      </c>
    </row>
    <row r="1553" spans="1:9">
      <c r="A1553" t="s">
        <v>305</v>
      </c>
      <c r="B1553" t="s">
        <v>306</v>
      </c>
      <c r="C1553" t="s">
        <v>269</v>
      </c>
      <c r="D1553" t="s">
        <v>25</v>
      </c>
      <c r="E1553" t="s">
        <v>46</v>
      </c>
      <c r="F1553">
        <v>2044</v>
      </c>
      <c r="G1553">
        <v>1085630.5060000001</v>
      </c>
      <c r="H1553">
        <v>1085630.5060000001</v>
      </c>
      <c r="I1553">
        <v>1</v>
      </c>
    </row>
    <row r="1554" spans="1:9">
      <c r="A1554" t="s">
        <v>305</v>
      </c>
      <c r="B1554" t="s">
        <v>306</v>
      </c>
      <c r="C1554" t="s">
        <v>269</v>
      </c>
      <c r="D1554" t="s">
        <v>25</v>
      </c>
      <c r="E1554" t="s">
        <v>46</v>
      </c>
      <c r="F1554">
        <v>2045</v>
      </c>
      <c r="G1554">
        <v>1123159.9709999999</v>
      </c>
      <c r="H1554">
        <v>1123159.9709999999</v>
      </c>
      <c r="I1554">
        <v>1</v>
      </c>
    </row>
    <row r="1555" spans="1:9">
      <c r="A1555" t="s">
        <v>305</v>
      </c>
      <c r="B1555" t="s">
        <v>306</v>
      </c>
      <c r="C1555" t="s">
        <v>269</v>
      </c>
      <c r="D1555" t="s">
        <v>25</v>
      </c>
      <c r="E1555" t="s">
        <v>46</v>
      </c>
      <c r="F1555">
        <v>2046</v>
      </c>
      <c r="G1555">
        <v>1211948.1410000001</v>
      </c>
      <c r="H1555">
        <v>1211948.1410000001</v>
      </c>
      <c r="I1555">
        <v>1</v>
      </c>
    </row>
    <row r="1556" spans="1:9">
      <c r="A1556" t="s">
        <v>305</v>
      </c>
      <c r="B1556" t="s">
        <v>306</v>
      </c>
      <c r="C1556" t="s">
        <v>269</v>
      </c>
      <c r="D1556" t="s">
        <v>25</v>
      </c>
      <c r="E1556" t="s">
        <v>46</v>
      </c>
      <c r="F1556">
        <v>2047</v>
      </c>
      <c r="G1556">
        <v>1284009.74</v>
      </c>
      <c r="H1556">
        <v>1284009.74</v>
      </c>
      <c r="I1556">
        <v>1</v>
      </c>
    </row>
    <row r="1557" spans="1:9">
      <c r="A1557" t="s">
        <v>305</v>
      </c>
      <c r="B1557" t="s">
        <v>306</v>
      </c>
      <c r="C1557" t="s">
        <v>269</v>
      </c>
      <c r="D1557" t="s">
        <v>25</v>
      </c>
      <c r="E1557" t="s">
        <v>46</v>
      </c>
      <c r="F1557">
        <v>2048</v>
      </c>
      <c r="G1557">
        <v>1299618.709</v>
      </c>
      <c r="H1557">
        <v>1299618.709</v>
      </c>
      <c r="I1557">
        <v>1</v>
      </c>
    </row>
    <row r="1558" spans="1:9">
      <c r="A1558" t="s">
        <v>305</v>
      </c>
      <c r="B1558" t="s">
        <v>306</v>
      </c>
      <c r="C1558" t="s">
        <v>269</v>
      </c>
      <c r="D1558" t="s">
        <v>25</v>
      </c>
      <c r="E1558" t="s">
        <v>46</v>
      </c>
      <c r="F1558">
        <v>2049</v>
      </c>
      <c r="G1558">
        <v>1358828.6769999999</v>
      </c>
      <c r="H1558">
        <v>1358828.6769999999</v>
      </c>
      <c r="I1558">
        <v>1</v>
      </c>
    </row>
    <row r="1559" spans="1:9">
      <c r="A1559" t="s">
        <v>305</v>
      </c>
      <c r="B1559" t="s">
        <v>306</v>
      </c>
      <c r="C1559" t="s">
        <v>269</v>
      </c>
      <c r="D1559" t="s">
        <v>25</v>
      </c>
      <c r="E1559" t="s">
        <v>46</v>
      </c>
      <c r="F1559">
        <v>2050</v>
      </c>
      <c r="G1559">
        <v>1437157.9180000001</v>
      </c>
      <c r="H1559">
        <v>1437157.9180000001</v>
      </c>
      <c r="I1559">
        <v>1</v>
      </c>
    </row>
    <row r="1560" spans="1:9">
      <c r="A1560" t="s">
        <v>305</v>
      </c>
      <c r="B1560" t="s">
        <v>306</v>
      </c>
      <c r="C1560" t="s">
        <v>269</v>
      </c>
      <c r="D1560" t="s">
        <v>26</v>
      </c>
      <c r="E1560" t="s">
        <v>46</v>
      </c>
      <c r="F1560">
        <v>2010</v>
      </c>
      <c r="G1560">
        <v>10132.209000000001</v>
      </c>
      <c r="H1560">
        <v>10132.209000000001</v>
      </c>
      <c r="I1560">
        <v>1</v>
      </c>
    </row>
    <row r="1561" spans="1:9">
      <c r="A1561" t="s">
        <v>305</v>
      </c>
      <c r="B1561" t="s">
        <v>306</v>
      </c>
      <c r="C1561" t="s">
        <v>269</v>
      </c>
      <c r="D1561" t="s">
        <v>26</v>
      </c>
      <c r="E1561" t="s">
        <v>46</v>
      </c>
      <c r="F1561">
        <v>2011</v>
      </c>
      <c r="G1561">
        <v>10354.98661</v>
      </c>
      <c r="H1561">
        <v>10354.98661</v>
      </c>
      <c r="I1561">
        <v>1</v>
      </c>
    </row>
    <row r="1562" spans="1:9">
      <c r="A1562" t="s">
        <v>305</v>
      </c>
      <c r="B1562" t="s">
        <v>306</v>
      </c>
      <c r="C1562" t="s">
        <v>269</v>
      </c>
      <c r="D1562" t="s">
        <v>26</v>
      </c>
      <c r="E1562" t="s">
        <v>46</v>
      </c>
      <c r="F1562">
        <v>2012</v>
      </c>
      <c r="G1562">
        <v>10580.785159999999</v>
      </c>
      <c r="H1562">
        <v>10580.785159999999</v>
      </c>
      <c r="I1562">
        <v>1</v>
      </c>
    </row>
    <row r="1563" spans="1:9">
      <c r="A1563" t="s">
        <v>305</v>
      </c>
      <c r="B1563" t="s">
        <v>306</v>
      </c>
      <c r="C1563" t="s">
        <v>269</v>
      </c>
      <c r="D1563" t="s">
        <v>26</v>
      </c>
      <c r="E1563" t="s">
        <v>46</v>
      </c>
      <c r="F1563">
        <v>2013</v>
      </c>
      <c r="G1563">
        <v>10809.773999999999</v>
      </c>
      <c r="H1563">
        <v>10809.773999999999</v>
      </c>
      <c r="I1563">
        <v>1</v>
      </c>
    </row>
    <row r="1564" spans="1:9">
      <c r="A1564" t="s">
        <v>305</v>
      </c>
      <c r="B1564" t="s">
        <v>306</v>
      </c>
      <c r="C1564" t="s">
        <v>269</v>
      </c>
      <c r="D1564" t="s">
        <v>26</v>
      </c>
      <c r="E1564" t="s">
        <v>46</v>
      </c>
      <c r="F1564">
        <v>2014</v>
      </c>
      <c r="G1564">
        <v>11041.419889999999</v>
      </c>
      <c r="H1564">
        <v>11041.419889999999</v>
      </c>
      <c r="I1564">
        <v>1</v>
      </c>
    </row>
    <row r="1565" spans="1:9">
      <c r="A1565" t="s">
        <v>305</v>
      </c>
      <c r="B1565" t="s">
        <v>306</v>
      </c>
      <c r="C1565" t="s">
        <v>269</v>
      </c>
      <c r="D1565" t="s">
        <v>26</v>
      </c>
      <c r="E1565" t="s">
        <v>46</v>
      </c>
      <c r="F1565">
        <v>2015</v>
      </c>
      <c r="G1565">
        <v>11275.622799999999</v>
      </c>
      <c r="H1565">
        <v>11275.622799999999</v>
      </c>
      <c r="I1565">
        <v>1</v>
      </c>
    </row>
    <row r="1566" spans="1:9">
      <c r="A1566" t="s">
        <v>305</v>
      </c>
      <c r="B1566" t="s">
        <v>306</v>
      </c>
      <c r="C1566" t="s">
        <v>269</v>
      </c>
      <c r="D1566" t="s">
        <v>26</v>
      </c>
      <c r="E1566" t="s">
        <v>46</v>
      </c>
      <c r="F1566">
        <v>2016</v>
      </c>
      <c r="G1566">
        <v>11512.0888</v>
      </c>
      <c r="H1566">
        <v>11512.0888</v>
      </c>
      <c r="I1566">
        <v>1</v>
      </c>
    </row>
    <row r="1567" spans="1:9">
      <c r="A1567" t="s">
        <v>305</v>
      </c>
      <c r="B1567" t="s">
        <v>306</v>
      </c>
      <c r="C1567" t="s">
        <v>269</v>
      </c>
      <c r="D1567" t="s">
        <v>26</v>
      </c>
      <c r="E1567" t="s">
        <v>46</v>
      </c>
      <c r="F1567">
        <v>2017</v>
      </c>
      <c r="G1567">
        <v>11751.00627</v>
      </c>
      <c r="H1567">
        <v>11751.00627</v>
      </c>
      <c r="I1567">
        <v>1</v>
      </c>
    </row>
    <row r="1568" spans="1:9">
      <c r="A1568" t="s">
        <v>305</v>
      </c>
      <c r="B1568" t="s">
        <v>306</v>
      </c>
      <c r="C1568" t="s">
        <v>269</v>
      </c>
      <c r="D1568" t="s">
        <v>26</v>
      </c>
      <c r="E1568" t="s">
        <v>46</v>
      </c>
      <c r="F1568">
        <v>2018</v>
      </c>
      <c r="G1568">
        <v>17987.571510000002</v>
      </c>
      <c r="H1568">
        <v>17987.571510000002</v>
      </c>
      <c r="I1568">
        <v>1</v>
      </c>
    </row>
    <row r="1569" spans="1:9">
      <c r="A1569" t="s">
        <v>305</v>
      </c>
      <c r="B1569" t="s">
        <v>306</v>
      </c>
      <c r="C1569" t="s">
        <v>269</v>
      </c>
      <c r="D1569" t="s">
        <v>26</v>
      </c>
      <c r="E1569" t="s">
        <v>46</v>
      </c>
      <c r="F1569">
        <v>2019</v>
      </c>
      <c r="G1569">
        <v>18350.075970000002</v>
      </c>
      <c r="H1569">
        <v>18350.075970000002</v>
      </c>
      <c r="I1569">
        <v>1</v>
      </c>
    </row>
    <row r="1570" spans="1:9">
      <c r="A1570" t="s">
        <v>305</v>
      </c>
      <c r="B1570" t="s">
        <v>306</v>
      </c>
      <c r="C1570" t="s">
        <v>269</v>
      </c>
      <c r="D1570" t="s">
        <v>26</v>
      </c>
      <c r="E1570" t="s">
        <v>46</v>
      </c>
      <c r="F1570">
        <v>2020</v>
      </c>
      <c r="G1570">
        <v>18713.536769999999</v>
      </c>
      <c r="H1570">
        <v>18713.536769999999</v>
      </c>
      <c r="I1570">
        <v>1</v>
      </c>
    </row>
    <row r="1571" spans="1:9">
      <c r="A1571" t="s">
        <v>305</v>
      </c>
      <c r="B1571" t="s">
        <v>306</v>
      </c>
      <c r="C1571" t="s">
        <v>269</v>
      </c>
      <c r="D1571" t="s">
        <v>26</v>
      </c>
      <c r="E1571" t="s">
        <v>46</v>
      </c>
      <c r="F1571">
        <v>2021</v>
      </c>
      <c r="G1571">
        <v>19077.4532</v>
      </c>
      <c r="H1571">
        <v>19077.4532</v>
      </c>
      <c r="I1571">
        <v>1</v>
      </c>
    </row>
    <row r="1572" spans="1:9">
      <c r="A1572" t="s">
        <v>305</v>
      </c>
      <c r="B1572" t="s">
        <v>306</v>
      </c>
      <c r="C1572" t="s">
        <v>269</v>
      </c>
      <c r="D1572" t="s">
        <v>26</v>
      </c>
      <c r="E1572" t="s">
        <v>46</v>
      </c>
      <c r="F1572">
        <v>2022</v>
      </c>
      <c r="G1572">
        <v>19441.451560000001</v>
      </c>
      <c r="H1572">
        <v>19441.451560000001</v>
      </c>
      <c r="I1572">
        <v>1</v>
      </c>
    </row>
    <row r="1573" spans="1:9">
      <c r="A1573" t="s">
        <v>305</v>
      </c>
      <c r="B1573" t="s">
        <v>306</v>
      </c>
      <c r="C1573" t="s">
        <v>269</v>
      </c>
      <c r="D1573" t="s">
        <v>26</v>
      </c>
      <c r="E1573" t="s">
        <v>46</v>
      </c>
      <c r="F1573">
        <v>2023</v>
      </c>
      <c r="G1573">
        <v>19805.241890000001</v>
      </c>
      <c r="H1573">
        <v>19805.241890000001</v>
      </c>
      <c r="I1573">
        <v>1</v>
      </c>
    </row>
    <row r="1574" spans="1:9">
      <c r="A1574" t="s">
        <v>305</v>
      </c>
      <c r="B1574" t="s">
        <v>306</v>
      </c>
      <c r="C1574" t="s">
        <v>269</v>
      </c>
      <c r="D1574" t="s">
        <v>26</v>
      </c>
      <c r="E1574" t="s">
        <v>46</v>
      </c>
      <c r="F1574">
        <v>2024</v>
      </c>
      <c r="G1574">
        <v>20168.602360000001</v>
      </c>
      <c r="H1574">
        <v>20168.602360000001</v>
      </c>
      <c r="I1574">
        <v>1</v>
      </c>
    </row>
    <row r="1575" spans="1:9">
      <c r="A1575" t="s">
        <v>305</v>
      </c>
      <c r="B1575" t="s">
        <v>306</v>
      </c>
      <c r="C1575" t="s">
        <v>269</v>
      </c>
      <c r="D1575" t="s">
        <v>26</v>
      </c>
      <c r="E1575" t="s">
        <v>46</v>
      </c>
      <c r="F1575">
        <v>2025</v>
      </c>
      <c r="G1575">
        <v>20531.216349999999</v>
      </c>
      <c r="H1575">
        <v>20531.216349999999</v>
      </c>
      <c r="I1575">
        <v>1</v>
      </c>
    </row>
    <row r="1576" spans="1:9">
      <c r="A1576" t="s">
        <v>305</v>
      </c>
      <c r="B1576" t="s">
        <v>306</v>
      </c>
      <c r="C1576" t="s">
        <v>269</v>
      </c>
      <c r="D1576" t="s">
        <v>26</v>
      </c>
      <c r="E1576" t="s">
        <v>46</v>
      </c>
      <c r="F1576">
        <v>2026</v>
      </c>
      <c r="G1576">
        <v>20892.595089999999</v>
      </c>
      <c r="H1576">
        <v>20892.595089999999</v>
      </c>
      <c r="I1576">
        <v>1</v>
      </c>
    </row>
    <row r="1577" spans="1:9">
      <c r="A1577" t="s">
        <v>305</v>
      </c>
      <c r="B1577" t="s">
        <v>306</v>
      </c>
      <c r="C1577" t="s">
        <v>269</v>
      </c>
      <c r="D1577" t="s">
        <v>26</v>
      </c>
      <c r="E1577" t="s">
        <v>46</v>
      </c>
      <c r="F1577">
        <v>2027</v>
      </c>
      <c r="G1577">
        <v>21252.16606</v>
      </c>
      <c r="H1577">
        <v>21252.16606</v>
      </c>
      <c r="I1577">
        <v>1</v>
      </c>
    </row>
    <row r="1578" spans="1:9">
      <c r="A1578" t="s">
        <v>305</v>
      </c>
      <c r="B1578" t="s">
        <v>306</v>
      </c>
      <c r="C1578" t="s">
        <v>269</v>
      </c>
      <c r="D1578" t="s">
        <v>26</v>
      </c>
      <c r="E1578" t="s">
        <v>46</v>
      </c>
      <c r="F1578">
        <v>2028</v>
      </c>
      <c r="G1578">
        <v>21609.433130000001</v>
      </c>
      <c r="H1578">
        <v>21609.433130000001</v>
      </c>
      <c r="I1578">
        <v>1</v>
      </c>
    </row>
    <row r="1579" spans="1:9">
      <c r="A1579" t="s">
        <v>305</v>
      </c>
      <c r="B1579" t="s">
        <v>306</v>
      </c>
      <c r="C1579" t="s">
        <v>269</v>
      </c>
      <c r="D1579" t="s">
        <v>26</v>
      </c>
      <c r="E1579" t="s">
        <v>46</v>
      </c>
      <c r="F1579">
        <v>2029</v>
      </c>
      <c r="G1579">
        <v>21963.87716</v>
      </c>
      <c r="H1579">
        <v>21963.87716</v>
      </c>
      <c r="I1579">
        <v>1</v>
      </c>
    </row>
    <row r="1580" spans="1:9">
      <c r="A1580" t="s">
        <v>305</v>
      </c>
      <c r="B1580" t="s">
        <v>306</v>
      </c>
      <c r="C1580" t="s">
        <v>269</v>
      </c>
      <c r="D1580" t="s">
        <v>26</v>
      </c>
      <c r="E1580" t="s">
        <v>46</v>
      </c>
      <c r="F1580">
        <v>2030</v>
      </c>
      <c r="G1580">
        <v>22314.955089999999</v>
      </c>
      <c r="H1580">
        <v>22314.955089999999</v>
      </c>
      <c r="I1580">
        <v>1</v>
      </c>
    </row>
    <row r="1581" spans="1:9">
      <c r="A1581" t="s">
        <v>305</v>
      </c>
      <c r="B1581" t="s">
        <v>306</v>
      </c>
      <c r="C1581" t="s">
        <v>269</v>
      </c>
      <c r="D1581" t="s">
        <v>26</v>
      </c>
      <c r="E1581" t="s">
        <v>46</v>
      </c>
      <c r="F1581">
        <v>2031</v>
      </c>
      <c r="G1581">
        <v>22662.173559999999</v>
      </c>
      <c r="H1581">
        <v>22662.173559999999</v>
      </c>
      <c r="I1581">
        <v>1</v>
      </c>
    </row>
    <row r="1582" spans="1:9">
      <c r="A1582" t="s">
        <v>305</v>
      </c>
      <c r="B1582" t="s">
        <v>306</v>
      </c>
      <c r="C1582" t="s">
        <v>269</v>
      </c>
      <c r="D1582" t="s">
        <v>26</v>
      </c>
      <c r="E1582" t="s">
        <v>46</v>
      </c>
      <c r="F1582">
        <v>2032</v>
      </c>
      <c r="G1582">
        <v>23004.964639999998</v>
      </c>
      <c r="H1582">
        <v>23004.964639999998</v>
      </c>
      <c r="I1582">
        <v>1</v>
      </c>
    </row>
    <row r="1583" spans="1:9">
      <c r="A1583" t="s">
        <v>305</v>
      </c>
      <c r="B1583" t="s">
        <v>306</v>
      </c>
      <c r="C1583" t="s">
        <v>269</v>
      </c>
      <c r="D1583" t="s">
        <v>26</v>
      </c>
      <c r="E1583" t="s">
        <v>46</v>
      </c>
      <c r="F1583">
        <v>2033</v>
      </c>
      <c r="G1583">
        <v>23342.596570000002</v>
      </c>
      <c r="H1583">
        <v>23342.596570000002</v>
      </c>
      <c r="I1583">
        <v>1</v>
      </c>
    </row>
    <row r="1584" spans="1:9">
      <c r="A1584" t="s">
        <v>305</v>
      </c>
      <c r="B1584" t="s">
        <v>306</v>
      </c>
      <c r="C1584" t="s">
        <v>269</v>
      </c>
      <c r="D1584" t="s">
        <v>26</v>
      </c>
      <c r="E1584" t="s">
        <v>46</v>
      </c>
      <c r="F1584">
        <v>2034</v>
      </c>
      <c r="G1584">
        <v>23674.28052</v>
      </c>
      <c r="H1584">
        <v>23674.28052</v>
      </c>
      <c r="I1584">
        <v>1</v>
      </c>
    </row>
    <row r="1585" spans="1:9">
      <c r="A1585" t="s">
        <v>305</v>
      </c>
      <c r="B1585" t="s">
        <v>306</v>
      </c>
      <c r="C1585" t="s">
        <v>269</v>
      </c>
      <c r="D1585" t="s">
        <v>26</v>
      </c>
      <c r="E1585" t="s">
        <v>46</v>
      </c>
      <c r="F1585">
        <v>2035</v>
      </c>
      <c r="G1585">
        <v>23999.361140000001</v>
      </c>
      <c r="H1585">
        <v>23999.361140000001</v>
      </c>
      <c r="I1585">
        <v>1</v>
      </c>
    </row>
    <row r="1586" spans="1:9">
      <c r="A1586" t="s">
        <v>305</v>
      </c>
      <c r="B1586" t="s">
        <v>306</v>
      </c>
      <c r="C1586" t="s">
        <v>269</v>
      </c>
      <c r="D1586" t="s">
        <v>26</v>
      </c>
      <c r="E1586" t="s">
        <v>46</v>
      </c>
      <c r="F1586">
        <v>2036</v>
      </c>
      <c r="G1586">
        <v>24317.372660000001</v>
      </c>
      <c r="H1586">
        <v>24317.372660000001</v>
      </c>
      <c r="I1586">
        <v>1</v>
      </c>
    </row>
    <row r="1587" spans="1:9">
      <c r="A1587" t="s">
        <v>305</v>
      </c>
      <c r="B1587" t="s">
        <v>306</v>
      </c>
      <c r="C1587" t="s">
        <v>269</v>
      </c>
      <c r="D1587" t="s">
        <v>26</v>
      </c>
      <c r="E1587" t="s">
        <v>46</v>
      </c>
      <c r="F1587">
        <v>2037</v>
      </c>
      <c r="G1587">
        <v>24627.977279999999</v>
      </c>
      <c r="H1587">
        <v>24627.977279999999</v>
      </c>
      <c r="I1587">
        <v>1</v>
      </c>
    </row>
    <row r="1588" spans="1:9">
      <c r="A1588" t="s">
        <v>305</v>
      </c>
      <c r="B1588" t="s">
        <v>306</v>
      </c>
      <c r="C1588" t="s">
        <v>269</v>
      </c>
      <c r="D1588" t="s">
        <v>26</v>
      </c>
      <c r="E1588" t="s">
        <v>46</v>
      </c>
      <c r="F1588">
        <v>2038</v>
      </c>
      <c r="G1588">
        <v>24930.846409999998</v>
      </c>
      <c r="H1588">
        <v>24930.846409999998</v>
      </c>
      <c r="I1588">
        <v>1</v>
      </c>
    </row>
    <row r="1589" spans="1:9">
      <c r="A1589" t="s">
        <v>305</v>
      </c>
      <c r="B1589" t="s">
        <v>306</v>
      </c>
      <c r="C1589" t="s">
        <v>269</v>
      </c>
      <c r="D1589" t="s">
        <v>26</v>
      </c>
      <c r="E1589" t="s">
        <v>46</v>
      </c>
      <c r="F1589">
        <v>2039</v>
      </c>
      <c r="G1589">
        <v>25225.731510000001</v>
      </c>
      <c r="H1589">
        <v>25225.731510000001</v>
      </c>
      <c r="I1589">
        <v>1</v>
      </c>
    </row>
    <row r="1590" spans="1:9">
      <c r="A1590" t="s">
        <v>305</v>
      </c>
      <c r="B1590" t="s">
        <v>306</v>
      </c>
      <c r="C1590" t="s">
        <v>269</v>
      </c>
      <c r="D1590" t="s">
        <v>26</v>
      </c>
      <c r="E1590" t="s">
        <v>46</v>
      </c>
      <c r="F1590">
        <v>2040</v>
      </c>
      <c r="G1590">
        <v>25512.463230000001</v>
      </c>
      <c r="H1590">
        <v>25512.463230000001</v>
      </c>
      <c r="I1590">
        <v>1</v>
      </c>
    </row>
    <row r="1591" spans="1:9">
      <c r="A1591" t="s">
        <v>305</v>
      </c>
      <c r="B1591" t="s">
        <v>306</v>
      </c>
      <c r="C1591" t="s">
        <v>269</v>
      </c>
      <c r="D1591" t="s">
        <v>26</v>
      </c>
      <c r="E1591" t="s">
        <v>46</v>
      </c>
      <c r="F1591">
        <v>2041</v>
      </c>
      <c r="G1591">
        <v>25790.989089999999</v>
      </c>
      <c r="H1591">
        <v>25790.989089999999</v>
      </c>
      <c r="I1591">
        <v>1</v>
      </c>
    </row>
    <row r="1592" spans="1:9">
      <c r="A1592" t="s">
        <v>305</v>
      </c>
      <c r="B1592" t="s">
        <v>306</v>
      </c>
      <c r="C1592" t="s">
        <v>269</v>
      </c>
      <c r="D1592" t="s">
        <v>26</v>
      </c>
      <c r="E1592" t="s">
        <v>46</v>
      </c>
      <c r="F1592">
        <v>2042</v>
      </c>
      <c r="G1592">
        <v>26061.398389999998</v>
      </c>
      <c r="H1592">
        <v>26061.398389999998</v>
      </c>
      <c r="I1592">
        <v>1</v>
      </c>
    </row>
    <row r="1593" spans="1:9">
      <c r="A1593" t="s">
        <v>305</v>
      </c>
      <c r="B1593" t="s">
        <v>306</v>
      </c>
      <c r="C1593" t="s">
        <v>269</v>
      </c>
      <c r="D1593" t="s">
        <v>26</v>
      </c>
      <c r="E1593" t="s">
        <v>46</v>
      </c>
      <c r="F1593">
        <v>2043</v>
      </c>
      <c r="G1593">
        <v>26324.01511</v>
      </c>
      <c r="H1593">
        <v>26324.01511</v>
      </c>
      <c r="I1593">
        <v>1</v>
      </c>
    </row>
    <row r="1594" spans="1:9">
      <c r="A1594" t="s">
        <v>305</v>
      </c>
      <c r="B1594" t="s">
        <v>306</v>
      </c>
      <c r="C1594" t="s">
        <v>269</v>
      </c>
      <c r="D1594" t="s">
        <v>26</v>
      </c>
      <c r="E1594" t="s">
        <v>46</v>
      </c>
      <c r="F1594">
        <v>2044</v>
      </c>
      <c r="G1594">
        <v>26579.872940000001</v>
      </c>
      <c r="H1594">
        <v>26579.872940000001</v>
      </c>
      <c r="I1594">
        <v>1</v>
      </c>
    </row>
    <row r="1595" spans="1:9">
      <c r="A1595" t="s">
        <v>305</v>
      </c>
      <c r="B1595" t="s">
        <v>306</v>
      </c>
      <c r="C1595" t="s">
        <v>269</v>
      </c>
      <c r="D1595" t="s">
        <v>26</v>
      </c>
      <c r="E1595" t="s">
        <v>46</v>
      </c>
      <c r="F1595">
        <v>2045</v>
      </c>
      <c r="G1595">
        <v>17883.006949999999</v>
      </c>
      <c r="H1595">
        <v>17883.006949999999</v>
      </c>
      <c r="I1595">
        <v>1</v>
      </c>
    </row>
    <row r="1596" spans="1:9">
      <c r="A1596" t="s">
        <v>305</v>
      </c>
      <c r="B1596" t="s">
        <v>306</v>
      </c>
      <c r="C1596" t="s">
        <v>269</v>
      </c>
      <c r="D1596" t="s">
        <v>26</v>
      </c>
      <c r="E1596" t="s">
        <v>46</v>
      </c>
      <c r="F1596">
        <v>2046</v>
      </c>
      <c r="G1596">
        <v>18039.267</v>
      </c>
      <c r="H1596">
        <v>18039.267</v>
      </c>
      <c r="I1596">
        <v>1</v>
      </c>
    </row>
    <row r="1597" spans="1:9">
      <c r="A1597" t="s">
        <v>305</v>
      </c>
      <c r="B1597" t="s">
        <v>306</v>
      </c>
      <c r="C1597" t="s">
        <v>269</v>
      </c>
      <c r="D1597" t="s">
        <v>26</v>
      </c>
      <c r="E1597" t="s">
        <v>46</v>
      </c>
      <c r="F1597">
        <v>2047</v>
      </c>
      <c r="G1597">
        <v>18188.572700000001</v>
      </c>
      <c r="H1597">
        <v>18188.572700000001</v>
      </c>
      <c r="I1597">
        <v>1</v>
      </c>
    </row>
    <row r="1598" spans="1:9">
      <c r="A1598" t="s">
        <v>305</v>
      </c>
      <c r="B1598" t="s">
        <v>306</v>
      </c>
      <c r="C1598" t="s">
        <v>269</v>
      </c>
      <c r="D1598" t="s">
        <v>26</v>
      </c>
      <c r="E1598" t="s">
        <v>46</v>
      </c>
      <c r="F1598">
        <v>2048</v>
      </c>
      <c r="G1598">
        <v>18330.894</v>
      </c>
      <c r="H1598">
        <v>18330.894</v>
      </c>
      <c r="I1598">
        <v>1</v>
      </c>
    </row>
    <row r="1599" spans="1:9">
      <c r="A1599" t="s">
        <v>305</v>
      </c>
      <c r="B1599" t="s">
        <v>306</v>
      </c>
      <c r="C1599" t="s">
        <v>269</v>
      </c>
      <c r="D1599" t="s">
        <v>26</v>
      </c>
      <c r="E1599" t="s">
        <v>46</v>
      </c>
      <c r="F1599">
        <v>2049</v>
      </c>
      <c r="G1599">
        <v>18466.2585</v>
      </c>
      <c r="H1599">
        <v>18466.2585</v>
      </c>
      <c r="I1599">
        <v>1</v>
      </c>
    </row>
    <row r="1600" spans="1:9">
      <c r="A1600" t="s">
        <v>305</v>
      </c>
      <c r="B1600" t="s">
        <v>306</v>
      </c>
      <c r="C1600" t="s">
        <v>269</v>
      </c>
      <c r="D1600" t="s">
        <v>26</v>
      </c>
      <c r="E1600" t="s">
        <v>46</v>
      </c>
      <c r="F1600">
        <v>2050</v>
      </c>
      <c r="G1600">
        <v>18594.642889999999</v>
      </c>
      <c r="H1600">
        <v>18594.642889999999</v>
      </c>
      <c r="I1600">
        <v>1</v>
      </c>
    </row>
    <row r="1601" spans="1:9">
      <c r="A1601" t="s">
        <v>305</v>
      </c>
      <c r="B1601" t="s">
        <v>306</v>
      </c>
      <c r="C1601" t="s">
        <v>269</v>
      </c>
      <c r="D1601" t="s">
        <v>307</v>
      </c>
      <c r="E1601" t="s">
        <v>46</v>
      </c>
      <c r="F1601">
        <v>2010</v>
      </c>
      <c r="G1601">
        <v>37157.837220000001</v>
      </c>
      <c r="H1601">
        <v>37157.837220000001</v>
      </c>
      <c r="I1601">
        <v>1</v>
      </c>
    </row>
    <row r="1602" spans="1:9">
      <c r="A1602" t="s">
        <v>305</v>
      </c>
      <c r="B1602" t="s">
        <v>306</v>
      </c>
      <c r="C1602" t="s">
        <v>269</v>
      </c>
      <c r="D1602" t="s">
        <v>307</v>
      </c>
      <c r="E1602" t="s">
        <v>46</v>
      </c>
      <c r="F1602">
        <v>2011</v>
      </c>
      <c r="G1602">
        <v>45910.441019999998</v>
      </c>
      <c r="H1602">
        <v>45910.441019999998</v>
      </c>
      <c r="I1602">
        <v>1</v>
      </c>
    </row>
    <row r="1603" spans="1:9">
      <c r="A1603" t="s">
        <v>305</v>
      </c>
      <c r="B1603" t="s">
        <v>306</v>
      </c>
      <c r="C1603" t="s">
        <v>269</v>
      </c>
      <c r="D1603" t="s">
        <v>307</v>
      </c>
      <c r="E1603" t="s">
        <v>46</v>
      </c>
      <c r="F1603">
        <v>2012</v>
      </c>
      <c r="G1603">
        <v>55146.346980000002</v>
      </c>
      <c r="H1603">
        <v>55146.346980000002</v>
      </c>
      <c r="I1603">
        <v>1</v>
      </c>
    </row>
    <row r="1604" spans="1:9">
      <c r="A1604" t="s">
        <v>305</v>
      </c>
      <c r="B1604" t="s">
        <v>306</v>
      </c>
      <c r="C1604" t="s">
        <v>269</v>
      </c>
      <c r="D1604" t="s">
        <v>307</v>
      </c>
      <c r="E1604" t="s">
        <v>46</v>
      </c>
      <c r="F1604">
        <v>2013</v>
      </c>
      <c r="G1604">
        <v>64884.367639999997</v>
      </c>
      <c r="H1604">
        <v>64884.367639999997</v>
      </c>
      <c r="I1604">
        <v>1</v>
      </c>
    </row>
    <row r="1605" spans="1:9">
      <c r="A1605" t="s">
        <v>305</v>
      </c>
      <c r="B1605" t="s">
        <v>306</v>
      </c>
      <c r="C1605" t="s">
        <v>269</v>
      </c>
      <c r="D1605" t="s">
        <v>307</v>
      </c>
      <c r="E1605" t="s">
        <v>46</v>
      </c>
      <c r="F1605">
        <v>2014</v>
      </c>
      <c r="G1605">
        <v>66794.028550000003</v>
      </c>
      <c r="H1605">
        <v>66794.028550000003</v>
      </c>
      <c r="I1605">
        <v>1</v>
      </c>
    </row>
    <row r="1606" spans="1:9">
      <c r="A1606" t="s">
        <v>305</v>
      </c>
      <c r="B1606" t="s">
        <v>306</v>
      </c>
      <c r="C1606" t="s">
        <v>269</v>
      </c>
      <c r="D1606" t="s">
        <v>307</v>
      </c>
      <c r="E1606" t="s">
        <v>46</v>
      </c>
      <c r="F1606">
        <v>2015</v>
      </c>
      <c r="G1606">
        <v>77347.703559999994</v>
      </c>
      <c r="H1606">
        <v>77347.703559999994</v>
      </c>
      <c r="I1606">
        <v>1</v>
      </c>
    </row>
    <row r="1607" spans="1:9">
      <c r="A1607" t="s">
        <v>305</v>
      </c>
      <c r="B1607" t="s">
        <v>306</v>
      </c>
      <c r="C1607" t="s">
        <v>269</v>
      </c>
      <c r="D1607" t="s">
        <v>307</v>
      </c>
      <c r="E1607" t="s">
        <v>46</v>
      </c>
      <c r="F1607">
        <v>2016</v>
      </c>
      <c r="G1607">
        <v>88454.074089999995</v>
      </c>
      <c r="H1607">
        <v>88454.074089999995</v>
      </c>
      <c r="I1607">
        <v>1</v>
      </c>
    </row>
    <row r="1608" spans="1:9">
      <c r="A1608" t="s">
        <v>305</v>
      </c>
      <c r="B1608" t="s">
        <v>306</v>
      </c>
      <c r="C1608" t="s">
        <v>269</v>
      </c>
      <c r="D1608" t="s">
        <v>307</v>
      </c>
      <c r="E1608" t="s">
        <v>46</v>
      </c>
      <c r="F1608">
        <v>2017</v>
      </c>
      <c r="G1608">
        <v>100132.31479999999</v>
      </c>
      <c r="H1608">
        <v>100132.31479999999</v>
      </c>
      <c r="I1608">
        <v>1</v>
      </c>
    </row>
    <row r="1609" spans="1:9">
      <c r="A1609" t="s">
        <v>305</v>
      </c>
      <c r="B1609" t="s">
        <v>306</v>
      </c>
      <c r="C1609" t="s">
        <v>269</v>
      </c>
      <c r="D1609" t="s">
        <v>307</v>
      </c>
      <c r="E1609" t="s">
        <v>46</v>
      </c>
      <c r="F1609">
        <v>2018</v>
      </c>
      <c r="G1609">
        <v>121767.77529999999</v>
      </c>
      <c r="H1609">
        <v>121767.77529999999</v>
      </c>
      <c r="I1609">
        <v>1</v>
      </c>
    </row>
    <row r="1610" spans="1:9">
      <c r="A1610" t="s">
        <v>305</v>
      </c>
      <c r="B1610" t="s">
        <v>306</v>
      </c>
      <c r="C1610" t="s">
        <v>269</v>
      </c>
      <c r="D1610" t="s">
        <v>307</v>
      </c>
      <c r="E1610" t="s">
        <v>46</v>
      </c>
      <c r="F1610">
        <v>2019</v>
      </c>
      <c r="G1610">
        <v>125278.37360000001</v>
      </c>
      <c r="H1610">
        <v>125278.37360000001</v>
      </c>
      <c r="I1610">
        <v>1</v>
      </c>
    </row>
    <row r="1611" spans="1:9">
      <c r="A1611" t="s">
        <v>305</v>
      </c>
      <c r="B1611" t="s">
        <v>306</v>
      </c>
      <c r="C1611" t="s">
        <v>269</v>
      </c>
      <c r="D1611" t="s">
        <v>307</v>
      </c>
      <c r="E1611" t="s">
        <v>46</v>
      </c>
      <c r="F1611">
        <v>2020</v>
      </c>
      <c r="G1611">
        <v>148695.72700000001</v>
      </c>
      <c r="H1611">
        <v>148695.72700000001</v>
      </c>
      <c r="I1611">
        <v>1</v>
      </c>
    </row>
    <row r="1612" spans="1:9">
      <c r="A1612" t="s">
        <v>305</v>
      </c>
      <c r="B1612" t="s">
        <v>306</v>
      </c>
      <c r="C1612" t="s">
        <v>269</v>
      </c>
      <c r="D1612" t="s">
        <v>307</v>
      </c>
      <c r="E1612" t="s">
        <v>46</v>
      </c>
      <c r="F1612">
        <v>2021</v>
      </c>
      <c r="G1612">
        <v>163127.44149999999</v>
      </c>
      <c r="H1612">
        <v>163127.44149999999</v>
      </c>
      <c r="I1612">
        <v>1</v>
      </c>
    </row>
    <row r="1613" spans="1:9">
      <c r="A1613" t="s">
        <v>305</v>
      </c>
      <c r="B1613" t="s">
        <v>306</v>
      </c>
      <c r="C1613" t="s">
        <v>269</v>
      </c>
      <c r="D1613" t="s">
        <v>307</v>
      </c>
      <c r="E1613" t="s">
        <v>46</v>
      </c>
      <c r="F1613">
        <v>2022</v>
      </c>
      <c r="G1613">
        <v>188713.39129999999</v>
      </c>
      <c r="H1613">
        <v>188713.39129999999</v>
      </c>
      <c r="I1613">
        <v>1</v>
      </c>
    </row>
    <row r="1614" spans="1:9">
      <c r="A1614" t="s">
        <v>305</v>
      </c>
      <c r="B1614" t="s">
        <v>306</v>
      </c>
      <c r="C1614" t="s">
        <v>269</v>
      </c>
      <c r="D1614" t="s">
        <v>307</v>
      </c>
      <c r="E1614" t="s">
        <v>46</v>
      </c>
      <c r="F1614">
        <v>2023</v>
      </c>
      <c r="G1614">
        <v>204800.20980000001</v>
      </c>
      <c r="H1614">
        <v>204800.20980000001</v>
      </c>
      <c r="I1614">
        <v>1</v>
      </c>
    </row>
    <row r="1615" spans="1:9">
      <c r="A1615" t="s">
        <v>305</v>
      </c>
      <c r="B1615" t="s">
        <v>306</v>
      </c>
      <c r="C1615" t="s">
        <v>269</v>
      </c>
      <c r="D1615" t="s">
        <v>307</v>
      </c>
      <c r="E1615" t="s">
        <v>46</v>
      </c>
      <c r="F1615">
        <v>2024</v>
      </c>
      <c r="G1615">
        <v>232684.62880000001</v>
      </c>
      <c r="H1615">
        <v>232684.62880000001</v>
      </c>
      <c r="I1615">
        <v>1</v>
      </c>
    </row>
    <row r="1616" spans="1:9">
      <c r="A1616" t="s">
        <v>305</v>
      </c>
      <c r="B1616" t="s">
        <v>306</v>
      </c>
      <c r="C1616" t="s">
        <v>269</v>
      </c>
      <c r="D1616" t="s">
        <v>307</v>
      </c>
      <c r="E1616" t="s">
        <v>46</v>
      </c>
      <c r="F1616">
        <v>2025</v>
      </c>
      <c r="G1616">
        <v>261922.26089999999</v>
      </c>
      <c r="H1616">
        <v>261922.26089999999</v>
      </c>
      <c r="I1616">
        <v>1</v>
      </c>
    </row>
    <row r="1617" spans="1:9">
      <c r="A1617" t="s">
        <v>305</v>
      </c>
      <c r="B1617" t="s">
        <v>306</v>
      </c>
      <c r="C1617" t="s">
        <v>269</v>
      </c>
      <c r="D1617" t="s">
        <v>307</v>
      </c>
      <c r="E1617" t="s">
        <v>46</v>
      </c>
      <c r="F1617">
        <v>2026</v>
      </c>
      <c r="G1617">
        <v>292550.84490000003</v>
      </c>
      <c r="H1617">
        <v>292550.84490000003</v>
      </c>
      <c r="I1617">
        <v>1</v>
      </c>
    </row>
    <row r="1618" spans="1:9">
      <c r="A1618" t="s">
        <v>305</v>
      </c>
      <c r="B1618" t="s">
        <v>306</v>
      </c>
      <c r="C1618" t="s">
        <v>269</v>
      </c>
      <c r="D1618" t="s">
        <v>307</v>
      </c>
      <c r="E1618" t="s">
        <v>46</v>
      </c>
      <c r="F1618">
        <v>2027</v>
      </c>
      <c r="G1618">
        <v>336628.84499999997</v>
      </c>
      <c r="H1618">
        <v>336628.84499999997</v>
      </c>
      <c r="I1618">
        <v>1</v>
      </c>
    </row>
    <row r="1619" spans="1:9">
      <c r="A1619" t="s">
        <v>305</v>
      </c>
      <c r="B1619" t="s">
        <v>306</v>
      </c>
      <c r="C1619" t="s">
        <v>269</v>
      </c>
      <c r="D1619" t="s">
        <v>307</v>
      </c>
      <c r="E1619" t="s">
        <v>46</v>
      </c>
      <c r="F1619">
        <v>2028</v>
      </c>
      <c r="G1619">
        <v>370474.32069999998</v>
      </c>
      <c r="H1619">
        <v>370474.32069999998</v>
      </c>
      <c r="I1619">
        <v>1</v>
      </c>
    </row>
    <row r="1620" spans="1:9">
      <c r="A1620" t="s">
        <v>305</v>
      </c>
      <c r="B1620" t="s">
        <v>306</v>
      </c>
      <c r="C1620" t="s">
        <v>269</v>
      </c>
      <c r="D1620" t="s">
        <v>307</v>
      </c>
      <c r="E1620" t="s">
        <v>46</v>
      </c>
      <c r="F1620">
        <v>2029</v>
      </c>
      <c r="G1620">
        <v>393142.4192</v>
      </c>
      <c r="H1620">
        <v>393142.4192</v>
      </c>
      <c r="I1620">
        <v>1</v>
      </c>
    </row>
    <row r="1621" spans="1:9">
      <c r="A1621" t="s">
        <v>305</v>
      </c>
      <c r="B1621" t="s">
        <v>306</v>
      </c>
      <c r="C1621" t="s">
        <v>269</v>
      </c>
      <c r="D1621" t="s">
        <v>307</v>
      </c>
      <c r="E1621" t="s">
        <v>46</v>
      </c>
      <c r="F1621">
        <v>2030</v>
      </c>
      <c r="G1621">
        <v>455733.79930000001</v>
      </c>
      <c r="H1621">
        <v>455733.79930000001</v>
      </c>
      <c r="I1621">
        <v>1</v>
      </c>
    </row>
    <row r="1622" spans="1:9">
      <c r="A1622" t="s">
        <v>305</v>
      </c>
      <c r="B1622" t="s">
        <v>306</v>
      </c>
      <c r="C1622" t="s">
        <v>269</v>
      </c>
      <c r="D1622" t="s">
        <v>307</v>
      </c>
      <c r="E1622" t="s">
        <v>46</v>
      </c>
      <c r="F1622">
        <v>2031</v>
      </c>
      <c r="G1622">
        <v>494538.85249999998</v>
      </c>
      <c r="H1622">
        <v>494538.85249999998</v>
      </c>
      <c r="I1622">
        <v>1</v>
      </c>
    </row>
    <row r="1623" spans="1:9">
      <c r="A1623" t="s">
        <v>305</v>
      </c>
      <c r="B1623" t="s">
        <v>306</v>
      </c>
      <c r="C1623" t="s">
        <v>269</v>
      </c>
      <c r="D1623" t="s">
        <v>307</v>
      </c>
      <c r="E1623" t="s">
        <v>46</v>
      </c>
      <c r="F1623">
        <v>2032</v>
      </c>
      <c r="G1623">
        <v>534951.98829999997</v>
      </c>
      <c r="H1623">
        <v>534951.98829999997</v>
      </c>
      <c r="I1623">
        <v>1</v>
      </c>
    </row>
    <row r="1624" spans="1:9">
      <c r="A1624" t="s">
        <v>305</v>
      </c>
      <c r="B1624" t="s">
        <v>306</v>
      </c>
      <c r="C1624" t="s">
        <v>269</v>
      </c>
      <c r="D1624" t="s">
        <v>307</v>
      </c>
      <c r="E1624" t="s">
        <v>46</v>
      </c>
      <c r="F1624">
        <v>2033</v>
      </c>
      <c r="G1624">
        <v>576997.64740000002</v>
      </c>
      <c r="H1624">
        <v>576997.64740000002</v>
      </c>
      <c r="I1624">
        <v>1</v>
      </c>
    </row>
    <row r="1625" spans="1:9">
      <c r="A1625" t="s">
        <v>305</v>
      </c>
      <c r="B1625" t="s">
        <v>306</v>
      </c>
      <c r="C1625" t="s">
        <v>269</v>
      </c>
      <c r="D1625" t="s">
        <v>307</v>
      </c>
      <c r="E1625" t="s">
        <v>46</v>
      </c>
      <c r="F1625">
        <v>2034</v>
      </c>
      <c r="G1625">
        <v>649565.15009999997</v>
      </c>
      <c r="H1625">
        <v>649565.15009999997</v>
      </c>
      <c r="I1625">
        <v>1</v>
      </c>
    </row>
    <row r="1626" spans="1:9">
      <c r="A1626" t="s">
        <v>305</v>
      </c>
      <c r="B1626" t="s">
        <v>306</v>
      </c>
      <c r="C1626" t="s">
        <v>269</v>
      </c>
      <c r="D1626" t="s">
        <v>307</v>
      </c>
      <c r="E1626" t="s">
        <v>46</v>
      </c>
      <c r="F1626">
        <v>2035</v>
      </c>
      <c r="G1626">
        <v>710469.61529999995</v>
      </c>
      <c r="H1626">
        <v>710469.61529999995</v>
      </c>
      <c r="I1626">
        <v>1</v>
      </c>
    </row>
    <row r="1627" spans="1:9">
      <c r="A1627" t="s">
        <v>305</v>
      </c>
      <c r="B1627" t="s">
        <v>306</v>
      </c>
      <c r="C1627" t="s">
        <v>269</v>
      </c>
      <c r="D1627" t="s">
        <v>307</v>
      </c>
      <c r="E1627" t="s">
        <v>46</v>
      </c>
      <c r="F1627">
        <v>2036</v>
      </c>
      <c r="G1627">
        <v>773819.82759999996</v>
      </c>
      <c r="H1627">
        <v>773819.82759999996</v>
      </c>
      <c r="I1627">
        <v>1</v>
      </c>
    </row>
    <row r="1628" spans="1:9">
      <c r="A1628" t="s">
        <v>305</v>
      </c>
      <c r="B1628" t="s">
        <v>306</v>
      </c>
      <c r="C1628" t="s">
        <v>269</v>
      </c>
      <c r="D1628" t="s">
        <v>307</v>
      </c>
      <c r="E1628" t="s">
        <v>46</v>
      </c>
      <c r="F1628">
        <v>2037</v>
      </c>
      <c r="G1628">
        <v>808553.70819999999</v>
      </c>
      <c r="H1628">
        <v>808553.70819999999</v>
      </c>
      <c r="I1628">
        <v>1</v>
      </c>
    </row>
    <row r="1629" spans="1:9">
      <c r="A1629" t="s">
        <v>305</v>
      </c>
      <c r="B1629" t="s">
        <v>306</v>
      </c>
      <c r="C1629" t="s">
        <v>269</v>
      </c>
      <c r="D1629" t="s">
        <v>307</v>
      </c>
      <c r="E1629" t="s">
        <v>46</v>
      </c>
      <c r="F1629">
        <v>2038</v>
      </c>
      <c r="G1629">
        <v>892068.95209999999</v>
      </c>
      <c r="H1629">
        <v>892068.95209999999</v>
      </c>
      <c r="I1629">
        <v>1</v>
      </c>
    </row>
    <row r="1630" spans="1:9">
      <c r="A1630" t="s">
        <v>305</v>
      </c>
      <c r="B1630" t="s">
        <v>306</v>
      </c>
      <c r="C1630" t="s">
        <v>269</v>
      </c>
      <c r="D1630" t="s">
        <v>307</v>
      </c>
      <c r="E1630" t="s">
        <v>46</v>
      </c>
      <c r="F1630">
        <v>2039</v>
      </c>
      <c r="G1630">
        <v>946262.04870000004</v>
      </c>
      <c r="H1630">
        <v>946262.04870000004</v>
      </c>
      <c r="I1630">
        <v>1</v>
      </c>
    </row>
    <row r="1631" spans="1:9">
      <c r="A1631" t="s">
        <v>305</v>
      </c>
      <c r="B1631" t="s">
        <v>306</v>
      </c>
      <c r="C1631" t="s">
        <v>269</v>
      </c>
      <c r="D1631" t="s">
        <v>307</v>
      </c>
      <c r="E1631" t="s">
        <v>46</v>
      </c>
      <c r="F1631">
        <v>2040</v>
      </c>
      <c r="G1631">
        <v>1018952.3540000001</v>
      </c>
      <c r="H1631">
        <v>1018952.3540000001</v>
      </c>
      <c r="I1631">
        <v>1</v>
      </c>
    </row>
    <row r="1632" spans="1:9">
      <c r="A1632" t="s">
        <v>305</v>
      </c>
      <c r="B1632" t="s">
        <v>306</v>
      </c>
      <c r="C1632" t="s">
        <v>269</v>
      </c>
      <c r="D1632" t="s">
        <v>307</v>
      </c>
      <c r="E1632" t="s">
        <v>46</v>
      </c>
      <c r="F1632">
        <v>2041</v>
      </c>
      <c r="G1632">
        <v>1060043.551</v>
      </c>
      <c r="H1632">
        <v>1060043.551</v>
      </c>
      <c r="I1632">
        <v>1</v>
      </c>
    </row>
    <row r="1633" spans="1:9">
      <c r="A1633" t="s">
        <v>305</v>
      </c>
      <c r="B1633" t="s">
        <v>306</v>
      </c>
      <c r="C1633" t="s">
        <v>269</v>
      </c>
      <c r="D1633" t="s">
        <v>307</v>
      </c>
      <c r="E1633" t="s">
        <v>46</v>
      </c>
      <c r="F1633">
        <v>2042</v>
      </c>
      <c r="G1633">
        <v>1154652.003</v>
      </c>
      <c r="H1633">
        <v>1154652.003</v>
      </c>
      <c r="I1633">
        <v>1</v>
      </c>
    </row>
    <row r="1634" spans="1:9">
      <c r="A1634" t="s">
        <v>305</v>
      </c>
      <c r="B1634" t="s">
        <v>306</v>
      </c>
      <c r="C1634" t="s">
        <v>269</v>
      </c>
      <c r="D1634" t="s">
        <v>307</v>
      </c>
      <c r="E1634" t="s">
        <v>46</v>
      </c>
      <c r="F1634">
        <v>2043</v>
      </c>
      <c r="G1634">
        <v>1234803.81</v>
      </c>
      <c r="H1634">
        <v>1234803.81</v>
      </c>
      <c r="I1634">
        <v>1</v>
      </c>
    </row>
    <row r="1635" spans="1:9">
      <c r="A1635" t="s">
        <v>305</v>
      </c>
      <c r="B1635" t="s">
        <v>306</v>
      </c>
      <c r="C1635" t="s">
        <v>269</v>
      </c>
      <c r="D1635" t="s">
        <v>307</v>
      </c>
      <c r="E1635" t="s">
        <v>46</v>
      </c>
      <c r="F1635">
        <v>2044</v>
      </c>
      <c r="G1635">
        <v>1290165.716</v>
      </c>
      <c r="H1635">
        <v>1290165.716</v>
      </c>
      <c r="I1635">
        <v>1</v>
      </c>
    </row>
    <row r="1636" spans="1:9">
      <c r="A1636" t="s">
        <v>305</v>
      </c>
      <c r="B1636" t="s">
        <v>306</v>
      </c>
      <c r="C1636" t="s">
        <v>269</v>
      </c>
      <c r="D1636" t="s">
        <v>307</v>
      </c>
      <c r="E1636" t="s">
        <v>46</v>
      </c>
      <c r="F1636">
        <v>2045</v>
      </c>
      <c r="G1636">
        <v>1356338.1140000001</v>
      </c>
      <c r="H1636">
        <v>1356338.1140000001</v>
      </c>
      <c r="I1636">
        <v>1</v>
      </c>
    </row>
    <row r="1637" spans="1:9">
      <c r="A1637" t="s">
        <v>305</v>
      </c>
      <c r="B1637" t="s">
        <v>306</v>
      </c>
      <c r="C1637" t="s">
        <v>269</v>
      </c>
      <c r="D1637" t="s">
        <v>307</v>
      </c>
      <c r="E1637" t="s">
        <v>46</v>
      </c>
      <c r="F1637">
        <v>2046</v>
      </c>
      <c r="G1637">
        <v>1433940.101</v>
      </c>
      <c r="H1637">
        <v>1433940.101</v>
      </c>
      <c r="I1637">
        <v>1</v>
      </c>
    </row>
    <row r="1638" spans="1:9">
      <c r="A1638" t="s">
        <v>305</v>
      </c>
      <c r="B1638" t="s">
        <v>306</v>
      </c>
      <c r="C1638" t="s">
        <v>269</v>
      </c>
      <c r="D1638" t="s">
        <v>307</v>
      </c>
      <c r="E1638" t="s">
        <v>46</v>
      </c>
      <c r="F1638">
        <v>2047</v>
      </c>
      <c r="G1638">
        <v>1523604.415</v>
      </c>
      <c r="H1638">
        <v>1523604.415</v>
      </c>
      <c r="I1638">
        <v>1</v>
      </c>
    </row>
    <row r="1639" spans="1:9">
      <c r="A1639" t="s">
        <v>305</v>
      </c>
      <c r="B1639" t="s">
        <v>306</v>
      </c>
      <c r="C1639" t="s">
        <v>269</v>
      </c>
      <c r="D1639" t="s">
        <v>307</v>
      </c>
      <c r="E1639" t="s">
        <v>46</v>
      </c>
      <c r="F1639">
        <v>2048</v>
      </c>
      <c r="G1639">
        <v>1556151.831</v>
      </c>
      <c r="H1639">
        <v>1556151.831</v>
      </c>
      <c r="I1639">
        <v>1</v>
      </c>
    </row>
    <row r="1640" spans="1:9">
      <c r="A1640" t="s">
        <v>305</v>
      </c>
      <c r="B1640" t="s">
        <v>306</v>
      </c>
      <c r="C1640" t="s">
        <v>269</v>
      </c>
      <c r="D1640" t="s">
        <v>307</v>
      </c>
      <c r="E1640" t="s">
        <v>46</v>
      </c>
      <c r="F1640">
        <v>2049</v>
      </c>
      <c r="G1640">
        <v>1629685.5379999999</v>
      </c>
      <c r="H1640">
        <v>1629685.5379999999</v>
      </c>
      <c r="I1640">
        <v>1</v>
      </c>
    </row>
    <row r="1641" spans="1:9">
      <c r="A1641" t="s">
        <v>305</v>
      </c>
      <c r="B1641" t="s">
        <v>306</v>
      </c>
      <c r="C1641" t="s">
        <v>269</v>
      </c>
      <c r="D1641" t="s">
        <v>307</v>
      </c>
      <c r="E1641" t="s">
        <v>46</v>
      </c>
      <c r="F1641">
        <v>2050</v>
      </c>
      <c r="G1641">
        <v>1663566.7830000001</v>
      </c>
      <c r="H1641">
        <v>1663566.7830000001</v>
      </c>
      <c r="I1641">
        <v>1</v>
      </c>
    </row>
    <row r="1642" spans="1:9">
      <c r="A1642" t="s">
        <v>308</v>
      </c>
      <c r="B1642" t="s">
        <v>309</v>
      </c>
      <c r="C1642" t="s">
        <v>269</v>
      </c>
      <c r="D1642" t="s">
        <v>25</v>
      </c>
      <c r="E1642" t="s">
        <v>40</v>
      </c>
      <c r="F1642">
        <v>2010</v>
      </c>
      <c r="G1642">
        <v>60253.274969999999</v>
      </c>
      <c r="H1642">
        <v>60253.274969999999</v>
      </c>
      <c r="I1642">
        <v>1</v>
      </c>
    </row>
    <row r="1643" spans="1:9">
      <c r="A1643" t="s">
        <v>308</v>
      </c>
      <c r="B1643" t="s">
        <v>309</v>
      </c>
      <c r="C1643" t="s">
        <v>269</v>
      </c>
      <c r="D1643" t="s">
        <v>25</v>
      </c>
      <c r="E1643" t="s">
        <v>40</v>
      </c>
      <c r="F1643">
        <v>2011</v>
      </c>
      <c r="G1643">
        <v>59298.575550000001</v>
      </c>
      <c r="H1643">
        <v>59298.575550000001</v>
      </c>
      <c r="I1643">
        <v>1</v>
      </c>
    </row>
    <row r="1644" spans="1:9">
      <c r="A1644" t="s">
        <v>308</v>
      </c>
      <c r="B1644" t="s">
        <v>309</v>
      </c>
      <c r="C1644" t="s">
        <v>269</v>
      </c>
      <c r="D1644" t="s">
        <v>25</v>
      </c>
      <c r="E1644" t="s">
        <v>40</v>
      </c>
      <c r="F1644">
        <v>2012</v>
      </c>
      <c r="G1644">
        <v>56471.515979999996</v>
      </c>
      <c r="H1644">
        <v>56471.515979999996</v>
      </c>
      <c r="I1644">
        <v>1</v>
      </c>
    </row>
    <row r="1645" spans="1:9">
      <c r="A1645" t="s">
        <v>308</v>
      </c>
      <c r="B1645" t="s">
        <v>309</v>
      </c>
      <c r="C1645" t="s">
        <v>269</v>
      </c>
      <c r="D1645" t="s">
        <v>25</v>
      </c>
      <c r="E1645" t="s">
        <v>40</v>
      </c>
      <c r="F1645">
        <v>2013</v>
      </c>
      <c r="G1645">
        <v>52293.449090000002</v>
      </c>
      <c r="H1645">
        <v>52293.449090000002</v>
      </c>
      <c r="I1645">
        <v>1</v>
      </c>
    </row>
    <row r="1646" spans="1:9">
      <c r="A1646" t="s">
        <v>308</v>
      </c>
      <c r="B1646" t="s">
        <v>309</v>
      </c>
      <c r="C1646" t="s">
        <v>269</v>
      </c>
      <c r="D1646" t="s">
        <v>25</v>
      </c>
      <c r="E1646" t="s">
        <v>40</v>
      </c>
      <c r="F1646">
        <v>2014</v>
      </c>
      <c r="G1646">
        <v>47445.866099999999</v>
      </c>
      <c r="H1646">
        <v>47445.866099999999</v>
      </c>
      <c r="I1646">
        <v>1</v>
      </c>
    </row>
    <row r="1647" spans="1:9">
      <c r="A1647" t="s">
        <v>308</v>
      </c>
      <c r="B1647" t="s">
        <v>309</v>
      </c>
      <c r="C1647" t="s">
        <v>269</v>
      </c>
      <c r="D1647" t="s">
        <v>25</v>
      </c>
      <c r="E1647" t="s">
        <v>40</v>
      </c>
      <c r="F1647">
        <v>2015</v>
      </c>
      <c r="G1647">
        <v>40965.430569999997</v>
      </c>
      <c r="H1647">
        <v>40965.430569999997</v>
      </c>
      <c r="I1647">
        <v>1</v>
      </c>
    </row>
    <row r="1648" spans="1:9">
      <c r="A1648" t="s">
        <v>308</v>
      </c>
      <c r="B1648" t="s">
        <v>309</v>
      </c>
      <c r="C1648" t="s">
        <v>269</v>
      </c>
      <c r="D1648" t="s">
        <v>25</v>
      </c>
      <c r="E1648" t="s">
        <v>40</v>
      </c>
      <c r="F1648">
        <v>2016</v>
      </c>
      <c r="G1648">
        <v>34567.678950000001</v>
      </c>
      <c r="H1648">
        <v>34567.678950000001</v>
      </c>
      <c r="I1648">
        <v>1</v>
      </c>
    </row>
    <row r="1649" spans="1:9">
      <c r="A1649" t="s">
        <v>308</v>
      </c>
      <c r="B1649" t="s">
        <v>309</v>
      </c>
      <c r="C1649" t="s">
        <v>269</v>
      </c>
      <c r="D1649" t="s">
        <v>25</v>
      </c>
      <c r="E1649" t="s">
        <v>40</v>
      </c>
      <c r="F1649">
        <v>2017</v>
      </c>
      <c r="G1649">
        <v>28343.944520000001</v>
      </c>
      <c r="H1649">
        <v>28343.944520000001</v>
      </c>
      <c r="I1649">
        <v>1</v>
      </c>
    </row>
    <row r="1650" spans="1:9">
      <c r="A1650" t="s">
        <v>308</v>
      </c>
      <c r="B1650" t="s">
        <v>309</v>
      </c>
      <c r="C1650" t="s">
        <v>269</v>
      </c>
      <c r="D1650" t="s">
        <v>25</v>
      </c>
      <c r="E1650" t="s">
        <v>40</v>
      </c>
      <c r="F1650">
        <v>2018</v>
      </c>
      <c r="G1650">
        <v>22397.812989999999</v>
      </c>
      <c r="H1650">
        <v>22397.812989999999</v>
      </c>
      <c r="I1650">
        <v>1</v>
      </c>
    </row>
    <row r="1651" spans="1:9">
      <c r="A1651" t="s">
        <v>308</v>
      </c>
      <c r="B1651" t="s">
        <v>309</v>
      </c>
      <c r="C1651" t="s">
        <v>269</v>
      </c>
      <c r="D1651" t="s">
        <v>25</v>
      </c>
      <c r="E1651" t="s">
        <v>40</v>
      </c>
      <c r="F1651">
        <v>2019</v>
      </c>
      <c r="G1651">
        <v>16845.588039999999</v>
      </c>
      <c r="H1651">
        <v>16845.588039999999</v>
      </c>
      <c r="I1651">
        <v>1</v>
      </c>
    </row>
    <row r="1652" spans="1:9">
      <c r="A1652" t="s">
        <v>308</v>
      </c>
      <c r="B1652" t="s">
        <v>309</v>
      </c>
      <c r="C1652" t="s">
        <v>269</v>
      </c>
      <c r="D1652" t="s">
        <v>25</v>
      </c>
      <c r="E1652" t="s">
        <v>40</v>
      </c>
      <c r="F1652">
        <v>2020</v>
      </c>
      <c r="G1652">
        <v>11817.13075</v>
      </c>
      <c r="H1652">
        <v>11817.13075</v>
      </c>
      <c r="I1652">
        <v>1</v>
      </c>
    </row>
    <row r="1653" spans="1:9">
      <c r="A1653" t="s">
        <v>308</v>
      </c>
      <c r="B1653" t="s">
        <v>309</v>
      </c>
      <c r="C1653" t="s">
        <v>269</v>
      </c>
      <c r="D1653" t="s">
        <v>25</v>
      </c>
      <c r="E1653" t="s">
        <v>40</v>
      </c>
      <c r="F1653">
        <v>2021</v>
      </c>
      <c r="G1653">
        <v>8698.2045720000006</v>
      </c>
      <c r="H1653">
        <v>8698.2045720000006</v>
      </c>
      <c r="I1653">
        <v>1</v>
      </c>
    </row>
    <row r="1654" spans="1:9">
      <c r="A1654" t="s">
        <v>308</v>
      </c>
      <c r="B1654" t="s">
        <v>309</v>
      </c>
      <c r="C1654" t="s">
        <v>269</v>
      </c>
      <c r="D1654" t="s">
        <v>25</v>
      </c>
      <c r="E1654" t="s">
        <v>40</v>
      </c>
      <c r="F1654">
        <v>2022</v>
      </c>
      <c r="G1654">
        <v>6528.7317270000003</v>
      </c>
      <c r="H1654">
        <v>6528.7317270000003</v>
      </c>
      <c r="I1654">
        <v>1</v>
      </c>
    </row>
    <row r="1655" spans="1:9">
      <c r="A1655" t="s">
        <v>308</v>
      </c>
      <c r="B1655" t="s">
        <v>309</v>
      </c>
      <c r="C1655" t="s">
        <v>269</v>
      </c>
      <c r="D1655" t="s">
        <v>25</v>
      </c>
      <c r="E1655" t="s">
        <v>40</v>
      </c>
      <c r="F1655">
        <v>2023</v>
      </c>
      <c r="G1655">
        <v>4113.6285660000003</v>
      </c>
      <c r="H1655">
        <v>4113.6285660000003</v>
      </c>
      <c r="I1655">
        <v>1</v>
      </c>
    </row>
    <row r="1656" spans="1:9">
      <c r="A1656" t="s">
        <v>308</v>
      </c>
      <c r="B1656" t="s">
        <v>309</v>
      </c>
      <c r="C1656" t="s">
        <v>269</v>
      </c>
      <c r="D1656" t="s">
        <v>25</v>
      </c>
      <c r="E1656" t="s">
        <v>40</v>
      </c>
      <c r="F1656">
        <v>2024</v>
      </c>
      <c r="G1656">
        <v>2878.13256</v>
      </c>
      <c r="H1656">
        <v>2878.13256</v>
      </c>
      <c r="I1656">
        <v>1</v>
      </c>
    </row>
    <row r="1657" spans="1:9">
      <c r="A1657" t="s">
        <v>308</v>
      </c>
      <c r="B1657" t="s">
        <v>309</v>
      </c>
      <c r="C1657" t="s">
        <v>269</v>
      </c>
      <c r="D1657" t="s">
        <v>25</v>
      </c>
      <c r="E1657" t="s">
        <v>40</v>
      </c>
      <c r="F1657">
        <v>2025</v>
      </c>
      <c r="G1657">
        <v>1509.3807999999999</v>
      </c>
      <c r="H1657">
        <v>1509.3807999999999</v>
      </c>
      <c r="I1657">
        <v>1</v>
      </c>
    </row>
    <row r="1658" spans="1:9">
      <c r="A1658" t="s">
        <v>308</v>
      </c>
      <c r="B1658" t="s">
        <v>309</v>
      </c>
      <c r="C1658" t="s">
        <v>269</v>
      </c>
      <c r="D1658" t="s">
        <v>25</v>
      </c>
      <c r="E1658" t="s">
        <v>40</v>
      </c>
      <c r="F1658">
        <v>2026</v>
      </c>
      <c r="G1658">
        <v>1582.182258</v>
      </c>
      <c r="H1658">
        <v>1582.182258</v>
      </c>
      <c r="I1658">
        <v>1</v>
      </c>
    </row>
    <row r="1659" spans="1:9">
      <c r="A1659" t="s">
        <v>308</v>
      </c>
      <c r="B1659" t="s">
        <v>309</v>
      </c>
      <c r="C1659" t="s">
        <v>269</v>
      </c>
      <c r="D1659" t="s">
        <v>25</v>
      </c>
      <c r="E1659" t="s">
        <v>40</v>
      </c>
      <c r="F1659">
        <v>2027</v>
      </c>
      <c r="G1659">
        <v>0</v>
      </c>
      <c r="H1659">
        <v>0</v>
      </c>
      <c r="I1659">
        <v>1</v>
      </c>
    </row>
    <row r="1660" spans="1:9">
      <c r="A1660" t="s">
        <v>308</v>
      </c>
      <c r="B1660" t="s">
        <v>309</v>
      </c>
      <c r="C1660" t="s">
        <v>269</v>
      </c>
      <c r="D1660" t="s">
        <v>25</v>
      </c>
      <c r="E1660" t="s">
        <v>40</v>
      </c>
      <c r="F1660">
        <v>2028</v>
      </c>
      <c r="G1660">
        <v>0</v>
      </c>
      <c r="H1660">
        <v>0</v>
      </c>
      <c r="I1660">
        <v>1</v>
      </c>
    </row>
    <row r="1661" spans="1:9">
      <c r="A1661" t="s">
        <v>308</v>
      </c>
      <c r="B1661" t="s">
        <v>309</v>
      </c>
      <c r="C1661" t="s">
        <v>269</v>
      </c>
      <c r="D1661" t="s">
        <v>25</v>
      </c>
      <c r="E1661" t="s">
        <v>40</v>
      </c>
      <c r="F1661">
        <v>2029</v>
      </c>
      <c r="G1661">
        <v>0</v>
      </c>
      <c r="H1661">
        <v>0</v>
      </c>
      <c r="I1661">
        <v>1</v>
      </c>
    </row>
    <row r="1662" spans="1:9">
      <c r="A1662" t="s">
        <v>308</v>
      </c>
      <c r="B1662" t="s">
        <v>309</v>
      </c>
      <c r="C1662" t="s">
        <v>269</v>
      </c>
      <c r="D1662" t="s">
        <v>25</v>
      </c>
      <c r="E1662" t="s">
        <v>40</v>
      </c>
      <c r="F1662">
        <v>2030</v>
      </c>
      <c r="G1662">
        <v>0</v>
      </c>
      <c r="H1662">
        <v>0</v>
      </c>
      <c r="I1662">
        <v>1</v>
      </c>
    </row>
    <row r="1663" spans="1:9">
      <c r="A1663" t="s">
        <v>308</v>
      </c>
      <c r="B1663" t="s">
        <v>309</v>
      </c>
      <c r="C1663" t="s">
        <v>269</v>
      </c>
      <c r="D1663" t="s">
        <v>25</v>
      </c>
      <c r="E1663" t="s">
        <v>40</v>
      </c>
      <c r="F1663">
        <v>2031</v>
      </c>
      <c r="G1663">
        <v>0</v>
      </c>
      <c r="H1663">
        <v>0</v>
      </c>
      <c r="I1663">
        <v>1</v>
      </c>
    </row>
    <row r="1664" spans="1:9">
      <c r="A1664" t="s">
        <v>308</v>
      </c>
      <c r="B1664" t="s">
        <v>309</v>
      </c>
      <c r="C1664" t="s">
        <v>269</v>
      </c>
      <c r="D1664" t="s">
        <v>25</v>
      </c>
      <c r="E1664" t="s">
        <v>40</v>
      </c>
      <c r="F1664">
        <v>2032</v>
      </c>
      <c r="G1664">
        <v>0</v>
      </c>
      <c r="H1664">
        <v>0</v>
      </c>
      <c r="I1664">
        <v>1</v>
      </c>
    </row>
    <row r="1665" spans="1:9">
      <c r="A1665" t="s">
        <v>308</v>
      </c>
      <c r="B1665" t="s">
        <v>309</v>
      </c>
      <c r="C1665" t="s">
        <v>269</v>
      </c>
      <c r="D1665" t="s">
        <v>25</v>
      </c>
      <c r="E1665" t="s">
        <v>40</v>
      </c>
      <c r="F1665">
        <v>2033</v>
      </c>
      <c r="G1665">
        <v>0</v>
      </c>
      <c r="H1665">
        <v>0</v>
      </c>
      <c r="I1665">
        <v>1</v>
      </c>
    </row>
    <row r="1666" spans="1:9">
      <c r="A1666" t="s">
        <v>308</v>
      </c>
      <c r="B1666" t="s">
        <v>309</v>
      </c>
      <c r="C1666" t="s">
        <v>269</v>
      </c>
      <c r="D1666" t="s">
        <v>25</v>
      </c>
      <c r="E1666" t="s">
        <v>40</v>
      </c>
      <c r="F1666">
        <v>2034</v>
      </c>
      <c r="G1666">
        <v>0</v>
      </c>
      <c r="H1666">
        <v>0</v>
      </c>
      <c r="I1666">
        <v>1</v>
      </c>
    </row>
    <row r="1667" spans="1:9">
      <c r="A1667" t="s">
        <v>308</v>
      </c>
      <c r="B1667" t="s">
        <v>309</v>
      </c>
      <c r="C1667" t="s">
        <v>269</v>
      </c>
      <c r="D1667" t="s">
        <v>25</v>
      </c>
      <c r="E1667" t="s">
        <v>40</v>
      </c>
      <c r="F1667">
        <v>2035</v>
      </c>
      <c r="G1667">
        <v>0</v>
      </c>
      <c r="H1667">
        <v>0</v>
      </c>
      <c r="I1667">
        <v>1</v>
      </c>
    </row>
    <row r="1668" spans="1:9">
      <c r="A1668" t="s">
        <v>308</v>
      </c>
      <c r="B1668" t="s">
        <v>309</v>
      </c>
      <c r="C1668" t="s">
        <v>269</v>
      </c>
      <c r="D1668" t="s">
        <v>25</v>
      </c>
      <c r="E1668" t="s">
        <v>40</v>
      </c>
      <c r="F1668">
        <v>2036</v>
      </c>
      <c r="G1668">
        <v>0</v>
      </c>
      <c r="H1668">
        <v>0</v>
      </c>
      <c r="I1668">
        <v>1</v>
      </c>
    </row>
    <row r="1669" spans="1:9">
      <c r="A1669" t="s">
        <v>308</v>
      </c>
      <c r="B1669" t="s">
        <v>309</v>
      </c>
      <c r="C1669" t="s">
        <v>269</v>
      </c>
      <c r="D1669" t="s">
        <v>25</v>
      </c>
      <c r="E1669" t="s">
        <v>40</v>
      </c>
      <c r="F1669">
        <v>2037</v>
      </c>
      <c r="G1669">
        <v>0</v>
      </c>
      <c r="H1669">
        <v>0</v>
      </c>
      <c r="I1669">
        <v>1</v>
      </c>
    </row>
    <row r="1670" spans="1:9">
      <c r="A1670" t="s">
        <v>308</v>
      </c>
      <c r="B1670" t="s">
        <v>309</v>
      </c>
      <c r="C1670" t="s">
        <v>269</v>
      </c>
      <c r="D1670" t="s">
        <v>25</v>
      </c>
      <c r="E1670" t="s">
        <v>40</v>
      </c>
      <c r="F1670">
        <v>2038</v>
      </c>
      <c r="G1670">
        <v>0</v>
      </c>
      <c r="H1670">
        <v>0</v>
      </c>
      <c r="I1670">
        <v>1</v>
      </c>
    </row>
    <row r="1671" spans="1:9">
      <c r="A1671" t="s">
        <v>308</v>
      </c>
      <c r="B1671" t="s">
        <v>309</v>
      </c>
      <c r="C1671" t="s">
        <v>269</v>
      </c>
      <c r="D1671" t="s">
        <v>25</v>
      </c>
      <c r="E1671" t="s">
        <v>40</v>
      </c>
      <c r="F1671">
        <v>2039</v>
      </c>
      <c r="G1671">
        <v>0</v>
      </c>
      <c r="H1671">
        <v>0</v>
      </c>
      <c r="I1671">
        <v>1</v>
      </c>
    </row>
    <row r="1672" spans="1:9">
      <c r="A1672" t="s">
        <v>308</v>
      </c>
      <c r="B1672" t="s">
        <v>309</v>
      </c>
      <c r="C1672" t="s">
        <v>269</v>
      </c>
      <c r="D1672" t="s">
        <v>25</v>
      </c>
      <c r="E1672" t="s">
        <v>40</v>
      </c>
      <c r="F1672">
        <v>2040</v>
      </c>
      <c r="G1672">
        <v>0</v>
      </c>
      <c r="H1672">
        <v>0</v>
      </c>
      <c r="I1672">
        <v>1</v>
      </c>
    </row>
    <row r="1673" spans="1:9">
      <c r="A1673" t="s">
        <v>308</v>
      </c>
      <c r="B1673" t="s">
        <v>309</v>
      </c>
      <c r="C1673" t="s">
        <v>269</v>
      </c>
      <c r="D1673" t="s">
        <v>25</v>
      </c>
      <c r="E1673" t="s">
        <v>40</v>
      </c>
      <c r="F1673">
        <v>2041</v>
      </c>
      <c r="G1673">
        <v>0</v>
      </c>
      <c r="H1673">
        <v>0</v>
      </c>
      <c r="I1673">
        <v>1</v>
      </c>
    </row>
    <row r="1674" spans="1:9">
      <c r="A1674" t="s">
        <v>308</v>
      </c>
      <c r="B1674" t="s">
        <v>309</v>
      </c>
      <c r="C1674" t="s">
        <v>269</v>
      </c>
      <c r="D1674" t="s">
        <v>25</v>
      </c>
      <c r="E1674" t="s">
        <v>40</v>
      </c>
      <c r="F1674">
        <v>2042</v>
      </c>
      <c r="G1674">
        <v>0</v>
      </c>
      <c r="H1674">
        <v>0</v>
      </c>
      <c r="I1674">
        <v>1</v>
      </c>
    </row>
    <row r="1675" spans="1:9">
      <c r="A1675" t="s">
        <v>308</v>
      </c>
      <c r="B1675" t="s">
        <v>309</v>
      </c>
      <c r="C1675" t="s">
        <v>269</v>
      </c>
      <c r="D1675" t="s">
        <v>25</v>
      </c>
      <c r="E1675" t="s">
        <v>40</v>
      </c>
      <c r="F1675">
        <v>2043</v>
      </c>
      <c r="G1675">
        <v>0</v>
      </c>
      <c r="H1675">
        <v>0</v>
      </c>
      <c r="I1675">
        <v>1</v>
      </c>
    </row>
    <row r="1676" spans="1:9">
      <c r="A1676" t="s">
        <v>308</v>
      </c>
      <c r="B1676" t="s">
        <v>309</v>
      </c>
      <c r="C1676" t="s">
        <v>269</v>
      </c>
      <c r="D1676" t="s">
        <v>25</v>
      </c>
      <c r="E1676" t="s">
        <v>40</v>
      </c>
      <c r="F1676">
        <v>2044</v>
      </c>
      <c r="G1676">
        <v>0</v>
      </c>
      <c r="H1676">
        <v>0</v>
      </c>
      <c r="I1676">
        <v>1</v>
      </c>
    </row>
    <row r="1677" spans="1:9">
      <c r="A1677" t="s">
        <v>308</v>
      </c>
      <c r="B1677" t="s">
        <v>309</v>
      </c>
      <c r="C1677" t="s">
        <v>269</v>
      </c>
      <c r="D1677" t="s">
        <v>25</v>
      </c>
      <c r="E1677" t="s">
        <v>40</v>
      </c>
      <c r="F1677">
        <v>2045</v>
      </c>
      <c r="G1677">
        <v>0</v>
      </c>
      <c r="H1677">
        <v>0</v>
      </c>
      <c r="I1677">
        <v>1</v>
      </c>
    </row>
    <row r="1678" spans="1:9">
      <c r="A1678" t="s">
        <v>308</v>
      </c>
      <c r="B1678" t="s">
        <v>309</v>
      </c>
      <c r="C1678" t="s">
        <v>269</v>
      </c>
      <c r="D1678" t="s">
        <v>25</v>
      </c>
      <c r="E1678" t="s">
        <v>40</v>
      </c>
      <c r="F1678">
        <v>2046</v>
      </c>
      <c r="G1678">
        <v>0</v>
      </c>
      <c r="H1678">
        <v>0</v>
      </c>
      <c r="I1678">
        <v>1</v>
      </c>
    </row>
    <row r="1679" spans="1:9">
      <c r="A1679" t="s">
        <v>308</v>
      </c>
      <c r="B1679" t="s">
        <v>309</v>
      </c>
      <c r="C1679" t="s">
        <v>269</v>
      </c>
      <c r="D1679" t="s">
        <v>25</v>
      </c>
      <c r="E1679" t="s">
        <v>40</v>
      </c>
      <c r="F1679">
        <v>2047</v>
      </c>
      <c r="G1679">
        <v>0</v>
      </c>
      <c r="H1679">
        <v>0</v>
      </c>
      <c r="I1679">
        <v>1</v>
      </c>
    </row>
    <row r="1680" spans="1:9">
      <c r="A1680" t="s">
        <v>308</v>
      </c>
      <c r="B1680" t="s">
        <v>309</v>
      </c>
      <c r="C1680" t="s">
        <v>269</v>
      </c>
      <c r="D1680" t="s">
        <v>25</v>
      </c>
      <c r="E1680" t="s">
        <v>40</v>
      </c>
      <c r="F1680">
        <v>2048</v>
      </c>
      <c r="G1680">
        <v>0</v>
      </c>
      <c r="H1680">
        <v>0</v>
      </c>
      <c r="I1680">
        <v>1</v>
      </c>
    </row>
    <row r="1681" spans="1:9">
      <c r="A1681" t="s">
        <v>308</v>
      </c>
      <c r="B1681" t="s">
        <v>309</v>
      </c>
      <c r="C1681" t="s">
        <v>269</v>
      </c>
      <c r="D1681" t="s">
        <v>25</v>
      </c>
      <c r="E1681" t="s">
        <v>40</v>
      </c>
      <c r="F1681">
        <v>2049</v>
      </c>
      <c r="G1681">
        <v>0</v>
      </c>
      <c r="H1681">
        <v>0</v>
      </c>
      <c r="I1681">
        <v>1</v>
      </c>
    </row>
    <row r="1682" spans="1:9">
      <c r="A1682" t="s">
        <v>308</v>
      </c>
      <c r="B1682" t="s">
        <v>309</v>
      </c>
      <c r="C1682" t="s">
        <v>269</v>
      </c>
      <c r="D1682" t="s">
        <v>25</v>
      </c>
      <c r="E1682" t="s">
        <v>40</v>
      </c>
      <c r="F1682">
        <v>2050</v>
      </c>
      <c r="G1682">
        <v>0</v>
      </c>
      <c r="H1682">
        <v>0</v>
      </c>
      <c r="I1682">
        <v>1</v>
      </c>
    </row>
    <row r="1683" spans="1:9">
      <c r="A1683" t="s">
        <v>308</v>
      </c>
      <c r="B1683" t="s">
        <v>309</v>
      </c>
      <c r="C1683" t="s">
        <v>269</v>
      </c>
      <c r="D1683" t="s">
        <v>26</v>
      </c>
      <c r="E1683" t="s">
        <v>40</v>
      </c>
      <c r="F1683">
        <v>2010</v>
      </c>
      <c r="G1683">
        <v>7083.5649199999998</v>
      </c>
      <c r="H1683">
        <v>7083.5649199999998</v>
      </c>
      <c r="I1683">
        <v>1</v>
      </c>
    </row>
    <row r="1684" spans="1:9">
      <c r="A1684" t="s">
        <v>308</v>
      </c>
      <c r="B1684" t="s">
        <v>309</v>
      </c>
      <c r="C1684" t="s">
        <v>269</v>
      </c>
      <c r="D1684" t="s">
        <v>26</v>
      </c>
      <c r="E1684" t="s">
        <v>40</v>
      </c>
      <c r="F1684">
        <v>2011</v>
      </c>
      <c r="G1684">
        <v>7240.2203900000004</v>
      </c>
      <c r="H1684">
        <v>7240.2203900000004</v>
      </c>
      <c r="I1684">
        <v>1</v>
      </c>
    </row>
    <row r="1685" spans="1:9">
      <c r="A1685" t="s">
        <v>308</v>
      </c>
      <c r="B1685" t="s">
        <v>309</v>
      </c>
      <c r="C1685" t="s">
        <v>269</v>
      </c>
      <c r="D1685" t="s">
        <v>26</v>
      </c>
      <c r="E1685" t="s">
        <v>40</v>
      </c>
      <c r="F1685">
        <v>2012</v>
      </c>
      <c r="G1685">
        <v>7397.4341889999996</v>
      </c>
      <c r="H1685">
        <v>7397.4341889999996</v>
      </c>
      <c r="I1685">
        <v>1</v>
      </c>
    </row>
    <row r="1686" spans="1:9">
      <c r="A1686" t="s">
        <v>308</v>
      </c>
      <c r="B1686" t="s">
        <v>309</v>
      </c>
      <c r="C1686" t="s">
        <v>269</v>
      </c>
      <c r="D1686" t="s">
        <v>26</v>
      </c>
      <c r="E1686" t="s">
        <v>40</v>
      </c>
      <c r="F1686">
        <v>2013</v>
      </c>
      <c r="G1686">
        <v>7555.5134840000001</v>
      </c>
      <c r="H1686">
        <v>7555.5134840000001</v>
      </c>
      <c r="I1686">
        <v>1</v>
      </c>
    </row>
    <row r="1687" spans="1:9">
      <c r="A1687" t="s">
        <v>308</v>
      </c>
      <c r="B1687" t="s">
        <v>309</v>
      </c>
      <c r="C1687" t="s">
        <v>269</v>
      </c>
      <c r="D1687" t="s">
        <v>26</v>
      </c>
      <c r="E1687" t="s">
        <v>40</v>
      </c>
      <c r="F1687">
        <v>2014</v>
      </c>
      <c r="G1687">
        <v>7714.8855729999996</v>
      </c>
      <c r="H1687">
        <v>7714.8855729999996</v>
      </c>
      <c r="I1687">
        <v>1</v>
      </c>
    </row>
    <row r="1688" spans="1:9">
      <c r="A1688" t="s">
        <v>308</v>
      </c>
      <c r="B1688" t="s">
        <v>309</v>
      </c>
      <c r="C1688" t="s">
        <v>269</v>
      </c>
      <c r="D1688" t="s">
        <v>26</v>
      </c>
      <c r="E1688" t="s">
        <v>40</v>
      </c>
      <c r="F1688">
        <v>2015</v>
      </c>
      <c r="G1688">
        <v>7875.7691279999999</v>
      </c>
      <c r="H1688">
        <v>7875.7691279999999</v>
      </c>
      <c r="I1688">
        <v>1</v>
      </c>
    </row>
    <row r="1689" spans="1:9">
      <c r="A1689" t="s">
        <v>308</v>
      </c>
      <c r="B1689" t="s">
        <v>309</v>
      </c>
      <c r="C1689" t="s">
        <v>269</v>
      </c>
      <c r="D1689" t="s">
        <v>26</v>
      </c>
      <c r="E1689" t="s">
        <v>40</v>
      </c>
      <c r="F1689">
        <v>2016</v>
      </c>
      <c r="G1689">
        <v>8038.0140920000003</v>
      </c>
      <c r="H1689">
        <v>8038.0140920000003</v>
      </c>
      <c r="I1689">
        <v>1</v>
      </c>
    </row>
    <row r="1690" spans="1:9">
      <c r="A1690" t="s">
        <v>308</v>
      </c>
      <c r="B1690" t="s">
        <v>309</v>
      </c>
      <c r="C1690" t="s">
        <v>269</v>
      </c>
      <c r="D1690" t="s">
        <v>26</v>
      </c>
      <c r="E1690" t="s">
        <v>40</v>
      </c>
      <c r="F1690">
        <v>2017</v>
      </c>
      <c r="G1690">
        <v>8201.2006490000003</v>
      </c>
      <c r="H1690">
        <v>8201.2006490000003</v>
      </c>
      <c r="I1690">
        <v>1</v>
      </c>
    </row>
    <row r="1691" spans="1:9">
      <c r="A1691" t="s">
        <v>308</v>
      </c>
      <c r="B1691" t="s">
        <v>309</v>
      </c>
      <c r="C1691" t="s">
        <v>269</v>
      </c>
      <c r="D1691" t="s">
        <v>26</v>
      </c>
      <c r="E1691" t="s">
        <v>40</v>
      </c>
      <c r="F1691">
        <v>2018</v>
      </c>
      <c r="G1691">
        <v>6273.647911</v>
      </c>
      <c r="H1691">
        <v>6273.647911</v>
      </c>
      <c r="I1691">
        <v>1</v>
      </c>
    </row>
    <row r="1692" spans="1:9">
      <c r="A1692" t="s">
        <v>308</v>
      </c>
      <c r="B1692" t="s">
        <v>309</v>
      </c>
      <c r="C1692" t="s">
        <v>269</v>
      </c>
      <c r="D1692" t="s">
        <v>26</v>
      </c>
      <c r="E1692" t="s">
        <v>40</v>
      </c>
      <c r="F1692">
        <v>2019</v>
      </c>
      <c r="G1692">
        <v>6396.341308</v>
      </c>
      <c r="H1692">
        <v>6396.341308</v>
      </c>
      <c r="I1692">
        <v>1</v>
      </c>
    </row>
    <row r="1693" spans="1:9">
      <c r="A1693" t="s">
        <v>308</v>
      </c>
      <c r="B1693" t="s">
        <v>309</v>
      </c>
      <c r="C1693" t="s">
        <v>269</v>
      </c>
      <c r="D1693" t="s">
        <v>26</v>
      </c>
      <c r="E1693" t="s">
        <v>40</v>
      </c>
      <c r="F1693">
        <v>2020</v>
      </c>
      <c r="G1693">
        <v>6518.6789630000003</v>
      </c>
      <c r="H1693">
        <v>6518.6789630000003</v>
      </c>
      <c r="I1693">
        <v>1</v>
      </c>
    </row>
    <row r="1694" spans="1:9">
      <c r="A1694" t="s">
        <v>308</v>
      </c>
      <c r="B1694" t="s">
        <v>309</v>
      </c>
      <c r="C1694" t="s">
        <v>269</v>
      </c>
      <c r="D1694" t="s">
        <v>26</v>
      </c>
      <c r="E1694" t="s">
        <v>40</v>
      </c>
      <c r="F1694">
        <v>2021</v>
      </c>
      <c r="G1694">
        <v>6640.4952679999997</v>
      </c>
      <c r="H1694">
        <v>6640.4952679999997</v>
      </c>
      <c r="I1694">
        <v>1</v>
      </c>
    </row>
    <row r="1695" spans="1:9">
      <c r="A1695" t="s">
        <v>308</v>
      </c>
      <c r="B1695" t="s">
        <v>309</v>
      </c>
      <c r="C1695" t="s">
        <v>269</v>
      </c>
      <c r="D1695" t="s">
        <v>26</v>
      </c>
      <c r="E1695" t="s">
        <v>40</v>
      </c>
      <c r="F1695">
        <v>2022</v>
      </c>
      <c r="G1695">
        <v>6761.7988800000003</v>
      </c>
      <c r="H1695">
        <v>6761.7988800000003</v>
      </c>
      <c r="I1695">
        <v>1</v>
      </c>
    </row>
    <row r="1696" spans="1:9">
      <c r="A1696" t="s">
        <v>308</v>
      </c>
      <c r="B1696" t="s">
        <v>309</v>
      </c>
      <c r="C1696" t="s">
        <v>269</v>
      </c>
      <c r="D1696" t="s">
        <v>26</v>
      </c>
      <c r="E1696" t="s">
        <v>40</v>
      </c>
      <c r="F1696">
        <v>2023</v>
      </c>
      <c r="G1696">
        <v>6882.6839049999999</v>
      </c>
      <c r="H1696">
        <v>6882.6839049999999</v>
      </c>
      <c r="I1696">
        <v>1</v>
      </c>
    </row>
    <row r="1697" spans="1:9">
      <c r="A1697" t="s">
        <v>308</v>
      </c>
      <c r="B1697" t="s">
        <v>309</v>
      </c>
      <c r="C1697" t="s">
        <v>269</v>
      </c>
      <c r="D1697" t="s">
        <v>26</v>
      </c>
      <c r="E1697" t="s">
        <v>40</v>
      </c>
      <c r="F1697">
        <v>2024</v>
      </c>
      <c r="G1697">
        <v>5836.1065120000003</v>
      </c>
      <c r="H1697">
        <v>5836.1065120000003</v>
      </c>
      <c r="I1697">
        <v>1</v>
      </c>
    </row>
    <row r="1698" spans="1:9">
      <c r="A1698" t="s">
        <v>308</v>
      </c>
      <c r="B1698" t="s">
        <v>309</v>
      </c>
      <c r="C1698" t="s">
        <v>269</v>
      </c>
      <c r="D1698" t="s">
        <v>26</v>
      </c>
      <c r="E1698" t="s">
        <v>40</v>
      </c>
      <c r="F1698">
        <v>2025</v>
      </c>
      <c r="G1698">
        <v>4749.2300480000004</v>
      </c>
      <c r="H1698">
        <v>4749.2300480000004</v>
      </c>
      <c r="I1698">
        <v>1</v>
      </c>
    </row>
    <row r="1699" spans="1:9">
      <c r="A1699" t="s">
        <v>308</v>
      </c>
      <c r="B1699" t="s">
        <v>309</v>
      </c>
      <c r="C1699" t="s">
        <v>269</v>
      </c>
      <c r="D1699" t="s">
        <v>26</v>
      </c>
      <c r="E1699" t="s">
        <v>40</v>
      </c>
      <c r="F1699">
        <v>2026</v>
      </c>
      <c r="G1699">
        <v>4829.4607420000002</v>
      </c>
      <c r="H1699">
        <v>4829.4607420000002</v>
      </c>
      <c r="I1699">
        <v>1</v>
      </c>
    </row>
    <row r="1700" spans="1:9">
      <c r="A1700" t="s">
        <v>308</v>
      </c>
      <c r="B1700" t="s">
        <v>309</v>
      </c>
      <c r="C1700" t="s">
        <v>269</v>
      </c>
      <c r="D1700" t="s">
        <v>26</v>
      </c>
      <c r="E1700" t="s">
        <v>40</v>
      </c>
      <c r="F1700">
        <v>2027</v>
      </c>
      <c r="G1700">
        <v>4909.5153010000004</v>
      </c>
      <c r="H1700">
        <v>4909.5153010000004</v>
      </c>
      <c r="I1700">
        <v>1</v>
      </c>
    </row>
    <row r="1701" spans="1:9">
      <c r="A1701" t="s">
        <v>308</v>
      </c>
      <c r="B1701" t="s">
        <v>309</v>
      </c>
      <c r="C1701" t="s">
        <v>269</v>
      </c>
      <c r="D1701" t="s">
        <v>26</v>
      </c>
      <c r="E1701" t="s">
        <v>40</v>
      </c>
      <c r="F1701">
        <v>2028</v>
      </c>
      <c r="G1701">
        <v>4989.393298</v>
      </c>
      <c r="H1701">
        <v>4989.393298</v>
      </c>
      <c r="I1701">
        <v>1</v>
      </c>
    </row>
    <row r="1702" spans="1:9">
      <c r="A1702" t="s">
        <v>308</v>
      </c>
      <c r="B1702" t="s">
        <v>309</v>
      </c>
      <c r="C1702" t="s">
        <v>269</v>
      </c>
      <c r="D1702" t="s">
        <v>26</v>
      </c>
      <c r="E1702" t="s">
        <v>40</v>
      </c>
      <c r="F1702">
        <v>2029</v>
      </c>
      <c r="G1702">
        <v>5069.0980470000004</v>
      </c>
      <c r="H1702">
        <v>5069.0980470000004</v>
      </c>
      <c r="I1702">
        <v>1</v>
      </c>
    </row>
    <row r="1703" spans="1:9">
      <c r="A1703" t="s">
        <v>308</v>
      </c>
      <c r="B1703" t="s">
        <v>309</v>
      </c>
      <c r="C1703" t="s">
        <v>269</v>
      </c>
      <c r="D1703" t="s">
        <v>26</v>
      </c>
      <c r="E1703" t="s">
        <v>40</v>
      </c>
      <c r="F1703">
        <v>2030</v>
      </c>
      <c r="G1703">
        <v>5148.6231330000001</v>
      </c>
      <c r="H1703">
        <v>5148.6231330000001</v>
      </c>
      <c r="I1703">
        <v>1</v>
      </c>
    </row>
    <row r="1704" spans="1:9">
      <c r="A1704" t="s">
        <v>308</v>
      </c>
      <c r="B1704" t="s">
        <v>309</v>
      </c>
      <c r="C1704" t="s">
        <v>269</v>
      </c>
      <c r="D1704" t="s">
        <v>26</v>
      </c>
      <c r="E1704" t="s">
        <v>40</v>
      </c>
      <c r="F1704">
        <v>2031</v>
      </c>
      <c r="G1704">
        <v>2613.9810729999999</v>
      </c>
      <c r="H1704">
        <v>2613.9810729999999</v>
      </c>
      <c r="I1704">
        <v>1</v>
      </c>
    </row>
    <row r="1705" spans="1:9">
      <c r="A1705" t="s">
        <v>308</v>
      </c>
      <c r="B1705" t="s">
        <v>309</v>
      </c>
      <c r="C1705" t="s">
        <v>269</v>
      </c>
      <c r="D1705" t="s">
        <v>26</v>
      </c>
      <c r="E1705" t="s">
        <v>40</v>
      </c>
      <c r="F1705">
        <v>2032</v>
      </c>
      <c r="G1705">
        <v>2653.54493</v>
      </c>
      <c r="H1705">
        <v>2653.54493</v>
      </c>
      <c r="I1705">
        <v>1</v>
      </c>
    </row>
    <row r="1706" spans="1:9">
      <c r="A1706" t="s">
        <v>308</v>
      </c>
      <c r="B1706" t="s">
        <v>309</v>
      </c>
      <c r="C1706" t="s">
        <v>269</v>
      </c>
      <c r="D1706" t="s">
        <v>26</v>
      </c>
      <c r="E1706" t="s">
        <v>40</v>
      </c>
      <c r="F1706">
        <v>2033</v>
      </c>
      <c r="G1706">
        <v>2692.9788779999999</v>
      </c>
      <c r="H1706">
        <v>2692.9788779999999</v>
      </c>
      <c r="I1706">
        <v>1</v>
      </c>
    </row>
    <row r="1707" spans="1:9">
      <c r="A1707" t="s">
        <v>308</v>
      </c>
      <c r="B1707" t="s">
        <v>309</v>
      </c>
      <c r="C1707" t="s">
        <v>269</v>
      </c>
      <c r="D1707" t="s">
        <v>26</v>
      </c>
      <c r="E1707" t="s">
        <v>40</v>
      </c>
      <c r="F1707">
        <v>2034</v>
      </c>
      <c r="G1707">
        <v>2732.2582269999998</v>
      </c>
      <c r="H1707">
        <v>2732.2582269999998</v>
      </c>
      <c r="I1707">
        <v>1</v>
      </c>
    </row>
    <row r="1708" spans="1:9">
      <c r="A1708" t="s">
        <v>308</v>
      </c>
      <c r="B1708" t="s">
        <v>309</v>
      </c>
      <c r="C1708" t="s">
        <v>269</v>
      </c>
      <c r="D1708" t="s">
        <v>26</v>
      </c>
      <c r="E1708" t="s">
        <v>40</v>
      </c>
      <c r="F1708">
        <v>2035</v>
      </c>
      <c r="G1708">
        <v>2771.3719679999999</v>
      </c>
      <c r="H1708">
        <v>2771.3719679999999</v>
      </c>
      <c r="I1708">
        <v>1</v>
      </c>
    </row>
    <row r="1709" spans="1:9">
      <c r="A1709" t="s">
        <v>308</v>
      </c>
      <c r="B1709" t="s">
        <v>309</v>
      </c>
      <c r="C1709" t="s">
        <v>269</v>
      </c>
      <c r="D1709" t="s">
        <v>26</v>
      </c>
      <c r="E1709" t="s">
        <v>40</v>
      </c>
      <c r="F1709">
        <v>2036</v>
      </c>
      <c r="G1709">
        <v>2810.3369899999998</v>
      </c>
      <c r="H1709">
        <v>2810.3369899999998</v>
      </c>
      <c r="I1709">
        <v>1</v>
      </c>
    </row>
    <row r="1710" spans="1:9">
      <c r="A1710" t="s">
        <v>308</v>
      </c>
      <c r="B1710" t="s">
        <v>309</v>
      </c>
      <c r="C1710" t="s">
        <v>269</v>
      </c>
      <c r="D1710" t="s">
        <v>26</v>
      </c>
      <c r="E1710" t="s">
        <v>40</v>
      </c>
      <c r="F1710">
        <v>2037</v>
      </c>
      <c r="G1710">
        <v>2849.19182</v>
      </c>
      <c r="H1710">
        <v>2849.19182</v>
      </c>
      <c r="I1710">
        <v>1</v>
      </c>
    </row>
    <row r="1711" spans="1:9">
      <c r="A1711" t="s">
        <v>308</v>
      </c>
      <c r="B1711" t="s">
        <v>309</v>
      </c>
      <c r="C1711" t="s">
        <v>269</v>
      </c>
      <c r="D1711" t="s">
        <v>26</v>
      </c>
      <c r="E1711" t="s">
        <v>40</v>
      </c>
      <c r="F1711">
        <v>2038</v>
      </c>
      <c r="G1711">
        <v>2887.9943870000002</v>
      </c>
      <c r="H1711">
        <v>2887.9943870000002</v>
      </c>
      <c r="I1711">
        <v>1</v>
      </c>
    </row>
    <row r="1712" spans="1:9">
      <c r="A1712" t="s">
        <v>308</v>
      </c>
      <c r="B1712" t="s">
        <v>309</v>
      </c>
      <c r="C1712" t="s">
        <v>269</v>
      </c>
      <c r="D1712" t="s">
        <v>26</v>
      </c>
      <c r="E1712" t="s">
        <v>40</v>
      </c>
      <c r="F1712">
        <v>2039</v>
      </c>
      <c r="G1712">
        <v>2926.8754560000002</v>
      </c>
      <c r="H1712">
        <v>2926.8754560000002</v>
      </c>
      <c r="I1712">
        <v>1</v>
      </c>
    </row>
    <row r="1713" spans="1:9">
      <c r="A1713" t="s">
        <v>308</v>
      </c>
      <c r="B1713" t="s">
        <v>309</v>
      </c>
      <c r="C1713" t="s">
        <v>269</v>
      </c>
      <c r="D1713" t="s">
        <v>26</v>
      </c>
      <c r="E1713" t="s">
        <v>40</v>
      </c>
      <c r="F1713">
        <v>2040</v>
      </c>
      <c r="G1713">
        <v>0</v>
      </c>
      <c r="H1713">
        <v>0</v>
      </c>
      <c r="I1713">
        <v>1</v>
      </c>
    </row>
    <row r="1714" spans="1:9">
      <c r="A1714" t="s">
        <v>308</v>
      </c>
      <c r="B1714" t="s">
        <v>309</v>
      </c>
      <c r="C1714" t="s">
        <v>269</v>
      </c>
      <c r="D1714" t="s">
        <v>26</v>
      </c>
      <c r="E1714" t="s">
        <v>40</v>
      </c>
      <c r="F1714">
        <v>2041</v>
      </c>
      <c r="G1714">
        <v>3001.873787</v>
      </c>
      <c r="H1714">
        <v>3001.873787</v>
      </c>
      <c r="I1714">
        <v>1</v>
      </c>
    </row>
    <row r="1715" spans="1:9">
      <c r="A1715" t="s">
        <v>308</v>
      </c>
      <c r="B1715" t="s">
        <v>309</v>
      </c>
      <c r="C1715" t="s">
        <v>269</v>
      </c>
      <c r="D1715" t="s">
        <v>26</v>
      </c>
      <c r="E1715" t="s">
        <v>40</v>
      </c>
      <c r="F1715">
        <v>2042</v>
      </c>
      <c r="G1715">
        <v>0</v>
      </c>
      <c r="H1715">
        <v>0</v>
      </c>
      <c r="I1715">
        <v>1</v>
      </c>
    </row>
    <row r="1716" spans="1:9">
      <c r="A1716" t="s">
        <v>308</v>
      </c>
      <c r="B1716" t="s">
        <v>309</v>
      </c>
      <c r="C1716" t="s">
        <v>269</v>
      </c>
      <c r="D1716" t="s">
        <v>26</v>
      </c>
      <c r="E1716" t="s">
        <v>40</v>
      </c>
      <c r="F1716">
        <v>2043</v>
      </c>
      <c r="G1716">
        <v>0</v>
      </c>
      <c r="H1716">
        <v>0</v>
      </c>
      <c r="I1716">
        <v>1</v>
      </c>
    </row>
    <row r="1717" spans="1:9">
      <c r="A1717" t="s">
        <v>308</v>
      </c>
      <c r="B1717" t="s">
        <v>309</v>
      </c>
      <c r="C1717" t="s">
        <v>269</v>
      </c>
      <c r="D1717" t="s">
        <v>26</v>
      </c>
      <c r="E1717" t="s">
        <v>40</v>
      </c>
      <c r="F1717">
        <v>2044</v>
      </c>
      <c r="G1717">
        <v>0</v>
      </c>
      <c r="H1717">
        <v>0</v>
      </c>
      <c r="I1717">
        <v>1</v>
      </c>
    </row>
    <row r="1718" spans="1:9">
      <c r="A1718" t="s">
        <v>308</v>
      </c>
      <c r="B1718" t="s">
        <v>309</v>
      </c>
      <c r="C1718" t="s">
        <v>269</v>
      </c>
      <c r="D1718" t="s">
        <v>26</v>
      </c>
      <c r="E1718" t="s">
        <v>40</v>
      </c>
      <c r="F1718">
        <v>2045</v>
      </c>
      <c r="G1718">
        <v>0</v>
      </c>
      <c r="H1718">
        <v>0</v>
      </c>
      <c r="I1718">
        <v>1</v>
      </c>
    </row>
    <row r="1719" spans="1:9">
      <c r="A1719" t="s">
        <v>308</v>
      </c>
      <c r="B1719" t="s">
        <v>309</v>
      </c>
      <c r="C1719" t="s">
        <v>269</v>
      </c>
      <c r="D1719" t="s">
        <v>26</v>
      </c>
      <c r="E1719" t="s">
        <v>40</v>
      </c>
      <c r="F1719">
        <v>2046</v>
      </c>
      <c r="G1719">
        <v>0</v>
      </c>
      <c r="H1719">
        <v>0</v>
      </c>
      <c r="I1719">
        <v>1</v>
      </c>
    </row>
    <row r="1720" spans="1:9">
      <c r="A1720" t="s">
        <v>308</v>
      </c>
      <c r="B1720" t="s">
        <v>309</v>
      </c>
      <c r="C1720" t="s">
        <v>269</v>
      </c>
      <c r="D1720" t="s">
        <v>26</v>
      </c>
      <c r="E1720" t="s">
        <v>40</v>
      </c>
      <c r="F1720">
        <v>2047</v>
      </c>
      <c r="G1720">
        <v>0</v>
      </c>
      <c r="H1720">
        <v>0</v>
      </c>
      <c r="I1720">
        <v>1</v>
      </c>
    </row>
    <row r="1721" spans="1:9">
      <c r="A1721" t="s">
        <v>308</v>
      </c>
      <c r="B1721" t="s">
        <v>309</v>
      </c>
      <c r="C1721" t="s">
        <v>269</v>
      </c>
      <c r="D1721" t="s">
        <v>26</v>
      </c>
      <c r="E1721" t="s">
        <v>40</v>
      </c>
      <c r="F1721">
        <v>2048</v>
      </c>
      <c r="G1721">
        <v>0</v>
      </c>
      <c r="H1721">
        <v>0</v>
      </c>
      <c r="I1721">
        <v>1</v>
      </c>
    </row>
    <row r="1722" spans="1:9">
      <c r="A1722" t="s">
        <v>308</v>
      </c>
      <c r="B1722" t="s">
        <v>309</v>
      </c>
      <c r="C1722" t="s">
        <v>269</v>
      </c>
      <c r="D1722" t="s">
        <v>26</v>
      </c>
      <c r="E1722" t="s">
        <v>40</v>
      </c>
      <c r="F1722">
        <v>2049</v>
      </c>
      <c r="G1722">
        <v>0</v>
      </c>
      <c r="H1722">
        <v>0</v>
      </c>
      <c r="I1722">
        <v>1</v>
      </c>
    </row>
    <row r="1723" spans="1:9">
      <c r="A1723" t="s">
        <v>308</v>
      </c>
      <c r="B1723" t="s">
        <v>309</v>
      </c>
      <c r="C1723" t="s">
        <v>269</v>
      </c>
      <c r="D1723" t="s">
        <v>26</v>
      </c>
      <c r="E1723" t="s">
        <v>40</v>
      </c>
      <c r="F1723">
        <v>2050</v>
      </c>
      <c r="G1723">
        <v>0</v>
      </c>
      <c r="H1723">
        <v>0</v>
      </c>
      <c r="I1723">
        <v>1</v>
      </c>
    </row>
    <row r="1724" spans="1:9">
      <c r="A1724" t="s">
        <v>308</v>
      </c>
      <c r="B1724" t="s">
        <v>309</v>
      </c>
      <c r="C1724" t="s">
        <v>269</v>
      </c>
      <c r="D1724" t="s">
        <v>307</v>
      </c>
      <c r="E1724" t="s">
        <v>40</v>
      </c>
      <c r="F1724">
        <v>2010</v>
      </c>
      <c r="G1724">
        <v>71440.270659999995</v>
      </c>
      <c r="H1724">
        <v>71440.270659999995</v>
      </c>
      <c r="I1724">
        <v>1</v>
      </c>
    </row>
    <row r="1725" spans="1:9">
      <c r="A1725" t="s">
        <v>308</v>
      </c>
      <c r="B1725" t="s">
        <v>309</v>
      </c>
      <c r="C1725" t="s">
        <v>269</v>
      </c>
      <c r="D1725" t="s">
        <v>307</v>
      </c>
      <c r="E1725" t="s">
        <v>40</v>
      </c>
      <c r="F1725">
        <v>2011</v>
      </c>
      <c r="G1725">
        <v>68637.679480000006</v>
      </c>
      <c r="H1725">
        <v>68637.679480000006</v>
      </c>
      <c r="I1725">
        <v>1</v>
      </c>
    </row>
    <row r="1726" spans="1:9">
      <c r="A1726" t="s">
        <v>308</v>
      </c>
      <c r="B1726" t="s">
        <v>309</v>
      </c>
      <c r="C1726" t="s">
        <v>269</v>
      </c>
      <c r="D1726" t="s">
        <v>307</v>
      </c>
      <c r="E1726" t="s">
        <v>40</v>
      </c>
      <c r="F1726">
        <v>2012</v>
      </c>
      <c r="G1726">
        <v>65573.523950000003</v>
      </c>
      <c r="H1726">
        <v>65573.523950000003</v>
      </c>
      <c r="I1726">
        <v>1</v>
      </c>
    </row>
    <row r="1727" spans="1:9">
      <c r="A1727" t="s">
        <v>308</v>
      </c>
      <c r="B1727" t="s">
        <v>309</v>
      </c>
      <c r="C1727" t="s">
        <v>269</v>
      </c>
      <c r="D1727" t="s">
        <v>307</v>
      </c>
      <c r="E1727" t="s">
        <v>40</v>
      </c>
      <c r="F1727">
        <v>2013</v>
      </c>
      <c r="G1727">
        <v>62237.160799999998</v>
      </c>
      <c r="H1727">
        <v>62237.160799999998</v>
      </c>
      <c r="I1727">
        <v>1</v>
      </c>
    </row>
    <row r="1728" spans="1:9">
      <c r="A1728" t="s">
        <v>308</v>
      </c>
      <c r="B1728" t="s">
        <v>309</v>
      </c>
      <c r="C1728" t="s">
        <v>269</v>
      </c>
      <c r="D1728" t="s">
        <v>307</v>
      </c>
      <c r="E1728" t="s">
        <v>40</v>
      </c>
      <c r="F1728">
        <v>2014</v>
      </c>
      <c r="G1728">
        <v>58618.843589999997</v>
      </c>
      <c r="H1728">
        <v>58618.843589999997</v>
      </c>
      <c r="I1728">
        <v>1</v>
      </c>
    </row>
    <row r="1729" spans="1:9">
      <c r="A1729" t="s">
        <v>308</v>
      </c>
      <c r="B1729" t="s">
        <v>309</v>
      </c>
      <c r="C1729" t="s">
        <v>269</v>
      </c>
      <c r="D1729" t="s">
        <v>307</v>
      </c>
      <c r="E1729" t="s">
        <v>40</v>
      </c>
      <c r="F1729">
        <v>2015</v>
      </c>
      <c r="G1729">
        <v>48947.848120000002</v>
      </c>
      <c r="H1729">
        <v>48947.848120000002</v>
      </c>
      <c r="I1729">
        <v>1</v>
      </c>
    </row>
    <row r="1730" spans="1:9">
      <c r="A1730" t="s">
        <v>308</v>
      </c>
      <c r="B1730" t="s">
        <v>309</v>
      </c>
      <c r="C1730" t="s">
        <v>269</v>
      </c>
      <c r="D1730" t="s">
        <v>307</v>
      </c>
      <c r="E1730" t="s">
        <v>40</v>
      </c>
      <c r="F1730">
        <v>2016</v>
      </c>
      <c r="G1730">
        <v>44545.752410000001</v>
      </c>
      <c r="H1730">
        <v>44545.752410000001</v>
      </c>
      <c r="I1730">
        <v>1</v>
      </c>
    </row>
    <row r="1731" spans="1:9">
      <c r="A1731" t="s">
        <v>308</v>
      </c>
      <c r="B1731" t="s">
        <v>309</v>
      </c>
      <c r="C1731" t="s">
        <v>269</v>
      </c>
      <c r="D1731" t="s">
        <v>307</v>
      </c>
      <c r="E1731" t="s">
        <v>40</v>
      </c>
      <c r="F1731">
        <v>2017</v>
      </c>
      <c r="G1731">
        <v>36751.006739999997</v>
      </c>
      <c r="H1731">
        <v>36751.006739999997</v>
      </c>
      <c r="I1731">
        <v>1</v>
      </c>
    </row>
    <row r="1732" spans="1:9">
      <c r="A1732" t="s">
        <v>308</v>
      </c>
      <c r="B1732" t="s">
        <v>309</v>
      </c>
      <c r="C1732" t="s">
        <v>269</v>
      </c>
      <c r="D1732" t="s">
        <v>307</v>
      </c>
      <c r="E1732" t="s">
        <v>40</v>
      </c>
      <c r="F1732">
        <v>2018</v>
      </c>
      <c r="G1732">
        <v>31577.784940000001</v>
      </c>
      <c r="H1732">
        <v>31577.784940000001</v>
      </c>
      <c r="I1732">
        <v>1</v>
      </c>
    </row>
    <row r="1733" spans="1:9">
      <c r="A1733" t="s">
        <v>308</v>
      </c>
      <c r="B1733" t="s">
        <v>309</v>
      </c>
      <c r="C1733" t="s">
        <v>269</v>
      </c>
      <c r="D1733" t="s">
        <v>307</v>
      </c>
      <c r="E1733" t="s">
        <v>40</v>
      </c>
      <c r="F1733">
        <v>2019</v>
      </c>
      <c r="G1733">
        <v>26041.223770000001</v>
      </c>
      <c r="H1733">
        <v>26041.223770000001</v>
      </c>
      <c r="I1733">
        <v>1</v>
      </c>
    </row>
    <row r="1734" spans="1:9">
      <c r="A1734" t="s">
        <v>308</v>
      </c>
      <c r="B1734" t="s">
        <v>309</v>
      </c>
      <c r="C1734" t="s">
        <v>269</v>
      </c>
      <c r="D1734" t="s">
        <v>307</v>
      </c>
      <c r="E1734" t="s">
        <v>40</v>
      </c>
      <c r="F1734">
        <v>2020</v>
      </c>
      <c r="G1734">
        <v>20127.63637</v>
      </c>
      <c r="H1734">
        <v>20127.63637</v>
      </c>
      <c r="I1734">
        <v>1</v>
      </c>
    </row>
    <row r="1735" spans="1:9">
      <c r="A1735" t="s">
        <v>308</v>
      </c>
      <c r="B1735" t="s">
        <v>309</v>
      </c>
      <c r="C1735" t="s">
        <v>269</v>
      </c>
      <c r="D1735" t="s">
        <v>307</v>
      </c>
      <c r="E1735" t="s">
        <v>40</v>
      </c>
      <c r="F1735">
        <v>2021</v>
      </c>
      <c r="G1735">
        <v>17280.49538</v>
      </c>
      <c r="H1735">
        <v>17280.49538</v>
      </c>
      <c r="I1735">
        <v>1</v>
      </c>
    </row>
    <row r="1736" spans="1:9">
      <c r="A1736" t="s">
        <v>308</v>
      </c>
      <c r="B1736" t="s">
        <v>309</v>
      </c>
      <c r="C1736" t="s">
        <v>269</v>
      </c>
      <c r="D1736" t="s">
        <v>307</v>
      </c>
      <c r="E1736" t="s">
        <v>40</v>
      </c>
      <c r="F1736">
        <v>2022</v>
      </c>
      <c r="G1736">
        <v>14238.71722</v>
      </c>
      <c r="H1736">
        <v>14238.71722</v>
      </c>
      <c r="I1736">
        <v>1</v>
      </c>
    </row>
    <row r="1737" spans="1:9">
      <c r="A1737" t="s">
        <v>308</v>
      </c>
      <c r="B1737" t="s">
        <v>309</v>
      </c>
      <c r="C1737" t="s">
        <v>269</v>
      </c>
      <c r="D1737" t="s">
        <v>307</v>
      </c>
      <c r="E1737" t="s">
        <v>40</v>
      </c>
      <c r="F1737">
        <v>2023</v>
      </c>
      <c r="G1737">
        <v>10996.312470000001</v>
      </c>
      <c r="H1737">
        <v>10996.312470000001</v>
      </c>
      <c r="I1737">
        <v>1</v>
      </c>
    </row>
    <row r="1738" spans="1:9">
      <c r="A1738" t="s">
        <v>308</v>
      </c>
      <c r="B1738" t="s">
        <v>309</v>
      </c>
      <c r="C1738" t="s">
        <v>269</v>
      </c>
      <c r="D1738" t="s">
        <v>307</v>
      </c>
      <c r="E1738" t="s">
        <v>40</v>
      </c>
      <c r="F1738">
        <v>2024</v>
      </c>
      <c r="G1738">
        <v>11320.52665</v>
      </c>
      <c r="H1738">
        <v>11320.52665</v>
      </c>
      <c r="I1738">
        <v>1</v>
      </c>
    </row>
    <row r="1739" spans="1:9">
      <c r="A1739" t="s">
        <v>308</v>
      </c>
      <c r="B1739" t="s">
        <v>309</v>
      </c>
      <c r="C1739" t="s">
        <v>269</v>
      </c>
      <c r="D1739" t="s">
        <v>307</v>
      </c>
      <c r="E1739" t="s">
        <v>40</v>
      </c>
      <c r="F1739">
        <v>2025</v>
      </c>
      <c r="G1739">
        <v>7767.9916480000002</v>
      </c>
      <c r="H1739">
        <v>7767.9916480000002</v>
      </c>
      <c r="I1739">
        <v>1</v>
      </c>
    </row>
    <row r="1740" spans="1:9">
      <c r="A1740" t="s">
        <v>308</v>
      </c>
      <c r="B1740" t="s">
        <v>309</v>
      </c>
      <c r="C1740" t="s">
        <v>269</v>
      </c>
      <c r="D1740" t="s">
        <v>307</v>
      </c>
      <c r="E1740" t="s">
        <v>40</v>
      </c>
      <c r="F1740">
        <v>2026</v>
      </c>
      <c r="G1740">
        <v>7993.8252590000002</v>
      </c>
      <c r="H1740">
        <v>7993.8252590000002</v>
      </c>
      <c r="I1740">
        <v>1</v>
      </c>
    </row>
    <row r="1741" spans="1:9">
      <c r="A1741" t="s">
        <v>308</v>
      </c>
      <c r="B1741" t="s">
        <v>309</v>
      </c>
      <c r="C1741" t="s">
        <v>269</v>
      </c>
      <c r="D1741" t="s">
        <v>307</v>
      </c>
      <c r="E1741" t="s">
        <v>40</v>
      </c>
      <c r="F1741">
        <v>2027</v>
      </c>
      <c r="G1741">
        <v>8224.4824779999999</v>
      </c>
      <c r="H1741">
        <v>8224.4824779999999</v>
      </c>
      <c r="I1741">
        <v>1</v>
      </c>
    </row>
    <row r="1742" spans="1:9">
      <c r="A1742" t="s">
        <v>308</v>
      </c>
      <c r="B1742" t="s">
        <v>309</v>
      </c>
      <c r="C1742" t="s">
        <v>269</v>
      </c>
      <c r="D1742" t="s">
        <v>307</v>
      </c>
      <c r="E1742" t="s">
        <v>40</v>
      </c>
      <c r="F1742">
        <v>2028</v>
      </c>
      <c r="G1742">
        <v>4230.0087460000004</v>
      </c>
      <c r="H1742">
        <v>4230.0087460000004</v>
      </c>
      <c r="I1742">
        <v>1</v>
      </c>
    </row>
    <row r="1743" spans="1:9">
      <c r="A1743" t="s">
        <v>308</v>
      </c>
      <c r="B1743" t="s">
        <v>309</v>
      </c>
      <c r="C1743" t="s">
        <v>269</v>
      </c>
      <c r="D1743" t="s">
        <v>307</v>
      </c>
      <c r="E1743" t="s">
        <v>40</v>
      </c>
      <c r="F1743">
        <v>2029</v>
      </c>
      <c r="G1743">
        <v>4350.24</v>
      </c>
      <c r="H1743">
        <v>4350.24</v>
      </c>
      <c r="I1743">
        <v>1</v>
      </c>
    </row>
    <row r="1744" spans="1:9">
      <c r="A1744" t="s">
        <v>308</v>
      </c>
      <c r="B1744" t="s">
        <v>309</v>
      </c>
      <c r="C1744" t="s">
        <v>269</v>
      </c>
      <c r="D1744" t="s">
        <v>307</v>
      </c>
      <c r="E1744" t="s">
        <v>40</v>
      </c>
      <c r="F1744">
        <v>2030</v>
      </c>
      <c r="G1744">
        <v>4472.9449400000003</v>
      </c>
      <c r="H1744">
        <v>4472.9449400000003</v>
      </c>
      <c r="I1744">
        <v>1</v>
      </c>
    </row>
    <row r="1745" spans="1:9">
      <c r="A1745" t="s">
        <v>308</v>
      </c>
      <c r="B1745" t="s">
        <v>309</v>
      </c>
      <c r="C1745" t="s">
        <v>269</v>
      </c>
      <c r="D1745" t="s">
        <v>307</v>
      </c>
      <c r="E1745" t="s">
        <v>40</v>
      </c>
      <c r="F1745">
        <v>2031</v>
      </c>
      <c r="G1745">
        <v>4598.1257580000001</v>
      </c>
      <c r="H1745">
        <v>4598.1257580000001</v>
      </c>
      <c r="I1745">
        <v>1</v>
      </c>
    </row>
    <row r="1746" spans="1:9">
      <c r="A1746" t="s">
        <v>308</v>
      </c>
      <c r="B1746" t="s">
        <v>309</v>
      </c>
      <c r="C1746" t="s">
        <v>269</v>
      </c>
      <c r="D1746" t="s">
        <v>307</v>
      </c>
      <c r="E1746" t="s">
        <v>40</v>
      </c>
      <c r="F1746">
        <v>2032</v>
      </c>
      <c r="G1746">
        <v>4725.7581909999999</v>
      </c>
      <c r="H1746">
        <v>4725.7581909999999</v>
      </c>
      <c r="I1746">
        <v>1</v>
      </c>
    </row>
    <row r="1747" spans="1:9">
      <c r="A1747" t="s">
        <v>308</v>
      </c>
      <c r="B1747" t="s">
        <v>309</v>
      </c>
      <c r="C1747" t="s">
        <v>269</v>
      </c>
      <c r="D1747" t="s">
        <v>307</v>
      </c>
      <c r="E1747" t="s">
        <v>40</v>
      </c>
      <c r="F1747">
        <v>2033</v>
      </c>
      <c r="G1747">
        <v>4855.7853809999997</v>
      </c>
      <c r="H1747">
        <v>4855.7853809999997</v>
      </c>
      <c r="I1747">
        <v>1</v>
      </c>
    </row>
    <row r="1748" spans="1:9">
      <c r="A1748" t="s">
        <v>308</v>
      </c>
      <c r="B1748" t="s">
        <v>309</v>
      </c>
      <c r="C1748" t="s">
        <v>269</v>
      </c>
      <c r="D1748" t="s">
        <v>307</v>
      </c>
      <c r="E1748" t="s">
        <v>40</v>
      </c>
      <c r="F1748">
        <v>2034</v>
      </c>
      <c r="G1748">
        <v>0</v>
      </c>
      <c r="H1748">
        <v>0</v>
      </c>
      <c r="I1748">
        <v>1</v>
      </c>
    </row>
    <row r="1749" spans="1:9">
      <c r="A1749" t="s">
        <v>308</v>
      </c>
      <c r="B1749" t="s">
        <v>309</v>
      </c>
      <c r="C1749" t="s">
        <v>269</v>
      </c>
      <c r="D1749" t="s">
        <v>307</v>
      </c>
      <c r="E1749" t="s">
        <v>40</v>
      </c>
      <c r="F1749">
        <v>2035</v>
      </c>
      <c r="G1749">
        <v>0</v>
      </c>
      <c r="H1749">
        <v>0</v>
      </c>
      <c r="I1749">
        <v>1</v>
      </c>
    </row>
    <row r="1750" spans="1:9">
      <c r="A1750" t="s">
        <v>308</v>
      </c>
      <c r="B1750" t="s">
        <v>309</v>
      </c>
      <c r="C1750" t="s">
        <v>269</v>
      </c>
      <c r="D1750" t="s">
        <v>307</v>
      </c>
      <c r="E1750" t="s">
        <v>40</v>
      </c>
      <c r="F1750">
        <v>2036</v>
      </c>
      <c r="G1750">
        <v>0</v>
      </c>
      <c r="H1750">
        <v>0</v>
      </c>
      <c r="I1750">
        <v>1</v>
      </c>
    </row>
    <row r="1751" spans="1:9">
      <c r="A1751" t="s">
        <v>308</v>
      </c>
      <c r="B1751" t="s">
        <v>309</v>
      </c>
      <c r="C1751" t="s">
        <v>269</v>
      </c>
      <c r="D1751" t="s">
        <v>307</v>
      </c>
      <c r="E1751" t="s">
        <v>40</v>
      </c>
      <c r="F1751">
        <v>2037</v>
      </c>
      <c r="G1751">
        <v>0</v>
      </c>
      <c r="H1751">
        <v>0</v>
      </c>
      <c r="I1751">
        <v>1</v>
      </c>
    </row>
    <row r="1752" spans="1:9">
      <c r="A1752" t="s">
        <v>308</v>
      </c>
      <c r="B1752" t="s">
        <v>309</v>
      </c>
      <c r="C1752" t="s">
        <v>269</v>
      </c>
      <c r="D1752" t="s">
        <v>307</v>
      </c>
      <c r="E1752" t="s">
        <v>40</v>
      </c>
      <c r="F1752">
        <v>2038</v>
      </c>
      <c r="G1752">
        <v>0</v>
      </c>
      <c r="H1752">
        <v>0</v>
      </c>
      <c r="I1752">
        <v>1</v>
      </c>
    </row>
    <row r="1753" spans="1:9">
      <c r="A1753" t="s">
        <v>308</v>
      </c>
      <c r="B1753" t="s">
        <v>309</v>
      </c>
      <c r="C1753" t="s">
        <v>269</v>
      </c>
      <c r="D1753" t="s">
        <v>307</v>
      </c>
      <c r="E1753" t="s">
        <v>40</v>
      </c>
      <c r="F1753">
        <v>2039</v>
      </c>
      <c r="G1753">
        <v>0</v>
      </c>
      <c r="H1753">
        <v>0</v>
      </c>
      <c r="I1753">
        <v>1</v>
      </c>
    </row>
    <row r="1754" spans="1:9">
      <c r="A1754" t="s">
        <v>308</v>
      </c>
      <c r="B1754" t="s">
        <v>309</v>
      </c>
      <c r="C1754" t="s">
        <v>269</v>
      </c>
      <c r="D1754" t="s">
        <v>307</v>
      </c>
      <c r="E1754" t="s">
        <v>40</v>
      </c>
      <c r="F1754">
        <v>2040</v>
      </c>
      <c r="G1754">
        <v>0</v>
      </c>
      <c r="H1754">
        <v>0</v>
      </c>
      <c r="I1754">
        <v>1</v>
      </c>
    </row>
    <row r="1755" spans="1:9">
      <c r="A1755" t="s">
        <v>308</v>
      </c>
      <c r="B1755" t="s">
        <v>309</v>
      </c>
      <c r="C1755" t="s">
        <v>269</v>
      </c>
      <c r="D1755" t="s">
        <v>307</v>
      </c>
      <c r="E1755" t="s">
        <v>40</v>
      </c>
      <c r="F1755">
        <v>2041</v>
      </c>
      <c r="G1755">
        <v>0</v>
      </c>
      <c r="H1755">
        <v>0</v>
      </c>
      <c r="I1755">
        <v>1</v>
      </c>
    </row>
    <row r="1756" spans="1:9">
      <c r="A1756" t="s">
        <v>308</v>
      </c>
      <c r="B1756" t="s">
        <v>309</v>
      </c>
      <c r="C1756" t="s">
        <v>269</v>
      </c>
      <c r="D1756" t="s">
        <v>307</v>
      </c>
      <c r="E1756" t="s">
        <v>40</v>
      </c>
      <c r="F1756">
        <v>2042</v>
      </c>
      <c r="G1756">
        <v>0</v>
      </c>
      <c r="H1756">
        <v>0</v>
      </c>
      <c r="I1756">
        <v>1</v>
      </c>
    </row>
    <row r="1757" spans="1:9">
      <c r="A1757" t="s">
        <v>308</v>
      </c>
      <c r="B1757" t="s">
        <v>309</v>
      </c>
      <c r="C1757" t="s">
        <v>269</v>
      </c>
      <c r="D1757" t="s">
        <v>307</v>
      </c>
      <c r="E1757" t="s">
        <v>40</v>
      </c>
      <c r="F1757">
        <v>2043</v>
      </c>
      <c r="G1757">
        <v>0</v>
      </c>
      <c r="H1757">
        <v>0</v>
      </c>
      <c r="I1757">
        <v>1</v>
      </c>
    </row>
    <row r="1758" spans="1:9">
      <c r="A1758" t="s">
        <v>308</v>
      </c>
      <c r="B1758" t="s">
        <v>309</v>
      </c>
      <c r="C1758" t="s">
        <v>269</v>
      </c>
      <c r="D1758" t="s">
        <v>307</v>
      </c>
      <c r="E1758" t="s">
        <v>40</v>
      </c>
      <c r="F1758">
        <v>2044</v>
      </c>
      <c r="G1758">
        <v>0</v>
      </c>
      <c r="H1758">
        <v>0</v>
      </c>
      <c r="I1758">
        <v>1</v>
      </c>
    </row>
    <row r="1759" spans="1:9">
      <c r="A1759" t="s">
        <v>308</v>
      </c>
      <c r="B1759" t="s">
        <v>309</v>
      </c>
      <c r="C1759" t="s">
        <v>269</v>
      </c>
      <c r="D1759" t="s">
        <v>307</v>
      </c>
      <c r="E1759" t="s">
        <v>40</v>
      </c>
      <c r="F1759">
        <v>2045</v>
      </c>
      <c r="G1759">
        <v>0</v>
      </c>
      <c r="H1759">
        <v>0</v>
      </c>
      <c r="I1759">
        <v>1</v>
      </c>
    </row>
    <row r="1760" spans="1:9">
      <c r="A1760" t="s">
        <v>308</v>
      </c>
      <c r="B1760" t="s">
        <v>309</v>
      </c>
      <c r="C1760" t="s">
        <v>269</v>
      </c>
      <c r="D1760" t="s">
        <v>307</v>
      </c>
      <c r="E1760" t="s">
        <v>40</v>
      </c>
      <c r="F1760">
        <v>2046</v>
      </c>
      <c r="G1760">
        <v>0</v>
      </c>
      <c r="H1760">
        <v>0</v>
      </c>
      <c r="I1760">
        <v>1</v>
      </c>
    </row>
    <row r="1761" spans="1:9">
      <c r="A1761" t="s">
        <v>308</v>
      </c>
      <c r="B1761" t="s">
        <v>309</v>
      </c>
      <c r="C1761" t="s">
        <v>269</v>
      </c>
      <c r="D1761" t="s">
        <v>307</v>
      </c>
      <c r="E1761" t="s">
        <v>40</v>
      </c>
      <c r="F1761">
        <v>2047</v>
      </c>
      <c r="G1761">
        <v>0</v>
      </c>
      <c r="H1761">
        <v>0</v>
      </c>
      <c r="I1761">
        <v>1</v>
      </c>
    </row>
    <row r="1762" spans="1:9">
      <c r="A1762" t="s">
        <v>308</v>
      </c>
      <c r="B1762" t="s">
        <v>309</v>
      </c>
      <c r="C1762" t="s">
        <v>269</v>
      </c>
      <c r="D1762" t="s">
        <v>307</v>
      </c>
      <c r="E1762" t="s">
        <v>40</v>
      </c>
      <c r="F1762">
        <v>2048</v>
      </c>
      <c r="G1762">
        <v>0</v>
      </c>
      <c r="H1762">
        <v>0</v>
      </c>
      <c r="I1762">
        <v>1</v>
      </c>
    </row>
    <row r="1763" spans="1:9">
      <c r="A1763" t="s">
        <v>308</v>
      </c>
      <c r="B1763" t="s">
        <v>309</v>
      </c>
      <c r="C1763" t="s">
        <v>269</v>
      </c>
      <c r="D1763" t="s">
        <v>307</v>
      </c>
      <c r="E1763" t="s">
        <v>40</v>
      </c>
      <c r="F1763">
        <v>2049</v>
      </c>
      <c r="G1763">
        <v>0</v>
      </c>
      <c r="H1763">
        <v>0</v>
      </c>
      <c r="I1763">
        <v>1</v>
      </c>
    </row>
    <row r="1764" spans="1:9">
      <c r="A1764" t="s">
        <v>308</v>
      </c>
      <c r="B1764" t="s">
        <v>309</v>
      </c>
      <c r="C1764" t="s">
        <v>269</v>
      </c>
      <c r="D1764" t="s">
        <v>307</v>
      </c>
      <c r="E1764" t="s">
        <v>40</v>
      </c>
      <c r="F1764">
        <v>2050</v>
      </c>
      <c r="G1764">
        <v>0</v>
      </c>
      <c r="H1764">
        <v>0</v>
      </c>
      <c r="I1764">
        <v>1</v>
      </c>
    </row>
    <row r="1765" spans="1:9">
      <c r="A1765" t="s">
        <v>308</v>
      </c>
      <c r="B1765" t="s">
        <v>309</v>
      </c>
      <c r="C1765" t="s">
        <v>269</v>
      </c>
      <c r="D1765" t="s">
        <v>25</v>
      </c>
      <c r="E1765" t="s">
        <v>11</v>
      </c>
      <c r="F1765">
        <v>2010</v>
      </c>
      <c r="G1765">
        <v>9953.2561920000007</v>
      </c>
      <c r="H1765">
        <v>9953.2561920000007</v>
      </c>
      <c r="I1765">
        <v>1</v>
      </c>
    </row>
    <row r="1766" spans="1:9">
      <c r="A1766" t="s">
        <v>308</v>
      </c>
      <c r="B1766" t="s">
        <v>309</v>
      </c>
      <c r="C1766" t="s">
        <v>269</v>
      </c>
      <c r="D1766" t="s">
        <v>25</v>
      </c>
      <c r="E1766" t="s">
        <v>11</v>
      </c>
      <c r="F1766">
        <v>2011</v>
      </c>
      <c r="G1766">
        <v>13151.43168</v>
      </c>
      <c r="H1766">
        <v>13151.43168</v>
      </c>
      <c r="I1766">
        <v>1</v>
      </c>
    </row>
    <row r="1767" spans="1:9">
      <c r="A1767" t="s">
        <v>308</v>
      </c>
      <c r="B1767" t="s">
        <v>309</v>
      </c>
      <c r="C1767" t="s">
        <v>269</v>
      </c>
      <c r="D1767" t="s">
        <v>25</v>
      </c>
      <c r="E1767" t="s">
        <v>11</v>
      </c>
      <c r="F1767">
        <v>2012</v>
      </c>
      <c r="G1767">
        <v>17371.2228</v>
      </c>
      <c r="H1767">
        <v>17371.2228</v>
      </c>
      <c r="I1767">
        <v>1</v>
      </c>
    </row>
    <row r="1768" spans="1:9">
      <c r="A1768" t="s">
        <v>308</v>
      </c>
      <c r="B1768" t="s">
        <v>309</v>
      </c>
      <c r="C1768" t="s">
        <v>269</v>
      </c>
      <c r="D1768" t="s">
        <v>25</v>
      </c>
      <c r="E1768" t="s">
        <v>11</v>
      </c>
      <c r="F1768">
        <v>2013</v>
      </c>
      <c r="G1768">
        <v>23485.569019999999</v>
      </c>
      <c r="H1768">
        <v>23485.569019999999</v>
      </c>
      <c r="I1768">
        <v>1</v>
      </c>
    </row>
    <row r="1769" spans="1:9">
      <c r="A1769" t="s">
        <v>308</v>
      </c>
      <c r="B1769" t="s">
        <v>309</v>
      </c>
      <c r="C1769" t="s">
        <v>269</v>
      </c>
      <c r="D1769" t="s">
        <v>25</v>
      </c>
      <c r="E1769" t="s">
        <v>11</v>
      </c>
      <c r="F1769">
        <v>2014</v>
      </c>
      <c r="G1769">
        <v>30219.278539999999</v>
      </c>
      <c r="H1769">
        <v>30219.278539999999</v>
      </c>
      <c r="I1769">
        <v>1</v>
      </c>
    </row>
    <row r="1770" spans="1:9">
      <c r="A1770" t="s">
        <v>308</v>
      </c>
      <c r="B1770" t="s">
        <v>309</v>
      </c>
      <c r="C1770" t="s">
        <v>269</v>
      </c>
      <c r="D1770" t="s">
        <v>25</v>
      </c>
      <c r="E1770" t="s">
        <v>11</v>
      </c>
      <c r="F1770">
        <v>2015</v>
      </c>
      <c r="G1770">
        <v>36796.060080000003</v>
      </c>
      <c r="H1770">
        <v>36796.060080000003</v>
      </c>
      <c r="I1770">
        <v>1</v>
      </c>
    </row>
    <row r="1771" spans="1:9">
      <c r="A1771" t="s">
        <v>308</v>
      </c>
      <c r="B1771" t="s">
        <v>309</v>
      </c>
      <c r="C1771" t="s">
        <v>269</v>
      </c>
      <c r="D1771" t="s">
        <v>25</v>
      </c>
      <c r="E1771" t="s">
        <v>11</v>
      </c>
      <c r="F1771">
        <v>2016</v>
      </c>
      <c r="G1771">
        <v>43986.731330000002</v>
      </c>
      <c r="H1771">
        <v>43986.731330000002</v>
      </c>
      <c r="I1771">
        <v>1</v>
      </c>
    </row>
    <row r="1772" spans="1:9">
      <c r="A1772" t="s">
        <v>308</v>
      </c>
      <c r="B1772" t="s">
        <v>309</v>
      </c>
      <c r="C1772" t="s">
        <v>269</v>
      </c>
      <c r="D1772" t="s">
        <v>25</v>
      </c>
      <c r="E1772" t="s">
        <v>11</v>
      </c>
      <c r="F1772">
        <v>2017</v>
      </c>
      <c r="G1772">
        <v>52736.833149999999</v>
      </c>
      <c r="H1772">
        <v>52736.833149999999</v>
      </c>
      <c r="I1772">
        <v>1</v>
      </c>
    </row>
    <row r="1773" spans="1:9">
      <c r="A1773" t="s">
        <v>308</v>
      </c>
      <c r="B1773" t="s">
        <v>309</v>
      </c>
      <c r="C1773" t="s">
        <v>269</v>
      </c>
      <c r="D1773" t="s">
        <v>25</v>
      </c>
      <c r="E1773" t="s">
        <v>11</v>
      </c>
      <c r="F1773">
        <v>2018</v>
      </c>
      <c r="G1773">
        <v>60354.640079999997</v>
      </c>
      <c r="H1773">
        <v>60354.640079999997</v>
      </c>
      <c r="I1773">
        <v>1</v>
      </c>
    </row>
    <row r="1774" spans="1:9">
      <c r="A1774" t="s">
        <v>308</v>
      </c>
      <c r="B1774" t="s">
        <v>309</v>
      </c>
      <c r="C1774" t="s">
        <v>269</v>
      </c>
      <c r="D1774" t="s">
        <v>25</v>
      </c>
      <c r="E1774" t="s">
        <v>11</v>
      </c>
      <c r="F1774">
        <v>2019</v>
      </c>
      <c r="G1774">
        <v>67585.497459999999</v>
      </c>
      <c r="H1774">
        <v>67585.497459999999</v>
      </c>
      <c r="I1774">
        <v>1</v>
      </c>
    </row>
    <row r="1775" spans="1:9">
      <c r="A1775" t="s">
        <v>308</v>
      </c>
      <c r="B1775" t="s">
        <v>309</v>
      </c>
      <c r="C1775" t="s">
        <v>269</v>
      </c>
      <c r="D1775" t="s">
        <v>25</v>
      </c>
      <c r="E1775" t="s">
        <v>11</v>
      </c>
      <c r="F1775">
        <v>2020</v>
      </c>
      <c r="G1775">
        <v>73239.425140000007</v>
      </c>
      <c r="H1775">
        <v>73239.425140000007</v>
      </c>
      <c r="I1775">
        <v>1</v>
      </c>
    </row>
    <row r="1776" spans="1:9">
      <c r="A1776" t="s">
        <v>308</v>
      </c>
      <c r="B1776" t="s">
        <v>309</v>
      </c>
      <c r="C1776" t="s">
        <v>269</v>
      </c>
      <c r="D1776" t="s">
        <v>25</v>
      </c>
      <c r="E1776" t="s">
        <v>11</v>
      </c>
      <c r="F1776">
        <v>2021</v>
      </c>
      <c r="G1776">
        <v>80361.469440000001</v>
      </c>
      <c r="H1776">
        <v>80361.469440000001</v>
      </c>
      <c r="I1776">
        <v>1</v>
      </c>
    </row>
    <row r="1777" spans="1:9">
      <c r="A1777" t="s">
        <v>308</v>
      </c>
      <c r="B1777" t="s">
        <v>309</v>
      </c>
      <c r="C1777" t="s">
        <v>269</v>
      </c>
      <c r="D1777" t="s">
        <v>25</v>
      </c>
      <c r="E1777" t="s">
        <v>11</v>
      </c>
      <c r="F1777">
        <v>2022</v>
      </c>
      <c r="G1777">
        <v>87963.7788</v>
      </c>
      <c r="H1777">
        <v>87963.7788</v>
      </c>
      <c r="I1777">
        <v>1</v>
      </c>
    </row>
    <row r="1778" spans="1:9">
      <c r="A1778" t="s">
        <v>308</v>
      </c>
      <c r="B1778" t="s">
        <v>309</v>
      </c>
      <c r="C1778" t="s">
        <v>269</v>
      </c>
      <c r="D1778" t="s">
        <v>25</v>
      </c>
      <c r="E1778" t="s">
        <v>11</v>
      </c>
      <c r="F1778">
        <v>2023</v>
      </c>
      <c r="G1778">
        <v>91142.163939999999</v>
      </c>
      <c r="H1778">
        <v>91142.163939999999</v>
      </c>
      <c r="I1778">
        <v>1</v>
      </c>
    </row>
    <row r="1779" spans="1:9">
      <c r="A1779" t="s">
        <v>308</v>
      </c>
      <c r="B1779" t="s">
        <v>309</v>
      </c>
      <c r="C1779" t="s">
        <v>269</v>
      </c>
      <c r="D1779" t="s">
        <v>25</v>
      </c>
      <c r="E1779" t="s">
        <v>11</v>
      </c>
      <c r="F1779">
        <v>2024</v>
      </c>
      <c r="G1779">
        <v>96945.098400000003</v>
      </c>
      <c r="H1779">
        <v>96945.098400000003</v>
      </c>
      <c r="I1779">
        <v>1</v>
      </c>
    </row>
    <row r="1780" spans="1:9">
      <c r="A1780" t="s">
        <v>308</v>
      </c>
      <c r="B1780" t="s">
        <v>309</v>
      </c>
      <c r="C1780" t="s">
        <v>269</v>
      </c>
      <c r="D1780" t="s">
        <v>25</v>
      </c>
      <c r="E1780" t="s">
        <v>11</v>
      </c>
      <c r="F1780">
        <v>2025</v>
      </c>
      <c r="G1780">
        <v>103037.7126</v>
      </c>
      <c r="H1780">
        <v>103037.7126</v>
      </c>
      <c r="I1780">
        <v>1</v>
      </c>
    </row>
    <row r="1781" spans="1:9">
      <c r="A1781" t="s">
        <v>308</v>
      </c>
      <c r="B1781" t="s">
        <v>309</v>
      </c>
      <c r="C1781" t="s">
        <v>269</v>
      </c>
      <c r="D1781" t="s">
        <v>25</v>
      </c>
      <c r="E1781" t="s">
        <v>11</v>
      </c>
      <c r="F1781">
        <v>2026</v>
      </c>
      <c r="G1781">
        <v>105165.19349999999</v>
      </c>
      <c r="H1781">
        <v>105165.19349999999</v>
      </c>
      <c r="I1781">
        <v>1</v>
      </c>
    </row>
    <row r="1782" spans="1:9">
      <c r="A1782" t="s">
        <v>308</v>
      </c>
      <c r="B1782" t="s">
        <v>309</v>
      </c>
      <c r="C1782" t="s">
        <v>269</v>
      </c>
      <c r="D1782" t="s">
        <v>25</v>
      </c>
      <c r="E1782" t="s">
        <v>11</v>
      </c>
      <c r="F1782">
        <v>2027</v>
      </c>
      <c r="G1782">
        <v>111659.1444</v>
      </c>
      <c r="H1782">
        <v>111659.1444</v>
      </c>
      <c r="I1782">
        <v>1</v>
      </c>
    </row>
    <row r="1783" spans="1:9">
      <c r="A1783" t="s">
        <v>308</v>
      </c>
      <c r="B1783" t="s">
        <v>309</v>
      </c>
      <c r="C1783" t="s">
        <v>269</v>
      </c>
      <c r="D1783" t="s">
        <v>25</v>
      </c>
      <c r="E1783" t="s">
        <v>11</v>
      </c>
      <c r="F1783">
        <v>2028</v>
      </c>
      <c r="G1783">
        <v>112226.1039</v>
      </c>
      <c r="H1783">
        <v>112226.1039</v>
      </c>
      <c r="I1783">
        <v>1</v>
      </c>
    </row>
    <row r="1784" spans="1:9">
      <c r="A1784" t="s">
        <v>308</v>
      </c>
      <c r="B1784" t="s">
        <v>309</v>
      </c>
      <c r="C1784" t="s">
        <v>269</v>
      </c>
      <c r="D1784" t="s">
        <v>25</v>
      </c>
      <c r="E1784" t="s">
        <v>11</v>
      </c>
      <c r="F1784">
        <v>2029</v>
      </c>
      <c r="G1784">
        <v>120686.1548</v>
      </c>
      <c r="H1784">
        <v>120686.1548</v>
      </c>
      <c r="I1784">
        <v>1</v>
      </c>
    </row>
    <row r="1785" spans="1:9">
      <c r="A1785" t="s">
        <v>308</v>
      </c>
      <c r="B1785" t="s">
        <v>309</v>
      </c>
      <c r="C1785" t="s">
        <v>269</v>
      </c>
      <c r="D1785" t="s">
        <v>25</v>
      </c>
      <c r="E1785" t="s">
        <v>11</v>
      </c>
      <c r="F1785">
        <v>2030</v>
      </c>
      <c r="G1785">
        <v>126199.2069</v>
      </c>
      <c r="H1785">
        <v>126199.2069</v>
      </c>
      <c r="I1785">
        <v>1</v>
      </c>
    </row>
    <row r="1786" spans="1:9">
      <c r="A1786" t="s">
        <v>308</v>
      </c>
      <c r="B1786" t="s">
        <v>309</v>
      </c>
      <c r="C1786" t="s">
        <v>269</v>
      </c>
      <c r="D1786" t="s">
        <v>25</v>
      </c>
      <c r="E1786" t="s">
        <v>11</v>
      </c>
      <c r="F1786">
        <v>2031</v>
      </c>
      <c r="G1786">
        <v>124754.1994</v>
      </c>
      <c r="H1786">
        <v>124754.1994</v>
      </c>
      <c r="I1786">
        <v>1</v>
      </c>
    </row>
    <row r="1787" spans="1:9">
      <c r="A1787" t="s">
        <v>308</v>
      </c>
      <c r="B1787" t="s">
        <v>309</v>
      </c>
      <c r="C1787" t="s">
        <v>269</v>
      </c>
      <c r="D1787" t="s">
        <v>25</v>
      </c>
      <c r="E1787" t="s">
        <v>11</v>
      </c>
      <c r="F1787">
        <v>2032</v>
      </c>
      <c r="G1787">
        <v>126568.944</v>
      </c>
      <c r="H1787">
        <v>126568.944</v>
      </c>
      <c r="I1787">
        <v>1</v>
      </c>
    </row>
    <row r="1788" spans="1:9">
      <c r="A1788" t="s">
        <v>308</v>
      </c>
      <c r="B1788" t="s">
        <v>309</v>
      </c>
      <c r="C1788" t="s">
        <v>269</v>
      </c>
      <c r="D1788" t="s">
        <v>25</v>
      </c>
      <c r="E1788" t="s">
        <v>11</v>
      </c>
      <c r="F1788">
        <v>2033</v>
      </c>
      <c r="G1788">
        <v>133073.63920000001</v>
      </c>
      <c r="H1788">
        <v>133073.63920000001</v>
      </c>
      <c r="I1788">
        <v>1</v>
      </c>
    </row>
    <row r="1789" spans="1:9">
      <c r="A1789" t="s">
        <v>308</v>
      </c>
      <c r="B1789" t="s">
        <v>309</v>
      </c>
      <c r="C1789" t="s">
        <v>269</v>
      </c>
      <c r="D1789" t="s">
        <v>25</v>
      </c>
      <c r="E1789" t="s">
        <v>11</v>
      </c>
      <c r="F1789">
        <v>2034</v>
      </c>
      <c r="G1789">
        <v>135760.5681</v>
      </c>
      <c r="H1789">
        <v>135760.5681</v>
      </c>
      <c r="I1789">
        <v>1</v>
      </c>
    </row>
    <row r="1790" spans="1:9">
      <c r="A1790" t="s">
        <v>308</v>
      </c>
      <c r="B1790" t="s">
        <v>309</v>
      </c>
      <c r="C1790" t="s">
        <v>269</v>
      </c>
      <c r="D1790" t="s">
        <v>25</v>
      </c>
      <c r="E1790" t="s">
        <v>11</v>
      </c>
      <c r="F1790">
        <v>2035</v>
      </c>
      <c r="G1790">
        <v>141507.0552</v>
      </c>
      <c r="H1790">
        <v>141507.0552</v>
      </c>
      <c r="I1790">
        <v>1</v>
      </c>
    </row>
    <row r="1791" spans="1:9">
      <c r="A1791" t="s">
        <v>308</v>
      </c>
      <c r="B1791" t="s">
        <v>309</v>
      </c>
      <c r="C1791" t="s">
        <v>269</v>
      </c>
      <c r="D1791" t="s">
        <v>25</v>
      </c>
      <c r="E1791" t="s">
        <v>11</v>
      </c>
      <c r="F1791">
        <v>2036</v>
      </c>
      <c r="G1791">
        <v>145195.66200000001</v>
      </c>
      <c r="H1791">
        <v>145195.66200000001</v>
      </c>
      <c r="I1791">
        <v>1</v>
      </c>
    </row>
    <row r="1792" spans="1:9">
      <c r="A1792" t="s">
        <v>308</v>
      </c>
      <c r="B1792" t="s">
        <v>309</v>
      </c>
      <c r="C1792" t="s">
        <v>269</v>
      </c>
      <c r="D1792" t="s">
        <v>25</v>
      </c>
      <c r="E1792" t="s">
        <v>11</v>
      </c>
      <c r="F1792">
        <v>2037</v>
      </c>
      <c r="G1792">
        <v>148842.12100000001</v>
      </c>
      <c r="H1792">
        <v>148842.12100000001</v>
      </c>
      <c r="I1792">
        <v>1</v>
      </c>
    </row>
    <row r="1793" spans="1:9">
      <c r="A1793" t="s">
        <v>308</v>
      </c>
      <c r="B1793" t="s">
        <v>309</v>
      </c>
      <c r="C1793" t="s">
        <v>269</v>
      </c>
      <c r="D1793" t="s">
        <v>25</v>
      </c>
      <c r="E1793" t="s">
        <v>11</v>
      </c>
      <c r="F1793">
        <v>2038</v>
      </c>
      <c r="G1793">
        <v>152433.83809999999</v>
      </c>
      <c r="H1793">
        <v>152433.83809999999</v>
      </c>
      <c r="I1793">
        <v>1</v>
      </c>
    </row>
    <row r="1794" spans="1:9">
      <c r="A1794" t="s">
        <v>308</v>
      </c>
      <c r="B1794" t="s">
        <v>309</v>
      </c>
      <c r="C1794" t="s">
        <v>269</v>
      </c>
      <c r="D1794" t="s">
        <v>25</v>
      </c>
      <c r="E1794" t="s">
        <v>11</v>
      </c>
      <c r="F1794">
        <v>2039</v>
      </c>
      <c r="G1794">
        <v>153478.62909999999</v>
      </c>
      <c r="H1794">
        <v>153478.62909999999</v>
      </c>
      <c r="I1794">
        <v>1</v>
      </c>
    </row>
    <row r="1795" spans="1:9">
      <c r="A1795" t="s">
        <v>308</v>
      </c>
      <c r="B1795" t="s">
        <v>309</v>
      </c>
      <c r="C1795" t="s">
        <v>269</v>
      </c>
      <c r="D1795" t="s">
        <v>25</v>
      </c>
      <c r="E1795" t="s">
        <v>11</v>
      </c>
      <c r="F1795">
        <v>2040</v>
      </c>
      <c r="G1795">
        <v>159451.68429999999</v>
      </c>
      <c r="H1795">
        <v>159451.68429999999</v>
      </c>
      <c r="I1795">
        <v>1</v>
      </c>
    </row>
    <row r="1796" spans="1:9">
      <c r="A1796" t="s">
        <v>308</v>
      </c>
      <c r="B1796" t="s">
        <v>309</v>
      </c>
      <c r="C1796" t="s">
        <v>269</v>
      </c>
      <c r="D1796" t="s">
        <v>25</v>
      </c>
      <c r="E1796" t="s">
        <v>11</v>
      </c>
      <c r="F1796">
        <v>2041</v>
      </c>
      <c r="G1796">
        <v>160241.0227</v>
      </c>
      <c r="H1796">
        <v>160241.0227</v>
      </c>
      <c r="I1796">
        <v>1</v>
      </c>
    </row>
    <row r="1797" spans="1:9">
      <c r="A1797" t="s">
        <v>308</v>
      </c>
      <c r="B1797" t="s">
        <v>309</v>
      </c>
      <c r="C1797" t="s">
        <v>269</v>
      </c>
      <c r="D1797" t="s">
        <v>25</v>
      </c>
      <c r="E1797" t="s">
        <v>11</v>
      </c>
      <c r="F1797">
        <v>2042</v>
      </c>
      <c r="G1797">
        <v>158010.31469999999</v>
      </c>
      <c r="H1797">
        <v>158010.31469999999</v>
      </c>
      <c r="I1797">
        <v>1</v>
      </c>
    </row>
    <row r="1798" spans="1:9">
      <c r="A1798" t="s">
        <v>308</v>
      </c>
      <c r="B1798" t="s">
        <v>309</v>
      </c>
      <c r="C1798" t="s">
        <v>269</v>
      </c>
      <c r="D1798" t="s">
        <v>25</v>
      </c>
      <c r="E1798" t="s">
        <v>11</v>
      </c>
      <c r="F1798">
        <v>2043</v>
      </c>
      <c r="G1798">
        <v>166812.2298</v>
      </c>
      <c r="H1798">
        <v>166812.2298</v>
      </c>
      <c r="I1798">
        <v>1</v>
      </c>
    </row>
    <row r="1799" spans="1:9">
      <c r="A1799" t="s">
        <v>308</v>
      </c>
      <c r="B1799" t="s">
        <v>309</v>
      </c>
      <c r="C1799" t="s">
        <v>269</v>
      </c>
      <c r="D1799" t="s">
        <v>25</v>
      </c>
      <c r="E1799" t="s">
        <v>11</v>
      </c>
      <c r="F1799">
        <v>2044</v>
      </c>
      <c r="G1799">
        <v>164040.4762</v>
      </c>
      <c r="H1799">
        <v>164040.4762</v>
      </c>
      <c r="I1799">
        <v>1</v>
      </c>
    </row>
    <row r="1800" spans="1:9">
      <c r="A1800" t="s">
        <v>308</v>
      </c>
      <c r="B1800" t="s">
        <v>309</v>
      </c>
      <c r="C1800" t="s">
        <v>269</v>
      </c>
      <c r="D1800" t="s">
        <v>25</v>
      </c>
      <c r="E1800" t="s">
        <v>11</v>
      </c>
      <c r="F1800">
        <v>2045</v>
      </c>
      <c r="G1800">
        <v>173126.34390000001</v>
      </c>
      <c r="H1800">
        <v>173126.34390000001</v>
      </c>
      <c r="I1800">
        <v>1</v>
      </c>
    </row>
    <row r="1801" spans="1:9">
      <c r="A1801" t="s">
        <v>308</v>
      </c>
      <c r="B1801" t="s">
        <v>309</v>
      </c>
      <c r="C1801" t="s">
        <v>269</v>
      </c>
      <c r="D1801" t="s">
        <v>25</v>
      </c>
      <c r="E1801" t="s">
        <v>11</v>
      </c>
      <c r="F1801">
        <v>2046</v>
      </c>
      <c r="G1801">
        <v>176166.41589999999</v>
      </c>
      <c r="H1801">
        <v>176166.41589999999</v>
      </c>
      <c r="I1801">
        <v>1</v>
      </c>
    </row>
    <row r="1802" spans="1:9">
      <c r="A1802" t="s">
        <v>308</v>
      </c>
      <c r="B1802" t="s">
        <v>309</v>
      </c>
      <c r="C1802" t="s">
        <v>269</v>
      </c>
      <c r="D1802" t="s">
        <v>25</v>
      </c>
      <c r="E1802" t="s">
        <v>11</v>
      </c>
      <c r="F1802">
        <v>2047</v>
      </c>
      <c r="G1802">
        <v>182435.31770000001</v>
      </c>
      <c r="H1802">
        <v>182435.31770000001</v>
      </c>
      <c r="I1802">
        <v>1</v>
      </c>
    </row>
    <row r="1803" spans="1:9">
      <c r="A1803" t="s">
        <v>308</v>
      </c>
      <c r="B1803" t="s">
        <v>309</v>
      </c>
      <c r="C1803" t="s">
        <v>269</v>
      </c>
      <c r="D1803" t="s">
        <v>25</v>
      </c>
      <c r="E1803" t="s">
        <v>11</v>
      </c>
      <c r="F1803">
        <v>2048</v>
      </c>
      <c r="G1803">
        <v>171674.52960000001</v>
      </c>
      <c r="H1803">
        <v>171674.52960000001</v>
      </c>
      <c r="I1803">
        <v>1</v>
      </c>
    </row>
    <row r="1804" spans="1:9">
      <c r="A1804" t="s">
        <v>308</v>
      </c>
      <c r="B1804" t="s">
        <v>309</v>
      </c>
      <c r="C1804" t="s">
        <v>269</v>
      </c>
      <c r="D1804" t="s">
        <v>25</v>
      </c>
      <c r="E1804" t="s">
        <v>11</v>
      </c>
      <c r="F1804">
        <v>2049</v>
      </c>
      <c r="G1804">
        <v>181177.2046</v>
      </c>
      <c r="H1804">
        <v>181177.2046</v>
      </c>
      <c r="I1804">
        <v>1</v>
      </c>
    </row>
    <row r="1805" spans="1:9">
      <c r="A1805" t="s">
        <v>308</v>
      </c>
      <c r="B1805" t="s">
        <v>309</v>
      </c>
      <c r="C1805" t="s">
        <v>269</v>
      </c>
      <c r="D1805" t="s">
        <v>25</v>
      </c>
      <c r="E1805" t="s">
        <v>11</v>
      </c>
      <c r="F1805">
        <v>2050</v>
      </c>
      <c r="G1805">
        <v>187375.29579999999</v>
      </c>
      <c r="H1805">
        <v>187375.29579999999</v>
      </c>
      <c r="I1805">
        <v>1</v>
      </c>
    </row>
    <row r="1806" spans="1:9">
      <c r="A1806" t="s">
        <v>308</v>
      </c>
      <c r="B1806" t="s">
        <v>309</v>
      </c>
      <c r="C1806" t="s">
        <v>269</v>
      </c>
      <c r="D1806" t="s">
        <v>26</v>
      </c>
      <c r="E1806" t="s">
        <v>11</v>
      </c>
      <c r="F1806">
        <v>2010</v>
      </c>
      <c r="G1806">
        <v>1590.6538559999999</v>
      </c>
      <c r="H1806">
        <v>1590.6538559999999</v>
      </c>
      <c r="I1806">
        <v>1</v>
      </c>
    </row>
    <row r="1807" spans="1:9">
      <c r="A1807" t="s">
        <v>308</v>
      </c>
      <c r="B1807" t="s">
        <v>309</v>
      </c>
      <c r="C1807" t="s">
        <v>269</v>
      </c>
      <c r="D1807" t="s">
        <v>26</v>
      </c>
      <c r="E1807" t="s">
        <v>11</v>
      </c>
      <c r="F1807">
        <v>2011</v>
      </c>
      <c r="G1807">
        <v>1625.8317119999999</v>
      </c>
      <c r="H1807">
        <v>1625.8317119999999</v>
      </c>
      <c r="I1807">
        <v>1</v>
      </c>
    </row>
    <row r="1808" spans="1:9">
      <c r="A1808" t="s">
        <v>308</v>
      </c>
      <c r="B1808" t="s">
        <v>309</v>
      </c>
      <c r="C1808" t="s">
        <v>269</v>
      </c>
      <c r="D1808" t="s">
        <v>26</v>
      </c>
      <c r="E1808" t="s">
        <v>11</v>
      </c>
      <c r="F1808">
        <v>2012</v>
      </c>
      <c r="G1808">
        <v>1661.1349439999999</v>
      </c>
      <c r="H1808">
        <v>1661.1349439999999</v>
      </c>
      <c r="I1808">
        <v>1</v>
      </c>
    </row>
    <row r="1809" spans="1:9">
      <c r="A1809" t="s">
        <v>308</v>
      </c>
      <c r="B1809" t="s">
        <v>309</v>
      </c>
      <c r="C1809" t="s">
        <v>269</v>
      </c>
      <c r="D1809" t="s">
        <v>26</v>
      </c>
      <c r="E1809" t="s">
        <v>11</v>
      </c>
      <c r="F1809">
        <v>2013</v>
      </c>
      <c r="G1809">
        <v>1696.6325280000001</v>
      </c>
      <c r="H1809">
        <v>1696.6325280000001</v>
      </c>
      <c r="I1809">
        <v>1</v>
      </c>
    </row>
    <row r="1810" spans="1:9">
      <c r="A1810" t="s">
        <v>308</v>
      </c>
      <c r="B1810" t="s">
        <v>309</v>
      </c>
      <c r="C1810" t="s">
        <v>269</v>
      </c>
      <c r="D1810" t="s">
        <v>26</v>
      </c>
      <c r="E1810" t="s">
        <v>11</v>
      </c>
      <c r="F1810">
        <v>2014</v>
      </c>
      <c r="G1810">
        <v>3464.8408319999999</v>
      </c>
      <c r="H1810">
        <v>3464.8408319999999</v>
      </c>
      <c r="I1810">
        <v>1</v>
      </c>
    </row>
    <row r="1811" spans="1:9">
      <c r="A1811" t="s">
        <v>308</v>
      </c>
      <c r="B1811" t="s">
        <v>309</v>
      </c>
      <c r="C1811" t="s">
        <v>269</v>
      </c>
      <c r="D1811" t="s">
        <v>26</v>
      </c>
      <c r="E1811" t="s">
        <v>11</v>
      </c>
      <c r="F1811">
        <v>2015</v>
      </c>
      <c r="G1811">
        <v>3537.0954240000001</v>
      </c>
      <c r="H1811">
        <v>3537.0954240000001</v>
      </c>
      <c r="I1811">
        <v>1</v>
      </c>
    </row>
    <row r="1812" spans="1:9">
      <c r="A1812" t="s">
        <v>308</v>
      </c>
      <c r="B1812" t="s">
        <v>309</v>
      </c>
      <c r="C1812" t="s">
        <v>269</v>
      </c>
      <c r="D1812" t="s">
        <v>26</v>
      </c>
      <c r="E1812" t="s">
        <v>11</v>
      </c>
      <c r="F1812">
        <v>2016</v>
      </c>
      <c r="G1812">
        <v>3609.96144</v>
      </c>
      <c r="H1812">
        <v>3609.96144</v>
      </c>
      <c r="I1812">
        <v>1</v>
      </c>
    </row>
    <row r="1813" spans="1:9">
      <c r="A1813" t="s">
        <v>308</v>
      </c>
      <c r="B1813" t="s">
        <v>309</v>
      </c>
      <c r="C1813" t="s">
        <v>269</v>
      </c>
      <c r="D1813" t="s">
        <v>26</v>
      </c>
      <c r="E1813" t="s">
        <v>11</v>
      </c>
      <c r="F1813">
        <v>2017</v>
      </c>
      <c r="G1813">
        <v>5524.8755039999996</v>
      </c>
      <c r="H1813">
        <v>5524.8755039999996</v>
      </c>
      <c r="I1813">
        <v>1</v>
      </c>
    </row>
    <row r="1814" spans="1:9">
      <c r="A1814" t="s">
        <v>308</v>
      </c>
      <c r="B1814" t="s">
        <v>309</v>
      </c>
      <c r="C1814" t="s">
        <v>269</v>
      </c>
      <c r="D1814" t="s">
        <v>26</v>
      </c>
      <c r="E1814" t="s">
        <v>11</v>
      </c>
      <c r="F1814">
        <v>2018</v>
      </c>
      <c r="G1814">
        <v>5635.1299680000002</v>
      </c>
      <c r="H1814">
        <v>5635.1299680000002</v>
      </c>
      <c r="I1814">
        <v>1</v>
      </c>
    </row>
    <row r="1815" spans="1:9">
      <c r="A1815" t="s">
        <v>308</v>
      </c>
      <c r="B1815" t="s">
        <v>309</v>
      </c>
      <c r="C1815" t="s">
        <v>269</v>
      </c>
      <c r="D1815" t="s">
        <v>26</v>
      </c>
      <c r="E1815" t="s">
        <v>11</v>
      </c>
      <c r="F1815">
        <v>2019</v>
      </c>
      <c r="G1815">
        <v>5745.3359039999996</v>
      </c>
      <c r="H1815">
        <v>5745.3359039999996</v>
      </c>
      <c r="I1815">
        <v>1</v>
      </c>
    </row>
    <row r="1816" spans="1:9">
      <c r="A1816" t="s">
        <v>308</v>
      </c>
      <c r="B1816" t="s">
        <v>309</v>
      </c>
      <c r="C1816" t="s">
        <v>269</v>
      </c>
      <c r="D1816" t="s">
        <v>26</v>
      </c>
      <c r="E1816" t="s">
        <v>11</v>
      </c>
      <c r="F1816">
        <v>2020</v>
      </c>
      <c r="G1816">
        <v>5855.2223039999999</v>
      </c>
      <c r="H1816">
        <v>5855.2223039999999</v>
      </c>
      <c r="I1816">
        <v>1</v>
      </c>
    </row>
    <row r="1817" spans="1:9">
      <c r="A1817" t="s">
        <v>308</v>
      </c>
      <c r="B1817" t="s">
        <v>309</v>
      </c>
      <c r="C1817" t="s">
        <v>269</v>
      </c>
      <c r="D1817" t="s">
        <v>26</v>
      </c>
      <c r="E1817" t="s">
        <v>11</v>
      </c>
      <c r="F1817">
        <v>2021</v>
      </c>
      <c r="G1817">
        <v>7952.8538879999996</v>
      </c>
      <c r="H1817">
        <v>7952.8538879999996</v>
      </c>
      <c r="I1817">
        <v>1</v>
      </c>
    </row>
    <row r="1818" spans="1:9">
      <c r="A1818" t="s">
        <v>308</v>
      </c>
      <c r="B1818" t="s">
        <v>309</v>
      </c>
      <c r="C1818" t="s">
        <v>269</v>
      </c>
      <c r="D1818" t="s">
        <v>26</v>
      </c>
      <c r="E1818" t="s">
        <v>11</v>
      </c>
      <c r="F1818">
        <v>2022</v>
      </c>
      <c r="G1818">
        <v>8098.1306880000002</v>
      </c>
      <c r="H1818">
        <v>8098.1306880000002</v>
      </c>
      <c r="I1818">
        <v>1</v>
      </c>
    </row>
    <row r="1819" spans="1:9">
      <c r="A1819" t="s">
        <v>308</v>
      </c>
      <c r="B1819" t="s">
        <v>309</v>
      </c>
      <c r="C1819" t="s">
        <v>269</v>
      </c>
      <c r="D1819" t="s">
        <v>26</v>
      </c>
      <c r="E1819" t="s">
        <v>11</v>
      </c>
      <c r="F1819">
        <v>2023</v>
      </c>
      <c r="G1819">
        <v>8242.9061760000004</v>
      </c>
      <c r="H1819">
        <v>8242.9061760000004</v>
      </c>
      <c r="I1819">
        <v>1</v>
      </c>
    </row>
    <row r="1820" spans="1:9">
      <c r="A1820" t="s">
        <v>308</v>
      </c>
      <c r="B1820" t="s">
        <v>309</v>
      </c>
      <c r="C1820" t="s">
        <v>269</v>
      </c>
      <c r="D1820" t="s">
        <v>26</v>
      </c>
      <c r="E1820" t="s">
        <v>11</v>
      </c>
      <c r="F1820">
        <v>2024</v>
      </c>
      <c r="G1820">
        <v>10484.241120000001</v>
      </c>
      <c r="H1820">
        <v>10484.241120000001</v>
      </c>
      <c r="I1820">
        <v>1</v>
      </c>
    </row>
    <row r="1821" spans="1:9">
      <c r="A1821" t="s">
        <v>308</v>
      </c>
      <c r="B1821" t="s">
        <v>309</v>
      </c>
      <c r="C1821" t="s">
        <v>269</v>
      </c>
      <c r="D1821" t="s">
        <v>26</v>
      </c>
      <c r="E1821" t="s">
        <v>11</v>
      </c>
      <c r="F1821">
        <v>2025</v>
      </c>
      <c r="G1821">
        <v>10664.65992</v>
      </c>
      <c r="H1821">
        <v>10664.65992</v>
      </c>
      <c r="I1821">
        <v>1</v>
      </c>
    </row>
    <row r="1822" spans="1:9">
      <c r="A1822" t="s">
        <v>308</v>
      </c>
      <c r="B1822" t="s">
        <v>309</v>
      </c>
      <c r="C1822" t="s">
        <v>269</v>
      </c>
      <c r="D1822" t="s">
        <v>26</v>
      </c>
      <c r="E1822" t="s">
        <v>11</v>
      </c>
      <c r="F1822">
        <v>2026</v>
      </c>
      <c r="G1822">
        <v>10844.822399999999</v>
      </c>
      <c r="H1822">
        <v>10844.822399999999</v>
      </c>
      <c r="I1822">
        <v>1</v>
      </c>
    </row>
    <row r="1823" spans="1:9">
      <c r="A1823" t="s">
        <v>308</v>
      </c>
      <c r="B1823" t="s">
        <v>309</v>
      </c>
      <c r="C1823" t="s">
        <v>269</v>
      </c>
      <c r="D1823" t="s">
        <v>26</v>
      </c>
      <c r="E1823" t="s">
        <v>11</v>
      </c>
      <c r="F1823">
        <v>2027</v>
      </c>
      <c r="G1823">
        <v>13229.507229999999</v>
      </c>
      <c r="H1823">
        <v>13229.507229999999</v>
      </c>
      <c r="I1823">
        <v>1</v>
      </c>
    </row>
    <row r="1824" spans="1:9">
      <c r="A1824" t="s">
        <v>308</v>
      </c>
      <c r="B1824" t="s">
        <v>309</v>
      </c>
      <c r="C1824" t="s">
        <v>269</v>
      </c>
      <c r="D1824" t="s">
        <v>26</v>
      </c>
      <c r="E1824" t="s">
        <v>11</v>
      </c>
      <c r="F1824">
        <v>2028</v>
      </c>
      <c r="G1824">
        <v>13444.75181</v>
      </c>
      <c r="H1824">
        <v>13444.75181</v>
      </c>
      <c r="I1824">
        <v>1</v>
      </c>
    </row>
    <row r="1825" spans="1:9">
      <c r="A1825" t="s">
        <v>308</v>
      </c>
      <c r="B1825" t="s">
        <v>309</v>
      </c>
      <c r="C1825" t="s">
        <v>269</v>
      </c>
      <c r="D1825" t="s">
        <v>26</v>
      </c>
      <c r="E1825" t="s">
        <v>11</v>
      </c>
      <c r="F1825">
        <v>2029</v>
      </c>
      <c r="G1825">
        <v>13659.52954</v>
      </c>
      <c r="H1825">
        <v>13659.52954</v>
      </c>
      <c r="I1825">
        <v>1</v>
      </c>
    </row>
    <row r="1826" spans="1:9">
      <c r="A1826" t="s">
        <v>308</v>
      </c>
      <c r="B1826" t="s">
        <v>309</v>
      </c>
      <c r="C1826" t="s">
        <v>269</v>
      </c>
      <c r="D1826" t="s">
        <v>26</v>
      </c>
      <c r="E1826" t="s">
        <v>11</v>
      </c>
      <c r="F1826">
        <v>2030</v>
      </c>
      <c r="G1826">
        <v>16186.126990000001</v>
      </c>
      <c r="H1826">
        <v>16186.126990000001</v>
      </c>
      <c r="I1826">
        <v>1</v>
      </c>
    </row>
    <row r="1827" spans="1:9">
      <c r="A1827" t="s">
        <v>308</v>
      </c>
      <c r="B1827" t="s">
        <v>309</v>
      </c>
      <c r="C1827" t="s">
        <v>269</v>
      </c>
      <c r="D1827" t="s">
        <v>26</v>
      </c>
      <c r="E1827" t="s">
        <v>11</v>
      </c>
      <c r="F1827">
        <v>2031</v>
      </c>
      <c r="G1827">
        <v>16435.551220000001</v>
      </c>
      <c r="H1827">
        <v>16435.551220000001</v>
      </c>
      <c r="I1827">
        <v>1</v>
      </c>
    </row>
    <row r="1828" spans="1:9">
      <c r="A1828" t="s">
        <v>308</v>
      </c>
      <c r="B1828" t="s">
        <v>309</v>
      </c>
      <c r="C1828" t="s">
        <v>269</v>
      </c>
      <c r="D1828" t="s">
        <v>26</v>
      </c>
      <c r="E1828" t="s">
        <v>11</v>
      </c>
      <c r="F1828">
        <v>2032</v>
      </c>
      <c r="G1828">
        <v>16684.311170000001</v>
      </c>
      <c r="H1828">
        <v>16684.311170000001</v>
      </c>
      <c r="I1828">
        <v>1</v>
      </c>
    </row>
    <row r="1829" spans="1:9">
      <c r="A1829" t="s">
        <v>308</v>
      </c>
      <c r="B1829" t="s">
        <v>309</v>
      </c>
      <c r="C1829" t="s">
        <v>269</v>
      </c>
      <c r="D1829" t="s">
        <v>26</v>
      </c>
      <c r="E1829" t="s">
        <v>11</v>
      </c>
      <c r="F1829">
        <v>2033</v>
      </c>
      <c r="G1829">
        <v>21770.041249999998</v>
      </c>
      <c r="H1829">
        <v>21770.041249999998</v>
      </c>
      <c r="I1829">
        <v>1</v>
      </c>
    </row>
    <row r="1830" spans="1:9">
      <c r="A1830" t="s">
        <v>308</v>
      </c>
      <c r="B1830" t="s">
        <v>309</v>
      </c>
      <c r="C1830" t="s">
        <v>269</v>
      </c>
      <c r="D1830" t="s">
        <v>26</v>
      </c>
      <c r="E1830" t="s">
        <v>11</v>
      </c>
      <c r="F1830">
        <v>2034</v>
      </c>
      <c r="G1830">
        <v>19633.400450000001</v>
      </c>
      <c r="H1830">
        <v>19633.400450000001</v>
      </c>
      <c r="I1830">
        <v>1</v>
      </c>
    </row>
    <row r="1831" spans="1:9">
      <c r="A1831" t="s">
        <v>308</v>
      </c>
      <c r="B1831" t="s">
        <v>309</v>
      </c>
      <c r="C1831" t="s">
        <v>269</v>
      </c>
      <c r="D1831" t="s">
        <v>26</v>
      </c>
      <c r="E1831" t="s">
        <v>11</v>
      </c>
      <c r="F1831">
        <v>2035</v>
      </c>
      <c r="G1831">
        <v>22403.770990000001</v>
      </c>
      <c r="H1831">
        <v>22403.770990000001</v>
      </c>
      <c r="I1831">
        <v>1</v>
      </c>
    </row>
    <row r="1832" spans="1:9">
      <c r="A1832" t="s">
        <v>308</v>
      </c>
      <c r="B1832" t="s">
        <v>309</v>
      </c>
      <c r="C1832" t="s">
        <v>269</v>
      </c>
      <c r="D1832" t="s">
        <v>26</v>
      </c>
      <c r="E1832" t="s">
        <v>11</v>
      </c>
      <c r="F1832">
        <v>2036</v>
      </c>
      <c r="G1832">
        <v>22718.764220000001</v>
      </c>
      <c r="H1832">
        <v>22718.764220000001</v>
      </c>
      <c r="I1832">
        <v>1</v>
      </c>
    </row>
    <row r="1833" spans="1:9">
      <c r="A1833" t="s">
        <v>308</v>
      </c>
      <c r="B1833" t="s">
        <v>309</v>
      </c>
      <c r="C1833" t="s">
        <v>269</v>
      </c>
      <c r="D1833" t="s">
        <v>26</v>
      </c>
      <c r="E1833" t="s">
        <v>11</v>
      </c>
      <c r="F1833">
        <v>2037</v>
      </c>
      <c r="G1833">
        <v>23032.866669999999</v>
      </c>
      <c r="H1833">
        <v>23032.866669999999</v>
      </c>
      <c r="I1833">
        <v>1</v>
      </c>
    </row>
    <row r="1834" spans="1:9">
      <c r="A1834" t="s">
        <v>308</v>
      </c>
      <c r="B1834" t="s">
        <v>309</v>
      </c>
      <c r="C1834" t="s">
        <v>269</v>
      </c>
      <c r="D1834" t="s">
        <v>26</v>
      </c>
      <c r="E1834" t="s">
        <v>11</v>
      </c>
      <c r="F1834">
        <v>2038</v>
      </c>
      <c r="G1834">
        <v>25940.607360000002</v>
      </c>
      <c r="H1834">
        <v>25940.607360000002</v>
      </c>
      <c r="I1834">
        <v>1</v>
      </c>
    </row>
    <row r="1835" spans="1:9">
      <c r="A1835" t="s">
        <v>308</v>
      </c>
      <c r="B1835" t="s">
        <v>309</v>
      </c>
      <c r="C1835" t="s">
        <v>269</v>
      </c>
      <c r="D1835" t="s">
        <v>26</v>
      </c>
      <c r="E1835" t="s">
        <v>11</v>
      </c>
      <c r="F1835">
        <v>2039</v>
      </c>
      <c r="G1835">
        <v>26289.84576</v>
      </c>
      <c r="H1835">
        <v>26289.84576</v>
      </c>
      <c r="I1835">
        <v>1</v>
      </c>
    </row>
    <row r="1836" spans="1:9">
      <c r="A1836" t="s">
        <v>308</v>
      </c>
      <c r="B1836" t="s">
        <v>309</v>
      </c>
      <c r="C1836" t="s">
        <v>269</v>
      </c>
      <c r="D1836" t="s">
        <v>26</v>
      </c>
      <c r="E1836" t="s">
        <v>11</v>
      </c>
      <c r="F1836">
        <v>2040</v>
      </c>
      <c r="G1836">
        <v>26630.555039999999</v>
      </c>
      <c r="H1836">
        <v>26630.555039999999</v>
      </c>
      <c r="I1836">
        <v>1</v>
      </c>
    </row>
    <row r="1837" spans="1:9">
      <c r="A1837" t="s">
        <v>308</v>
      </c>
      <c r="B1837" t="s">
        <v>309</v>
      </c>
      <c r="C1837" t="s">
        <v>269</v>
      </c>
      <c r="D1837" t="s">
        <v>26</v>
      </c>
      <c r="E1837" t="s">
        <v>11</v>
      </c>
      <c r="F1837">
        <v>2041</v>
      </c>
      <c r="G1837">
        <v>29659.847180000001</v>
      </c>
      <c r="H1837">
        <v>29659.847180000001</v>
      </c>
      <c r="I1837">
        <v>1</v>
      </c>
    </row>
    <row r="1838" spans="1:9">
      <c r="A1838" t="s">
        <v>308</v>
      </c>
      <c r="B1838" t="s">
        <v>309</v>
      </c>
      <c r="C1838" t="s">
        <v>269</v>
      </c>
      <c r="D1838" t="s">
        <v>26</v>
      </c>
      <c r="E1838" t="s">
        <v>11</v>
      </c>
      <c r="F1838">
        <v>2042</v>
      </c>
      <c r="G1838">
        <v>30017.049739999999</v>
      </c>
      <c r="H1838">
        <v>30017.049739999999</v>
      </c>
      <c r="I1838">
        <v>1</v>
      </c>
    </row>
    <row r="1839" spans="1:9">
      <c r="A1839" t="s">
        <v>308</v>
      </c>
      <c r="B1839" t="s">
        <v>309</v>
      </c>
      <c r="C1839" t="s">
        <v>269</v>
      </c>
      <c r="D1839" t="s">
        <v>26</v>
      </c>
      <c r="E1839" t="s">
        <v>11</v>
      </c>
      <c r="F1839">
        <v>2043</v>
      </c>
      <c r="G1839">
        <v>33125.073409999997</v>
      </c>
      <c r="H1839">
        <v>33125.073409999997</v>
      </c>
      <c r="I1839">
        <v>1</v>
      </c>
    </row>
    <row r="1840" spans="1:9">
      <c r="A1840" t="s">
        <v>308</v>
      </c>
      <c r="B1840" t="s">
        <v>309</v>
      </c>
      <c r="C1840" t="s">
        <v>269</v>
      </c>
      <c r="D1840" t="s">
        <v>26</v>
      </c>
      <c r="E1840" t="s">
        <v>11</v>
      </c>
      <c r="F1840">
        <v>2044</v>
      </c>
      <c r="G1840">
        <v>33493.170239999999</v>
      </c>
      <c r="H1840">
        <v>33493.170239999999</v>
      </c>
      <c r="I1840">
        <v>1</v>
      </c>
    </row>
    <row r="1841" spans="1:9">
      <c r="A1841" t="s">
        <v>308</v>
      </c>
      <c r="B1841" t="s">
        <v>309</v>
      </c>
      <c r="C1841" t="s">
        <v>269</v>
      </c>
      <c r="D1841" t="s">
        <v>26</v>
      </c>
      <c r="E1841" t="s">
        <v>11</v>
      </c>
      <c r="F1841">
        <v>2045</v>
      </c>
      <c r="G1841">
        <v>33849.638780000001</v>
      </c>
      <c r="H1841">
        <v>33849.638780000001</v>
      </c>
      <c r="I1841">
        <v>1</v>
      </c>
    </row>
    <row r="1842" spans="1:9">
      <c r="A1842" t="s">
        <v>308</v>
      </c>
      <c r="B1842" t="s">
        <v>309</v>
      </c>
      <c r="C1842" t="s">
        <v>269</v>
      </c>
      <c r="D1842" t="s">
        <v>26</v>
      </c>
      <c r="E1842" t="s">
        <v>11</v>
      </c>
      <c r="F1842">
        <v>2046</v>
      </c>
      <c r="G1842">
        <v>37043.534110000001</v>
      </c>
      <c r="H1842">
        <v>37043.534110000001</v>
      </c>
      <c r="I1842">
        <v>1</v>
      </c>
    </row>
    <row r="1843" spans="1:9">
      <c r="A1843" t="s">
        <v>308</v>
      </c>
      <c r="B1843" t="s">
        <v>309</v>
      </c>
      <c r="C1843" t="s">
        <v>269</v>
      </c>
      <c r="D1843" t="s">
        <v>26</v>
      </c>
      <c r="E1843" t="s">
        <v>11</v>
      </c>
      <c r="F1843">
        <v>2047</v>
      </c>
      <c r="G1843">
        <v>37403.236420000001</v>
      </c>
      <c r="H1843">
        <v>37403.236420000001</v>
      </c>
      <c r="I1843">
        <v>1</v>
      </c>
    </row>
    <row r="1844" spans="1:9">
      <c r="A1844" t="s">
        <v>308</v>
      </c>
      <c r="B1844" t="s">
        <v>309</v>
      </c>
      <c r="C1844" t="s">
        <v>269</v>
      </c>
      <c r="D1844" t="s">
        <v>26</v>
      </c>
      <c r="E1844" t="s">
        <v>11</v>
      </c>
      <c r="F1844">
        <v>2048</v>
      </c>
      <c r="G1844">
        <v>37749.376700000001</v>
      </c>
      <c r="H1844">
        <v>37749.376700000001</v>
      </c>
      <c r="I1844">
        <v>1</v>
      </c>
    </row>
    <row r="1845" spans="1:9">
      <c r="A1845" t="s">
        <v>308</v>
      </c>
      <c r="B1845" t="s">
        <v>309</v>
      </c>
      <c r="C1845" t="s">
        <v>269</v>
      </c>
      <c r="D1845" t="s">
        <v>26</v>
      </c>
      <c r="E1845" t="s">
        <v>11</v>
      </c>
      <c r="F1845">
        <v>2049</v>
      </c>
      <c r="G1845">
        <v>38081.870739999998</v>
      </c>
      <c r="H1845">
        <v>38081.870739999998</v>
      </c>
      <c r="I1845">
        <v>1</v>
      </c>
    </row>
    <row r="1846" spans="1:9">
      <c r="A1846" t="s">
        <v>308</v>
      </c>
      <c r="B1846" t="s">
        <v>309</v>
      </c>
      <c r="C1846" t="s">
        <v>269</v>
      </c>
      <c r="D1846" t="s">
        <v>26</v>
      </c>
      <c r="E1846" t="s">
        <v>11</v>
      </c>
      <c r="F1846">
        <v>2050</v>
      </c>
      <c r="G1846">
        <v>38400.601199999997</v>
      </c>
      <c r="H1846">
        <v>38400.601199999997</v>
      </c>
      <c r="I1846">
        <v>1</v>
      </c>
    </row>
    <row r="1847" spans="1:9">
      <c r="A1847" t="s">
        <v>308</v>
      </c>
      <c r="B1847" t="s">
        <v>309</v>
      </c>
      <c r="C1847" t="s">
        <v>269</v>
      </c>
      <c r="D1847" t="s">
        <v>307</v>
      </c>
      <c r="E1847" t="s">
        <v>11</v>
      </c>
      <c r="F1847">
        <v>2010</v>
      </c>
      <c r="G1847">
        <v>11063.661840000001</v>
      </c>
      <c r="H1847">
        <v>11063.661840000001</v>
      </c>
      <c r="I1847">
        <v>1</v>
      </c>
    </row>
    <row r="1848" spans="1:9">
      <c r="A1848" t="s">
        <v>308</v>
      </c>
      <c r="B1848" t="s">
        <v>309</v>
      </c>
      <c r="C1848" t="s">
        <v>269</v>
      </c>
      <c r="D1848" t="s">
        <v>307</v>
      </c>
      <c r="E1848" t="s">
        <v>11</v>
      </c>
      <c r="F1848">
        <v>2011</v>
      </c>
      <c r="G1848">
        <v>13700.41978</v>
      </c>
      <c r="H1848">
        <v>13700.41978</v>
      </c>
      <c r="I1848">
        <v>1</v>
      </c>
    </row>
    <row r="1849" spans="1:9">
      <c r="A1849" t="s">
        <v>308</v>
      </c>
      <c r="B1849" t="s">
        <v>309</v>
      </c>
      <c r="C1849" t="s">
        <v>269</v>
      </c>
      <c r="D1849" t="s">
        <v>307</v>
      </c>
      <c r="E1849" t="s">
        <v>11</v>
      </c>
      <c r="F1849">
        <v>2012</v>
      </c>
      <c r="G1849">
        <v>18847.870849999999</v>
      </c>
      <c r="H1849">
        <v>18847.870849999999</v>
      </c>
      <c r="I1849">
        <v>1</v>
      </c>
    </row>
    <row r="1850" spans="1:9">
      <c r="A1850" t="s">
        <v>308</v>
      </c>
      <c r="B1850" t="s">
        <v>309</v>
      </c>
      <c r="C1850" t="s">
        <v>269</v>
      </c>
      <c r="D1850" t="s">
        <v>307</v>
      </c>
      <c r="E1850" t="s">
        <v>11</v>
      </c>
      <c r="F1850">
        <v>2013</v>
      </c>
      <c r="G1850">
        <v>24305.565600000002</v>
      </c>
      <c r="H1850">
        <v>24305.565600000002</v>
      </c>
      <c r="I1850">
        <v>1</v>
      </c>
    </row>
    <row r="1851" spans="1:9">
      <c r="A1851" t="s">
        <v>308</v>
      </c>
      <c r="B1851" t="s">
        <v>309</v>
      </c>
      <c r="C1851" t="s">
        <v>269</v>
      </c>
      <c r="D1851" t="s">
        <v>307</v>
      </c>
      <c r="E1851" t="s">
        <v>11</v>
      </c>
      <c r="F1851">
        <v>2014</v>
      </c>
      <c r="G1851">
        <v>30087.284540000001</v>
      </c>
      <c r="H1851">
        <v>30087.284540000001</v>
      </c>
      <c r="I1851">
        <v>1</v>
      </c>
    </row>
    <row r="1852" spans="1:9">
      <c r="A1852" t="s">
        <v>308</v>
      </c>
      <c r="B1852" t="s">
        <v>309</v>
      </c>
      <c r="C1852" t="s">
        <v>269</v>
      </c>
      <c r="D1852" t="s">
        <v>307</v>
      </c>
      <c r="E1852" t="s">
        <v>11</v>
      </c>
      <c r="F1852">
        <v>2015</v>
      </c>
      <c r="G1852">
        <v>38793.569040000002</v>
      </c>
      <c r="H1852">
        <v>38793.569040000002</v>
      </c>
      <c r="I1852">
        <v>1</v>
      </c>
    </row>
    <row r="1853" spans="1:9">
      <c r="A1853" t="s">
        <v>308</v>
      </c>
      <c r="B1853" t="s">
        <v>309</v>
      </c>
      <c r="C1853" t="s">
        <v>269</v>
      </c>
      <c r="D1853" t="s">
        <v>307</v>
      </c>
      <c r="E1853" t="s">
        <v>11</v>
      </c>
      <c r="F1853">
        <v>2016</v>
      </c>
      <c r="G1853">
        <v>48014.381659999999</v>
      </c>
      <c r="H1853">
        <v>48014.381659999999</v>
      </c>
      <c r="I1853">
        <v>1</v>
      </c>
    </row>
    <row r="1854" spans="1:9">
      <c r="A1854" t="s">
        <v>308</v>
      </c>
      <c r="B1854" t="s">
        <v>309</v>
      </c>
      <c r="C1854" t="s">
        <v>269</v>
      </c>
      <c r="D1854" t="s">
        <v>307</v>
      </c>
      <c r="E1854" t="s">
        <v>11</v>
      </c>
      <c r="F1854">
        <v>2017</v>
      </c>
      <c r="G1854">
        <v>55017.618240000003</v>
      </c>
      <c r="H1854">
        <v>55017.618240000003</v>
      </c>
      <c r="I1854">
        <v>1</v>
      </c>
    </row>
    <row r="1855" spans="1:9">
      <c r="A1855" t="s">
        <v>308</v>
      </c>
      <c r="B1855" t="s">
        <v>309</v>
      </c>
      <c r="C1855" t="s">
        <v>269</v>
      </c>
      <c r="D1855" t="s">
        <v>307</v>
      </c>
      <c r="E1855" t="s">
        <v>11</v>
      </c>
      <c r="F1855">
        <v>2018</v>
      </c>
      <c r="G1855">
        <v>65236.896769999999</v>
      </c>
      <c r="H1855">
        <v>65236.896769999999</v>
      </c>
      <c r="I1855">
        <v>1</v>
      </c>
    </row>
    <row r="1856" spans="1:9">
      <c r="A1856" t="s">
        <v>308</v>
      </c>
      <c r="B1856" t="s">
        <v>309</v>
      </c>
      <c r="C1856" t="s">
        <v>269</v>
      </c>
      <c r="D1856" t="s">
        <v>307</v>
      </c>
      <c r="E1856" t="s">
        <v>11</v>
      </c>
      <c r="F1856">
        <v>2019</v>
      </c>
      <c r="G1856">
        <v>73096.268400000001</v>
      </c>
      <c r="H1856">
        <v>73096.268400000001</v>
      </c>
      <c r="I1856">
        <v>1</v>
      </c>
    </row>
    <row r="1857" spans="1:9">
      <c r="A1857" t="s">
        <v>308</v>
      </c>
      <c r="B1857" t="s">
        <v>309</v>
      </c>
      <c r="C1857" t="s">
        <v>269</v>
      </c>
      <c r="D1857" t="s">
        <v>307</v>
      </c>
      <c r="E1857" t="s">
        <v>11</v>
      </c>
      <c r="F1857">
        <v>2020</v>
      </c>
      <c r="G1857">
        <v>78342.72451</v>
      </c>
      <c r="H1857">
        <v>78342.72451</v>
      </c>
      <c r="I1857">
        <v>1</v>
      </c>
    </row>
    <row r="1858" spans="1:9">
      <c r="A1858" t="s">
        <v>308</v>
      </c>
      <c r="B1858" t="s">
        <v>309</v>
      </c>
      <c r="C1858" t="s">
        <v>269</v>
      </c>
      <c r="D1858" t="s">
        <v>307</v>
      </c>
      <c r="E1858" t="s">
        <v>11</v>
      </c>
      <c r="F1858">
        <v>2021</v>
      </c>
      <c r="G1858">
        <v>86921.659780000002</v>
      </c>
      <c r="H1858">
        <v>86921.659780000002</v>
      </c>
      <c r="I1858">
        <v>1</v>
      </c>
    </row>
    <row r="1859" spans="1:9">
      <c r="A1859" t="s">
        <v>308</v>
      </c>
      <c r="B1859" t="s">
        <v>309</v>
      </c>
      <c r="C1859" t="s">
        <v>269</v>
      </c>
      <c r="D1859" t="s">
        <v>307</v>
      </c>
      <c r="E1859" t="s">
        <v>11</v>
      </c>
      <c r="F1859">
        <v>2022</v>
      </c>
      <c r="G1859">
        <v>95921.491680000006</v>
      </c>
      <c r="H1859">
        <v>95921.491680000006</v>
      </c>
      <c r="I1859">
        <v>1</v>
      </c>
    </row>
    <row r="1860" spans="1:9">
      <c r="A1860" t="s">
        <v>308</v>
      </c>
      <c r="B1860" t="s">
        <v>309</v>
      </c>
      <c r="C1860" t="s">
        <v>269</v>
      </c>
      <c r="D1860" t="s">
        <v>307</v>
      </c>
      <c r="E1860" t="s">
        <v>11</v>
      </c>
      <c r="F1860">
        <v>2023</v>
      </c>
      <c r="G1860">
        <v>102063.69960000001</v>
      </c>
      <c r="H1860">
        <v>102063.69960000001</v>
      </c>
      <c r="I1860">
        <v>1</v>
      </c>
    </row>
    <row r="1861" spans="1:9">
      <c r="A1861" t="s">
        <v>308</v>
      </c>
      <c r="B1861" t="s">
        <v>309</v>
      </c>
      <c r="C1861" t="s">
        <v>269</v>
      </c>
      <c r="D1861" t="s">
        <v>307</v>
      </c>
      <c r="E1861" t="s">
        <v>11</v>
      </c>
      <c r="F1861">
        <v>2024</v>
      </c>
      <c r="G1861">
        <v>108462.3852</v>
      </c>
      <c r="H1861">
        <v>108462.3852</v>
      </c>
      <c r="I1861">
        <v>1</v>
      </c>
    </row>
    <row r="1862" spans="1:9">
      <c r="A1862" t="s">
        <v>308</v>
      </c>
      <c r="B1862" t="s">
        <v>309</v>
      </c>
      <c r="C1862" t="s">
        <v>269</v>
      </c>
      <c r="D1862" t="s">
        <v>307</v>
      </c>
      <c r="E1862" t="s">
        <v>11</v>
      </c>
      <c r="F1862">
        <v>2025</v>
      </c>
      <c r="G1862">
        <v>115126.8149</v>
      </c>
      <c r="H1862">
        <v>115126.8149</v>
      </c>
      <c r="I1862">
        <v>1</v>
      </c>
    </row>
    <row r="1863" spans="1:9">
      <c r="A1863" t="s">
        <v>308</v>
      </c>
      <c r="B1863" t="s">
        <v>309</v>
      </c>
      <c r="C1863" t="s">
        <v>269</v>
      </c>
      <c r="D1863" t="s">
        <v>307</v>
      </c>
      <c r="E1863" t="s">
        <v>11</v>
      </c>
      <c r="F1863">
        <v>2026</v>
      </c>
      <c r="G1863">
        <v>122063.9353</v>
      </c>
      <c r="H1863">
        <v>122063.9353</v>
      </c>
      <c r="I1863">
        <v>1</v>
      </c>
    </row>
    <row r="1864" spans="1:9">
      <c r="A1864" t="s">
        <v>308</v>
      </c>
      <c r="B1864" t="s">
        <v>309</v>
      </c>
      <c r="C1864" t="s">
        <v>269</v>
      </c>
      <c r="D1864" t="s">
        <v>307</v>
      </c>
      <c r="E1864" t="s">
        <v>11</v>
      </c>
      <c r="F1864">
        <v>2027</v>
      </c>
      <c r="G1864">
        <v>127432.87300000001</v>
      </c>
      <c r="H1864">
        <v>127432.87300000001</v>
      </c>
      <c r="I1864">
        <v>1</v>
      </c>
    </row>
    <row r="1865" spans="1:9">
      <c r="A1865" t="s">
        <v>308</v>
      </c>
      <c r="B1865" t="s">
        <v>309</v>
      </c>
      <c r="C1865" t="s">
        <v>269</v>
      </c>
      <c r="D1865" t="s">
        <v>307</v>
      </c>
      <c r="E1865" t="s">
        <v>11</v>
      </c>
      <c r="F1865">
        <v>2028</v>
      </c>
      <c r="G1865">
        <v>132982.07500000001</v>
      </c>
      <c r="H1865">
        <v>132982.07500000001</v>
      </c>
      <c r="I1865">
        <v>1</v>
      </c>
    </row>
    <row r="1866" spans="1:9">
      <c r="A1866" t="s">
        <v>308</v>
      </c>
      <c r="B1866" t="s">
        <v>309</v>
      </c>
      <c r="C1866" t="s">
        <v>269</v>
      </c>
      <c r="D1866" t="s">
        <v>307</v>
      </c>
      <c r="E1866" t="s">
        <v>11</v>
      </c>
      <c r="F1866">
        <v>2029</v>
      </c>
      <c r="G1866">
        <v>140669.36060000001</v>
      </c>
      <c r="H1866">
        <v>140669.36060000001</v>
      </c>
      <c r="I1866">
        <v>1</v>
      </c>
    </row>
    <row r="1867" spans="1:9">
      <c r="A1867" t="s">
        <v>308</v>
      </c>
      <c r="B1867" t="s">
        <v>309</v>
      </c>
      <c r="C1867" t="s">
        <v>269</v>
      </c>
      <c r="D1867" t="s">
        <v>307</v>
      </c>
      <c r="E1867" t="s">
        <v>11</v>
      </c>
      <c r="F1867">
        <v>2030</v>
      </c>
      <c r="G1867">
        <v>144637.1476</v>
      </c>
      <c r="H1867">
        <v>144637.1476</v>
      </c>
      <c r="I1867">
        <v>1</v>
      </c>
    </row>
    <row r="1868" spans="1:9">
      <c r="A1868" t="s">
        <v>308</v>
      </c>
      <c r="B1868" t="s">
        <v>309</v>
      </c>
      <c r="C1868" t="s">
        <v>269</v>
      </c>
      <c r="D1868" t="s">
        <v>307</v>
      </c>
      <c r="E1868" t="s">
        <v>11</v>
      </c>
      <c r="F1868">
        <v>2031</v>
      </c>
      <c r="G1868">
        <v>156945.272</v>
      </c>
      <c r="H1868">
        <v>156945.272</v>
      </c>
      <c r="I1868">
        <v>1</v>
      </c>
    </row>
    <row r="1869" spans="1:9">
      <c r="A1869" t="s">
        <v>308</v>
      </c>
      <c r="B1869" t="s">
        <v>309</v>
      </c>
      <c r="C1869" t="s">
        <v>269</v>
      </c>
      <c r="D1869" t="s">
        <v>307</v>
      </c>
      <c r="E1869" t="s">
        <v>11</v>
      </c>
      <c r="F1869">
        <v>2032</v>
      </c>
      <c r="G1869">
        <v>165546.45989999999</v>
      </c>
      <c r="H1869">
        <v>165546.45989999999</v>
      </c>
      <c r="I1869">
        <v>1</v>
      </c>
    </row>
    <row r="1870" spans="1:9">
      <c r="A1870" t="s">
        <v>308</v>
      </c>
      <c r="B1870" t="s">
        <v>309</v>
      </c>
      <c r="C1870" t="s">
        <v>269</v>
      </c>
      <c r="D1870" t="s">
        <v>307</v>
      </c>
      <c r="E1870" t="s">
        <v>11</v>
      </c>
      <c r="F1870">
        <v>2033</v>
      </c>
      <c r="G1870">
        <v>170101.39910000001</v>
      </c>
      <c r="H1870">
        <v>170101.39910000001</v>
      </c>
      <c r="I1870">
        <v>1</v>
      </c>
    </row>
    <row r="1871" spans="1:9">
      <c r="A1871" t="s">
        <v>308</v>
      </c>
      <c r="B1871" t="s">
        <v>309</v>
      </c>
      <c r="C1871" t="s">
        <v>269</v>
      </c>
      <c r="D1871" t="s">
        <v>307</v>
      </c>
      <c r="E1871" t="s">
        <v>11</v>
      </c>
      <c r="F1871">
        <v>2034</v>
      </c>
      <c r="G1871">
        <v>179218.0877</v>
      </c>
      <c r="H1871">
        <v>179218.0877</v>
      </c>
      <c r="I1871">
        <v>1</v>
      </c>
    </row>
    <row r="1872" spans="1:9">
      <c r="A1872" t="s">
        <v>308</v>
      </c>
      <c r="B1872" t="s">
        <v>309</v>
      </c>
      <c r="C1872" t="s">
        <v>269</v>
      </c>
      <c r="D1872" t="s">
        <v>307</v>
      </c>
      <c r="E1872" t="s">
        <v>11</v>
      </c>
      <c r="F1872">
        <v>2035</v>
      </c>
      <c r="G1872">
        <v>188655.49299999999</v>
      </c>
      <c r="H1872">
        <v>188655.49299999999</v>
      </c>
      <c r="I1872">
        <v>1</v>
      </c>
    </row>
    <row r="1873" spans="1:9">
      <c r="A1873" t="s">
        <v>308</v>
      </c>
      <c r="B1873" t="s">
        <v>309</v>
      </c>
      <c r="C1873" t="s">
        <v>269</v>
      </c>
      <c r="D1873" t="s">
        <v>307</v>
      </c>
      <c r="E1873" t="s">
        <v>11</v>
      </c>
      <c r="F1873">
        <v>2036</v>
      </c>
      <c r="G1873">
        <v>188969.6563</v>
      </c>
      <c r="H1873">
        <v>188969.6563</v>
      </c>
      <c r="I1873">
        <v>1</v>
      </c>
    </row>
    <row r="1874" spans="1:9">
      <c r="A1874" t="s">
        <v>308</v>
      </c>
      <c r="B1874" t="s">
        <v>309</v>
      </c>
      <c r="C1874" t="s">
        <v>269</v>
      </c>
      <c r="D1874" t="s">
        <v>307</v>
      </c>
      <c r="E1874" t="s">
        <v>11</v>
      </c>
      <c r="F1874">
        <v>2037</v>
      </c>
      <c r="G1874">
        <v>208510.70629999999</v>
      </c>
      <c r="H1874">
        <v>208510.70629999999</v>
      </c>
      <c r="I1874">
        <v>1</v>
      </c>
    </row>
    <row r="1875" spans="1:9">
      <c r="A1875" t="s">
        <v>308</v>
      </c>
      <c r="B1875" t="s">
        <v>309</v>
      </c>
      <c r="C1875" t="s">
        <v>269</v>
      </c>
      <c r="D1875" t="s">
        <v>307</v>
      </c>
      <c r="E1875" t="s">
        <v>11</v>
      </c>
      <c r="F1875">
        <v>2038</v>
      </c>
      <c r="G1875">
        <v>213961.09659999999</v>
      </c>
      <c r="H1875">
        <v>213961.09659999999</v>
      </c>
      <c r="I1875">
        <v>1</v>
      </c>
    </row>
    <row r="1876" spans="1:9">
      <c r="A1876" t="s">
        <v>308</v>
      </c>
      <c r="B1876" t="s">
        <v>309</v>
      </c>
      <c r="C1876" t="s">
        <v>269</v>
      </c>
      <c r="D1876" t="s">
        <v>307</v>
      </c>
      <c r="E1876" t="s">
        <v>11</v>
      </c>
      <c r="F1876">
        <v>2039</v>
      </c>
      <c r="G1876">
        <v>224595.63879999999</v>
      </c>
      <c r="H1876">
        <v>224595.63879999999</v>
      </c>
      <c r="I1876">
        <v>1</v>
      </c>
    </row>
    <row r="1877" spans="1:9">
      <c r="A1877" t="s">
        <v>308</v>
      </c>
      <c r="B1877" t="s">
        <v>309</v>
      </c>
      <c r="C1877" t="s">
        <v>269</v>
      </c>
      <c r="D1877" t="s">
        <v>307</v>
      </c>
      <c r="E1877" t="s">
        <v>11</v>
      </c>
      <c r="F1877">
        <v>2040</v>
      </c>
      <c r="G1877">
        <v>225098.84520000001</v>
      </c>
      <c r="H1877">
        <v>225098.84520000001</v>
      </c>
      <c r="I1877">
        <v>1</v>
      </c>
    </row>
    <row r="1878" spans="1:9">
      <c r="A1878" t="s">
        <v>308</v>
      </c>
      <c r="B1878" t="s">
        <v>309</v>
      </c>
      <c r="C1878" t="s">
        <v>269</v>
      </c>
      <c r="D1878" t="s">
        <v>307</v>
      </c>
      <c r="E1878" t="s">
        <v>11</v>
      </c>
      <c r="F1878">
        <v>2041</v>
      </c>
      <c r="G1878">
        <v>241516.5055</v>
      </c>
      <c r="H1878">
        <v>241516.5055</v>
      </c>
      <c r="I1878">
        <v>1</v>
      </c>
    </row>
    <row r="1879" spans="1:9">
      <c r="A1879" t="s">
        <v>308</v>
      </c>
      <c r="B1879" t="s">
        <v>309</v>
      </c>
      <c r="C1879" t="s">
        <v>269</v>
      </c>
      <c r="D1879" t="s">
        <v>307</v>
      </c>
      <c r="E1879" t="s">
        <v>11</v>
      </c>
      <c r="F1879">
        <v>2042</v>
      </c>
      <c r="G1879">
        <v>253042.94039999999</v>
      </c>
      <c r="H1879">
        <v>253042.94039999999</v>
      </c>
      <c r="I1879">
        <v>1</v>
      </c>
    </row>
    <row r="1880" spans="1:9">
      <c r="A1880" t="s">
        <v>308</v>
      </c>
      <c r="B1880" t="s">
        <v>309</v>
      </c>
      <c r="C1880" t="s">
        <v>269</v>
      </c>
      <c r="D1880" t="s">
        <v>307</v>
      </c>
      <c r="E1880" t="s">
        <v>11</v>
      </c>
      <c r="F1880">
        <v>2043</v>
      </c>
      <c r="G1880">
        <v>264915.29849999998</v>
      </c>
      <c r="H1880">
        <v>264915.29849999998</v>
      </c>
      <c r="I1880">
        <v>1</v>
      </c>
    </row>
    <row r="1881" spans="1:9">
      <c r="A1881" t="s">
        <v>308</v>
      </c>
      <c r="B1881" t="s">
        <v>309</v>
      </c>
      <c r="C1881" t="s">
        <v>269</v>
      </c>
      <c r="D1881" t="s">
        <v>307</v>
      </c>
      <c r="E1881" t="s">
        <v>11</v>
      </c>
      <c r="F1881">
        <v>2044</v>
      </c>
      <c r="G1881">
        <v>282908.93</v>
      </c>
      <c r="H1881">
        <v>282908.93</v>
      </c>
      <c r="I1881">
        <v>1</v>
      </c>
    </row>
    <row r="1882" spans="1:9">
      <c r="A1882" t="s">
        <v>308</v>
      </c>
      <c r="B1882" t="s">
        <v>309</v>
      </c>
      <c r="C1882" t="s">
        <v>269</v>
      </c>
      <c r="D1882" t="s">
        <v>307</v>
      </c>
      <c r="E1882" t="s">
        <v>11</v>
      </c>
      <c r="F1882">
        <v>2045</v>
      </c>
      <c r="G1882">
        <v>289704.9093</v>
      </c>
      <c r="H1882">
        <v>289704.9093</v>
      </c>
      <c r="I1882">
        <v>1</v>
      </c>
    </row>
    <row r="1883" spans="1:9">
      <c r="A1883" t="s">
        <v>308</v>
      </c>
      <c r="B1883" t="s">
        <v>309</v>
      </c>
      <c r="C1883" t="s">
        <v>269</v>
      </c>
      <c r="D1883" t="s">
        <v>307</v>
      </c>
      <c r="E1883" t="s">
        <v>11</v>
      </c>
      <c r="F1883">
        <v>2046</v>
      </c>
      <c r="G1883">
        <v>293547.62579999998</v>
      </c>
      <c r="H1883">
        <v>293547.62579999998</v>
      </c>
      <c r="I1883">
        <v>1</v>
      </c>
    </row>
    <row r="1884" spans="1:9">
      <c r="A1884" t="s">
        <v>308</v>
      </c>
      <c r="B1884" t="s">
        <v>309</v>
      </c>
      <c r="C1884" t="s">
        <v>269</v>
      </c>
      <c r="D1884" t="s">
        <v>307</v>
      </c>
      <c r="E1884" t="s">
        <v>11</v>
      </c>
      <c r="F1884">
        <v>2047</v>
      </c>
      <c r="G1884">
        <v>309708.89039999997</v>
      </c>
      <c r="H1884">
        <v>309708.89039999997</v>
      </c>
      <c r="I1884">
        <v>1</v>
      </c>
    </row>
    <row r="1885" spans="1:9">
      <c r="A1885" t="s">
        <v>308</v>
      </c>
      <c r="B1885" t="s">
        <v>309</v>
      </c>
      <c r="C1885" t="s">
        <v>269</v>
      </c>
      <c r="D1885" t="s">
        <v>307</v>
      </c>
      <c r="E1885" t="s">
        <v>11</v>
      </c>
      <c r="F1885">
        <v>2048</v>
      </c>
      <c r="G1885">
        <v>323201.72879999998</v>
      </c>
      <c r="H1885">
        <v>323201.72879999998</v>
      </c>
      <c r="I1885">
        <v>1</v>
      </c>
    </row>
    <row r="1886" spans="1:9">
      <c r="A1886" t="s">
        <v>308</v>
      </c>
      <c r="B1886" t="s">
        <v>309</v>
      </c>
      <c r="C1886" t="s">
        <v>269</v>
      </c>
      <c r="D1886" t="s">
        <v>307</v>
      </c>
      <c r="E1886" t="s">
        <v>11</v>
      </c>
      <c r="F1886">
        <v>2049</v>
      </c>
      <c r="G1886">
        <v>324093.44400000002</v>
      </c>
      <c r="H1886">
        <v>324093.44400000002</v>
      </c>
      <c r="I1886">
        <v>1</v>
      </c>
    </row>
    <row r="1887" spans="1:9">
      <c r="A1887" t="s">
        <v>308</v>
      </c>
      <c r="B1887" t="s">
        <v>309</v>
      </c>
      <c r="C1887" t="s">
        <v>269</v>
      </c>
      <c r="D1887" t="s">
        <v>307</v>
      </c>
      <c r="E1887" t="s">
        <v>11</v>
      </c>
      <c r="F1887">
        <v>2050</v>
      </c>
      <c r="G1887">
        <v>344651.72600000002</v>
      </c>
      <c r="H1887">
        <v>344651.72600000002</v>
      </c>
      <c r="I1887">
        <v>1</v>
      </c>
    </row>
    <row r="1888" spans="1:9">
      <c r="A1888" t="s">
        <v>308</v>
      </c>
      <c r="B1888" t="s">
        <v>309</v>
      </c>
      <c r="C1888" t="s">
        <v>269</v>
      </c>
      <c r="D1888" t="s">
        <v>25</v>
      </c>
      <c r="E1888" t="s">
        <v>42</v>
      </c>
      <c r="F1888">
        <v>2010</v>
      </c>
      <c r="G1888">
        <v>88868.358859999993</v>
      </c>
      <c r="H1888">
        <v>88868.358859999993</v>
      </c>
      <c r="I1888">
        <v>1</v>
      </c>
    </row>
    <row r="1889" spans="1:9">
      <c r="A1889" t="s">
        <v>308</v>
      </c>
      <c r="B1889" t="s">
        <v>309</v>
      </c>
      <c r="C1889" t="s">
        <v>269</v>
      </c>
      <c r="D1889" t="s">
        <v>25</v>
      </c>
      <c r="E1889" t="s">
        <v>42</v>
      </c>
      <c r="F1889">
        <v>2011</v>
      </c>
      <c r="G1889">
        <v>99809.972569999998</v>
      </c>
      <c r="H1889">
        <v>99809.972569999998</v>
      </c>
      <c r="I1889">
        <v>1</v>
      </c>
    </row>
    <row r="1890" spans="1:9">
      <c r="A1890" t="s">
        <v>308</v>
      </c>
      <c r="B1890" t="s">
        <v>309</v>
      </c>
      <c r="C1890" t="s">
        <v>269</v>
      </c>
      <c r="D1890" t="s">
        <v>25</v>
      </c>
      <c r="E1890" t="s">
        <v>42</v>
      </c>
      <c r="F1890">
        <v>2012</v>
      </c>
      <c r="G1890">
        <v>111672.14659999999</v>
      </c>
      <c r="H1890">
        <v>111672.14659999999</v>
      </c>
      <c r="I1890">
        <v>1</v>
      </c>
    </row>
    <row r="1891" spans="1:9">
      <c r="A1891" t="s">
        <v>308</v>
      </c>
      <c r="B1891" t="s">
        <v>309</v>
      </c>
      <c r="C1891" t="s">
        <v>269</v>
      </c>
      <c r="D1891" t="s">
        <v>25</v>
      </c>
      <c r="E1891" t="s">
        <v>42</v>
      </c>
      <c r="F1891">
        <v>2013</v>
      </c>
      <c r="G1891">
        <v>117952.0766</v>
      </c>
      <c r="H1891">
        <v>117952.0766</v>
      </c>
      <c r="I1891">
        <v>1</v>
      </c>
    </row>
    <row r="1892" spans="1:9">
      <c r="A1892" t="s">
        <v>308</v>
      </c>
      <c r="B1892" t="s">
        <v>309</v>
      </c>
      <c r="C1892" t="s">
        <v>269</v>
      </c>
      <c r="D1892" t="s">
        <v>25</v>
      </c>
      <c r="E1892" t="s">
        <v>42</v>
      </c>
      <c r="F1892">
        <v>2014</v>
      </c>
      <c r="G1892">
        <v>131448.32699999999</v>
      </c>
      <c r="H1892">
        <v>131448.32699999999</v>
      </c>
      <c r="I1892">
        <v>1</v>
      </c>
    </row>
    <row r="1893" spans="1:9">
      <c r="A1893" t="s">
        <v>308</v>
      </c>
      <c r="B1893" t="s">
        <v>309</v>
      </c>
      <c r="C1893" t="s">
        <v>269</v>
      </c>
      <c r="D1893" t="s">
        <v>25</v>
      </c>
      <c r="E1893" t="s">
        <v>42</v>
      </c>
      <c r="F1893">
        <v>2015</v>
      </c>
      <c r="G1893">
        <v>138715.30590000001</v>
      </c>
      <c r="H1893">
        <v>138715.30590000001</v>
      </c>
      <c r="I1893">
        <v>1</v>
      </c>
    </row>
    <row r="1894" spans="1:9">
      <c r="A1894" t="s">
        <v>308</v>
      </c>
      <c r="B1894" t="s">
        <v>309</v>
      </c>
      <c r="C1894" t="s">
        <v>269</v>
      </c>
      <c r="D1894" t="s">
        <v>25</v>
      </c>
      <c r="E1894" t="s">
        <v>42</v>
      </c>
      <c r="F1894">
        <v>2016</v>
      </c>
      <c r="G1894">
        <v>138613.64910000001</v>
      </c>
      <c r="H1894">
        <v>138613.64910000001</v>
      </c>
      <c r="I1894">
        <v>1</v>
      </c>
    </row>
    <row r="1895" spans="1:9">
      <c r="A1895" t="s">
        <v>308</v>
      </c>
      <c r="B1895" t="s">
        <v>309</v>
      </c>
      <c r="C1895" t="s">
        <v>269</v>
      </c>
      <c r="D1895" t="s">
        <v>25</v>
      </c>
      <c r="E1895" t="s">
        <v>42</v>
      </c>
      <c r="F1895">
        <v>2017</v>
      </c>
      <c r="G1895">
        <v>146130.38740000001</v>
      </c>
      <c r="H1895">
        <v>146130.38740000001</v>
      </c>
      <c r="I1895">
        <v>1</v>
      </c>
    </row>
    <row r="1896" spans="1:9">
      <c r="A1896" t="s">
        <v>308</v>
      </c>
      <c r="B1896" t="s">
        <v>309</v>
      </c>
      <c r="C1896" t="s">
        <v>269</v>
      </c>
      <c r="D1896" t="s">
        <v>25</v>
      </c>
      <c r="E1896" t="s">
        <v>42</v>
      </c>
      <c r="F1896">
        <v>2018</v>
      </c>
      <c r="G1896">
        <v>145412.25640000001</v>
      </c>
      <c r="H1896">
        <v>145412.25640000001</v>
      </c>
      <c r="I1896">
        <v>1</v>
      </c>
    </row>
    <row r="1897" spans="1:9">
      <c r="A1897" t="s">
        <v>308</v>
      </c>
      <c r="B1897" t="s">
        <v>309</v>
      </c>
      <c r="C1897" t="s">
        <v>269</v>
      </c>
      <c r="D1897" t="s">
        <v>25</v>
      </c>
      <c r="E1897" t="s">
        <v>42</v>
      </c>
      <c r="F1897">
        <v>2019</v>
      </c>
      <c r="G1897">
        <v>144105.53829999999</v>
      </c>
      <c r="H1897">
        <v>144105.53829999999</v>
      </c>
      <c r="I1897">
        <v>1</v>
      </c>
    </row>
    <row r="1898" spans="1:9">
      <c r="A1898" t="s">
        <v>308</v>
      </c>
      <c r="B1898" t="s">
        <v>309</v>
      </c>
      <c r="C1898" t="s">
        <v>269</v>
      </c>
      <c r="D1898" t="s">
        <v>25</v>
      </c>
      <c r="E1898" t="s">
        <v>42</v>
      </c>
      <c r="F1898">
        <v>2020</v>
      </c>
      <c r="G1898">
        <v>132680.11799999999</v>
      </c>
      <c r="H1898">
        <v>132680.11799999999</v>
      </c>
      <c r="I1898">
        <v>1</v>
      </c>
    </row>
    <row r="1899" spans="1:9">
      <c r="A1899" t="s">
        <v>308</v>
      </c>
      <c r="B1899" t="s">
        <v>309</v>
      </c>
      <c r="C1899" t="s">
        <v>269</v>
      </c>
      <c r="D1899" t="s">
        <v>25</v>
      </c>
      <c r="E1899" t="s">
        <v>42</v>
      </c>
      <c r="F1899">
        <v>2021</v>
      </c>
      <c r="G1899">
        <v>119585.52</v>
      </c>
      <c r="H1899">
        <v>119585.52</v>
      </c>
      <c r="I1899">
        <v>1</v>
      </c>
    </row>
    <row r="1900" spans="1:9">
      <c r="A1900" t="s">
        <v>308</v>
      </c>
      <c r="B1900" t="s">
        <v>309</v>
      </c>
      <c r="C1900" t="s">
        <v>269</v>
      </c>
      <c r="D1900" t="s">
        <v>25</v>
      </c>
      <c r="E1900" t="s">
        <v>42</v>
      </c>
      <c r="F1900">
        <v>2022</v>
      </c>
      <c r="G1900">
        <v>115190.6627</v>
      </c>
      <c r="H1900">
        <v>115190.6627</v>
      </c>
      <c r="I1900">
        <v>1</v>
      </c>
    </row>
    <row r="1901" spans="1:9">
      <c r="A1901" t="s">
        <v>308</v>
      </c>
      <c r="B1901" t="s">
        <v>309</v>
      </c>
      <c r="C1901" t="s">
        <v>269</v>
      </c>
      <c r="D1901" t="s">
        <v>25</v>
      </c>
      <c r="E1901" t="s">
        <v>42</v>
      </c>
      <c r="F1901">
        <v>2023</v>
      </c>
      <c r="G1901">
        <v>98971.944430000003</v>
      </c>
      <c r="H1901">
        <v>98971.944430000003</v>
      </c>
      <c r="I1901">
        <v>1</v>
      </c>
    </row>
    <row r="1902" spans="1:9">
      <c r="A1902" t="s">
        <v>308</v>
      </c>
      <c r="B1902" t="s">
        <v>309</v>
      </c>
      <c r="C1902" t="s">
        <v>269</v>
      </c>
      <c r="D1902" t="s">
        <v>25</v>
      </c>
      <c r="E1902" t="s">
        <v>42</v>
      </c>
      <c r="F1902">
        <v>2024</v>
      </c>
      <c r="G1902">
        <v>92328.665139999997</v>
      </c>
      <c r="H1902">
        <v>92328.665139999997</v>
      </c>
      <c r="I1902">
        <v>1</v>
      </c>
    </row>
    <row r="1903" spans="1:9">
      <c r="A1903" t="s">
        <v>308</v>
      </c>
      <c r="B1903" t="s">
        <v>309</v>
      </c>
      <c r="C1903" t="s">
        <v>269</v>
      </c>
      <c r="D1903" t="s">
        <v>25</v>
      </c>
      <c r="E1903" t="s">
        <v>42</v>
      </c>
      <c r="F1903">
        <v>2025</v>
      </c>
      <c r="G1903">
        <v>84734.960999999996</v>
      </c>
      <c r="H1903">
        <v>84734.960999999996</v>
      </c>
      <c r="I1903">
        <v>1</v>
      </c>
    </row>
    <row r="1904" spans="1:9">
      <c r="A1904" t="s">
        <v>308</v>
      </c>
      <c r="B1904" t="s">
        <v>309</v>
      </c>
      <c r="C1904" t="s">
        <v>269</v>
      </c>
      <c r="D1904" t="s">
        <v>25</v>
      </c>
      <c r="E1904" t="s">
        <v>42</v>
      </c>
      <c r="F1904">
        <v>2026</v>
      </c>
      <c r="G1904">
        <v>63444.252860000001</v>
      </c>
      <c r="H1904">
        <v>63444.252860000001</v>
      </c>
      <c r="I1904">
        <v>1</v>
      </c>
    </row>
    <row r="1905" spans="1:9">
      <c r="A1905" t="s">
        <v>308</v>
      </c>
      <c r="B1905" t="s">
        <v>309</v>
      </c>
      <c r="C1905" t="s">
        <v>269</v>
      </c>
      <c r="D1905" t="s">
        <v>25</v>
      </c>
      <c r="E1905" t="s">
        <v>42</v>
      </c>
      <c r="F1905">
        <v>2027</v>
      </c>
      <c r="G1905">
        <v>53171.021139999997</v>
      </c>
      <c r="H1905">
        <v>53171.021139999997</v>
      </c>
      <c r="I1905">
        <v>1</v>
      </c>
    </row>
    <row r="1906" spans="1:9">
      <c r="A1906" t="s">
        <v>308</v>
      </c>
      <c r="B1906" t="s">
        <v>309</v>
      </c>
      <c r="C1906" t="s">
        <v>269</v>
      </c>
      <c r="D1906" t="s">
        <v>25</v>
      </c>
      <c r="E1906" t="s">
        <v>42</v>
      </c>
      <c r="F1906">
        <v>2028</v>
      </c>
      <c r="G1906">
        <v>41750.782709999999</v>
      </c>
      <c r="H1906">
        <v>41750.782709999999</v>
      </c>
      <c r="I1906">
        <v>1</v>
      </c>
    </row>
    <row r="1907" spans="1:9">
      <c r="A1907" t="s">
        <v>308</v>
      </c>
      <c r="B1907" t="s">
        <v>309</v>
      </c>
      <c r="C1907" t="s">
        <v>269</v>
      </c>
      <c r="D1907" t="s">
        <v>25</v>
      </c>
      <c r="E1907" t="s">
        <v>42</v>
      </c>
      <c r="F1907">
        <v>2029</v>
      </c>
      <c r="G1907">
        <v>29123.10686</v>
      </c>
      <c r="H1907">
        <v>29123.10686</v>
      </c>
      <c r="I1907">
        <v>1</v>
      </c>
    </row>
    <row r="1908" spans="1:9">
      <c r="A1908" t="s">
        <v>308</v>
      </c>
      <c r="B1908" t="s">
        <v>309</v>
      </c>
      <c r="C1908" t="s">
        <v>269</v>
      </c>
      <c r="D1908" t="s">
        <v>25</v>
      </c>
      <c r="E1908" t="s">
        <v>42</v>
      </c>
      <c r="F1908">
        <v>2030</v>
      </c>
      <c r="G1908">
        <v>30453.476569999999</v>
      </c>
      <c r="H1908">
        <v>30453.476569999999</v>
      </c>
      <c r="I1908">
        <v>1</v>
      </c>
    </row>
    <row r="1909" spans="1:9">
      <c r="A1909" t="s">
        <v>308</v>
      </c>
      <c r="B1909" t="s">
        <v>309</v>
      </c>
      <c r="C1909" t="s">
        <v>269</v>
      </c>
      <c r="D1909" t="s">
        <v>25</v>
      </c>
      <c r="E1909" t="s">
        <v>42</v>
      </c>
      <c r="F1909">
        <v>2031</v>
      </c>
      <c r="G1909">
        <v>31825.050859999999</v>
      </c>
      <c r="H1909">
        <v>31825.050859999999</v>
      </c>
      <c r="I1909">
        <v>1</v>
      </c>
    </row>
    <row r="1910" spans="1:9">
      <c r="A1910" t="s">
        <v>308</v>
      </c>
      <c r="B1910" t="s">
        <v>309</v>
      </c>
      <c r="C1910" t="s">
        <v>269</v>
      </c>
      <c r="D1910" t="s">
        <v>25</v>
      </c>
      <c r="E1910" t="s">
        <v>42</v>
      </c>
      <c r="F1910">
        <v>2032</v>
      </c>
      <c r="G1910">
        <v>16618.82143</v>
      </c>
      <c r="H1910">
        <v>16618.82143</v>
      </c>
      <c r="I1910">
        <v>1</v>
      </c>
    </row>
    <row r="1911" spans="1:9">
      <c r="A1911" t="s">
        <v>308</v>
      </c>
      <c r="B1911" t="s">
        <v>309</v>
      </c>
      <c r="C1911" t="s">
        <v>269</v>
      </c>
      <c r="D1911" t="s">
        <v>25</v>
      </c>
      <c r="E1911" t="s">
        <v>42</v>
      </c>
      <c r="F1911">
        <v>2033</v>
      </c>
      <c r="G1911">
        <v>17345.364860000001</v>
      </c>
      <c r="H1911">
        <v>17345.364860000001</v>
      </c>
      <c r="I1911">
        <v>1</v>
      </c>
    </row>
    <row r="1912" spans="1:9">
      <c r="A1912" t="s">
        <v>308</v>
      </c>
      <c r="B1912" t="s">
        <v>309</v>
      </c>
      <c r="C1912" t="s">
        <v>269</v>
      </c>
      <c r="D1912" t="s">
        <v>25</v>
      </c>
      <c r="E1912" t="s">
        <v>42</v>
      </c>
      <c r="F1912">
        <v>2034</v>
      </c>
      <c r="G1912">
        <v>0</v>
      </c>
      <c r="H1912">
        <v>0</v>
      </c>
      <c r="I1912">
        <v>1</v>
      </c>
    </row>
    <row r="1913" spans="1:9">
      <c r="A1913" t="s">
        <v>308</v>
      </c>
      <c r="B1913" t="s">
        <v>309</v>
      </c>
      <c r="C1913" t="s">
        <v>269</v>
      </c>
      <c r="D1913" t="s">
        <v>25</v>
      </c>
      <c r="E1913" t="s">
        <v>42</v>
      </c>
      <c r="F1913">
        <v>2035</v>
      </c>
      <c r="G1913">
        <v>0</v>
      </c>
      <c r="H1913">
        <v>0</v>
      </c>
      <c r="I1913">
        <v>1</v>
      </c>
    </row>
    <row r="1914" spans="1:9">
      <c r="A1914" t="s">
        <v>308</v>
      </c>
      <c r="B1914" t="s">
        <v>309</v>
      </c>
      <c r="C1914" t="s">
        <v>269</v>
      </c>
      <c r="D1914" t="s">
        <v>25</v>
      </c>
      <c r="E1914" t="s">
        <v>42</v>
      </c>
      <c r="F1914">
        <v>2036</v>
      </c>
      <c r="G1914">
        <v>0</v>
      </c>
      <c r="H1914">
        <v>0</v>
      </c>
      <c r="I1914">
        <v>1</v>
      </c>
    </row>
    <row r="1915" spans="1:9">
      <c r="A1915" t="s">
        <v>308</v>
      </c>
      <c r="B1915" t="s">
        <v>309</v>
      </c>
      <c r="C1915" t="s">
        <v>269</v>
      </c>
      <c r="D1915" t="s">
        <v>25</v>
      </c>
      <c r="E1915" t="s">
        <v>42</v>
      </c>
      <c r="F1915">
        <v>2037</v>
      </c>
      <c r="G1915">
        <v>0</v>
      </c>
      <c r="H1915">
        <v>0</v>
      </c>
      <c r="I1915">
        <v>1</v>
      </c>
    </row>
    <row r="1916" spans="1:9">
      <c r="A1916" t="s">
        <v>308</v>
      </c>
      <c r="B1916" t="s">
        <v>309</v>
      </c>
      <c r="C1916" t="s">
        <v>269</v>
      </c>
      <c r="D1916" t="s">
        <v>25</v>
      </c>
      <c r="E1916" t="s">
        <v>42</v>
      </c>
      <c r="F1916">
        <v>2038</v>
      </c>
      <c r="G1916">
        <v>0</v>
      </c>
      <c r="H1916">
        <v>0</v>
      </c>
      <c r="I1916">
        <v>1</v>
      </c>
    </row>
    <row r="1917" spans="1:9">
      <c r="A1917" t="s">
        <v>308</v>
      </c>
      <c r="B1917" t="s">
        <v>309</v>
      </c>
      <c r="C1917" t="s">
        <v>269</v>
      </c>
      <c r="D1917" t="s">
        <v>25</v>
      </c>
      <c r="E1917" t="s">
        <v>42</v>
      </c>
      <c r="F1917">
        <v>2039</v>
      </c>
      <c r="G1917">
        <v>0</v>
      </c>
      <c r="H1917">
        <v>0</v>
      </c>
      <c r="I1917">
        <v>1</v>
      </c>
    </row>
    <row r="1918" spans="1:9">
      <c r="A1918" t="s">
        <v>308</v>
      </c>
      <c r="B1918" t="s">
        <v>309</v>
      </c>
      <c r="C1918" t="s">
        <v>269</v>
      </c>
      <c r="D1918" t="s">
        <v>25</v>
      </c>
      <c r="E1918" t="s">
        <v>42</v>
      </c>
      <c r="F1918">
        <v>2040</v>
      </c>
      <c r="G1918">
        <v>0</v>
      </c>
      <c r="H1918">
        <v>0</v>
      </c>
      <c r="I1918">
        <v>1</v>
      </c>
    </row>
    <row r="1919" spans="1:9">
      <c r="A1919" t="s">
        <v>308</v>
      </c>
      <c r="B1919" t="s">
        <v>309</v>
      </c>
      <c r="C1919" t="s">
        <v>269</v>
      </c>
      <c r="D1919" t="s">
        <v>25</v>
      </c>
      <c r="E1919" t="s">
        <v>42</v>
      </c>
      <c r="F1919">
        <v>2041</v>
      </c>
      <c r="G1919">
        <v>0</v>
      </c>
      <c r="H1919">
        <v>0</v>
      </c>
      <c r="I1919">
        <v>1</v>
      </c>
    </row>
    <row r="1920" spans="1:9">
      <c r="A1920" t="s">
        <v>308</v>
      </c>
      <c r="B1920" t="s">
        <v>309</v>
      </c>
      <c r="C1920" t="s">
        <v>269</v>
      </c>
      <c r="D1920" t="s">
        <v>25</v>
      </c>
      <c r="E1920" t="s">
        <v>42</v>
      </c>
      <c r="F1920">
        <v>2042</v>
      </c>
      <c r="G1920">
        <v>0</v>
      </c>
      <c r="H1920">
        <v>0</v>
      </c>
      <c r="I1920">
        <v>1</v>
      </c>
    </row>
    <row r="1921" spans="1:9">
      <c r="A1921" t="s">
        <v>308</v>
      </c>
      <c r="B1921" t="s">
        <v>309</v>
      </c>
      <c r="C1921" t="s">
        <v>269</v>
      </c>
      <c r="D1921" t="s">
        <v>25</v>
      </c>
      <c r="E1921" t="s">
        <v>42</v>
      </c>
      <c r="F1921">
        <v>2043</v>
      </c>
      <c r="G1921">
        <v>0</v>
      </c>
      <c r="H1921">
        <v>0</v>
      </c>
      <c r="I1921">
        <v>1</v>
      </c>
    </row>
    <row r="1922" spans="1:9">
      <c r="A1922" t="s">
        <v>308</v>
      </c>
      <c r="B1922" t="s">
        <v>309</v>
      </c>
      <c r="C1922" t="s">
        <v>269</v>
      </c>
      <c r="D1922" t="s">
        <v>25</v>
      </c>
      <c r="E1922" t="s">
        <v>42</v>
      </c>
      <c r="F1922">
        <v>2044</v>
      </c>
      <c r="G1922">
        <v>0</v>
      </c>
      <c r="H1922">
        <v>0</v>
      </c>
      <c r="I1922">
        <v>1</v>
      </c>
    </row>
    <row r="1923" spans="1:9">
      <c r="A1923" t="s">
        <v>308</v>
      </c>
      <c r="B1923" t="s">
        <v>309</v>
      </c>
      <c r="C1923" t="s">
        <v>269</v>
      </c>
      <c r="D1923" t="s">
        <v>25</v>
      </c>
      <c r="E1923" t="s">
        <v>42</v>
      </c>
      <c r="F1923">
        <v>2045</v>
      </c>
      <c r="G1923">
        <v>0</v>
      </c>
      <c r="H1923">
        <v>0</v>
      </c>
      <c r="I1923">
        <v>1</v>
      </c>
    </row>
    <row r="1924" spans="1:9">
      <c r="A1924" t="s">
        <v>308</v>
      </c>
      <c r="B1924" t="s">
        <v>309</v>
      </c>
      <c r="C1924" t="s">
        <v>269</v>
      </c>
      <c r="D1924" t="s">
        <v>25</v>
      </c>
      <c r="E1924" t="s">
        <v>42</v>
      </c>
      <c r="F1924">
        <v>2046</v>
      </c>
      <c r="G1924">
        <v>0</v>
      </c>
      <c r="H1924">
        <v>0</v>
      </c>
      <c r="I1924">
        <v>1</v>
      </c>
    </row>
    <row r="1925" spans="1:9">
      <c r="A1925" t="s">
        <v>308</v>
      </c>
      <c r="B1925" t="s">
        <v>309</v>
      </c>
      <c r="C1925" t="s">
        <v>269</v>
      </c>
      <c r="D1925" t="s">
        <v>25</v>
      </c>
      <c r="E1925" t="s">
        <v>42</v>
      </c>
      <c r="F1925">
        <v>2047</v>
      </c>
      <c r="G1925">
        <v>0</v>
      </c>
      <c r="H1925">
        <v>0</v>
      </c>
      <c r="I1925">
        <v>1</v>
      </c>
    </row>
    <row r="1926" spans="1:9">
      <c r="A1926" t="s">
        <v>308</v>
      </c>
      <c r="B1926" t="s">
        <v>309</v>
      </c>
      <c r="C1926" t="s">
        <v>269</v>
      </c>
      <c r="D1926" t="s">
        <v>25</v>
      </c>
      <c r="E1926" t="s">
        <v>42</v>
      </c>
      <c r="F1926">
        <v>2048</v>
      </c>
      <c r="G1926">
        <v>0</v>
      </c>
      <c r="H1926">
        <v>0</v>
      </c>
      <c r="I1926">
        <v>1</v>
      </c>
    </row>
    <row r="1927" spans="1:9">
      <c r="A1927" t="s">
        <v>308</v>
      </c>
      <c r="B1927" t="s">
        <v>309</v>
      </c>
      <c r="C1927" t="s">
        <v>269</v>
      </c>
      <c r="D1927" t="s">
        <v>25</v>
      </c>
      <c r="E1927" t="s">
        <v>42</v>
      </c>
      <c r="F1927">
        <v>2049</v>
      </c>
      <c r="G1927">
        <v>0</v>
      </c>
      <c r="H1927">
        <v>0</v>
      </c>
      <c r="I1927">
        <v>1</v>
      </c>
    </row>
    <row r="1928" spans="1:9">
      <c r="A1928" t="s">
        <v>308</v>
      </c>
      <c r="B1928" t="s">
        <v>309</v>
      </c>
      <c r="C1928" t="s">
        <v>269</v>
      </c>
      <c r="D1928" t="s">
        <v>25</v>
      </c>
      <c r="E1928" t="s">
        <v>42</v>
      </c>
      <c r="F1928">
        <v>2050</v>
      </c>
      <c r="G1928">
        <v>0</v>
      </c>
      <c r="H1928">
        <v>0</v>
      </c>
      <c r="I1928">
        <v>1</v>
      </c>
    </row>
    <row r="1929" spans="1:9">
      <c r="A1929" t="s">
        <v>308</v>
      </c>
      <c r="B1929" t="s">
        <v>309</v>
      </c>
      <c r="C1929" t="s">
        <v>269</v>
      </c>
      <c r="D1929" t="s">
        <v>26</v>
      </c>
      <c r="E1929" t="s">
        <v>42</v>
      </c>
      <c r="F1929">
        <v>2010</v>
      </c>
      <c r="G1929">
        <v>0</v>
      </c>
      <c r="H1929">
        <v>0</v>
      </c>
      <c r="I1929">
        <v>1</v>
      </c>
    </row>
    <row r="1930" spans="1:9">
      <c r="A1930" t="s">
        <v>308</v>
      </c>
      <c r="B1930" t="s">
        <v>309</v>
      </c>
      <c r="C1930" t="s">
        <v>269</v>
      </c>
      <c r="D1930" t="s">
        <v>26</v>
      </c>
      <c r="E1930" t="s">
        <v>42</v>
      </c>
      <c r="F1930">
        <v>2011</v>
      </c>
      <c r="G1930">
        <v>0</v>
      </c>
      <c r="H1930">
        <v>0</v>
      </c>
      <c r="I1930">
        <v>1</v>
      </c>
    </row>
    <row r="1931" spans="1:9">
      <c r="A1931" t="s">
        <v>308</v>
      </c>
      <c r="B1931" t="s">
        <v>309</v>
      </c>
      <c r="C1931" t="s">
        <v>269</v>
      </c>
      <c r="D1931" t="s">
        <v>26</v>
      </c>
      <c r="E1931" t="s">
        <v>42</v>
      </c>
      <c r="F1931">
        <v>2012</v>
      </c>
      <c r="G1931">
        <v>0</v>
      </c>
      <c r="H1931">
        <v>0</v>
      </c>
      <c r="I1931">
        <v>1</v>
      </c>
    </row>
    <row r="1932" spans="1:9">
      <c r="A1932" t="s">
        <v>308</v>
      </c>
      <c r="B1932" t="s">
        <v>309</v>
      </c>
      <c r="C1932" t="s">
        <v>269</v>
      </c>
      <c r="D1932" t="s">
        <v>26</v>
      </c>
      <c r="E1932" t="s">
        <v>42</v>
      </c>
      <c r="F1932">
        <v>2013</v>
      </c>
      <c r="G1932">
        <v>0</v>
      </c>
      <c r="H1932">
        <v>0</v>
      </c>
      <c r="I1932">
        <v>1</v>
      </c>
    </row>
    <row r="1933" spans="1:9">
      <c r="A1933" t="s">
        <v>308</v>
      </c>
      <c r="B1933" t="s">
        <v>309</v>
      </c>
      <c r="C1933" t="s">
        <v>269</v>
      </c>
      <c r="D1933" t="s">
        <v>26</v>
      </c>
      <c r="E1933" t="s">
        <v>42</v>
      </c>
      <c r="F1933">
        <v>2014</v>
      </c>
      <c r="G1933">
        <v>0</v>
      </c>
      <c r="H1933">
        <v>0</v>
      </c>
      <c r="I1933">
        <v>1</v>
      </c>
    </row>
    <row r="1934" spans="1:9">
      <c r="A1934" t="s">
        <v>308</v>
      </c>
      <c r="B1934" t="s">
        <v>309</v>
      </c>
      <c r="C1934" t="s">
        <v>269</v>
      </c>
      <c r="D1934" t="s">
        <v>26</v>
      </c>
      <c r="E1934" t="s">
        <v>42</v>
      </c>
      <c r="F1934">
        <v>2015</v>
      </c>
      <c r="G1934">
        <v>0</v>
      </c>
      <c r="H1934">
        <v>0</v>
      </c>
      <c r="I1934">
        <v>1</v>
      </c>
    </row>
    <row r="1935" spans="1:9">
      <c r="A1935" t="s">
        <v>308</v>
      </c>
      <c r="B1935" t="s">
        <v>309</v>
      </c>
      <c r="C1935" t="s">
        <v>269</v>
      </c>
      <c r="D1935" t="s">
        <v>26</v>
      </c>
      <c r="E1935" t="s">
        <v>42</v>
      </c>
      <c r="F1935">
        <v>2016</v>
      </c>
      <c r="G1935">
        <v>0</v>
      </c>
      <c r="H1935">
        <v>0</v>
      </c>
      <c r="I1935">
        <v>1</v>
      </c>
    </row>
    <row r="1936" spans="1:9">
      <c r="A1936" t="s">
        <v>308</v>
      </c>
      <c r="B1936" t="s">
        <v>309</v>
      </c>
      <c r="C1936" t="s">
        <v>269</v>
      </c>
      <c r="D1936" t="s">
        <v>26</v>
      </c>
      <c r="E1936" t="s">
        <v>42</v>
      </c>
      <c r="F1936">
        <v>2017</v>
      </c>
      <c r="G1936">
        <v>0</v>
      </c>
      <c r="H1936">
        <v>0</v>
      </c>
      <c r="I1936">
        <v>1</v>
      </c>
    </row>
    <row r="1937" spans="1:9">
      <c r="A1937" t="s">
        <v>308</v>
      </c>
      <c r="B1937" t="s">
        <v>309</v>
      </c>
      <c r="C1937" t="s">
        <v>269</v>
      </c>
      <c r="D1937" t="s">
        <v>26</v>
      </c>
      <c r="E1937" t="s">
        <v>42</v>
      </c>
      <c r="F1937">
        <v>2018</v>
      </c>
      <c r="G1937">
        <v>0</v>
      </c>
      <c r="H1937">
        <v>0</v>
      </c>
      <c r="I1937">
        <v>1</v>
      </c>
    </row>
    <row r="1938" spans="1:9">
      <c r="A1938" t="s">
        <v>308</v>
      </c>
      <c r="B1938" t="s">
        <v>309</v>
      </c>
      <c r="C1938" t="s">
        <v>269</v>
      </c>
      <c r="D1938" t="s">
        <v>26</v>
      </c>
      <c r="E1938" t="s">
        <v>42</v>
      </c>
      <c r="F1938">
        <v>2019</v>
      </c>
      <c r="G1938">
        <v>0</v>
      </c>
      <c r="H1938">
        <v>0</v>
      </c>
      <c r="I1938">
        <v>1</v>
      </c>
    </row>
    <row r="1939" spans="1:9">
      <c r="A1939" t="s">
        <v>308</v>
      </c>
      <c r="B1939" t="s">
        <v>309</v>
      </c>
      <c r="C1939" t="s">
        <v>269</v>
      </c>
      <c r="D1939" t="s">
        <v>26</v>
      </c>
      <c r="E1939" t="s">
        <v>42</v>
      </c>
      <c r="F1939">
        <v>2020</v>
      </c>
      <c r="G1939">
        <v>0</v>
      </c>
      <c r="H1939">
        <v>0</v>
      </c>
      <c r="I1939">
        <v>1</v>
      </c>
    </row>
    <row r="1940" spans="1:9">
      <c r="A1940" t="s">
        <v>308</v>
      </c>
      <c r="B1940" t="s">
        <v>309</v>
      </c>
      <c r="C1940" t="s">
        <v>269</v>
      </c>
      <c r="D1940" t="s">
        <v>26</v>
      </c>
      <c r="E1940" t="s">
        <v>42</v>
      </c>
      <c r="F1940">
        <v>2021</v>
      </c>
      <c r="G1940">
        <v>0</v>
      </c>
      <c r="H1940">
        <v>0</v>
      </c>
      <c r="I1940">
        <v>1</v>
      </c>
    </row>
    <row r="1941" spans="1:9">
      <c r="A1941" t="s">
        <v>308</v>
      </c>
      <c r="B1941" t="s">
        <v>309</v>
      </c>
      <c r="C1941" t="s">
        <v>269</v>
      </c>
      <c r="D1941" t="s">
        <v>26</v>
      </c>
      <c r="E1941" t="s">
        <v>42</v>
      </c>
      <c r="F1941">
        <v>2022</v>
      </c>
      <c r="G1941">
        <v>0</v>
      </c>
      <c r="H1941">
        <v>0</v>
      </c>
      <c r="I1941">
        <v>1</v>
      </c>
    </row>
    <row r="1942" spans="1:9">
      <c r="A1942" t="s">
        <v>308</v>
      </c>
      <c r="B1942" t="s">
        <v>309</v>
      </c>
      <c r="C1942" t="s">
        <v>269</v>
      </c>
      <c r="D1942" t="s">
        <v>26</v>
      </c>
      <c r="E1942" t="s">
        <v>42</v>
      </c>
      <c r="F1942">
        <v>2023</v>
      </c>
      <c r="G1942">
        <v>0</v>
      </c>
      <c r="H1942">
        <v>0</v>
      </c>
      <c r="I1942">
        <v>1</v>
      </c>
    </row>
    <row r="1943" spans="1:9">
      <c r="A1943" t="s">
        <v>308</v>
      </c>
      <c r="B1943" t="s">
        <v>309</v>
      </c>
      <c r="C1943" t="s">
        <v>269</v>
      </c>
      <c r="D1943" t="s">
        <v>26</v>
      </c>
      <c r="E1943" t="s">
        <v>42</v>
      </c>
      <c r="F1943">
        <v>2024</v>
      </c>
      <c r="G1943">
        <v>0</v>
      </c>
      <c r="H1943">
        <v>0</v>
      </c>
      <c r="I1943">
        <v>1</v>
      </c>
    </row>
    <row r="1944" spans="1:9">
      <c r="A1944" t="s">
        <v>308</v>
      </c>
      <c r="B1944" t="s">
        <v>309</v>
      </c>
      <c r="C1944" t="s">
        <v>269</v>
      </c>
      <c r="D1944" t="s">
        <v>26</v>
      </c>
      <c r="E1944" t="s">
        <v>42</v>
      </c>
      <c r="F1944">
        <v>2025</v>
      </c>
      <c r="G1944">
        <v>0</v>
      </c>
      <c r="H1944">
        <v>0</v>
      </c>
      <c r="I1944">
        <v>1</v>
      </c>
    </row>
    <row r="1945" spans="1:9">
      <c r="A1945" t="s">
        <v>308</v>
      </c>
      <c r="B1945" t="s">
        <v>309</v>
      </c>
      <c r="C1945" t="s">
        <v>269</v>
      </c>
      <c r="D1945" t="s">
        <v>26</v>
      </c>
      <c r="E1945" t="s">
        <v>42</v>
      </c>
      <c r="F1945">
        <v>2026</v>
      </c>
      <c r="G1945">
        <v>0</v>
      </c>
      <c r="H1945">
        <v>0</v>
      </c>
      <c r="I1945">
        <v>1</v>
      </c>
    </row>
    <row r="1946" spans="1:9">
      <c r="A1946" t="s">
        <v>308</v>
      </c>
      <c r="B1946" t="s">
        <v>309</v>
      </c>
      <c r="C1946" t="s">
        <v>269</v>
      </c>
      <c r="D1946" t="s">
        <v>26</v>
      </c>
      <c r="E1946" t="s">
        <v>42</v>
      </c>
      <c r="F1946">
        <v>2027</v>
      </c>
      <c r="G1946">
        <v>0</v>
      </c>
      <c r="H1946">
        <v>0</v>
      </c>
      <c r="I1946">
        <v>1</v>
      </c>
    </row>
    <row r="1947" spans="1:9">
      <c r="A1947" t="s">
        <v>308</v>
      </c>
      <c r="B1947" t="s">
        <v>309</v>
      </c>
      <c r="C1947" t="s">
        <v>269</v>
      </c>
      <c r="D1947" t="s">
        <v>26</v>
      </c>
      <c r="E1947" t="s">
        <v>42</v>
      </c>
      <c r="F1947">
        <v>2028</v>
      </c>
      <c r="G1947">
        <v>0</v>
      </c>
      <c r="H1947">
        <v>0</v>
      </c>
      <c r="I1947">
        <v>1</v>
      </c>
    </row>
    <row r="1948" spans="1:9">
      <c r="A1948" t="s">
        <v>308</v>
      </c>
      <c r="B1948" t="s">
        <v>309</v>
      </c>
      <c r="C1948" t="s">
        <v>269</v>
      </c>
      <c r="D1948" t="s">
        <v>26</v>
      </c>
      <c r="E1948" t="s">
        <v>42</v>
      </c>
      <c r="F1948">
        <v>2029</v>
      </c>
      <c r="G1948">
        <v>0</v>
      </c>
      <c r="H1948">
        <v>0</v>
      </c>
      <c r="I1948">
        <v>1</v>
      </c>
    </row>
    <row r="1949" spans="1:9">
      <c r="A1949" t="s">
        <v>308</v>
      </c>
      <c r="B1949" t="s">
        <v>309</v>
      </c>
      <c r="C1949" t="s">
        <v>269</v>
      </c>
      <c r="D1949" t="s">
        <v>26</v>
      </c>
      <c r="E1949" t="s">
        <v>42</v>
      </c>
      <c r="F1949">
        <v>2030</v>
      </c>
      <c r="G1949">
        <v>0</v>
      </c>
      <c r="H1949">
        <v>0</v>
      </c>
      <c r="I1949">
        <v>1</v>
      </c>
    </row>
    <row r="1950" spans="1:9">
      <c r="A1950" t="s">
        <v>308</v>
      </c>
      <c r="B1950" t="s">
        <v>309</v>
      </c>
      <c r="C1950" t="s">
        <v>269</v>
      </c>
      <c r="D1950" t="s">
        <v>26</v>
      </c>
      <c r="E1950" t="s">
        <v>42</v>
      </c>
      <c r="F1950">
        <v>2031</v>
      </c>
      <c r="G1950">
        <v>0</v>
      </c>
      <c r="H1950">
        <v>0</v>
      </c>
      <c r="I1950">
        <v>1</v>
      </c>
    </row>
    <row r="1951" spans="1:9">
      <c r="A1951" t="s">
        <v>308</v>
      </c>
      <c r="B1951" t="s">
        <v>309</v>
      </c>
      <c r="C1951" t="s">
        <v>269</v>
      </c>
      <c r="D1951" t="s">
        <v>26</v>
      </c>
      <c r="E1951" t="s">
        <v>42</v>
      </c>
      <c r="F1951">
        <v>2032</v>
      </c>
      <c r="G1951">
        <v>0</v>
      </c>
      <c r="H1951">
        <v>0</v>
      </c>
      <c r="I1951">
        <v>1</v>
      </c>
    </row>
    <row r="1952" spans="1:9">
      <c r="A1952" t="s">
        <v>308</v>
      </c>
      <c r="B1952" t="s">
        <v>309</v>
      </c>
      <c r="C1952" t="s">
        <v>269</v>
      </c>
      <c r="D1952" t="s">
        <v>26</v>
      </c>
      <c r="E1952" t="s">
        <v>42</v>
      </c>
      <c r="F1952">
        <v>2033</v>
      </c>
      <c r="G1952">
        <v>0</v>
      </c>
      <c r="H1952">
        <v>0</v>
      </c>
      <c r="I1952">
        <v>1</v>
      </c>
    </row>
    <row r="1953" spans="1:9">
      <c r="A1953" t="s">
        <v>308</v>
      </c>
      <c r="B1953" t="s">
        <v>309</v>
      </c>
      <c r="C1953" t="s">
        <v>269</v>
      </c>
      <c r="D1953" t="s">
        <v>26</v>
      </c>
      <c r="E1953" t="s">
        <v>42</v>
      </c>
      <c r="F1953">
        <v>2034</v>
      </c>
      <c r="G1953">
        <v>0</v>
      </c>
      <c r="H1953">
        <v>0</v>
      </c>
      <c r="I1953">
        <v>1</v>
      </c>
    </row>
    <row r="1954" spans="1:9">
      <c r="A1954" t="s">
        <v>308</v>
      </c>
      <c r="B1954" t="s">
        <v>309</v>
      </c>
      <c r="C1954" t="s">
        <v>269</v>
      </c>
      <c r="D1954" t="s">
        <v>26</v>
      </c>
      <c r="E1954" t="s">
        <v>42</v>
      </c>
      <c r="F1954">
        <v>2035</v>
      </c>
      <c r="G1954">
        <v>0</v>
      </c>
      <c r="H1954">
        <v>0</v>
      </c>
      <c r="I1954">
        <v>1</v>
      </c>
    </row>
    <row r="1955" spans="1:9">
      <c r="A1955" t="s">
        <v>308</v>
      </c>
      <c r="B1955" t="s">
        <v>309</v>
      </c>
      <c r="C1955" t="s">
        <v>269</v>
      </c>
      <c r="D1955" t="s">
        <v>26</v>
      </c>
      <c r="E1955" t="s">
        <v>42</v>
      </c>
      <c r="F1955">
        <v>2036</v>
      </c>
      <c r="G1955">
        <v>0</v>
      </c>
      <c r="H1955">
        <v>0</v>
      </c>
      <c r="I1955">
        <v>1</v>
      </c>
    </row>
    <row r="1956" spans="1:9">
      <c r="A1956" t="s">
        <v>308</v>
      </c>
      <c r="B1956" t="s">
        <v>309</v>
      </c>
      <c r="C1956" t="s">
        <v>269</v>
      </c>
      <c r="D1956" t="s">
        <v>26</v>
      </c>
      <c r="E1956" t="s">
        <v>42</v>
      </c>
      <c r="F1956">
        <v>2037</v>
      </c>
      <c r="G1956">
        <v>0</v>
      </c>
      <c r="H1956">
        <v>0</v>
      </c>
      <c r="I1956">
        <v>1</v>
      </c>
    </row>
    <row r="1957" spans="1:9">
      <c r="A1957" t="s">
        <v>308</v>
      </c>
      <c r="B1957" t="s">
        <v>309</v>
      </c>
      <c r="C1957" t="s">
        <v>269</v>
      </c>
      <c r="D1957" t="s">
        <v>26</v>
      </c>
      <c r="E1957" t="s">
        <v>42</v>
      </c>
      <c r="F1957">
        <v>2038</v>
      </c>
      <c r="G1957">
        <v>0</v>
      </c>
      <c r="H1957">
        <v>0</v>
      </c>
      <c r="I1957">
        <v>1</v>
      </c>
    </row>
    <row r="1958" spans="1:9">
      <c r="A1958" t="s">
        <v>308</v>
      </c>
      <c r="B1958" t="s">
        <v>309</v>
      </c>
      <c r="C1958" t="s">
        <v>269</v>
      </c>
      <c r="D1958" t="s">
        <v>26</v>
      </c>
      <c r="E1958" t="s">
        <v>42</v>
      </c>
      <c r="F1958">
        <v>2039</v>
      </c>
      <c r="G1958">
        <v>0</v>
      </c>
      <c r="H1958">
        <v>0</v>
      </c>
      <c r="I1958">
        <v>1</v>
      </c>
    </row>
    <row r="1959" spans="1:9">
      <c r="A1959" t="s">
        <v>308</v>
      </c>
      <c r="B1959" t="s">
        <v>309</v>
      </c>
      <c r="C1959" t="s">
        <v>269</v>
      </c>
      <c r="D1959" t="s">
        <v>26</v>
      </c>
      <c r="E1959" t="s">
        <v>42</v>
      </c>
      <c r="F1959">
        <v>2040</v>
      </c>
      <c r="G1959">
        <v>0</v>
      </c>
      <c r="H1959">
        <v>0</v>
      </c>
      <c r="I1959">
        <v>1</v>
      </c>
    </row>
    <row r="1960" spans="1:9">
      <c r="A1960" t="s">
        <v>308</v>
      </c>
      <c r="B1960" t="s">
        <v>309</v>
      </c>
      <c r="C1960" t="s">
        <v>269</v>
      </c>
      <c r="D1960" t="s">
        <v>26</v>
      </c>
      <c r="E1960" t="s">
        <v>42</v>
      </c>
      <c r="F1960">
        <v>2041</v>
      </c>
      <c r="G1960">
        <v>0</v>
      </c>
      <c r="H1960">
        <v>0</v>
      </c>
      <c r="I1960">
        <v>1</v>
      </c>
    </row>
    <row r="1961" spans="1:9">
      <c r="A1961" t="s">
        <v>308</v>
      </c>
      <c r="B1961" t="s">
        <v>309</v>
      </c>
      <c r="C1961" t="s">
        <v>269</v>
      </c>
      <c r="D1961" t="s">
        <v>26</v>
      </c>
      <c r="E1961" t="s">
        <v>42</v>
      </c>
      <c r="F1961">
        <v>2042</v>
      </c>
      <c r="G1961">
        <v>0</v>
      </c>
      <c r="H1961">
        <v>0</v>
      </c>
      <c r="I1961">
        <v>1</v>
      </c>
    </row>
    <row r="1962" spans="1:9">
      <c r="A1962" t="s">
        <v>308</v>
      </c>
      <c r="B1962" t="s">
        <v>309</v>
      </c>
      <c r="C1962" t="s">
        <v>269</v>
      </c>
      <c r="D1962" t="s">
        <v>26</v>
      </c>
      <c r="E1962" t="s">
        <v>42</v>
      </c>
      <c r="F1962">
        <v>2043</v>
      </c>
      <c r="G1962">
        <v>0</v>
      </c>
      <c r="H1962">
        <v>0</v>
      </c>
      <c r="I1962">
        <v>1</v>
      </c>
    </row>
    <row r="1963" spans="1:9">
      <c r="A1963" t="s">
        <v>308</v>
      </c>
      <c r="B1963" t="s">
        <v>309</v>
      </c>
      <c r="C1963" t="s">
        <v>269</v>
      </c>
      <c r="D1963" t="s">
        <v>26</v>
      </c>
      <c r="E1963" t="s">
        <v>42</v>
      </c>
      <c r="F1963">
        <v>2044</v>
      </c>
      <c r="G1963">
        <v>0</v>
      </c>
      <c r="H1963">
        <v>0</v>
      </c>
      <c r="I1963">
        <v>1</v>
      </c>
    </row>
    <row r="1964" spans="1:9">
      <c r="A1964" t="s">
        <v>308</v>
      </c>
      <c r="B1964" t="s">
        <v>309</v>
      </c>
      <c r="C1964" t="s">
        <v>269</v>
      </c>
      <c r="D1964" t="s">
        <v>26</v>
      </c>
      <c r="E1964" t="s">
        <v>42</v>
      </c>
      <c r="F1964">
        <v>2045</v>
      </c>
      <c r="G1964">
        <v>0</v>
      </c>
      <c r="H1964">
        <v>0</v>
      </c>
      <c r="I1964">
        <v>1</v>
      </c>
    </row>
    <row r="1965" spans="1:9">
      <c r="A1965" t="s">
        <v>308</v>
      </c>
      <c r="B1965" t="s">
        <v>309</v>
      </c>
      <c r="C1965" t="s">
        <v>269</v>
      </c>
      <c r="D1965" t="s">
        <v>26</v>
      </c>
      <c r="E1965" t="s">
        <v>42</v>
      </c>
      <c r="F1965">
        <v>2046</v>
      </c>
      <c r="G1965">
        <v>0</v>
      </c>
      <c r="H1965">
        <v>0</v>
      </c>
      <c r="I1965">
        <v>1</v>
      </c>
    </row>
    <row r="1966" spans="1:9">
      <c r="A1966" t="s">
        <v>308</v>
      </c>
      <c r="B1966" t="s">
        <v>309</v>
      </c>
      <c r="C1966" t="s">
        <v>269</v>
      </c>
      <c r="D1966" t="s">
        <v>26</v>
      </c>
      <c r="E1966" t="s">
        <v>42</v>
      </c>
      <c r="F1966">
        <v>2047</v>
      </c>
      <c r="G1966">
        <v>0</v>
      </c>
      <c r="H1966">
        <v>0</v>
      </c>
      <c r="I1966">
        <v>1</v>
      </c>
    </row>
    <row r="1967" spans="1:9">
      <c r="A1967" t="s">
        <v>308</v>
      </c>
      <c r="B1967" t="s">
        <v>309</v>
      </c>
      <c r="C1967" t="s">
        <v>269</v>
      </c>
      <c r="D1967" t="s">
        <v>26</v>
      </c>
      <c r="E1967" t="s">
        <v>42</v>
      </c>
      <c r="F1967">
        <v>2048</v>
      </c>
      <c r="G1967">
        <v>0</v>
      </c>
      <c r="H1967">
        <v>0</v>
      </c>
      <c r="I1967">
        <v>1</v>
      </c>
    </row>
    <row r="1968" spans="1:9">
      <c r="A1968" t="s">
        <v>308</v>
      </c>
      <c r="B1968" t="s">
        <v>309</v>
      </c>
      <c r="C1968" t="s">
        <v>269</v>
      </c>
      <c r="D1968" t="s">
        <v>26</v>
      </c>
      <c r="E1968" t="s">
        <v>42</v>
      </c>
      <c r="F1968">
        <v>2049</v>
      </c>
      <c r="G1968">
        <v>0</v>
      </c>
      <c r="H1968">
        <v>0</v>
      </c>
      <c r="I1968">
        <v>1</v>
      </c>
    </row>
    <row r="1969" spans="1:9">
      <c r="A1969" t="s">
        <v>308</v>
      </c>
      <c r="B1969" t="s">
        <v>309</v>
      </c>
      <c r="C1969" t="s">
        <v>269</v>
      </c>
      <c r="D1969" t="s">
        <v>26</v>
      </c>
      <c r="E1969" t="s">
        <v>42</v>
      </c>
      <c r="F1969">
        <v>2050</v>
      </c>
      <c r="G1969">
        <v>0</v>
      </c>
      <c r="H1969">
        <v>0</v>
      </c>
      <c r="I1969">
        <v>1</v>
      </c>
    </row>
    <row r="1970" spans="1:9">
      <c r="A1970" t="s">
        <v>308</v>
      </c>
      <c r="B1970" t="s">
        <v>309</v>
      </c>
      <c r="C1970" t="s">
        <v>269</v>
      </c>
      <c r="D1970" t="s">
        <v>307</v>
      </c>
      <c r="E1970" t="s">
        <v>42</v>
      </c>
      <c r="F1970">
        <v>2010</v>
      </c>
      <c r="G1970">
        <v>79026.156000000003</v>
      </c>
      <c r="H1970">
        <v>79026.156000000003</v>
      </c>
      <c r="I1970">
        <v>1</v>
      </c>
    </row>
    <row r="1971" spans="1:9">
      <c r="A1971" t="s">
        <v>308</v>
      </c>
      <c r="B1971" t="s">
        <v>309</v>
      </c>
      <c r="C1971" t="s">
        <v>269</v>
      </c>
      <c r="D1971" t="s">
        <v>307</v>
      </c>
      <c r="E1971" t="s">
        <v>42</v>
      </c>
      <c r="F1971">
        <v>2011</v>
      </c>
      <c r="G1971">
        <v>101937.6471</v>
      </c>
      <c r="H1971">
        <v>101937.6471</v>
      </c>
      <c r="I1971">
        <v>1</v>
      </c>
    </row>
    <row r="1972" spans="1:9">
      <c r="A1972" t="s">
        <v>308</v>
      </c>
      <c r="B1972" t="s">
        <v>309</v>
      </c>
      <c r="C1972" t="s">
        <v>269</v>
      </c>
      <c r="D1972" t="s">
        <v>307</v>
      </c>
      <c r="E1972" t="s">
        <v>42</v>
      </c>
      <c r="F1972">
        <v>2012</v>
      </c>
      <c r="G1972">
        <v>105177.8507</v>
      </c>
      <c r="H1972">
        <v>105177.8507</v>
      </c>
      <c r="I1972">
        <v>1</v>
      </c>
    </row>
    <row r="1973" spans="1:9">
      <c r="A1973" t="s">
        <v>308</v>
      </c>
      <c r="B1973" t="s">
        <v>309</v>
      </c>
      <c r="C1973" t="s">
        <v>269</v>
      </c>
      <c r="D1973" t="s">
        <v>307</v>
      </c>
      <c r="E1973" t="s">
        <v>42</v>
      </c>
      <c r="F1973">
        <v>2013</v>
      </c>
      <c r="G1973">
        <v>108506.9893</v>
      </c>
      <c r="H1973">
        <v>108506.9893</v>
      </c>
      <c r="I1973">
        <v>1</v>
      </c>
    </row>
    <row r="1974" spans="1:9">
      <c r="A1974" t="s">
        <v>308</v>
      </c>
      <c r="B1974" t="s">
        <v>309</v>
      </c>
      <c r="C1974" t="s">
        <v>269</v>
      </c>
      <c r="D1974" t="s">
        <v>307</v>
      </c>
      <c r="E1974" t="s">
        <v>42</v>
      </c>
      <c r="F1974">
        <v>2014</v>
      </c>
      <c r="G1974">
        <v>111931.8621</v>
      </c>
      <c r="H1974">
        <v>111931.8621</v>
      </c>
      <c r="I1974">
        <v>1</v>
      </c>
    </row>
    <row r="1975" spans="1:9">
      <c r="A1975" t="s">
        <v>308</v>
      </c>
      <c r="B1975" t="s">
        <v>309</v>
      </c>
      <c r="C1975" t="s">
        <v>269</v>
      </c>
      <c r="D1975" t="s">
        <v>307</v>
      </c>
      <c r="E1975" t="s">
        <v>42</v>
      </c>
      <c r="F1975">
        <v>2015</v>
      </c>
      <c r="G1975">
        <v>138548.46090000001</v>
      </c>
      <c r="H1975">
        <v>138548.46090000001</v>
      </c>
      <c r="I1975">
        <v>1</v>
      </c>
    </row>
    <row r="1976" spans="1:9">
      <c r="A1976" t="s">
        <v>308</v>
      </c>
      <c r="B1976" t="s">
        <v>309</v>
      </c>
      <c r="C1976" t="s">
        <v>269</v>
      </c>
      <c r="D1976" t="s">
        <v>307</v>
      </c>
      <c r="E1976" t="s">
        <v>42</v>
      </c>
      <c r="F1976">
        <v>2016</v>
      </c>
      <c r="G1976">
        <v>119083.2879</v>
      </c>
      <c r="H1976">
        <v>119083.2879</v>
      </c>
      <c r="I1976">
        <v>1</v>
      </c>
    </row>
    <row r="1977" spans="1:9">
      <c r="A1977" t="s">
        <v>308</v>
      </c>
      <c r="B1977" t="s">
        <v>309</v>
      </c>
      <c r="C1977" t="s">
        <v>269</v>
      </c>
      <c r="D1977" t="s">
        <v>307</v>
      </c>
      <c r="E1977" t="s">
        <v>42</v>
      </c>
      <c r="F1977">
        <v>2017</v>
      </c>
      <c r="G1977">
        <v>122807.1836</v>
      </c>
      <c r="H1977">
        <v>122807.1836</v>
      </c>
      <c r="I1977">
        <v>1</v>
      </c>
    </row>
    <row r="1978" spans="1:9">
      <c r="A1978" t="s">
        <v>308</v>
      </c>
      <c r="B1978" t="s">
        <v>309</v>
      </c>
      <c r="C1978" t="s">
        <v>269</v>
      </c>
      <c r="D1978" t="s">
        <v>307</v>
      </c>
      <c r="E1978" t="s">
        <v>42</v>
      </c>
      <c r="F1978">
        <v>2018</v>
      </c>
      <c r="G1978">
        <v>126624.4114</v>
      </c>
      <c r="H1978">
        <v>126624.4114</v>
      </c>
      <c r="I1978">
        <v>1</v>
      </c>
    </row>
    <row r="1979" spans="1:9">
      <c r="A1979" t="s">
        <v>308</v>
      </c>
      <c r="B1979" t="s">
        <v>309</v>
      </c>
      <c r="C1979" t="s">
        <v>269</v>
      </c>
      <c r="D1979" t="s">
        <v>307</v>
      </c>
      <c r="E1979" t="s">
        <v>42</v>
      </c>
      <c r="F1979">
        <v>2019</v>
      </c>
      <c r="G1979">
        <v>104423.2406</v>
      </c>
      <c r="H1979">
        <v>104423.2406</v>
      </c>
      <c r="I1979">
        <v>1</v>
      </c>
    </row>
    <row r="1980" spans="1:9">
      <c r="A1980" t="s">
        <v>308</v>
      </c>
      <c r="B1980" t="s">
        <v>309</v>
      </c>
      <c r="C1980" t="s">
        <v>269</v>
      </c>
      <c r="D1980" t="s">
        <v>307</v>
      </c>
      <c r="E1980" t="s">
        <v>42</v>
      </c>
      <c r="F1980">
        <v>2020</v>
      </c>
      <c r="G1980">
        <v>107613.6326</v>
      </c>
      <c r="H1980">
        <v>107613.6326</v>
      </c>
      <c r="I1980">
        <v>1</v>
      </c>
    </row>
    <row r="1981" spans="1:9">
      <c r="A1981" t="s">
        <v>308</v>
      </c>
      <c r="B1981" t="s">
        <v>309</v>
      </c>
      <c r="C1981" t="s">
        <v>269</v>
      </c>
      <c r="D1981" t="s">
        <v>307</v>
      </c>
      <c r="E1981" t="s">
        <v>42</v>
      </c>
      <c r="F1981">
        <v>2021</v>
      </c>
      <c r="G1981">
        <v>110869.46400000001</v>
      </c>
      <c r="H1981">
        <v>110869.46400000001</v>
      </c>
      <c r="I1981">
        <v>1</v>
      </c>
    </row>
    <row r="1982" spans="1:9">
      <c r="A1982" t="s">
        <v>308</v>
      </c>
      <c r="B1982" t="s">
        <v>309</v>
      </c>
      <c r="C1982" t="s">
        <v>269</v>
      </c>
      <c r="D1982" t="s">
        <v>307</v>
      </c>
      <c r="E1982" t="s">
        <v>42</v>
      </c>
      <c r="F1982">
        <v>2022</v>
      </c>
      <c r="G1982">
        <v>85644.188999999998</v>
      </c>
      <c r="H1982">
        <v>85644.188999999998</v>
      </c>
      <c r="I1982">
        <v>1</v>
      </c>
    </row>
    <row r="1983" spans="1:9">
      <c r="A1983" t="s">
        <v>308</v>
      </c>
      <c r="B1983" t="s">
        <v>309</v>
      </c>
      <c r="C1983" t="s">
        <v>269</v>
      </c>
      <c r="D1983" t="s">
        <v>307</v>
      </c>
      <c r="E1983" t="s">
        <v>42</v>
      </c>
      <c r="F1983">
        <v>2023</v>
      </c>
      <c r="G1983">
        <v>73490.567139999999</v>
      </c>
      <c r="H1983">
        <v>73490.567139999999</v>
      </c>
      <c r="I1983">
        <v>1</v>
      </c>
    </row>
    <row r="1984" spans="1:9">
      <c r="A1984" t="s">
        <v>308</v>
      </c>
      <c r="B1984" t="s">
        <v>309</v>
      </c>
      <c r="C1984" t="s">
        <v>269</v>
      </c>
      <c r="D1984" t="s">
        <v>307</v>
      </c>
      <c r="E1984" t="s">
        <v>42</v>
      </c>
      <c r="F1984">
        <v>2024</v>
      </c>
      <c r="G1984">
        <v>60525.884570000002</v>
      </c>
      <c r="H1984">
        <v>60525.884570000002</v>
      </c>
      <c r="I1984">
        <v>1</v>
      </c>
    </row>
    <row r="1985" spans="1:9">
      <c r="A1985" t="s">
        <v>308</v>
      </c>
      <c r="B1985" t="s">
        <v>309</v>
      </c>
      <c r="C1985" t="s">
        <v>269</v>
      </c>
      <c r="D1985" t="s">
        <v>307</v>
      </c>
      <c r="E1985" t="s">
        <v>42</v>
      </c>
      <c r="F1985">
        <v>2025</v>
      </c>
      <c r="G1985">
        <v>62298.06</v>
      </c>
      <c r="H1985">
        <v>62298.06</v>
      </c>
      <c r="I1985">
        <v>1</v>
      </c>
    </row>
    <row r="1986" spans="1:9">
      <c r="A1986" t="s">
        <v>308</v>
      </c>
      <c r="B1986" t="s">
        <v>309</v>
      </c>
      <c r="C1986" t="s">
        <v>269</v>
      </c>
      <c r="D1986" t="s">
        <v>307</v>
      </c>
      <c r="E1986" t="s">
        <v>42</v>
      </c>
      <c r="F1986">
        <v>2026</v>
      </c>
      <c r="G1986">
        <v>64109.209710000003</v>
      </c>
      <c r="H1986">
        <v>64109.209710000003</v>
      </c>
      <c r="I1986">
        <v>1</v>
      </c>
    </row>
    <row r="1987" spans="1:9">
      <c r="A1987" t="s">
        <v>308</v>
      </c>
      <c r="B1987" t="s">
        <v>309</v>
      </c>
      <c r="C1987" t="s">
        <v>269</v>
      </c>
      <c r="D1987" t="s">
        <v>307</v>
      </c>
      <c r="E1987" t="s">
        <v>42</v>
      </c>
      <c r="F1987">
        <v>2027</v>
      </c>
      <c r="G1987">
        <v>32979.521999999997</v>
      </c>
      <c r="H1987">
        <v>32979.521999999997</v>
      </c>
      <c r="I1987">
        <v>1</v>
      </c>
    </row>
    <row r="1988" spans="1:9">
      <c r="A1988" t="s">
        <v>308</v>
      </c>
      <c r="B1988" t="s">
        <v>309</v>
      </c>
      <c r="C1988" t="s">
        <v>269</v>
      </c>
      <c r="D1988" t="s">
        <v>307</v>
      </c>
      <c r="E1988" t="s">
        <v>42</v>
      </c>
      <c r="F1988">
        <v>2028</v>
      </c>
      <c r="G1988">
        <v>33923.99871</v>
      </c>
      <c r="H1988">
        <v>33923.99871</v>
      </c>
      <c r="I1988">
        <v>1</v>
      </c>
    </row>
    <row r="1989" spans="1:9">
      <c r="A1989" t="s">
        <v>308</v>
      </c>
      <c r="B1989" t="s">
        <v>309</v>
      </c>
      <c r="C1989" t="s">
        <v>269</v>
      </c>
      <c r="D1989" t="s">
        <v>307</v>
      </c>
      <c r="E1989" t="s">
        <v>42</v>
      </c>
      <c r="F1989">
        <v>2029</v>
      </c>
      <c r="G1989">
        <v>34888.23429</v>
      </c>
      <c r="H1989">
        <v>34888.23429</v>
      </c>
      <c r="I1989">
        <v>1</v>
      </c>
    </row>
    <row r="1990" spans="1:9">
      <c r="A1990" t="s">
        <v>308</v>
      </c>
      <c r="B1990" t="s">
        <v>309</v>
      </c>
      <c r="C1990" t="s">
        <v>269</v>
      </c>
      <c r="D1990" t="s">
        <v>307</v>
      </c>
      <c r="E1990" t="s">
        <v>42</v>
      </c>
      <c r="F1990">
        <v>2030</v>
      </c>
      <c r="G1990">
        <v>35872.308429999997</v>
      </c>
      <c r="H1990">
        <v>35872.308429999997</v>
      </c>
      <c r="I1990">
        <v>1</v>
      </c>
    </row>
    <row r="1991" spans="1:9">
      <c r="A1991" t="s">
        <v>308</v>
      </c>
      <c r="B1991" t="s">
        <v>309</v>
      </c>
      <c r="C1991" t="s">
        <v>269</v>
      </c>
      <c r="D1991" t="s">
        <v>307</v>
      </c>
      <c r="E1991" t="s">
        <v>42</v>
      </c>
      <c r="F1991">
        <v>2031</v>
      </c>
      <c r="G1991">
        <v>0</v>
      </c>
      <c r="H1991">
        <v>0</v>
      </c>
      <c r="I1991">
        <v>1</v>
      </c>
    </row>
    <row r="1992" spans="1:9">
      <c r="A1992" t="s">
        <v>308</v>
      </c>
      <c r="B1992" t="s">
        <v>309</v>
      </c>
      <c r="C1992" t="s">
        <v>269</v>
      </c>
      <c r="D1992" t="s">
        <v>307</v>
      </c>
      <c r="E1992" t="s">
        <v>42</v>
      </c>
      <c r="F1992">
        <v>2032</v>
      </c>
      <c r="G1992">
        <v>0</v>
      </c>
      <c r="H1992">
        <v>0</v>
      </c>
      <c r="I1992">
        <v>1</v>
      </c>
    </row>
    <row r="1993" spans="1:9">
      <c r="A1993" t="s">
        <v>308</v>
      </c>
      <c r="B1993" t="s">
        <v>309</v>
      </c>
      <c r="C1993" t="s">
        <v>269</v>
      </c>
      <c r="D1993" t="s">
        <v>307</v>
      </c>
      <c r="E1993" t="s">
        <v>42</v>
      </c>
      <c r="F1993">
        <v>2033</v>
      </c>
      <c r="G1993">
        <v>0</v>
      </c>
      <c r="H1993">
        <v>0</v>
      </c>
      <c r="I1993">
        <v>1</v>
      </c>
    </row>
    <row r="1994" spans="1:9">
      <c r="A1994" t="s">
        <v>308</v>
      </c>
      <c r="B1994" t="s">
        <v>309</v>
      </c>
      <c r="C1994" t="s">
        <v>269</v>
      </c>
      <c r="D1994" t="s">
        <v>307</v>
      </c>
      <c r="E1994" t="s">
        <v>42</v>
      </c>
      <c r="F1994">
        <v>2034</v>
      </c>
      <c r="G1994">
        <v>0</v>
      </c>
      <c r="H1994">
        <v>0</v>
      </c>
      <c r="I1994">
        <v>1</v>
      </c>
    </row>
    <row r="1995" spans="1:9">
      <c r="A1995" t="s">
        <v>308</v>
      </c>
      <c r="B1995" t="s">
        <v>309</v>
      </c>
      <c r="C1995" t="s">
        <v>269</v>
      </c>
      <c r="D1995" t="s">
        <v>307</v>
      </c>
      <c r="E1995" t="s">
        <v>42</v>
      </c>
      <c r="F1995">
        <v>2035</v>
      </c>
      <c r="G1995">
        <v>0</v>
      </c>
      <c r="H1995">
        <v>0</v>
      </c>
      <c r="I1995">
        <v>1</v>
      </c>
    </row>
    <row r="1996" spans="1:9">
      <c r="A1996" t="s">
        <v>308</v>
      </c>
      <c r="B1996" t="s">
        <v>309</v>
      </c>
      <c r="C1996" t="s">
        <v>269</v>
      </c>
      <c r="D1996" t="s">
        <v>307</v>
      </c>
      <c r="E1996" t="s">
        <v>42</v>
      </c>
      <c r="F1996">
        <v>2036</v>
      </c>
      <c r="G1996">
        <v>0</v>
      </c>
      <c r="H1996">
        <v>0</v>
      </c>
      <c r="I1996">
        <v>1</v>
      </c>
    </row>
    <row r="1997" spans="1:9">
      <c r="A1997" t="s">
        <v>308</v>
      </c>
      <c r="B1997" t="s">
        <v>309</v>
      </c>
      <c r="C1997" t="s">
        <v>269</v>
      </c>
      <c r="D1997" t="s">
        <v>307</v>
      </c>
      <c r="E1997" t="s">
        <v>42</v>
      </c>
      <c r="F1997">
        <v>2037</v>
      </c>
      <c r="G1997">
        <v>0</v>
      </c>
      <c r="H1997">
        <v>0</v>
      </c>
      <c r="I1997">
        <v>1</v>
      </c>
    </row>
    <row r="1998" spans="1:9">
      <c r="A1998" t="s">
        <v>308</v>
      </c>
      <c r="B1998" t="s">
        <v>309</v>
      </c>
      <c r="C1998" t="s">
        <v>269</v>
      </c>
      <c r="D1998" t="s">
        <v>307</v>
      </c>
      <c r="E1998" t="s">
        <v>42</v>
      </c>
      <c r="F1998">
        <v>2038</v>
      </c>
      <c r="G1998">
        <v>0</v>
      </c>
      <c r="H1998">
        <v>0</v>
      </c>
      <c r="I1998">
        <v>1</v>
      </c>
    </row>
    <row r="1999" spans="1:9">
      <c r="A1999" t="s">
        <v>308</v>
      </c>
      <c r="B1999" t="s">
        <v>309</v>
      </c>
      <c r="C1999" t="s">
        <v>269</v>
      </c>
      <c r="D1999" t="s">
        <v>307</v>
      </c>
      <c r="E1999" t="s">
        <v>42</v>
      </c>
      <c r="F1999">
        <v>2039</v>
      </c>
      <c r="G1999">
        <v>0</v>
      </c>
      <c r="H1999">
        <v>0</v>
      </c>
      <c r="I1999">
        <v>1</v>
      </c>
    </row>
    <row r="2000" spans="1:9">
      <c r="A2000" t="s">
        <v>308</v>
      </c>
      <c r="B2000" t="s">
        <v>309</v>
      </c>
      <c r="C2000" t="s">
        <v>269</v>
      </c>
      <c r="D2000" t="s">
        <v>307</v>
      </c>
      <c r="E2000" t="s">
        <v>42</v>
      </c>
      <c r="F2000">
        <v>2040</v>
      </c>
      <c r="G2000">
        <v>0</v>
      </c>
      <c r="H2000">
        <v>0</v>
      </c>
      <c r="I2000">
        <v>1</v>
      </c>
    </row>
    <row r="2001" spans="1:9">
      <c r="A2001" t="s">
        <v>308</v>
      </c>
      <c r="B2001" t="s">
        <v>309</v>
      </c>
      <c r="C2001" t="s">
        <v>269</v>
      </c>
      <c r="D2001" t="s">
        <v>307</v>
      </c>
      <c r="E2001" t="s">
        <v>42</v>
      </c>
      <c r="F2001">
        <v>2041</v>
      </c>
      <c r="G2001">
        <v>0</v>
      </c>
      <c r="H2001">
        <v>0</v>
      </c>
      <c r="I2001">
        <v>1</v>
      </c>
    </row>
    <row r="2002" spans="1:9">
      <c r="A2002" t="s">
        <v>308</v>
      </c>
      <c r="B2002" t="s">
        <v>309</v>
      </c>
      <c r="C2002" t="s">
        <v>269</v>
      </c>
      <c r="D2002" t="s">
        <v>307</v>
      </c>
      <c r="E2002" t="s">
        <v>42</v>
      </c>
      <c r="F2002">
        <v>2042</v>
      </c>
      <c r="G2002">
        <v>0</v>
      </c>
      <c r="H2002">
        <v>0</v>
      </c>
      <c r="I2002">
        <v>1</v>
      </c>
    </row>
    <row r="2003" spans="1:9">
      <c r="A2003" t="s">
        <v>308</v>
      </c>
      <c r="B2003" t="s">
        <v>309</v>
      </c>
      <c r="C2003" t="s">
        <v>269</v>
      </c>
      <c r="D2003" t="s">
        <v>307</v>
      </c>
      <c r="E2003" t="s">
        <v>42</v>
      </c>
      <c r="F2003">
        <v>2043</v>
      </c>
      <c r="G2003">
        <v>0</v>
      </c>
      <c r="H2003">
        <v>0</v>
      </c>
      <c r="I2003">
        <v>1</v>
      </c>
    </row>
    <row r="2004" spans="1:9">
      <c r="A2004" t="s">
        <v>308</v>
      </c>
      <c r="B2004" t="s">
        <v>309</v>
      </c>
      <c r="C2004" t="s">
        <v>269</v>
      </c>
      <c r="D2004" t="s">
        <v>307</v>
      </c>
      <c r="E2004" t="s">
        <v>42</v>
      </c>
      <c r="F2004">
        <v>2044</v>
      </c>
      <c r="G2004">
        <v>0</v>
      </c>
      <c r="H2004">
        <v>0</v>
      </c>
      <c r="I2004">
        <v>1</v>
      </c>
    </row>
    <row r="2005" spans="1:9">
      <c r="A2005" t="s">
        <v>308</v>
      </c>
      <c r="B2005" t="s">
        <v>309</v>
      </c>
      <c r="C2005" t="s">
        <v>269</v>
      </c>
      <c r="D2005" t="s">
        <v>307</v>
      </c>
      <c r="E2005" t="s">
        <v>42</v>
      </c>
      <c r="F2005">
        <v>2045</v>
      </c>
      <c r="G2005">
        <v>0</v>
      </c>
      <c r="H2005">
        <v>0</v>
      </c>
      <c r="I2005">
        <v>1</v>
      </c>
    </row>
    <row r="2006" spans="1:9">
      <c r="A2006" t="s">
        <v>308</v>
      </c>
      <c r="B2006" t="s">
        <v>309</v>
      </c>
      <c r="C2006" t="s">
        <v>269</v>
      </c>
      <c r="D2006" t="s">
        <v>307</v>
      </c>
      <c r="E2006" t="s">
        <v>42</v>
      </c>
      <c r="F2006">
        <v>2046</v>
      </c>
      <c r="G2006">
        <v>0</v>
      </c>
      <c r="H2006">
        <v>0</v>
      </c>
      <c r="I2006">
        <v>1</v>
      </c>
    </row>
    <row r="2007" spans="1:9">
      <c r="A2007" t="s">
        <v>308</v>
      </c>
      <c r="B2007" t="s">
        <v>309</v>
      </c>
      <c r="C2007" t="s">
        <v>269</v>
      </c>
      <c r="D2007" t="s">
        <v>307</v>
      </c>
      <c r="E2007" t="s">
        <v>42</v>
      </c>
      <c r="F2007">
        <v>2047</v>
      </c>
      <c r="G2007">
        <v>0</v>
      </c>
      <c r="H2007">
        <v>0</v>
      </c>
      <c r="I2007">
        <v>1</v>
      </c>
    </row>
    <row r="2008" spans="1:9">
      <c r="A2008" t="s">
        <v>308</v>
      </c>
      <c r="B2008" t="s">
        <v>309</v>
      </c>
      <c r="C2008" t="s">
        <v>269</v>
      </c>
      <c r="D2008" t="s">
        <v>307</v>
      </c>
      <c r="E2008" t="s">
        <v>42</v>
      </c>
      <c r="F2008">
        <v>2048</v>
      </c>
      <c r="G2008">
        <v>0</v>
      </c>
      <c r="H2008">
        <v>0</v>
      </c>
      <c r="I2008">
        <v>1</v>
      </c>
    </row>
    <row r="2009" spans="1:9">
      <c r="A2009" t="s">
        <v>308</v>
      </c>
      <c r="B2009" t="s">
        <v>309</v>
      </c>
      <c r="C2009" t="s">
        <v>269</v>
      </c>
      <c r="D2009" t="s">
        <v>307</v>
      </c>
      <c r="E2009" t="s">
        <v>42</v>
      </c>
      <c r="F2009">
        <v>2049</v>
      </c>
      <c r="G2009">
        <v>0</v>
      </c>
      <c r="H2009">
        <v>0</v>
      </c>
      <c r="I2009">
        <v>1</v>
      </c>
    </row>
    <row r="2010" spans="1:9">
      <c r="A2010" t="s">
        <v>308</v>
      </c>
      <c r="B2010" t="s">
        <v>309</v>
      </c>
      <c r="C2010" t="s">
        <v>269</v>
      </c>
      <c r="D2010" t="s">
        <v>307</v>
      </c>
      <c r="E2010" t="s">
        <v>42</v>
      </c>
      <c r="F2010">
        <v>2050</v>
      </c>
      <c r="G2010">
        <v>0</v>
      </c>
      <c r="H2010">
        <v>0</v>
      </c>
      <c r="I2010">
        <v>1</v>
      </c>
    </row>
    <row r="2011" spans="1:9">
      <c r="A2011" t="s">
        <v>308</v>
      </c>
      <c r="B2011" t="s">
        <v>309</v>
      </c>
      <c r="C2011" t="s">
        <v>269</v>
      </c>
      <c r="D2011" t="s">
        <v>25</v>
      </c>
      <c r="E2011" t="s">
        <v>107</v>
      </c>
      <c r="F2011">
        <v>2010</v>
      </c>
      <c r="G2011">
        <v>1174691.5900000001</v>
      </c>
      <c r="H2011">
        <v>1174691.5900000001</v>
      </c>
      <c r="I2011">
        <v>1</v>
      </c>
    </row>
    <row r="2012" spans="1:9">
      <c r="A2012" t="s">
        <v>308</v>
      </c>
      <c r="B2012" t="s">
        <v>309</v>
      </c>
      <c r="C2012" t="s">
        <v>269</v>
      </c>
      <c r="D2012" t="s">
        <v>25</v>
      </c>
      <c r="E2012" t="s">
        <v>107</v>
      </c>
      <c r="F2012">
        <v>2011</v>
      </c>
      <c r="G2012">
        <v>1253769.82</v>
      </c>
      <c r="H2012">
        <v>1253769.82</v>
      </c>
      <c r="I2012">
        <v>1</v>
      </c>
    </row>
    <row r="2013" spans="1:9">
      <c r="A2013" t="s">
        <v>308</v>
      </c>
      <c r="B2013" t="s">
        <v>309</v>
      </c>
      <c r="C2013" t="s">
        <v>269</v>
      </c>
      <c r="D2013" t="s">
        <v>25</v>
      </c>
      <c r="E2013" t="s">
        <v>107</v>
      </c>
      <c r="F2013">
        <v>2012</v>
      </c>
      <c r="G2013">
        <v>1331214.7069999999</v>
      </c>
      <c r="H2013">
        <v>1331214.7069999999</v>
      </c>
      <c r="I2013">
        <v>1</v>
      </c>
    </row>
    <row r="2014" spans="1:9">
      <c r="A2014" t="s">
        <v>308</v>
      </c>
      <c r="B2014" t="s">
        <v>309</v>
      </c>
      <c r="C2014" t="s">
        <v>269</v>
      </c>
      <c r="D2014" t="s">
        <v>25</v>
      </c>
      <c r="E2014" t="s">
        <v>107</v>
      </c>
      <c r="F2014">
        <v>2013</v>
      </c>
      <c r="G2014">
        <v>1426259.0360000001</v>
      </c>
      <c r="H2014">
        <v>1426259.0360000001</v>
      </c>
      <c r="I2014">
        <v>1</v>
      </c>
    </row>
    <row r="2015" spans="1:9">
      <c r="A2015" t="s">
        <v>308</v>
      </c>
      <c r="B2015" t="s">
        <v>309</v>
      </c>
      <c r="C2015" t="s">
        <v>269</v>
      </c>
      <c r="D2015" t="s">
        <v>25</v>
      </c>
      <c r="E2015" t="s">
        <v>107</v>
      </c>
      <c r="F2015">
        <v>2014</v>
      </c>
      <c r="G2015">
        <v>1562620.814</v>
      </c>
      <c r="H2015">
        <v>1562620.814</v>
      </c>
      <c r="I2015">
        <v>1</v>
      </c>
    </row>
    <row r="2016" spans="1:9">
      <c r="A2016" t="s">
        <v>308</v>
      </c>
      <c r="B2016" t="s">
        <v>309</v>
      </c>
      <c r="C2016" t="s">
        <v>269</v>
      </c>
      <c r="D2016" t="s">
        <v>25</v>
      </c>
      <c r="E2016" t="s">
        <v>107</v>
      </c>
      <c r="F2016">
        <v>2015</v>
      </c>
      <c r="G2016">
        <v>1686486.0870000001</v>
      </c>
      <c r="H2016">
        <v>1686486.0870000001</v>
      </c>
      <c r="I2016">
        <v>1</v>
      </c>
    </row>
    <row r="2017" spans="1:9">
      <c r="A2017" t="s">
        <v>308</v>
      </c>
      <c r="B2017" t="s">
        <v>309</v>
      </c>
      <c r="C2017" t="s">
        <v>269</v>
      </c>
      <c r="D2017" t="s">
        <v>25</v>
      </c>
      <c r="E2017" t="s">
        <v>107</v>
      </c>
      <c r="F2017">
        <v>2016</v>
      </c>
      <c r="G2017">
        <v>1842124.0589999999</v>
      </c>
      <c r="H2017">
        <v>1842124.0589999999</v>
      </c>
      <c r="I2017">
        <v>1</v>
      </c>
    </row>
    <row r="2018" spans="1:9">
      <c r="A2018" t="s">
        <v>308</v>
      </c>
      <c r="B2018" t="s">
        <v>309</v>
      </c>
      <c r="C2018" t="s">
        <v>269</v>
      </c>
      <c r="D2018" t="s">
        <v>25</v>
      </c>
      <c r="E2018" t="s">
        <v>107</v>
      </c>
      <c r="F2018">
        <v>2017</v>
      </c>
      <c r="G2018">
        <v>2012864.9029999999</v>
      </c>
      <c r="H2018">
        <v>2012864.9029999999</v>
      </c>
      <c r="I2018">
        <v>1</v>
      </c>
    </row>
    <row r="2019" spans="1:9">
      <c r="A2019" t="s">
        <v>308</v>
      </c>
      <c r="B2019" t="s">
        <v>309</v>
      </c>
      <c r="C2019" t="s">
        <v>269</v>
      </c>
      <c r="D2019" t="s">
        <v>25</v>
      </c>
      <c r="E2019" t="s">
        <v>107</v>
      </c>
      <c r="F2019">
        <v>2018</v>
      </c>
      <c r="G2019">
        <v>2204221.71</v>
      </c>
      <c r="H2019">
        <v>2204221.71</v>
      </c>
      <c r="I2019">
        <v>1</v>
      </c>
    </row>
    <row r="2020" spans="1:9">
      <c r="A2020" t="s">
        <v>308</v>
      </c>
      <c r="B2020" t="s">
        <v>309</v>
      </c>
      <c r="C2020" t="s">
        <v>269</v>
      </c>
      <c r="D2020" t="s">
        <v>25</v>
      </c>
      <c r="E2020" t="s">
        <v>107</v>
      </c>
      <c r="F2020">
        <v>2019</v>
      </c>
      <c r="G2020">
        <v>2404160.73</v>
      </c>
      <c r="H2020">
        <v>2404160.73</v>
      </c>
      <c r="I2020">
        <v>1</v>
      </c>
    </row>
    <row r="2021" spans="1:9">
      <c r="A2021" t="s">
        <v>308</v>
      </c>
      <c r="B2021" t="s">
        <v>309</v>
      </c>
      <c r="C2021" t="s">
        <v>269</v>
      </c>
      <c r="D2021" t="s">
        <v>25</v>
      </c>
      <c r="E2021" t="s">
        <v>107</v>
      </c>
      <c r="F2021">
        <v>2020</v>
      </c>
      <c r="G2021">
        <v>2656255.9619999998</v>
      </c>
      <c r="H2021">
        <v>2656255.9619999998</v>
      </c>
      <c r="I2021">
        <v>1</v>
      </c>
    </row>
    <row r="2022" spans="1:9">
      <c r="A2022" t="s">
        <v>308</v>
      </c>
      <c r="B2022" t="s">
        <v>309</v>
      </c>
      <c r="C2022" t="s">
        <v>269</v>
      </c>
      <c r="D2022" t="s">
        <v>25</v>
      </c>
      <c r="E2022" t="s">
        <v>107</v>
      </c>
      <c r="F2022">
        <v>2021</v>
      </c>
      <c r="G2022">
        <v>2905662.39</v>
      </c>
      <c r="H2022">
        <v>2905662.39</v>
      </c>
      <c r="I2022">
        <v>1</v>
      </c>
    </row>
    <row r="2023" spans="1:9">
      <c r="A2023" t="s">
        <v>308</v>
      </c>
      <c r="B2023" t="s">
        <v>309</v>
      </c>
      <c r="C2023" t="s">
        <v>269</v>
      </c>
      <c r="D2023" t="s">
        <v>25</v>
      </c>
      <c r="E2023" t="s">
        <v>107</v>
      </c>
      <c r="F2023">
        <v>2022</v>
      </c>
      <c r="G2023">
        <v>3182334.0419999999</v>
      </c>
      <c r="H2023">
        <v>3182334.0419999999</v>
      </c>
      <c r="I2023">
        <v>1</v>
      </c>
    </row>
    <row r="2024" spans="1:9">
      <c r="A2024" t="s">
        <v>308</v>
      </c>
      <c r="B2024" t="s">
        <v>309</v>
      </c>
      <c r="C2024" t="s">
        <v>269</v>
      </c>
      <c r="D2024" t="s">
        <v>25</v>
      </c>
      <c r="E2024" t="s">
        <v>107</v>
      </c>
      <c r="F2024">
        <v>2023</v>
      </c>
      <c r="G2024">
        <v>3471715.8730000001</v>
      </c>
      <c r="H2024">
        <v>3471715.8730000001</v>
      </c>
      <c r="I2024">
        <v>1</v>
      </c>
    </row>
    <row r="2025" spans="1:9">
      <c r="A2025" t="s">
        <v>308</v>
      </c>
      <c r="B2025" t="s">
        <v>309</v>
      </c>
      <c r="C2025" t="s">
        <v>269</v>
      </c>
      <c r="D2025" t="s">
        <v>25</v>
      </c>
      <c r="E2025" t="s">
        <v>107</v>
      </c>
      <c r="F2025">
        <v>2024</v>
      </c>
      <c r="G2025">
        <v>3803479.361</v>
      </c>
      <c r="H2025">
        <v>3803479.361</v>
      </c>
      <c r="I2025">
        <v>1</v>
      </c>
    </row>
    <row r="2026" spans="1:9">
      <c r="A2026" t="s">
        <v>308</v>
      </c>
      <c r="B2026" t="s">
        <v>309</v>
      </c>
      <c r="C2026" t="s">
        <v>269</v>
      </c>
      <c r="D2026" t="s">
        <v>25</v>
      </c>
      <c r="E2026" t="s">
        <v>107</v>
      </c>
      <c r="F2026">
        <v>2025</v>
      </c>
      <c r="G2026">
        <v>4113599.9070000001</v>
      </c>
      <c r="H2026">
        <v>4113599.9070000001</v>
      </c>
      <c r="I2026">
        <v>1</v>
      </c>
    </row>
    <row r="2027" spans="1:9">
      <c r="A2027" t="s">
        <v>308</v>
      </c>
      <c r="B2027" t="s">
        <v>309</v>
      </c>
      <c r="C2027" t="s">
        <v>269</v>
      </c>
      <c r="D2027" t="s">
        <v>25</v>
      </c>
      <c r="E2027" t="s">
        <v>107</v>
      </c>
      <c r="F2027">
        <v>2026</v>
      </c>
      <c r="G2027">
        <v>4494390.8720000004</v>
      </c>
      <c r="H2027">
        <v>4494390.8720000004</v>
      </c>
      <c r="I2027">
        <v>1</v>
      </c>
    </row>
    <row r="2028" spans="1:9">
      <c r="A2028" t="s">
        <v>308</v>
      </c>
      <c r="B2028" t="s">
        <v>309</v>
      </c>
      <c r="C2028" t="s">
        <v>269</v>
      </c>
      <c r="D2028" t="s">
        <v>25</v>
      </c>
      <c r="E2028" t="s">
        <v>107</v>
      </c>
      <c r="F2028">
        <v>2027</v>
      </c>
      <c r="G2028">
        <v>4872060.6670000004</v>
      </c>
      <c r="H2028">
        <v>4872060.6670000004</v>
      </c>
      <c r="I2028">
        <v>1</v>
      </c>
    </row>
    <row r="2029" spans="1:9">
      <c r="A2029" t="s">
        <v>308</v>
      </c>
      <c r="B2029" t="s">
        <v>309</v>
      </c>
      <c r="C2029" t="s">
        <v>269</v>
      </c>
      <c r="D2029" t="s">
        <v>25</v>
      </c>
      <c r="E2029" t="s">
        <v>107</v>
      </c>
      <c r="F2029">
        <v>2028</v>
      </c>
      <c r="G2029">
        <v>5200848.6129999999</v>
      </c>
      <c r="H2029">
        <v>5200848.6129999999</v>
      </c>
      <c r="I2029">
        <v>1</v>
      </c>
    </row>
    <row r="2030" spans="1:9">
      <c r="A2030" t="s">
        <v>308</v>
      </c>
      <c r="B2030" t="s">
        <v>309</v>
      </c>
      <c r="C2030" t="s">
        <v>269</v>
      </c>
      <c r="D2030" t="s">
        <v>25</v>
      </c>
      <c r="E2030" t="s">
        <v>107</v>
      </c>
      <c r="F2030">
        <v>2029</v>
      </c>
      <c r="G2030">
        <v>5680947.3779999996</v>
      </c>
      <c r="H2030">
        <v>5680947.3779999996</v>
      </c>
      <c r="I2030">
        <v>1</v>
      </c>
    </row>
    <row r="2031" spans="1:9">
      <c r="A2031" t="s">
        <v>308</v>
      </c>
      <c r="B2031" t="s">
        <v>309</v>
      </c>
      <c r="C2031" t="s">
        <v>269</v>
      </c>
      <c r="D2031" t="s">
        <v>25</v>
      </c>
      <c r="E2031" t="s">
        <v>107</v>
      </c>
      <c r="F2031">
        <v>2030</v>
      </c>
      <c r="G2031">
        <v>6143684.3640000001</v>
      </c>
      <c r="H2031">
        <v>6143684.3640000001</v>
      </c>
      <c r="I2031">
        <v>1</v>
      </c>
    </row>
    <row r="2032" spans="1:9">
      <c r="A2032" t="s">
        <v>308</v>
      </c>
      <c r="B2032" t="s">
        <v>309</v>
      </c>
      <c r="C2032" t="s">
        <v>269</v>
      </c>
      <c r="D2032" t="s">
        <v>25</v>
      </c>
      <c r="E2032" t="s">
        <v>107</v>
      </c>
      <c r="F2032">
        <v>2031</v>
      </c>
      <c r="G2032">
        <v>6551080.6349999998</v>
      </c>
      <c r="H2032">
        <v>6551080.6349999998</v>
      </c>
      <c r="I2032">
        <v>1</v>
      </c>
    </row>
    <row r="2033" spans="1:9">
      <c r="A2033" t="s">
        <v>308</v>
      </c>
      <c r="B2033" t="s">
        <v>309</v>
      </c>
      <c r="C2033" t="s">
        <v>269</v>
      </c>
      <c r="D2033" t="s">
        <v>25</v>
      </c>
      <c r="E2033" t="s">
        <v>107</v>
      </c>
      <c r="F2033">
        <v>2032</v>
      </c>
      <c r="G2033">
        <v>7046601.8700000001</v>
      </c>
      <c r="H2033">
        <v>7046601.8700000001</v>
      </c>
      <c r="I2033">
        <v>1</v>
      </c>
    </row>
    <row r="2034" spans="1:9">
      <c r="A2034" t="s">
        <v>308</v>
      </c>
      <c r="B2034" t="s">
        <v>309</v>
      </c>
      <c r="C2034" t="s">
        <v>269</v>
      </c>
      <c r="D2034" t="s">
        <v>25</v>
      </c>
      <c r="E2034" t="s">
        <v>107</v>
      </c>
      <c r="F2034">
        <v>2033</v>
      </c>
      <c r="G2034">
        <v>7639592.4979999997</v>
      </c>
      <c r="H2034">
        <v>7639592.4979999997</v>
      </c>
      <c r="I2034">
        <v>1</v>
      </c>
    </row>
    <row r="2035" spans="1:9">
      <c r="A2035" t="s">
        <v>308</v>
      </c>
      <c r="B2035" t="s">
        <v>309</v>
      </c>
      <c r="C2035" t="s">
        <v>269</v>
      </c>
      <c r="D2035" t="s">
        <v>25</v>
      </c>
      <c r="E2035" t="s">
        <v>107</v>
      </c>
      <c r="F2035">
        <v>2034</v>
      </c>
      <c r="G2035">
        <v>8116928.4939999999</v>
      </c>
      <c r="H2035">
        <v>8116928.4939999999</v>
      </c>
      <c r="I2035">
        <v>1</v>
      </c>
    </row>
    <row r="2036" spans="1:9">
      <c r="A2036" t="s">
        <v>308</v>
      </c>
      <c r="B2036" t="s">
        <v>309</v>
      </c>
      <c r="C2036" t="s">
        <v>269</v>
      </c>
      <c r="D2036" t="s">
        <v>25</v>
      </c>
      <c r="E2036" t="s">
        <v>107</v>
      </c>
      <c r="F2036">
        <v>2035</v>
      </c>
      <c r="G2036">
        <v>8731548.5179999992</v>
      </c>
      <c r="H2036">
        <v>8731548.5179999992</v>
      </c>
      <c r="I2036">
        <v>1</v>
      </c>
    </row>
    <row r="2037" spans="1:9">
      <c r="A2037" t="s">
        <v>308</v>
      </c>
      <c r="B2037" t="s">
        <v>309</v>
      </c>
      <c r="C2037" t="s">
        <v>269</v>
      </c>
      <c r="D2037" t="s">
        <v>25</v>
      </c>
      <c r="E2037" t="s">
        <v>107</v>
      </c>
      <c r="F2037">
        <v>2036</v>
      </c>
      <c r="G2037">
        <v>9256223.4489999991</v>
      </c>
      <c r="H2037">
        <v>9256223.4489999991</v>
      </c>
      <c r="I2037">
        <v>1</v>
      </c>
    </row>
    <row r="2038" spans="1:9">
      <c r="A2038" t="s">
        <v>308</v>
      </c>
      <c r="B2038" t="s">
        <v>309</v>
      </c>
      <c r="C2038" t="s">
        <v>269</v>
      </c>
      <c r="D2038" t="s">
        <v>25</v>
      </c>
      <c r="E2038" t="s">
        <v>107</v>
      </c>
      <c r="F2038">
        <v>2037</v>
      </c>
      <c r="G2038">
        <v>9907542.2050000001</v>
      </c>
      <c r="H2038">
        <v>9907542.2050000001</v>
      </c>
      <c r="I2038">
        <v>1</v>
      </c>
    </row>
    <row r="2039" spans="1:9">
      <c r="A2039" t="s">
        <v>308</v>
      </c>
      <c r="B2039" t="s">
        <v>309</v>
      </c>
      <c r="C2039" t="s">
        <v>269</v>
      </c>
      <c r="D2039" t="s">
        <v>25</v>
      </c>
      <c r="E2039" t="s">
        <v>107</v>
      </c>
      <c r="F2039">
        <v>2038</v>
      </c>
      <c r="G2039">
        <v>10479826.369999999</v>
      </c>
      <c r="H2039">
        <v>10479826.369999999</v>
      </c>
      <c r="I2039">
        <v>1</v>
      </c>
    </row>
    <row r="2040" spans="1:9">
      <c r="A2040" t="s">
        <v>308</v>
      </c>
      <c r="B2040" t="s">
        <v>309</v>
      </c>
      <c r="C2040" t="s">
        <v>269</v>
      </c>
      <c r="D2040" t="s">
        <v>25</v>
      </c>
      <c r="E2040" t="s">
        <v>107</v>
      </c>
      <c r="F2040">
        <v>2039</v>
      </c>
      <c r="G2040">
        <v>11141640.800000001</v>
      </c>
      <c r="H2040">
        <v>11141640.800000001</v>
      </c>
      <c r="I2040">
        <v>1</v>
      </c>
    </row>
    <row r="2041" spans="1:9">
      <c r="A2041" t="s">
        <v>308</v>
      </c>
      <c r="B2041" t="s">
        <v>309</v>
      </c>
      <c r="C2041" t="s">
        <v>269</v>
      </c>
      <c r="D2041" t="s">
        <v>25</v>
      </c>
      <c r="E2041" t="s">
        <v>107</v>
      </c>
      <c r="F2041">
        <v>2040</v>
      </c>
      <c r="G2041">
        <v>11940659.4</v>
      </c>
      <c r="H2041">
        <v>11940659.4</v>
      </c>
      <c r="I2041">
        <v>1</v>
      </c>
    </row>
    <row r="2042" spans="1:9">
      <c r="A2042" t="s">
        <v>308</v>
      </c>
      <c r="B2042" t="s">
        <v>309</v>
      </c>
      <c r="C2042" t="s">
        <v>269</v>
      </c>
      <c r="D2042" t="s">
        <v>25</v>
      </c>
      <c r="E2042" t="s">
        <v>107</v>
      </c>
      <c r="F2042">
        <v>2041</v>
      </c>
      <c r="G2042">
        <v>12583371.42</v>
      </c>
      <c r="H2042">
        <v>12583371.42</v>
      </c>
      <c r="I2042">
        <v>1</v>
      </c>
    </row>
    <row r="2043" spans="1:9">
      <c r="A2043" t="s">
        <v>308</v>
      </c>
      <c r="B2043" t="s">
        <v>309</v>
      </c>
      <c r="C2043" t="s">
        <v>269</v>
      </c>
      <c r="D2043" t="s">
        <v>25</v>
      </c>
      <c r="E2043" t="s">
        <v>107</v>
      </c>
      <c r="F2043">
        <v>2042</v>
      </c>
      <c r="G2043">
        <v>13213728.07</v>
      </c>
      <c r="H2043">
        <v>13213728.07</v>
      </c>
      <c r="I2043">
        <v>1</v>
      </c>
    </row>
    <row r="2044" spans="1:9">
      <c r="A2044" t="s">
        <v>308</v>
      </c>
      <c r="B2044" t="s">
        <v>309</v>
      </c>
      <c r="C2044" t="s">
        <v>269</v>
      </c>
      <c r="D2044" t="s">
        <v>25</v>
      </c>
      <c r="E2044" t="s">
        <v>107</v>
      </c>
      <c r="F2044">
        <v>2043</v>
      </c>
      <c r="G2044">
        <v>13946556.970000001</v>
      </c>
      <c r="H2044">
        <v>13946556.970000001</v>
      </c>
      <c r="I2044">
        <v>1</v>
      </c>
    </row>
    <row r="2045" spans="1:9">
      <c r="A2045" t="s">
        <v>308</v>
      </c>
      <c r="B2045" t="s">
        <v>309</v>
      </c>
      <c r="C2045" t="s">
        <v>269</v>
      </c>
      <c r="D2045" t="s">
        <v>25</v>
      </c>
      <c r="E2045" t="s">
        <v>107</v>
      </c>
      <c r="F2045">
        <v>2044</v>
      </c>
      <c r="G2045">
        <v>14845663.09</v>
      </c>
      <c r="H2045">
        <v>14845663.09</v>
      </c>
      <c r="I2045">
        <v>1</v>
      </c>
    </row>
    <row r="2046" spans="1:9">
      <c r="A2046" t="s">
        <v>308</v>
      </c>
      <c r="B2046" t="s">
        <v>309</v>
      </c>
      <c r="C2046" t="s">
        <v>269</v>
      </c>
      <c r="D2046" t="s">
        <v>25</v>
      </c>
      <c r="E2046" t="s">
        <v>107</v>
      </c>
      <c r="F2046">
        <v>2045</v>
      </c>
      <c r="G2046">
        <v>15671540.93</v>
      </c>
      <c r="H2046">
        <v>15671540.93</v>
      </c>
      <c r="I2046">
        <v>1</v>
      </c>
    </row>
    <row r="2047" spans="1:9">
      <c r="A2047" t="s">
        <v>308</v>
      </c>
      <c r="B2047" t="s">
        <v>309</v>
      </c>
      <c r="C2047" t="s">
        <v>269</v>
      </c>
      <c r="D2047" t="s">
        <v>25</v>
      </c>
      <c r="E2047" t="s">
        <v>107</v>
      </c>
      <c r="F2047">
        <v>2046</v>
      </c>
      <c r="G2047">
        <v>16236671.33</v>
      </c>
      <c r="H2047">
        <v>16236671.33</v>
      </c>
      <c r="I2047">
        <v>1</v>
      </c>
    </row>
    <row r="2048" spans="1:9">
      <c r="A2048" t="s">
        <v>308</v>
      </c>
      <c r="B2048" t="s">
        <v>309</v>
      </c>
      <c r="C2048" t="s">
        <v>269</v>
      </c>
      <c r="D2048" t="s">
        <v>25</v>
      </c>
      <c r="E2048" t="s">
        <v>107</v>
      </c>
      <c r="F2048">
        <v>2047</v>
      </c>
      <c r="G2048">
        <v>17392166.949999999</v>
      </c>
      <c r="H2048">
        <v>17392166.949999999</v>
      </c>
      <c r="I2048">
        <v>1</v>
      </c>
    </row>
    <row r="2049" spans="1:9">
      <c r="A2049" t="s">
        <v>308</v>
      </c>
      <c r="B2049" t="s">
        <v>309</v>
      </c>
      <c r="C2049" t="s">
        <v>269</v>
      </c>
      <c r="D2049" t="s">
        <v>25</v>
      </c>
      <c r="E2049" t="s">
        <v>107</v>
      </c>
      <c r="F2049">
        <v>2048</v>
      </c>
      <c r="G2049">
        <v>18113093.489999998</v>
      </c>
      <c r="H2049">
        <v>18113093.489999998</v>
      </c>
      <c r="I2049">
        <v>1</v>
      </c>
    </row>
    <row r="2050" spans="1:9">
      <c r="A2050" t="s">
        <v>308</v>
      </c>
      <c r="B2050" t="s">
        <v>309</v>
      </c>
      <c r="C2050" t="s">
        <v>269</v>
      </c>
      <c r="D2050" t="s">
        <v>25</v>
      </c>
      <c r="E2050" t="s">
        <v>107</v>
      </c>
      <c r="F2050">
        <v>2049</v>
      </c>
      <c r="G2050">
        <v>18985121.129999999</v>
      </c>
      <c r="H2050">
        <v>18985121.129999999</v>
      </c>
      <c r="I2050">
        <v>1</v>
      </c>
    </row>
    <row r="2051" spans="1:9">
      <c r="A2051" t="s">
        <v>308</v>
      </c>
      <c r="B2051" t="s">
        <v>309</v>
      </c>
      <c r="C2051" t="s">
        <v>269</v>
      </c>
      <c r="D2051" t="s">
        <v>25</v>
      </c>
      <c r="E2051" t="s">
        <v>107</v>
      </c>
      <c r="F2051">
        <v>2050</v>
      </c>
      <c r="G2051">
        <v>19937711.210000001</v>
      </c>
      <c r="H2051">
        <v>19937711.210000001</v>
      </c>
      <c r="I2051">
        <v>1</v>
      </c>
    </row>
    <row r="2052" spans="1:9">
      <c r="A2052" t="s">
        <v>308</v>
      </c>
      <c r="B2052" t="s">
        <v>309</v>
      </c>
      <c r="C2052" t="s">
        <v>269</v>
      </c>
      <c r="D2052" t="s">
        <v>26</v>
      </c>
      <c r="E2052" t="s">
        <v>107</v>
      </c>
      <c r="F2052">
        <v>2010</v>
      </c>
      <c r="G2052">
        <v>13560324.119999999</v>
      </c>
      <c r="H2052">
        <v>13560324.119999999</v>
      </c>
      <c r="I2052">
        <v>1</v>
      </c>
    </row>
    <row r="2053" spans="1:9">
      <c r="A2053" t="s">
        <v>308</v>
      </c>
      <c r="B2053" t="s">
        <v>309</v>
      </c>
      <c r="C2053" t="s">
        <v>269</v>
      </c>
      <c r="D2053" t="s">
        <v>26</v>
      </c>
      <c r="E2053" t="s">
        <v>107</v>
      </c>
      <c r="F2053">
        <v>2011</v>
      </c>
      <c r="G2053">
        <v>13815504.970000001</v>
      </c>
      <c r="H2053">
        <v>13815504.970000001</v>
      </c>
      <c r="I2053">
        <v>1</v>
      </c>
    </row>
    <row r="2054" spans="1:9">
      <c r="A2054" t="s">
        <v>308</v>
      </c>
      <c r="B2054" t="s">
        <v>309</v>
      </c>
      <c r="C2054" t="s">
        <v>269</v>
      </c>
      <c r="D2054" t="s">
        <v>26</v>
      </c>
      <c r="E2054" t="s">
        <v>107</v>
      </c>
      <c r="F2054">
        <v>2012</v>
      </c>
      <c r="G2054">
        <v>14024131.76</v>
      </c>
      <c r="H2054">
        <v>14024131.76</v>
      </c>
      <c r="I2054">
        <v>1</v>
      </c>
    </row>
    <row r="2055" spans="1:9">
      <c r="A2055" t="s">
        <v>308</v>
      </c>
      <c r="B2055" t="s">
        <v>309</v>
      </c>
      <c r="C2055" t="s">
        <v>269</v>
      </c>
      <c r="D2055" t="s">
        <v>26</v>
      </c>
      <c r="E2055" t="s">
        <v>107</v>
      </c>
      <c r="F2055">
        <v>2013</v>
      </c>
      <c r="G2055">
        <v>14261610.26</v>
      </c>
      <c r="H2055">
        <v>14261610.26</v>
      </c>
      <c r="I2055">
        <v>1</v>
      </c>
    </row>
    <row r="2056" spans="1:9">
      <c r="A2056" t="s">
        <v>308</v>
      </c>
      <c r="B2056" t="s">
        <v>309</v>
      </c>
      <c r="C2056" t="s">
        <v>269</v>
      </c>
      <c r="D2056" t="s">
        <v>26</v>
      </c>
      <c r="E2056" t="s">
        <v>107</v>
      </c>
      <c r="F2056">
        <v>2014</v>
      </c>
      <c r="G2056">
        <v>14498915.199999999</v>
      </c>
      <c r="H2056">
        <v>14498915.199999999</v>
      </c>
      <c r="I2056">
        <v>1</v>
      </c>
    </row>
    <row r="2057" spans="1:9">
      <c r="A2057" t="s">
        <v>308</v>
      </c>
      <c r="B2057" t="s">
        <v>309</v>
      </c>
      <c r="C2057" t="s">
        <v>269</v>
      </c>
      <c r="D2057" t="s">
        <v>26</v>
      </c>
      <c r="E2057" t="s">
        <v>107</v>
      </c>
      <c r="F2057">
        <v>2015</v>
      </c>
      <c r="G2057">
        <v>14704000.439999999</v>
      </c>
      <c r="H2057">
        <v>14704000.439999999</v>
      </c>
      <c r="I2057">
        <v>1</v>
      </c>
    </row>
    <row r="2058" spans="1:9">
      <c r="A2058" t="s">
        <v>308</v>
      </c>
      <c r="B2058" t="s">
        <v>309</v>
      </c>
      <c r="C2058" t="s">
        <v>269</v>
      </c>
      <c r="D2058" t="s">
        <v>26</v>
      </c>
      <c r="E2058" t="s">
        <v>107</v>
      </c>
      <c r="F2058">
        <v>2016</v>
      </c>
      <c r="G2058">
        <v>14973819.220000001</v>
      </c>
      <c r="H2058">
        <v>14973819.220000001</v>
      </c>
      <c r="I2058">
        <v>1</v>
      </c>
    </row>
    <row r="2059" spans="1:9">
      <c r="A2059" t="s">
        <v>308</v>
      </c>
      <c r="B2059" t="s">
        <v>309</v>
      </c>
      <c r="C2059" t="s">
        <v>269</v>
      </c>
      <c r="D2059" t="s">
        <v>26</v>
      </c>
      <c r="E2059" t="s">
        <v>107</v>
      </c>
      <c r="F2059">
        <v>2017</v>
      </c>
      <c r="G2059">
        <v>15184966.85</v>
      </c>
      <c r="H2059">
        <v>15184966.85</v>
      </c>
      <c r="I2059">
        <v>1</v>
      </c>
    </row>
    <row r="2060" spans="1:9">
      <c r="A2060" t="s">
        <v>308</v>
      </c>
      <c r="B2060" t="s">
        <v>309</v>
      </c>
      <c r="C2060" t="s">
        <v>269</v>
      </c>
      <c r="D2060" t="s">
        <v>26</v>
      </c>
      <c r="E2060" t="s">
        <v>107</v>
      </c>
      <c r="F2060">
        <v>2018</v>
      </c>
      <c r="G2060">
        <v>15444952.050000001</v>
      </c>
      <c r="H2060">
        <v>15444952.050000001</v>
      </c>
      <c r="I2060">
        <v>1</v>
      </c>
    </row>
    <row r="2061" spans="1:9">
      <c r="A2061" t="s">
        <v>308</v>
      </c>
      <c r="B2061" t="s">
        <v>309</v>
      </c>
      <c r="C2061" t="s">
        <v>269</v>
      </c>
      <c r="D2061" t="s">
        <v>26</v>
      </c>
      <c r="E2061" t="s">
        <v>107</v>
      </c>
      <c r="F2061">
        <v>2019</v>
      </c>
      <c r="G2061">
        <v>15659232.189999999</v>
      </c>
      <c r="H2061">
        <v>15659232.189999999</v>
      </c>
      <c r="I2061">
        <v>1</v>
      </c>
    </row>
    <row r="2062" spans="1:9">
      <c r="A2062" t="s">
        <v>308</v>
      </c>
      <c r="B2062" t="s">
        <v>309</v>
      </c>
      <c r="C2062" t="s">
        <v>269</v>
      </c>
      <c r="D2062" t="s">
        <v>26</v>
      </c>
      <c r="E2062" t="s">
        <v>107</v>
      </c>
      <c r="F2062">
        <v>2020</v>
      </c>
      <c r="G2062">
        <v>15887169.85</v>
      </c>
      <c r="H2062">
        <v>15887169.85</v>
      </c>
      <c r="I2062">
        <v>1</v>
      </c>
    </row>
    <row r="2063" spans="1:9">
      <c r="A2063" t="s">
        <v>308</v>
      </c>
      <c r="B2063" t="s">
        <v>309</v>
      </c>
      <c r="C2063" t="s">
        <v>269</v>
      </c>
      <c r="D2063" t="s">
        <v>26</v>
      </c>
      <c r="E2063" t="s">
        <v>107</v>
      </c>
      <c r="F2063">
        <v>2021</v>
      </c>
      <c r="G2063">
        <v>16074705.92</v>
      </c>
      <c r="H2063">
        <v>16074705.92</v>
      </c>
      <c r="I2063">
        <v>1</v>
      </c>
    </row>
    <row r="2064" spans="1:9">
      <c r="A2064" t="s">
        <v>308</v>
      </c>
      <c r="B2064" t="s">
        <v>309</v>
      </c>
      <c r="C2064" t="s">
        <v>269</v>
      </c>
      <c r="D2064" t="s">
        <v>26</v>
      </c>
      <c r="E2064" t="s">
        <v>107</v>
      </c>
      <c r="F2064">
        <v>2022</v>
      </c>
      <c r="G2064">
        <v>16349788.439999999</v>
      </c>
      <c r="H2064">
        <v>16349788.439999999</v>
      </c>
      <c r="I2064">
        <v>1</v>
      </c>
    </row>
    <row r="2065" spans="1:9">
      <c r="A2065" t="s">
        <v>308</v>
      </c>
      <c r="B2065" t="s">
        <v>309</v>
      </c>
      <c r="C2065" t="s">
        <v>269</v>
      </c>
      <c r="D2065" t="s">
        <v>26</v>
      </c>
      <c r="E2065" t="s">
        <v>107</v>
      </c>
      <c r="F2065">
        <v>2023</v>
      </c>
      <c r="G2065">
        <v>16490964.17</v>
      </c>
      <c r="H2065">
        <v>16490964.17</v>
      </c>
      <c r="I2065">
        <v>1</v>
      </c>
    </row>
    <row r="2066" spans="1:9">
      <c r="A2066" t="s">
        <v>308</v>
      </c>
      <c r="B2066" t="s">
        <v>309</v>
      </c>
      <c r="C2066" t="s">
        <v>269</v>
      </c>
      <c r="D2066" t="s">
        <v>26</v>
      </c>
      <c r="E2066" t="s">
        <v>107</v>
      </c>
      <c r="F2066">
        <v>2024</v>
      </c>
      <c r="G2066">
        <v>16664701.26</v>
      </c>
      <c r="H2066">
        <v>16664701.26</v>
      </c>
      <c r="I2066">
        <v>1</v>
      </c>
    </row>
    <row r="2067" spans="1:9">
      <c r="A2067" t="s">
        <v>308</v>
      </c>
      <c r="B2067" t="s">
        <v>309</v>
      </c>
      <c r="C2067" t="s">
        <v>269</v>
      </c>
      <c r="D2067" t="s">
        <v>26</v>
      </c>
      <c r="E2067" t="s">
        <v>107</v>
      </c>
      <c r="F2067">
        <v>2025</v>
      </c>
      <c r="G2067">
        <v>16853717.559999999</v>
      </c>
      <c r="H2067">
        <v>16853717.559999999</v>
      </c>
      <c r="I2067">
        <v>1</v>
      </c>
    </row>
    <row r="2068" spans="1:9">
      <c r="A2068" t="s">
        <v>308</v>
      </c>
      <c r="B2068" t="s">
        <v>309</v>
      </c>
      <c r="C2068" t="s">
        <v>269</v>
      </c>
      <c r="D2068" t="s">
        <v>26</v>
      </c>
      <c r="E2068" t="s">
        <v>107</v>
      </c>
      <c r="F2068">
        <v>2026</v>
      </c>
      <c r="G2068">
        <v>16999259.109999999</v>
      </c>
      <c r="H2068">
        <v>16999259.109999999</v>
      </c>
      <c r="I2068">
        <v>1</v>
      </c>
    </row>
    <row r="2069" spans="1:9">
      <c r="A2069" t="s">
        <v>308</v>
      </c>
      <c r="B2069" t="s">
        <v>309</v>
      </c>
      <c r="C2069" t="s">
        <v>269</v>
      </c>
      <c r="D2069" t="s">
        <v>26</v>
      </c>
      <c r="E2069" t="s">
        <v>107</v>
      </c>
      <c r="F2069">
        <v>2027</v>
      </c>
      <c r="G2069">
        <v>17139561.59</v>
      </c>
      <c r="H2069">
        <v>17139561.59</v>
      </c>
      <c r="I2069">
        <v>1</v>
      </c>
    </row>
    <row r="2070" spans="1:9">
      <c r="A2070" t="s">
        <v>308</v>
      </c>
      <c r="B2070" t="s">
        <v>309</v>
      </c>
      <c r="C2070" t="s">
        <v>269</v>
      </c>
      <c r="D2070" t="s">
        <v>26</v>
      </c>
      <c r="E2070" t="s">
        <v>107</v>
      </c>
      <c r="F2070">
        <v>2028</v>
      </c>
      <c r="G2070">
        <v>17336260.530000001</v>
      </c>
      <c r="H2070">
        <v>17336260.530000001</v>
      </c>
      <c r="I2070">
        <v>1</v>
      </c>
    </row>
    <row r="2071" spans="1:9">
      <c r="A2071" t="s">
        <v>308</v>
      </c>
      <c r="B2071" t="s">
        <v>309</v>
      </c>
      <c r="C2071" t="s">
        <v>269</v>
      </c>
      <c r="D2071" t="s">
        <v>26</v>
      </c>
      <c r="E2071" t="s">
        <v>107</v>
      </c>
      <c r="F2071">
        <v>2029</v>
      </c>
      <c r="G2071">
        <v>17529729.57</v>
      </c>
      <c r="H2071">
        <v>17529729.57</v>
      </c>
      <c r="I2071">
        <v>1</v>
      </c>
    </row>
    <row r="2072" spans="1:9">
      <c r="A2072" t="s">
        <v>308</v>
      </c>
      <c r="B2072" t="s">
        <v>309</v>
      </c>
      <c r="C2072" t="s">
        <v>269</v>
      </c>
      <c r="D2072" t="s">
        <v>26</v>
      </c>
      <c r="E2072" t="s">
        <v>107</v>
      </c>
      <c r="F2072">
        <v>2030</v>
      </c>
      <c r="G2072">
        <v>17656366.859999999</v>
      </c>
      <c r="H2072">
        <v>17656366.859999999</v>
      </c>
      <c r="I2072">
        <v>1</v>
      </c>
    </row>
    <row r="2073" spans="1:9">
      <c r="A2073" t="s">
        <v>308</v>
      </c>
      <c r="B2073" t="s">
        <v>309</v>
      </c>
      <c r="C2073" t="s">
        <v>269</v>
      </c>
      <c r="D2073" t="s">
        <v>26</v>
      </c>
      <c r="E2073" t="s">
        <v>107</v>
      </c>
      <c r="F2073">
        <v>2031</v>
      </c>
      <c r="G2073">
        <v>17713219.66</v>
      </c>
      <c r="H2073">
        <v>17713219.66</v>
      </c>
      <c r="I2073">
        <v>1</v>
      </c>
    </row>
    <row r="2074" spans="1:9">
      <c r="A2074" t="s">
        <v>308</v>
      </c>
      <c r="B2074" t="s">
        <v>309</v>
      </c>
      <c r="C2074" t="s">
        <v>269</v>
      </c>
      <c r="D2074" t="s">
        <v>26</v>
      </c>
      <c r="E2074" t="s">
        <v>107</v>
      </c>
      <c r="F2074">
        <v>2032</v>
      </c>
      <c r="G2074">
        <v>17784681.210000001</v>
      </c>
      <c r="H2074">
        <v>17784681.210000001</v>
      </c>
      <c r="I2074">
        <v>1</v>
      </c>
    </row>
    <row r="2075" spans="1:9">
      <c r="A2075" t="s">
        <v>308</v>
      </c>
      <c r="B2075" t="s">
        <v>309</v>
      </c>
      <c r="C2075" t="s">
        <v>269</v>
      </c>
      <c r="D2075" t="s">
        <v>26</v>
      </c>
      <c r="E2075" t="s">
        <v>107</v>
      </c>
      <c r="F2075">
        <v>2033</v>
      </c>
      <c r="G2075">
        <v>17960284.030000001</v>
      </c>
      <c r="H2075">
        <v>17960284.030000001</v>
      </c>
      <c r="I2075">
        <v>1</v>
      </c>
    </row>
    <row r="2076" spans="1:9">
      <c r="A2076" t="s">
        <v>308</v>
      </c>
      <c r="B2076" t="s">
        <v>309</v>
      </c>
      <c r="C2076" t="s">
        <v>269</v>
      </c>
      <c r="D2076" t="s">
        <v>26</v>
      </c>
      <c r="E2076" t="s">
        <v>107</v>
      </c>
      <c r="F2076">
        <v>2034</v>
      </c>
      <c r="G2076">
        <v>18064773.559999999</v>
      </c>
      <c r="H2076">
        <v>18064773.559999999</v>
      </c>
      <c r="I2076">
        <v>1</v>
      </c>
    </row>
    <row r="2077" spans="1:9">
      <c r="A2077" t="s">
        <v>308</v>
      </c>
      <c r="B2077" t="s">
        <v>309</v>
      </c>
      <c r="C2077" t="s">
        <v>269</v>
      </c>
      <c r="D2077" t="s">
        <v>26</v>
      </c>
      <c r="E2077" t="s">
        <v>107</v>
      </c>
      <c r="F2077">
        <v>2035</v>
      </c>
      <c r="G2077">
        <v>18140831.23</v>
      </c>
      <c r="H2077">
        <v>18140831.23</v>
      </c>
      <c r="I2077">
        <v>1</v>
      </c>
    </row>
    <row r="2078" spans="1:9">
      <c r="A2078" t="s">
        <v>308</v>
      </c>
      <c r="B2078" t="s">
        <v>309</v>
      </c>
      <c r="C2078" t="s">
        <v>269</v>
      </c>
      <c r="D2078" t="s">
        <v>26</v>
      </c>
      <c r="E2078" t="s">
        <v>107</v>
      </c>
      <c r="F2078">
        <v>2036</v>
      </c>
      <c r="G2078">
        <v>18187632.91</v>
      </c>
      <c r="H2078">
        <v>18187632.91</v>
      </c>
      <c r="I2078">
        <v>1</v>
      </c>
    </row>
    <row r="2079" spans="1:9">
      <c r="A2079" t="s">
        <v>308</v>
      </c>
      <c r="B2079" t="s">
        <v>309</v>
      </c>
      <c r="C2079" t="s">
        <v>269</v>
      </c>
      <c r="D2079" t="s">
        <v>26</v>
      </c>
      <c r="E2079" t="s">
        <v>107</v>
      </c>
      <c r="F2079">
        <v>2037</v>
      </c>
      <c r="G2079">
        <v>18204495.359999999</v>
      </c>
      <c r="H2079">
        <v>18204495.359999999</v>
      </c>
      <c r="I2079">
        <v>1</v>
      </c>
    </row>
    <row r="2080" spans="1:9">
      <c r="A2080" t="s">
        <v>308</v>
      </c>
      <c r="B2080" t="s">
        <v>309</v>
      </c>
      <c r="C2080" t="s">
        <v>269</v>
      </c>
      <c r="D2080" t="s">
        <v>26</v>
      </c>
      <c r="E2080" t="s">
        <v>107</v>
      </c>
      <c r="F2080">
        <v>2038</v>
      </c>
      <c r="G2080">
        <v>18238408.690000001</v>
      </c>
      <c r="H2080">
        <v>18238408.690000001</v>
      </c>
      <c r="I2080">
        <v>1</v>
      </c>
    </row>
    <row r="2081" spans="1:9">
      <c r="A2081" t="s">
        <v>308</v>
      </c>
      <c r="B2081" t="s">
        <v>309</v>
      </c>
      <c r="C2081" t="s">
        <v>269</v>
      </c>
      <c r="D2081" t="s">
        <v>26</v>
      </c>
      <c r="E2081" t="s">
        <v>107</v>
      </c>
      <c r="F2081">
        <v>2039</v>
      </c>
      <c r="G2081">
        <v>18315259.210000001</v>
      </c>
      <c r="H2081">
        <v>18315259.210000001</v>
      </c>
      <c r="I2081">
        <v>1</v>
      </c>
    </row>
    <row r="2082" spans="1:9">
      <c r="A2082" t="s">
        <v>308</v>
      </c>
      <c r="B2082" t="s">
        <v>309</v>
      </c>
      <c r="C2082" t="s">
        <v>269</v>
      </c>
      <c r="D2082" t="s">
        <v>26</v>
      </c>
      <c r="E2082" t="s">
        <v>107</v>
      </c>
      <c r="F2082">
        <v>2040</v>
      </c>
      <c r="G2082">
        <v>18284095.25</v>
      </c>
      <c r="H2082">
        <v>18284095.25</v>
      </c>
      <c r="I2082">
        <v>1</v>
      </c>
    </row>
    <row r="2083" spans="1:9">
      <c r="A2083" t="s">
        <v>308</v>
      </c>
      <c r="B2083" t="s">
        <v>309</v>
      </c>
      <c r="C2083" t="s">
        <v>269</v>
      </c>
      <c r="D2083" t="s">
        <v>26</v>
      </c>
      <c r="E2083" t="s">
        <v>107</v>
      </c>
      <c r="F2083">
        <v>2041</v>
      </c>
      <c r="G2083">
        <v>18166656.399999999</v>
      </c>
      <c r="H2083">
        <v>18166656.399999999</v>
      </c>
      <c r="I2083">
        <v>1</v>
      </c>
    </row>
    <row r="2084" spans="1:9">
      <c r="A2084" t="s">
        <v>308</v>
      </c>
      <c r="B2084" t="s">
        <v>309</v>
      </c>
      <c r="C2084" t="s">
        <v>269</v>
      </c>
      <c r="D2084" t="s">
        <v>26</v>
      </c>
      <c r="E2084" t="s">
        <v>107</v>
      </c>
      <c r="F2084">
        <v>2042</v>
      </c>
      <c r="G2084">
        <v>18235357.719999999</v>
      </c>
      <c r="H2084">
        <v>18235357.719999999</v>
      </c>
      <c r="I2084">
        <v>1</v>
      </c>
    </row>
    <row r="2085" spans="1:9">
      <c r="A2085" t="s">
        <v>308</v>
      </c>
      <c r="B2085" t="s">
        <v>309</v>
      </c>
      <c r="C2085" t="s">
        <v>269</v>
      </c>
      <c r="D2085" t="s">
        <v>26</v>
      </c>
      <c r="E2085" t="s">
        <v>107</v>
      </c>
      <c r="F2085">
        <v>2043</v>
      </c>
      <c r="G2085">
        <v>18066967.120000001</v>
      </c>
      <c r="H2085">
        <v>18066967.120000001</v>
      </c>
      <c r="I2085">
        <v>1</v>
      </c>
    </row>
    <row r="2086" spans="1:9">
      <c r="A2086" t="s">
        <v>308</v>
      </c>
      <c r="B2086" t="s">
        <v>309</v>
      </c>
      <c r="C2086" t="s">
        <v>269</v>
      </c>
      <c r="D2086" t="s">
        <v>26</v>
      </c>
      <c r="E2086" t="s">
        <v>107</v>
      </c>
      <c r="F2086">
        <v>2044</v>
      </c>
      <c r="G2086">
        <v>18088637.84</v>
      </c>
      <c r="H2086">
        <v>18088637.84</v>
      </c>
      <c r="I2086">
        <v>1</v>
      </c>
    </row>
    <row r="2087" spans="1:9">
      <c r="A2087" t="s">
        <v>308</v>
      </c>
      <c r="B2087" t="s">
        <v>309</v>
      </c>
      <c r="C2087" t="s">
        <v>269</v>
      </c>
      <c r="D2087" t="s">
        <v>26</v>
      </c>
      <c r="E2087" t="s">
        <v>107</v>
      </c>
      <c r="F2087">
        <v>2045</v>
      </c>
      <c r="G2087">
        <v>17893295.170000002</v>
      </c>
      <c r="H2087">
        <v>17893295.170000002</v>
      </c>
      <c r="I2087">
        <v>1</v>
      </c>
    </row>
    <row r="2088" spans="1:9">
      <c r="A2088" t="s">
        <v>308</v>
      </c>
      <c r="B2088" t="s">
        <v>309</v>
      </c>
      <c r="C2088" t="s">
        <v>269</v>
      </c>
      <c r="D2088" t="s">
        <v>26</v>
      </c>
      <c r="E2088" t="s">
        <v>107</v>
      </c>
      <c r="F2088">
        <v>2046</v>
      </c>
      <c r="G2088">
        <v>17866381.449999999</v>
      </c>
      <c r="H2088">
        <v>17866381.449999999</v>
      </c>
      <c r="I2088">
        <v>1</v>
      </c>
    </row>
    <row r="2089" spans="1:9">
      <c r="A2089" t="s">
        <v>308</v>
      </c>
      <c r="B2089" t="s">
        <v>309</v>
      </c>
      <c r="C2089" t="s">
        <v>269</v>
      </c>
      <c r="D2089" t="s">
        <v>26</v>
      </c>
      <c r="E2089" t="s">
        <v>107</v>
      </c>
      <c r="F2089">
        <v>2047</v>
      </c>
      <c r="G2089">
        <v>17617883.41</v>
      </c>
      <c r="H2089">
        <v>17617883.41</v>
      </c>
      <c r="I2089">
        <v>1</v>
      </c>
    </row>
    <row r="2090" spans="1:9">
      <c r="A2090" t="s">
        <v>308</v>
      </c>
      <c r="B2090" t="s">
        <v>309</v>
      </c>
      <c r="C2090" t="s">
        <v>269</v>
      </c>
      <c r="D2090" t="s">
        <v>26</v>
      </c>
      <c r="E2090" t="s">
        <v>107</v>
      </c>
      <c r="F2090">
        <v>2048</v>
      </c>
      <c r="G2090">
        <v>17541361.010000002</v>
      </c>
      <c r="H2090">
        <v>17541361.010000002</v>
      </c>
      <c r="I2090">
        <v>1</v>
      </c>
    </row>
    <row r="2091" spans="1:9">
      <c r="A2091" t="s">
        <v>308</v>
      </c>
      <c r="B2091" t="s">
        <v>309</v>
      </c>
      <c r="C2091" t="s">
        <v>269</v>
      </c>
      <c r="D2091" t="s">
        <v>26</v>
      </c>
      <c r="E2091" t="s">
        <v>107</v>
      </c>
      <c r="F2091">
        <v>2049</v>
      </c>
      <c r="G2091">
        <v>17306501.449999999</v>
      </c>
      <c r="H2091">
        <v>17306501.449999999</v>
      </c>
      <c r="I2091">
        <v>1</v>
      </c>
    </row>
    <row r="2092" spans="1:9">
      <c r="A2092" t="s">
        <v>308</v>
      </c>
      <c r="B2092" t="s">
        <v>309</v>
      </c>
      <c r="C2092" t="s">
        <v>269</v>
      </c>
      <c r="D2092" t="s">
        <v>26</v>
      </c>
      <c r="E2092" t="s">
        <v>107</v>
      </c>
      <c r="F2092">
        <v>2050</v>
      </c>
      <c r="G2092">
        <v>17085805.960000001</v>
      </c>
      <c r="H2092">
        <v>17085805.960000001</v>
      </c>
      <c r="I2092">
        <v>1</v>
      </c>
    </row>
    <row r="2093" spans="1:9">
      <c r="A2093" t="s">
        <v>308</v>
      </c>
      <c r="B2093" t="s">
        <v>309</v>
      </c>
      <c r="C2093" t="s">
        <v>269</v>
      </c>
      <c r="D2093" t="s">
        <v>307</v>
      </c>
      <c r="E2093" t="s">
        <v>107</v>
      </c>
      <c r="F2093">
        <v>2010</v>
      </c>
      <c r="G2093">
        <v>14482333.35</v>
      </c>
      <c r="H2093">
        <v>14482333.35</v>
      </c>
      <c r="I2093">
        <v>1</v>
      </c>
    </row>
    <row r="2094" spans="1:9">
      <c r="A2094" t="s">
        <v>308</v>
      </c>
      <c r="B2094" t="s">
        <v>309</v>
      </c>
      <c r="C2094" t="s">
        <v>269</v>
      </c>
      <c r="D2094" t="s">
        <v>307</v>
      </c>
      <c r="E2094" t="s">
        <v>107</v>
      </c>
      <c r="F2094">
        <v>2011</v>
      </c>
      <c r="G2094">
        <v>14756493.800000001</v>
      </c>
      <c r="H2094">
        <v>14756493.800000001</v>
      </c>
      <c r="I2094">
        <v>1</v>
      </c>
    </row>
    <row r="2095" spans="1:9">
      <c r="A2095" t="s">
        <v>308</v>
      </c>
      <c r="B2095" t="s">
        <v>309</v>
      </c>
      <c r="C2095" t="s">
        <v>269</v>
      </c>
      <c r="D2095" t="s">
        <v>307</v>
      </c>
      <c r="E2095" t="s">
        <v>107</v>
      </c>
      <c r="F2095">
        <v>2012</v>
      </c>
      <c r="G2095">
        <v>15117563.08</v>
      </c>
      <c r="H2095">
        <v>15117563.08</v>
      </c>
      <c r="I2095">
        <v>1</v>
      </c>
    </row>
    <row r="2096" spans="1:9">
      <c r="A2096" t="s">
        <v>308</v>
      </c>
      <c r="B2096" t="s">
        <v>309</v>
      </c>
      <c r="C2096" t="s">
        <v>269</v>
      </c>
      <c r="D2096" t="s">
        <v>307</v>
      </c>
      <c r="E2096" t="s">
        <v>107</v>
      </c>
      <c r="F2096">
        <v>2013</v>
      </c>
      <c r="G2096">
        <v>15440110.550000001</v>
      </c>
      <c r="H2096">
        <v>15440110.550000001</v>
      </c>
      <c r="I2096">
        <v>1</v>
      </c>
    </row>
    <row r="2097" spans="1:9">
      <c r="A2097" t="s">
        <v>308</v>
      </c>
      <c r="B2097" t="s">
        <v>309</v>
      </c>
      <c r="C2097" t="s">
        <v>269</v>
      </c>
      <c r="D2097" t="s">
        <v>307</v>
      </c>
      <c r="E2097" t="s">
        <v>107</v>
      </c>
      <c r="F2097">
        <v>2014</v>
      </c>
      <c r="G2097">
        <v>15812539.539999999</v>
      </c>
      <c r="H2097">
        <v>15812539.539999999</v>
      </c>
      <c r="I2097">
        <v>1</v>
      </c>
    </row>
    <row r="2098" spans="1:9">
      <c r="A2098" t="s">
        <v>308</v>
      </c>
      <c r="B2098" t="s">
        <v>309</v>
      </c>
      <c r="C2098" t="s">
        <v>269</v>
      </c>
      <c r="D2098" t="s">
        <v>307</v>
      </c>
      <c r="E2098" t="s">
        <v>107</v>
      </c>
      <c r="F2098">
        <v>2015</v>
      </c>
      <c r="G2098">
        <v>16192004.68</v>
      </c>
      <c r="H2098">
        <v>16192004.68</v>
      </c>
      <c r="I2098">
        <v>1</v>
      </c>
    </row>
    <row r="2099" spans="1:9">
      <c r="A2099" t="s">
        <v>308</v>
      </c>
      <c r="B2099" t="s">
        <v>309</v>
      </c>
      <c r="C2099" t="s">
        <v>269</v>
      </c>
      <c r="D2099" t="s">
        <v>307</v>
      </c>
      <c r="E2099" t="s">
        <v>107</v>
      </c>
      <c r="F2099">
        <v>2016</v>
      </c>
      <c r="G2099">
        <v>16651654.310000001</v>
      </c>
      <c r="H2099">
        <v>16651654.310000001</v>
      </c>
      <c r="I2099">
        <v>1</v>
      </c>
    </row>
    <row r="2100" spans="1:9">
      <c r="A2100" t="s">
        <v>308</v>
      </c>
      <c r="B2100" t="s">
        <v>309</v>
      </c>
      <c r="C2100" t="s">
        <v>269</v>
      </c>
      <c r="D2100" t="s">
        <v>307</v>
      </c>
      <c r="E2100" t="s">
        <v>107</v>
      </c>
      <c r="F2100">
        <v>2017</v>
      </c>
      <c r="G2100">
        <v>17046292.050000001</v>
      </c>
      <c r="H2100">
        <v>17046292.050000001</v>
      </c>
      <c r="I2100">
        <v>1</v>
      </c>
    </row>
    <row r="2101" spans="1:9">
      <c r="A2101" t="s">
        <v>308</v>
      </c>
      <c r="B2101" t="s">
        <v>309</v>
      </c>
      <c r="C2101" t="s">
        <v>269</v>
      </c>
      <c r="D2101" t="s">
        <v>307</v>
      </c>
      <c r="E2101" t="s">
        <v>107</v>
      </c>
      <c r="F2101">
        <v>2018</v>
      </c>
      <c r="G2101">
        <v>17498143</v>
      </c>
      <c r="H2101">
        <v>17498143</v>
      </c>
      <c r="I2101">
        <v>1</v>
      </c>
    </row>
    <row r="2102" spans="1:9">
      <c r="A2102" t="s">
        <v>308</v>
      </c>
      <c r="B2102" t="s">
        <v>309</v>
      </c>
      <c r="C2102" t="s">
        <v>269</v>
      </c>
      <c r="D2102" t="s">
        <v>307</v>
      </c>
      <c r="E2102" t="s">
        <v>107</v>
      </c>
      <c r="F2102">
        <v>2019</v>
      </c>
      <c r="G2102">
        <v>17930514.640000001</v>
      </c>
      <c r="H2102">
        <v>17930514.640000001</v>
      </c>
      <c r="I2102">
        <v>1</v>
      </c>
    </row>
    <row r="2103" spans="1:9">
      <c r="A2103" t="s">
        <v>308</v>
      </c>
      <c r="B2103" t="s">
        <v>309</v>
      </c>
      <c r="C2103" t="s">
        <v>269</v>
      </c>
      <c r="D2103" t="s">
        <v>307</v>
      </c>
      <c r="E2103" t="s">
        <v>107</v>
      </c>
      <c r="F2103">
        <v>2020</v>
      </c>
      <c r="G2103">
        <v>18450716.02</v>
      </c>
      <c r="H2103">
        <v>18450716.02</v>
      </c>
      <c r="I2103">
        <v>1</v>
      </c>
    </row>
    <row r="2104" spans="1:9">
      <c r="A2104" t="s">
        <v>308</v>
      </c>
      <c r="B2104" t="s">
        <v>309</v>
      </c>
      <c r="C2104" t="s">
        <v>269</v>
      </c>
      <c r="D2104" t="s">
        <v>307</v>
      </c>
      <c r="E2104" t="s">
        <v>107</v>
      </c>
      <c r="F2104">
        <v>2021</v>
      </c>
      <c r="G2104">
        <v>18923569.68</v>
      </c>
      <c r="H2104">
        <v>18923569.68</v>
      </c>
      <c r="I2104">
        <v>1</v>
      </c>
    </row>
    <row r="2105" spans="1:9">
      <c r="A2105" t="s">
        <v>308</v>
      </c>
      <c r="B2105" t="s">
        <v>309</v>
      </c>
      <c r="C2105" t="s">
        <v>269</v>
      </c>
      <c r="D2105" t="s">
        <v>307</v>
      </c>
      <c r="E2105" t="s">
        <v>107</v>
      </c>
      <c r="F2105">
        <v>2022</v>
      </c>
      <c r="G2105">
        <v>19461404.870000001</v>
      </c>
      <c r="H2105">
        <v>19461404.870000001</v>
      </c>
      <c r="I2105">
        <v>1</v>
      </c>
    </row>
    <row r="2106" spans="1:9">
      <c r="A2106" t="s">
        <v>308</v>
      </c>
      <c r="B2106" t="s">
        <v>309</v>
      </c>
      <c r="C2106" t="s">
        <v>269</v>
      </c>
      <c r="D2106" t="s">
        <v>307</v>
      </c>
      <c r="E2106" t="s">
        <v>107</v>
      </c>
      <c r="F2106">
        <v>2023</v>
      </c>
      <c r="G2106">
        <v>19918883.32</v>
      </c>
      <c r="H2106">
        <v>19918883.32</v>
      </c>
      <c r="I2106">
        <v>1</v>
      </c>
    </row>
    <row r="2107" spans="1:9">
      <c r="A2107" t="s">
        <v>308</v>
      </c>
      <c r="B2107" t="s">
        <v>309</v>
      </c>
      <c r="C2107" t="s">
        <v>269</v>
      </c>
      <c r="D2107" t="s">
        <v>307</v>
      </c>
      <c r="E2107" t="s">
        <v>107</v>
      </c>
      <c r="F2107">
        <v>2024</v>
      </c>
      <c r="G2107">
        <v>20475099.739999998</v>
      </c>
      <c r="H2107">
        <v>20475099.739999998</v>
      </c>
      <c r="I2107">
        <v>1</v>
      </c>
    </row>
    <row r="2108" spans="1:9">
      <c r="A2108" t="s">
        <v>308</v>
      </c>
      <c r="B2108" t="s">
        <v>309</v>
      </c>
      <c r="C2108" t="s">
        <v>269</v>
      </c>
      <c r="D2108" t="s">
        <v>307</v>
      </c>
      <c r="E2108" t="s">
        <v>107</v>
      </c>
      <c r="F2108">
        <v>2025</v>
      </c>
      <c r="G2108">
        <v>21010643.719999999</v>
      </c>
      <c r="H2108">
        <v>21010643.719999999</v>
      </c>
      <c r="I2108">
        <v>1</v>
      </c>
    </row>
    <row r="2109" spans="1:9">
      <c r="A2109" t="s">
        <v>308</v>
      </c>
      <c r="B2109" t="s">
        <v>309</v>
      </c>
      <c r="C2109" t="s">
        <v>269</v>
      </c>
      <c r="D2109" t="s">
        <v>307</v>
      </c>
      <c r="E2109" t="s">
        <v>107</v>
      </c>
      <c r="F2109">
        <v>2026</v>
      </c>
      <c r="G2109">
        <v>21522743.890000001</v>
      </c>
      <c r="H2109">
        <v>21522743.890000001</v>
      </c>
      <c r="I2109">
        <v>1</v>
      </c>
    </row>
    <row r="2110" spans="1:9">
      <c r="A2110" t="s">
        <v>308</v>
      </c>
      <c r="B2110" t="s">
        <v>309</v>
      </c>
      <c r="C2110" t="s">
        <v>269</v>
      </c>
      <c r="D2110" t="s">
        <v>307</v>
      </c>
      <c r="E2110" t="s">
        <v>107</v>
      </c>
      <c r="F2110">
        <v>2027</v>
      </c>
      <c r="G2110">
        <v>22076052.300000001</v>
      </c>
      <c r="H2110">
        <v>22076052.300000001</v>
      </c>
      <c r="I2110">
        <v>1</v>
      </c>
    </row>
    <row r="2111" spans="1:9">
      <c r="A2111" t="s">
        <v>308</v>
      </c>
      <c r="B2111" t="s">
        <v>309</v>
      </c>
      <c r="C2111" t="s">
        <v>269</v>
      </c>
      <c r="D2111" t="s">
        <v>307</v>
      </c>
      <c r="E2111" t="s">
        <v>107</v>
      </c>
      <c r="F2111">
        <v>2028</v>
      </c>
      <c r="G2111">
        <v>22708272.420000002</v>
      </c>
      <c r="H2111">
        <v>22708272.420000002</v>
      </c>
      <c r="I2111">
        <v>1</v>
      </c>
    </row>
    <row r="2112" spans="1:9">
      <c r="A2112" t="s">
        <v>308</v>
      </c>
      <c r="B2112" t="s">
        <v>309</v>
      </c>
      <c r="C2112" t="s">
        <v>269</v>
      </c>
      <c r="D2112" t="s">
        <v>307</v>
      </c>
      <c r="E2112" t="s">
        <v>107</v>
      </c>
      <c r="F2112">
        <v>2029</v>
      </c>
      <c r="G2112">
        <v>23246263.09</v>
      </c>
      <c r="H2112">
        <v>23246263.09</v>
      </c>
      <c r="I2112">
        <v>1</v>
      </c>
    </row>
    <row r="2113" spans="1:9">
      <c r="A2113" t="s">
        <v>308</v>
      </c>
      <c r="B2113" t="s">
        <v>309</v>
      </c>
      <c r="C2113" t="s">
        <v>269</v>
      </c>
      <c r="D2113" t="s">
        <v>307</v>
      </c>
      <c r="E2113" t="s">
        <v>107</v>
      </c>
      <c r="F2113">
        <v>2030</v>
      </c>
      <c r="G2113">
        <v>23791471.539999999</v>
      </c>
      <c r="H2113">
        <v>23791471.539999999</v>
      </c>
      <c r="I2113">
        <v>1</v>
      </c>
    </row>
    <row r="2114" spans="1:9">
      <c r="A2114" t="s">
        <v>308</v>
      </c>
      <c r="B2114" t="s">
        <v>309</v>
      </c>
      <c r="C2114" t="s">
        <v>269</v>
      </c>
      <c r="D2114" t="s">
        <v>307</v>
      </c>
      <c r="E2114" t="s">
        <v>107</v>
      </c>
      <c r="F2114">
        <v>2031</v>
      </c>
      <c r="G2114">
        <v>24438375.079999998</v>
      </c>
      <c r="H2114">
        <v>24438375.079999998</v>
      </c>
      <c r="I2114">
        <v>1</v>
      </c>
    </row>
    <row r="2115" spans="1:9">
      <c r="A2115" t="s">
        <v>308</v>
      </c>
      <c r="B2115" t="s">
        <v>309</v>
      </c>
      <c r="C2115" t="s">
        <v>269</v>
      </c>
      <c r="D2115" t="s">
        <v>307</v>
      </c>
      <c r="E2115" t="s">
        <v>107</v>
      </c>
      <c r="F2115">
        <v>2032</v>
      </c>
      <c r="G2115">
        <v>24902715.34</v>
      </c>
      <c r="H2115">
        <v>24902715.34</v>
      </c>
      <c r="I2115">
        <v>1</v>
      </c>
    </row>
    <row r="2116" spans="1:9">
      <c r="A2116" t="s">
        <v>308</v>
      </c>
      <c r="B2116" t="s">
        <v>309</v>
      </c>
      <c r="C2116" t="s">
        <v>269</v>
      </c>
      <c r="D2116" t="s">
        <v>307</v>
      </c>
      <c r="E2116" t="s">
        <v>107</v>
      </c>
      <c r="F2116">
        <v>2033</v>
      </c>
      <c r="G2116">
        <v>25507940.579999998</v>
      </c>
      <c r="H2116">
        <v>25507940.579999998</v>
      </c>
      <c r="I2116">
        <v>1</v>
      </c>
    </row>
    <row r="2117" spans="1:9">
      <c r="A2117" t="s">
        <v>308</v>
      </c>
      <c r="B2117" t="s">
        <v>309</v>
      </c>
      <c r="C2117" t="s">
        <v>269</v>
      </c>
      <c r="D2117" t="s">
        <v>307</v>
      </c>
      <c r="E2117" t="s">
        <v>107</v>
      </c>
      <c r="F2117">
        <v>2034</v>
      </c>
      <c r="G2117">
        <v>26121036.280000001</v>
      </c>
      <c r="H2117">
        <v>26121036.280000001</v>
      </c>
      <c r="I2117">
        <v>1</v>
      </c>
    </row>
    <row r="2118" spans="1:9">
      <c r="A2118" t="s">
        <v>308</v>
      </c>
      <c r="B2118" t="s">
        <v>309</v>
      </c>
      <c r="C2118" t="s">
        <v>269</v>
      </c>
      <c r="D2118" t="s">
        <v>307</v>
      </c>
      <c r="E2118" t="s">
        <v>107</v>
      </c>
      <c r="F2118">
        <v>2035</v>
      </c>
      <c r="G2118">
        <v>26699353.609999999</v>
      </c>
      <c r="H2118">
        <v>26699353.609999999</v>
      </c>
      <c r="I2118">
        <v>1</v>
      </c>
    </row>
    <row r="2119" spans="1:9">
      <c r="A2119" t="s">
        <v>308</v>
      </c>
      <c r="B2119" t="s">
        <v>309</v>
      </c>
      <c r="C2119" t="s">
        <v>269</v>
      </c>
      <c r="D2119" t="s">
        <v>307</v>
      </c>
      <c r="E2119" t="s">
        <v>107</v>
      </c>
      <c r="F2119">
        <v>2036</v>
      </c>
      <c r="G2119">
        <v>27282494.129999999</v>
      </c>
      <c r="H2119">
        <v>27282494.129999999</v>
      </c>
      <c r="I2119">
        <v>1</v>
      </c>
    </row>
    <row r="2120" spans="1:9">
      <c r="A2120" t="s">
        <v>308</v>
      </c>
      <c r="B2120" t="s">
        <v>309</v>
      </c>
      <c r="C2120" t="s">
        <v>269</v>
      </c>
      <c r="D2120" t="s">
        <v>307</v>
      </c>
      <c r="E2120" t="s">
        <v>107</v>
      </c>
      <c r="F2120">
        <v>2037</v>
      </c>
      <c r="G2120">
        <v>27870122.890000001</v>
      </c>
      <c r="H2120">
        <v>27870122.890000001</v>
      </c>
      <c r="I2120">
        <v>1</v>
      </c>
    </row>
    <row r="2121" spans="1:9">
      <c r="A2121" t="s">
        <v>308</v>
      </c>
      <c r="B2121" t="s">
        <v>309</v>
      </c>
      <c r="C2121" t="s">
        <v>269</v>
      </c>
      <c r="D2121" t="s">
        <v>307</v>
      </c>
      <c r="E2121" t="s">
        <v>107</v>
      </c>
      <c r="F2121">
        <v>2038</v>
      </c>
      <c r="G2121">
        <v>28461801.690000001</v>
      </c>
      <c r="H2121">
        <v>28461801.690000001</v>
      </c>
      <c r="I2121">
        <v>1</v>
      </c>
    </row>
    <row r="2122" spans="1:9">
      <c r="A2122" t="s">
        <v>308</v>
      </c>
      <c r="B2122" t="s">
        <v>309</v>
      </c>
      <c r="C2122" t="s">
        <v>269</v>
      </c>
      <c r="D2122" t="s">
        <v>307</v>
      </c>
      <c r="E2122" t="s">
        <v>107</v>
      </c>
      <c r="F2122">
        <v>2039</v>
      </c>
      <c r="G2122">
        <v>29103851.530000001</v>
      </c>
      <c r="H2122">
        <v>29103851.530000001</v>
      </c>
      <c r="I2122">
        <v>1</v>
      </c>
    </row>
    <row r="2123" spans="1:9">
      <c r="A2123" t="s">
        <v>308</v>
      </c>
      <c r="B2123" t="s">
        <v>309</v>
      </c>
      <c r="C2123" t="s">
        <v>269</v>
      </c>
      <c r="D2123" t="s">
        <v>307</v>
      </c>
      <c r="E2123" t="s">
        <v>107</v>
      </c>
      <c r="F2123">
        <v>2040</v>
      </c>
      <c r="G2123">
        <v>29703450.32</v>
      </c>
      <c r="H2123">
        <v>29703450.32</v>
      </c>
      <c r="I2123">
        <v>1</v>
      </c>
    </row>
    <row r="2124" spans="1:9">
      <c r="A2124" t="s">
        <v>308</v>
      </c>
      <c r="B2124" t="s">
        <v>309</v>
      </c>
      <c r="C2124" t="s">
        <v>269</v>
      </c>
      <c r="D2124" t="s">
        <v>307</v>
      </c>
      <c r="E2124" t="s">
        <v>107</v>
      </c>
      <c r="F2124">
        <v>2041</v>
      </c>
      <c r="G2124">
        <v>30355046.719999999</v>
      </c>
      <c r="H2124">
        <v>30355046.719999999</v>
      </c>
      <c r="I2124">
        <v>1</v>
      </c>
    </row>
    <row r="2125" spans="1:9">
      <c r="A2125" t="s">
        <v>308</v>
      </c>
      <c r="B2125" t="s">
        <v>309</v>
      </c>
      <c r="C2125" t="s">
        <v>269</v>
      </c>
      <c r="D2125" t="s">
        <v>307</v>
      </c>
      <c r="E2125" t="s">
        <v>107</v>
      </c>
      <c r="F2125">
        <v>2042</v>
      </c>
      <c r="G2125">
        <v>30961087.309999999</v>
      </c>
      <c r="H2125">
        <v>30961087.309999999</v>
      </c>
      <c r="I2125">
        <v>1</v>
      </c>
    </row>
    <row r="2126" spans="1:9">
      <c r="A2126" t="s">
        <v>308</v>
      </c>
      <c r="B2126" t="s">
        <v>309</v>
      </c>
      <c r="C2126" t="s">
        <v>269</v>
      </c>
      <c r="D2126" t="s">
        <v>307</v>
      </c>
      <c r="E2126" t="s">
        <v>107</v>
      </c>
      <c r="F2126">
        <v>2043</v>
      </c>
      <c r="G2126">
        <v>31517405.190000001</v>
      </c>
      <c r="H2126">
        <v>31517405.190000001</v>
      </c>
      <c r="I2126">
        <v>1</v>
      </c>
    </row>
    <row r="2127" spans="1:9">
      <c r="A2127" t="s">
        <v>308</v>
      </c>
      <c r="B2127" t="s">
        <v>309</v>
      </c>
      <c r="C2127" t="s">
        <v>269</v>
      </c>
      <c r="D2127" t="s">
        <v>307</v>
      </c>
      <c r="E2127" t="s">
        <v>107</v>
      </c>
      <c r="F2127">
        <v>2044</v>
      </c>
      <c r="G2127">
        <v>32204947.670000002</v>
      </c>
      <c r="H2127">
        <v>32204947.670000002</v>
      </c>
      <c r="I2127">
        <v>1</v>
      </c>
    </row>
    <row r="2128" spans="1:9">
      <c r="A2128" t="s">
        <v>308</v>
      </c>
      <c r="B2128" t="s">
        <v>309</v>
      </c>
      <c r="C2128" t="s">
        <v>269</v>
      </c>
      <c r="D2128" t="s">
        <v>307</v>
      </c>
      <c r="E2128" t="s">
        <v>107</v>
      </c>
      <c r="F2128">
        <v>2045</v>
      </c>
      <c r="G2128">
        <v>32897273.460000001</v>
      </c>
      <c r="H2128">
        <v>32897273.460000001</v>
      </c>
      <c r="I2128">
        <v>1</v>
      </c>
    </row>
    <row r="2129" spans="1:9">
      <c r="A2129" t="s">
        <v>308</v>
      </c>
      <c r="B2129" t="s">
        <v>309</v>
      </c>
      <c r="C2129" t="s">
        <v>269</v>
      </c>
      <c r="D2129" t="s">
        <v>307</v>
      </c>
      <c r="E2129" t="s">
        <v>107</v>
      </c>
      <c r="F2129">
        <v>2046</v>
      </c>
      <c r="G2129">
        <v>33344387.530000001</v>
      </c>
      <c r="H2129">
        <v>33344387.530000001</v>
      </c>
      <c r="I2129">
        <v>1</v>
      </c>
    </row>
    <row r="2130" spans="1:9">
      <c r="A2130" t="s">
        <v>308</v>
      </c>
      <c r="B2130" t="s">
        <v>309</v>
      </c>
      <c r="C2130" t="s">
        <v>269</v>
      </c>
      <c r="D2130" t="s">
        <v>307</v>
      </c>
      <c r="E2130" t="s">
        <v>107</v>
      </c>
      <c r="F2130">
        <v>2047</v>
      </c>
      <c r="G2130">
        <v>33869248.07</v>
      </c>
      <c r="H2130">
        <v>33869248.07</v>
      </c>
      <c r="I2130">
        <v>1</v>
      </c>
    </row>
    <row r="2131" spans="1:9">
      <c r="A2131" t="s">
        <v>308</v>
      </c>
      <c r="B2131" t="s">
        <v>309</v>
      </c>
      <c r="C2131" t="s">
        <v>269</v>
      </c>
      <c r="D2131" t="s">
        <v>307</v>
      </c>
      <c r="E2131" t="s">
        <v>107</v>
      </c>
      <c r="F2131">
        <v>2048</v>
      </c>
      <c r="G2131">
        <v>34390353.890000001</v>
      </c>
      <c r="H2131">
        <v>34390353.890000001</v>
      </c>
      <c r="I2131">
        <v>1</v>
      </c>
    </row>
    <row r="2132" spans="1:9">
      <c r="A2132" t="s">
        <v>308</v>
      </c>
      <c r="B2132" t="s">
        <v>309</v>
      </c>
      <c r="C2132" t="s">
        <v>269</v>
      </c>
      <c r="D2132" t="s">
        <v>307</v>
      </c>
      <c r="E2132" t="s">
        <v>107</v>
      </c>
      <c r="F2132">
        <v>2049</v>
      </c>
      <c r="G2132">
        <v>35293776.049999997</v>
      </c>
      <c r="H2132">
        <v>35293776.049999997</v>
      </c>
      <c r="I2132">
        <v>1</v>
      </c>
    </row>
    <row r="2133" spans="1:9">
      <c r="A2133" t="s">
        <v>308</v>
      </c>
      <c r="B2133" t="s">
        <v>309</v>
      </c>
      <c r="C2133" t="s">
        <v>269</v>
      </c>
      <c r="D2133" t="s">
        <v>307</v>
      </c>
      <c r="E2133" t="s">
        <v>107</v>
      </c>
      <c r="F2133">
        <v>2050</v>
      </c>
      <c r="G2133">
        <v>35876366.770000003</v>
      </c>
      <c r="H2133">
        <v>35876366.770000003</v>
      </c>
      <c r="I2133">
        <v>1</v>
      </c>
    </row>
    <row r="2134" spans="1:9">
      <c r="A2134" t="s">
        <v>308</v>
      </c>
      <c r="B2134" t="s">
        <v>309</v>
      </c>
      <c r="C2134" t="s">
        <v>269</v>
      </c>
      <c r="D2134" t="s">
        <v>25</v>
      </c>
      <c r="E2134" t="s">
        <v>30</v>
      </c>
      <c r="F2134">
        <v>2010</v>
      </c>
      <c r="G2134">
        <v>15256475.51</v>
      </c>
      <c r="H2134">
        <v>15256475.51</v>
      </c>
      <c r="I2134">
        <v>1</v>
      </c>
    </row>
    <row r="2135" spans="1:9">
      <c r="A2135" t="s">
        <v>308</v>
      </c>
      <c r="B2135" t="s">
        <v>309</v>
      </c>
      <c r="C2135" t="s">
        <v>269</v>
      </c>
      <c r="D2135" t="s">
        <v>25</v>
      </c>
      <c r="E2135" t="s">
        <v>30</v>
      </c>
      <c r="F2135">
        <v>2011</v>
      </c>
      <c r="G2135">
        <v>16126943.1</v>
      </c>
      <c r="H2135">
        <v>16126943.1</v>
      </c>
      <c r="I2135">
        <v>1</v>
      </c>
    </row>
    <row r="2136" spans="1:9">
      <c r="A2136" t="s">
        <v>308</v>
      </c>
      <c r="B2136" t="s">
        <v>309</v>
      </c>
      <c r="C2136" t="s">
        <v>269</v>
      </c>
      <c r="D2136" t="s">
        <v>25</v>
      </c>
      <c r="E2136" t="s">
        <v>30</v>
      </c>
      <c r="F2136">
        <v>2012</v>
      </c>
      <c r="G2136">
        <v>17041169.57</v>
      </c>
      <c r="H2136">
        <v>17041169.57</v>
      </c>
      <c r="I2136">
        <v>1</v>
      </c>
    </row>
    <row r="2137" spans="1:9">
      <c r="A2137" t="s">
        <v>308</v>
      </c>
      <c r="B2137" t="s">
        <v>309</v>
      </c>
      <c r="C2137" t="s">
        <v>269</v>
      </c>
      <c r="D2137" t="s">
        <v>25</v>
      </c>
      <c r="E2137" t="s">
        <v>30</v>
      </c>
      <c r="F2137">
        <v>2013</v>
      </c>
      <c r="G2137">
        <v>17944442.579999998</v>
      </c>
      <c r="H2137">
        <v>17944442.579999998</v>
      </c>
      <c r="I2137">
        <v>1</v>
      </c>
    </row>
    <row r="2138" spans="1:9">
      <c r="A2138" t="s">
        <v>308</v>
      </c>
      <c r="B2138" t="s">
        <v>309</v>
      </c>
      <c r="C2138" t="s">
        <v>269</v>
      </c>
      <c r="D2138" t="s">
        <v>25</v>
      </c>
      <c r="E2138" t="s">
        <v>30</v>
      </c>
      <c r="F2138">
        <v>2014</v>
      </c>
      <c r="G2138">
        <v>18741764.100000001</v>
      </c>
      <c r="H2138">
        <v>18741764.100000001</v>
      </c>
      <c r="I2138">
        <v>1</v>
      </c>
    </row>
    <row r="2139" spans="1:9">
      <c r="A2139" t="s">
        <v>308</v>
      </c>
      <c r="B2139" t="s">
        <v>309</v>
      </c>
      <c r="C2139" t="s">
        <v>269</v>
      </c>
      <c r="D2139" t="s">
        <v>25</v>
      </c>
      <c r="E2139" t="s">
        <v>30</v>
      </c>
      <c r="F2139">
        <v>2015</v>
      </c>
      <c r="G2139">
        <v>19685892.140000001</v>
      </c>
      <c r="H2139">
        <v>19685892.140000001</v>
      </c>
      <c r="I2139">
        <v>1</v>
      </c>
    </row>
    <row r="2140" spans="1:9">
      <c r="A2140" t="s">
        <v>308</v>
      </c>
      <c r="B2140" t="s">
        <v>309</v>
      </c>
      <c r="C2140" t="s">
        <v>269</v>
      </c>
      <c r="D2140" t="s">
        <v>25</v>
      </c>
      <c r="E2140" t="s">
        <v>30</v>
      </c>
      <c r="F2140">
        <v>2016</v>
      </c>
      <c r="G2140">
        <v>20505579.16</v>
      </c>
      <c r="H2140">
        <v>20505579.16</v>
      </c>
      <c r="I2140">
        <v>1</v>
      </c>
    </row>
    <row r="2141" spans="1:9">
      <c r="A2141" t="s">
        <v>308</v>
      </c>
      <c r="B2141" t="s">
        <v>309</v>
      </c>
      <c r="C2141" t="s">
        <v>269</v>
      </c>
      <c r="D2141" t="s">
        <v>25</v>
      </c>
      <c r="E2141" t="s">
        <v>30</v>
      </c>
      <c r="F2141">
        <v>2017</v>
      </c>
      <c r="G2141">
        <v>21378875.68</v>
      </c>
      <c r="H2141">
        <v>21378875.68</v>
      </c>
      <c r="I2141">
        <v>1</v>
      </c>
    </row>
    <row r="2142" spans="1:9">
      <c r="A2142" t="s">
        <v>308</v>
      </c>
      <c r="B2142" t="s">
        <v>309</v>
      </c>
      <c r="C2142" t="s">
        <v>269</v>
      </c>
      <c r="D2142" t="s">
        <v>25</v>
      </c>
      <c r="E2142" t="s">
        <v>30</v>
      </c>
      <c r="F2142">
        <v>2018</v>
      </c>
      <c r="G2142">
        <v>22201885.460000001</v>
      </c>
      <c r="H2142">
        <v>22201885.460000001</v>
      </c>
      <c r="I2142">
        <v>1</v>
      </c>
    </row>
    <row r="2143" spans="1:9">
      <c r="A2143" t="s">
        <v>308</v>
      </c>
      <c r="B2143" t="s">
        <v>309</v>
      </c>
      <c r="C2143" t="s">
        <v>269</v>
      </c>
      <c r="D2143" t="s">
        <v>25</v>
      </c>
      <c r="E2143" t="s">
        <v>30</v>
      </c>
      <c r="F2143">
        <v>2019</v>
      </c>
      <c r="G2143">
        <v>23188382.43</v>
      </c>
      <c r="H2143">
        <v>23188382.43</v>
      </c>
      <c r="I2143">
        <v>1</v>
      </c>
    </row>
    <row r="2144" spans="1:9">
      <c r="A2144" t="s">
        <v>308</v>
      </c>
      <c r="B2144" t="s">
        <v>309</v>
      </c>
      <c r="C2144" t="s">
        <v>269</v>
      </c>
      <c r="D2144" t="s">
        <v>25</v>
      </c>
      <c r="E2144" t="s">
        <v>30</v>
      </c>
      <c r="F2144">
        <v>2020</v>
      </c>
      <c r="G2144">
        <v>23922225.280000001</v>
      </c>
      <c r="H2144">
        <v>23922225.280000001</v>
      </c>
      <c r="I2144">
        <v>1</v>
      </c>
    </row>
    <row r="2145" spans="1:9">
      <c r="A2145" t="s">
        <v>308</v>
      </c>
      <c r="B2145" t="s">
        <v>309</v>
      </c>
      <c r="C2145" t="s">
        <v>269</v>
      </c>
      <c r="D2145" t="s">
        <v>25</v>
      </c>
      <c r="E2145" t="s">
        <v>30</v>
      </c>
      <c r="F2145">
        <v>2021</v>
      </c>
      <c r="G2145">
        <v>24778119.739999998</v>
      </c>
      <c r="H2145">
        <v>24778119.739999998</v>
      </c>
      <c r="I2145">
        <v>1</v>
      </c>
    </row>
    <row r="2146" spans="1:9">
      <c r="A2146" t="s">
        <v>308</v>
      </c>
      <c r="B2146" t="s">
        <v>309</v>
      </c>
      <c r="C2146" t="s">
        <v>269</v>
      </c>
      <c r="D2146" t="s">
        <v>25</v>
      </c>
      <c r="E2146" t="s">
        <v>30</v>
      </c>
      <c r="F2146">
        <v>2022</v>
      </c>
      <c r="G2146">
        <v>25333568.289999999</v>
      </c>
      <c r="H2146">
        <v>25333568.289999999</v>
      </c>
      <c r="I2146">
        <v>1</v>
      </c>
    </row>
    <row r="2147" spans="1:9">
      <c r="A2147" t="s">
        <v>308</v>
      </c>
      <c r="B2147" t="s">
        <v>309</v>
      </c>
      <c r="C2147" t="s">
        <v>269</v>
      </c>
      <c r="D2147" t="s">
        <v>25</v>
      </c>
      <c r="E2147" t="s">
        <v>30</v>
      </c>
      <c r="F2147">
        <v>2023</v>
      </c>
      <c r="G2147">
        <v>26187976.5</v>
      </c>
      <c r="H2147">
        <v>26187976.5</v>
      </c>
      <c r="I2147">
        <v>1</v>
      </c>
    </row>
    <row r="2148" spans="1:9">
      <c r="A2148" t="s">
        <v>308</v>
      </c>
      <c r="B2148" t="s">
        <v>309</v>
      </c>
      <c r="C2148" t="s">
        <v>269</v>
      </c>
      <c r="D2148" t="s">
        <v>25</v>
      </c>
      <c r="E2148" t="s">
        <v>30</v>
      </c>
      <c r="F2148">
        <v>2024</v>
      </c>
      <c r="G2148">
        <v>26999209.899999999</v>
      </c>
      <c r="H2148">
        <v>26999209.899999999</v>
      </c>
      <c r="I2148">
        <v>1</v>
      </c>
    </row>
    <row r="2149" spans="1:9">
      <c r="A2149" t="s">
        <v>308</v>
      </c>
      <c r="B2149" t="s">
        <v>309</v>
      </c>
      <c r="C2149" t="s">
        <v>269</v>
      </c>
      <c r="D2149" t="s">
        <v>25</v>
      </c>
      <c r="E2149" t="s">
        <v>30</v>
      </c>
      <c r="F2149">
        <v>2025</v>
      </c>
      <c r="G2149">
        <v>27530388.829999998</v>
      </c>
      <c r="H2149">
        <v>27530388.829999998</v>
      </c>
      <c r="I2149">
        <v>1</v>
      </c>
    </row>
    <row r="2150" spans="1:9">
      <c r="A2150" t="s">
        <v>308</v>
      </c>
      <c r="B2150" t="s">
        <v>309</v>
      </c>
      <c r="C2150" t="s">
        <v>269</v>
      </c>
      <c r="D2150" t="s">
        <v>25</v>
      </c>
      <c r="E2150" t="s">
        <v>30</v>
      </c>
      <c r="F2150">
        <v>2026</v>
      </c>
      <c r="G2150">
        <v>28192088.199999999</v>
      </c>
      <c r="H2150">
        <v>28192088.199999999</v>
      </c>
      <c r="I2150">
        <v>1</v>
      </c>
    </row>
    <row r="2151" spans="1:9">
      <c r="A2151" t="s">
        <v>308</v>
      </c>
      <c r="B2151" t="s">
        <v>309</v>
      </c>
      <c r="C2151" t="s">
        <v>269</v>
      </c>
      <c r="D2151" t="s">
        <v>25</v>
      </c>
      <c r="E2151" t="s">
        <v>30</v>
      </c>
      <c r="F2151">
        <v>2027</v>
      </c>
      <c r="G2151">
        <v>28724314.899999999</v>
      </c>
      <c r="H2151">
        <v>28724314.899999999</v>
      </c>
      <c r="I2151">
        <v>1</v>
      </c>
    </row>
    <row r="2152" spans="1:9">
      <c r="A2152" t="s">
        <v>308</v>
      </c>
      <c r="B2152" t="s">
        <v>309</v>
      </c>
      <c r="C2152" t="s">
        <v>269</v>
      </c>
      <c r="D2152" t="s">
        <v>25</v>
      </c>
      <c r="E2152" t="s">
        <v>30</v>
      </c>
      <c r="F2152">
        <v>2028</v>
      </c>
      <c r="G2152">
        <v>29576254.469999999</v>
      </c>
      <c r="H2152">
        <v>29576254.469999999</v>
      </c>
      <c r="I2152">
        <v>1</v>
      </c>
    </row>
    <row r="2153" spans="1:9">
      <c r="A2153" t="s">
        <v>308</v>
      </c>
      <c r="B2153" t="s">
        <v>309</v>
      </c>
      <c r="C2153" t="s">
        <v>269</v>
      </c>
      <c r="D2153" t="s">
        <v>25</v>
      </c>
      <c r="E2153" t="s">
        <v>30</v>
      </c>
      <c r="F2153">
        <v>2029</v>
      </c>
      <c r="G2153">
        <v>30089994</v>
      </c>
      <c r="H2153">
        <v>30089994</v>
      </c>
      <c r="I2153">
        <v>1</v>
      </c>
    </row>
    <row r="2154" spans="1:9">
      <c r="A2154" t="s">
        <v>308</v>
      </c>
      <c r="B2154" t="s">
        <v>309</v>
      </c>
      <c r="C2154" t="s">
        <v>269</v>
      </c>
      <c r="D2154" t="s">
        <v>25</v>
      </c>
      <c r="E2154" t="s">
        <v>30</v>
      </c>
      <c r="F2154">
        <v>2030</v>
      </c>
      <c r="G2154">
        <v>30569199.780000001</v>
      </c>
      <c r="H2154">
        <v>30569199.780000001</v>
      </c>
      <c r="I2154">
        <v>1</v>
      </c>
    </row>
    <row r="2155" spans="1:9">
      <c r="A2155" t="s">
        <v>308</v>
      </c>
      <c r="B2155" t="s">
        <v>309</v>
      </c>
      <c r="C2155" t="s">
        <v>269</v>
      </c>
      <c r="D2155" t="s">
        <v>25</v>
      </c>
      <c r="E2155" t="s">
        <v>30</v>
      </c>
      <c r="F2155">
        <v>2031</v>
      </c>
      <c r="G2155">
        <v>31143994.77</v>
      </c>
      <c r="H2155">
        <v>31143994.77</v>
      </c>
      <c r="I2155">
        <v>1</v>
      </c>
    </row>
    <row r="2156" spans="1:9">
      <c r="A2156" t="s">
        <v>308</v>
      </c>
      <c r="B2156" t="s">
        <v>309</v>
      </c>
      <c r="C2156" t="s">
        <v>269</v>
      </c>
      <c r="D2156" t="s">
        <v>25</v>
      </c>
      <c r="E2156" t="s">
        <v>30</v>
      </c>
      <c r="F2156">
        <v>2032</v>
      </c>
      <c r="G2156">
        <v>31549170.600000001</v>
      </c>
      <c r="H2156">
        <v>31549170.600000001</v>
      </c>
      <c r="I2156">
        <v>1</v>
      </c>
    </row>
    <row r="2157" spans="1:9">
      <c r="A2157" t="s">
        <v>308</v>
      </c>
      <c r="B2157" t="s">
        <v>309</v>
      </c>
      <c r="C2157" t="s">
        <v>269</v>
      </c>
      <c r="D2157" t="s">
        <v>25</v>
      </c>
      <c r="E2157" t="s">
        <v>30</v>
      </c>
      <c r="F2157">
        <v>2033</v>
      </c>
      <c r="G2157">
        <v>31835682.66</v>
      </c>
      <c r="H2157">
        <v>31835682.66</v>
      </c>
      <c r="I2157">
        <v>1</v>
      </c>
    </row>
    <row r="2158" spans="1:9">
      <c r="A2158" t="s">
        <v>308</v>
      </c>
      <c r="B2158" t="s">
        <v>309</v>
      </c>
      <c r="C2158" t="s">
        <v>269</v>
      </c>
      <c r="D2158" t="s">
        <v>25</v>
      </c>
      <c r="E2158" t="s">
        <v>30</v>
      </c>
      <c r="F2158">
        <v>2034</v>
      </c>
      <c r="G2158">
        <v>32217806.460000001</v>
      </c>
      <c r="H2158">
        <v>32217806.460000001</v>
      </c>
      <c r="I2158">
        <v>1</v>
      </c>
    </row>
    <row r="2159" spans="1:9">
      <c r="A2159" t="s">
        <v>308</v>
      </c>
      <c r="B2159" t="s">
        <v>309</v>
      </c>
      <c r="C2159" t="s">
        <v>269</v>
      </c>
      <c r="D2159" t="s">
        <v>25</v>
      </c>
      <c r="E2159" t="s">
        <v>30</v>
      </c>
      <c r="F2159">
        <v>2035</v>
      </c>
      <c r="G2159">
        <v>32551902.809999999</v>
      </c>
      <c r="H2159">
        <v>32551902.809999999</v>
      </c>
      <c r="I2159">
        <v>1</v>
      </c>
    </row>
    <row r="2160" spans="1:9">
      <c r="A2160" t="s">
        <v>308</v>
      </c>
      <c r="B2160" t="s">
        <v>309</v>
      </c>
      <c r="C2160" t="s">
        <v>269</v>
      </c>
      <c r="D2160" t="s">
        <v>25</v>
      </c>
      <c r="E2160" t="s">
        <v>30</v>
      </c>
      <c r="F2160">
        <v>2036</v>
      </c>
      <c r="G2160">
        <v>32916516.539999999</v>
      </c>
      <c r="H2160">
        <v>32916516.539999999</v>
      </c>
      <c r="I2160">
        <v>1</v>
      </c>
    </row>
    <row r="2161" spans="1:9">
      <c r="A2161" t="s">
        <v>308</v>
      </c>
      <c r="B2161" t="s">
        <v>309</v>
      </c>
      <c r="C2161" t="s">
        <v>269</v>
      </c>
      <c r="D2161" t="s">
        <v>25</v>
      </c>
      <c r="E2161" t="s">
        <v>30</v>
      </c>
      <c r="F2161">
        <v>2037</v>
      </c>
      <c r="G2161">
        <v>32974254.489999998</v>
      </c>
      <c r="H2161">
        <v>32974254.489999998</v>
      </c>
      <c r="I2161">
        <v>1</v>
      </c>
    </row>
    <row r="2162" spans="1:9">
      <c r="A2162" t="s">
        <v>308</v>
      </c>
      <c r="B2162" t="s">
        <v>309</v>
      </c>
      <c r="C2162" t="s">
        <v>269</v>
      </c>
      <c r="D2162" t="s">
        <v>25</v>
      </c>
      <c r="E2162" t="s">
        <v>30</v>
      </c>
      <c r="F2162">
        <v>2038</v>
      </c>
      <c r="G2162">
        <v>33047179.739999998</v>
      </c>
      <c r="H2162">
        <v>33047179.739999998</v>
      </c>
      <c r="I2162">
        <v>1</v>
      </c>
    </row>
    <row r="2163" spans="1:9">
      <c r="A2163" t="s">
        <v>308</v>
      </c>
      <c r="B2163" t="s">
        <v>309</v>
      </c>
      <c r="C2163" t="s">
        <v>269</v>
      </c>
      <c r="D2163" t="s">
        <v>25</v>
      </c>
      <c r="E2163" t="s">
        <v>30</v>
      </c>
      <c r="F2163">
        <v>2039</v>
      </c>
      <c r="G2163">
        <v>32954584.68</v>
      </c>
      <c r="H2163">
        <v>32954584.68</v>
      </c>
      <c r="I2163">
        <v>1</v>
      </c>
    </row>
    <row r="2164" spans="1:9">
      <c r="A2164" t="s">
        <v>308</v>
      </c>
      <c r="B2164" t="s">
        <v>309</v>
      </c>
      <c r="C2164" t="s">
        <v>269</v>
      </c>
      <c r="D2164" t="s">
        <v>25</v>
      </c>
      <c r="E2164" t="s">
        <v>30</v>
      </c>
      <c r="F2164">
        <v>2040</v>
      </c>
      <c r="G2164">
        <v>32742246.059999999</v>
      </c>
      <c r="H2164">
        <v>32742246.059999999</v>
      </c>
      <c r="I2164">
        <v>1</v>
      </c>
    </row>
    <row r="2165" spans="1:9">
      <c r="A2165" t="s">
        <v>308</v>
      </c>
      <c r="B2165" t="s">
        <v>309</v>
      </c>
      <c r="C2165" t="s">
        <v>269</v>
      </c>
      <c r="D2165" t="s">
        <v>25</v>
      </c>
      <c r="E2165" t="s">
        <v>30</v>
      </c>
      <c r="F2165">
        <v>2041</v>
      </c>
      <c r="G2165">
        <v>32849409.66</v>
      </c>
      <c r="H2165">
        <v>32849409.66</v>
      </c>
      <c r="I2165">
        <v>1</v>
      </c>
    </row>
    <row r="2166" spans="1:9">
      <c r="A2166" t="s">
        <v>308</v>
      </c>
      <c r="B2166" t="s">
        <v>309</v>
      </c>
      <c r="C2166" t="s">
        <v>269</v>
      </c>
      <c r="D2166" t="s">
        <v>25</v>
      </c>
      <c r="E2166" t="s">
        <v>30</v>
      </c>
      <c r="F2166">
        <v>2042</v>
      </c>
      <c r="G2166">
        <v>32121833.710000001</v>
      </c>
      <c r="H2166">
        <v>32121833.710000001</v>
      </c>
      <c r="I2166">
        <v>1</v>
      </c>
    </row>
    <row r="2167" spans="1:9">
      <c r="A2167" t="s">
        <v>308</v>
      </c>
      <c r="B2167" t="s">
        <v>309</v>
      </c>
      <c r="C2167" t="s">
        <v>269</v>
      </c>
      <c r="D2167" t="s">
        <v>25</v>
      </c>
      <c r="E2167" t="s">
        <v>30</v>
      </c>
      <c r="F2167">
        <v>2043</v>
      </c>
      <c r="G2167">
        <v>32247967.710000001</v>
      </c>
      <c r="H2167">
        <v>32247967.710000001</v>
      </c>
      <c r="I2167">
        <v>1</v>
      </c>
    </row>
    <row r="2168" spans="1:9">
      <c r="A2168" t="s">
        <v>308</v>
      </c>
      <c r="B2168" t="s">
        <v>309</v>
      </c>
      <c r="C2168" t="s">
        <v>269</v>
      </c>
      <c r="D2168" t="s">
        <v>25</v>
      </c>
      <c r="E2168" t="s">
        <v>30</v>
      </c>
      <c r="F2168">
        <v>2044</v>
      </c>
      <c r="G2168">
        <v>32043815.739999998</v>
      </c>
      <c r="H2168">
        <v>32043815.739999998</v>
      </c>
      <c r="I2168">
        <v>1</v>
      </c>
    </row>
    <row r="2169" spans="1:9">
      <c r="A2169" t="s">
        <v>308</v>
      </c>
      <c r="B2169" t="s">
        <v>309</v>
      </c>
      <c r="C2169" t="s">
        <v>269</v>
      </c>
      <c r="D2169" t="s">
        <v>25</v>
      </c>
      <c r="E2169" t="s">
        <v>30</v>
      </c>
      <c r="F2169">
        <v>2045</v>
      </c>
      <c r="G2169">
        <v>31881525.390000001</v>
      </c>
      <c r="H2169">
        <v>31881525.390000001</v>
      </c>
      <c r="I2169">
        <v>1</v>
      </c>
    </row>
    <row r="2170" spans="1:9">
      <c r="A2170" t="s">
        <v>308</v>
      </c>
      <c r="B2170" t="s">
        <v>309</v>
      </c>
      <c r="C2170" t="s">
        <v>269</v>
      </c>
      <c r="D2170" t="s">
        <v>25</v>
      </c>
      <c r="E2170" t="s">
        <v>30</v>
      </c>
      <c r="F2170">
        <v>2046</v>
      </c>
      <c r="G2170">
        <v>32310522.190000001</v>
      </c>
      <c r="H2170">
        <v>32310522.190000001</v>
      </c>
      <c r="I2170">
        <v>1</v>
      </c>
    </row>
    <row r="2171" spans="1:9">
      <c r="A2171" t="s">
        <v>308</v>
      </c>
      <c r="B2171" t="s">
        <v>309</v>
      </c>
      <c r="C2171" t="s">
        <v>269</v>
      </c>
      <c r="D2171" t="s">
        <v>25</v>
      </c>
      <c r="E2171" t="s">
        <v>30</v>
      </c>
      <c r="F2171">
        <v>2047</v>
      </c>
      <c r="G2171">
        <v>30848153.719999999</v>
      </c>
      <c r="H2171">
        <v>30848153.719999999</v>
      </c>
      <c r="I2171">
        <v>1</v>
      </c>
    </row>
    <row r="2172" spans="1:9">
      <c r="A2172" t="s">
        <v>308</v>
      </c>
      <c r="B2172" t="s">
        <v>309</v>
      </c>
      <c r="C2172" t="s">
        <v>269</v>
      </c>
      <c r="D2172" t="s">
        <v>25</v>
      </c>
      <c r="E2172" t="s">
        <v>30</v>
      </c>
      <c r="F2172">
        <v>2048</v>
      </c>
      <c r="G2172">
        <v>31030171.23</v>
      </c>
      <c r="H2172">
        <v>31030171.23</v>
      </c>
      <c r="I2172">
        <v>1</v>
      </c>
    </row>
    <row r="2173" spans="1:9">
      <c r="A2173" t="s">
        <v>308</v>
      </c>
      <c r="B2173" t="s">
        <v>309</v>
      </c>
      <c r="C2173" t="s">
        <v>269</v>
      </c>
      <c r="D2173" t="s">
        <v>25</v>
      </c>
      <c r="E2173" t="s">
        <v>30</v>
      </c>
      <c r="F2173">
        <v>2049</v>
      </c>
      <c r="G2173">
        <v>30373825.48</v>
      </c>
      <c r="H2173">
        <v>30373825.48</v>
      </c>
      <c r="I2173">
        <v>1</v>
      </c>
    </row>
    <row r="2174" spans="1:9">
      <c r="A2174" t="s">
        <v>308</v>
      </c>
      <c r="B2174" t="s">
        <v>309</v>
      </c>
      <c r="C2174" t="s">
        <v>269</v>
      </c>
      <c r="D2174" t="s">
        <v>25</v>
      </c>
      <c r="E2174" t="s">
        <v>30</v>
      </c>
      <c r="F2174">
        <v>2050</v>
      </c>
      <c r="G2174">
        <v>29966269.73</v>
      </c>
      <c r="H2174">
        <v>29966269.73</v>
      </c>
      <c r="I2174">
        <v>1</v>
      </c>
    </row>
    <row r="2175" spans="1:9">
      <c r="A2175" t="s">
        <v>308</v>
      </c>
      <c r="B2175" t="s">
        <v>309</v>
      </c>
      <c r="C2175" t="s">
        <v>269</v>
      </c>
      <c r="D2175" t="s">
        <v>26</v>
      </c>
      <c r="E2175" t="s">
        <v>30</v>
      </c>
      <c r="F2175">
        <v>2010</v>
      </c>
      <c r="G2175">
        <v>3400022.6170000001</v>
      </c>
      <c r="H2175">
        <v>3400022.6170000001</v>
      </c>
      <c r="I2175">
        <v>1</v>
      </c>
    </row>
    <row r="2176" spans="1:9">
      <c r="A2176" t="s">
        <v>308</v>
      </c>
      <c r="B2176" t="s">
        <v>309</v>
      </c>
      <c r="C2176" t="s">
        <v>269</v>
      </c>
      <c r="D2176" t="s">
        <v>26</v>
      </c>
      <c r="E2176" t="s">
        <v>30</v>
      </c>
      <c r="F2176">
        <v>2011</v>
      </c>
      <c r="G2176">
        <v>3597152.6630000002</v>
      </c>
      <c r="H2176">
        <v>3597152.6630000002</v>
      </c>
      <c r="I2176">
        <v>1</v>
      </c>
    </row>
    <row r="2177" spans="1:9">
      <c r="A2177" t="s">
        <v>308</v>
      </c>
      <c r="B2177" t="s">
        <v>309</v>
      </c>
      <c r="C2177" t="s">
        <v>269</v>
      </c>
      <c r="D2177" t="s">
        <v>26</v>
      </c>
      <c r="E2177" t="s">
        <v>30</v>
      </c>
      <c r="F2177">
        <v>2012</v>
      </c>
      <c r="G2177">
        <v>3986723.8659999999</v>
      </c>
      <c r="H2177">
        <v>3986723.8659999999</v>
      </c>
      <c r="I2177">
        <v>1</v>
      </c>
    </row>
    <row r="2178" spans="1:9">
      <c r="A2178" t="s">
        <v>308</v>
      </c>
      <c r="B2178" t="s">
        <v>309</v>
      </c>
      <c r="C2178" t="s">
        <v>269</v>
      </c>
      <c r="D2178" t="s">
        <v>26</v>
      </c>
      <c r="E2178" t="s">
        <v>30</v>
      </c>
      <c r="F2178">
        <v>2013</v>
      </c>
      <c r="G2178">
        <v>4326412.9460000005</v>
      </c>
      <c r="H2178">
        <v>4326412.9460000005</v>
      </c>
      <c r="I2178">
        <v>1</v>
      </c>
    </row>
    <row r="2179" spans="1:9">
      <c r="A2179" t="s">
        <v>308</v>
      </c>
      <c r="B2179" t="s">
        <v>309</v>
      </c>
      <c r="C2179" t="s">
        <v>269</v>
      </c>
      <c r="D2179" t="s">
        <v>26</v>
      </c>
      <c r="E2179" t="s">
        <v>30</v>
      </c>
      <c r="F2179">
        <v>2014</v>
      </c>
      <c r="G2179">
        <v>4677535.1229999997</v>
      </c>
      <c r="H2179">
        <v>4677535.1229999997</v>
      </c>
      <c r="I2179">
        <v>1</v>
      </c>
    </row>
    <row r="2180" spans="1:9">
      <c r="A2180" t="s">
        <v>308</v>
      </c>
      <c r="B2180" t="s">
        <v>309</v>
      </c>
      <c r="C2180" t="s">
        <v>269</v>
      </c>
      <c r="D2180" t="s">
        <v>26</v>
      </c>
      <c r="E2180" t="s">
        <v>30</v>
      </c>
      <c r="F2180">
        <v>2015</v>
      </c>
      <c r="G2180">
        <v>5106681.5180000002</v>
      </c>
      <c r="H2180">
        <v>5106681.5180000002</v>
      </c>
      <c r="I2180">
        <v>1</v>
      </c>
    </row>
    <row r="2181" spans="1:9">
      <c r="A2181" t="s">
        <v>308</v>
      </c>
      <c r="B2181" t="s">
        <v>309</v>
      </c>
      <c r="C2181" t="s">
        <v>269</v>
      </c>
      <c r="D2181" t="s">
        <v>26</v>
      </c>
      <c r="E2181" t="s">
        <v>30</v>
      </c>
      <c r="F2181">
        <v>2016</v>
      </c>
      <c r="G2181">
        <v>5347255.3830000004</v>
      </c>
      <c r="H2181">
        <v>5347255.3830000004</v>
      </c>
      <c r="I2181">
        <v>1</v>
      </c>
    </row>
    <row r="2182" spans="1:9">
      <c r="A2182" t="s">
        <v>308</v>
      </c>
      <c r="B2182" t="s">
        <v>309</v>
      </c>
      <c r="C2182" t="s">
        <v>269</v>
      </c>
      <c r="D2182" t="s">
        <v>26</v>
      </c>
      <c r="E2182" t="s">
        <v>30</v>
      </c>
      <c r="F2182">
        <v>2017</v>
      </c>
      <c r="G2182">
        <v>5801119.2790000001</v>
      </c>
      <c r="H2182">
        <v>5801119.2790000001</v>
      </c>
      <c r="I2182">
        <v>1</v>
      </c>
    </row>
    <row r="2183" spans="1:9">
      <c r="A2183" t="s">
        <v>308</v>
      </c>
      <c r="B2183" t="s">
        <v>309</v>
      </c>
      <c r="C2183" t="s">
        <v>269</v>
      </c>
      <c r="D2183" t="s">
        <v>26</v>
      </c>
      <c r="E2183" t="s">
        <v>30</v>
      </c>
      <c r="F2183">
        <v>2018</v>
      </c>
      <c r="G2183">
        <v>6128203.8399999999</v>
      </c>
      <c r="H2183">
        <v>6128203.8399999999</v>
      </c>
      <c r="I2183">
        <v>1</v>
      </c>
    </row>
    <row r="2184" spans="1:9">
      <c r="A2184" t="s">
        <v>308</v>
      </c>
      <c r="B2184" t="s">
        <v>309</v>
      </c>
      <c r="C2184" t="s">
        <v>269</v>
      </c>
      <c r="D2184" t="s">
        <v>26</v>
      </c>
      <c r="E2184" t="s">
        <v>30</v>
      </c>
      <c r="F2184">
        <v>2019</v>
      </c>
      <c r="G2184">
        <v>6535319.591</v>
      </c>
      <c r="H2184">
        <v>6535319.591</v>
      </c>
      <c r="I2184">
        <v>1</v>
      </c>
    </row>
    <row r="2185" spans="1:9">
      <c r="A2185" t="s">
        <v>308</v>
      </c>
      <c r="B2185" t="s">
        <v>309</v>
      </c>
      <c r="C2185" t="s">
        <v>269</v>
      </c>
      <c r="D2185" t="s">
        <v>26</v>
      </c>
      <c r="E2185" t="s">
        <v>30</v>
      </c>
      <c r="F2185">
        <v>2020</v>
      </c>
      <c r="G2185">
        <v>6879886.2070000004</v>
      </c>
      <c r="H2185">
        <v>6879886.2070000004</v>
      </c>
      <c r="I2185">
        <v>1</v>
      </c>
    </row>
    <row r="2186" spans="1:9">
      <c r="A2186" t="s">
        <v>308</v>
      </c>
      <c r="B2186" t="s">
        <v>309</v>
      </c>
      <c r="C2186" t="s">
        <v>269</v>
      </c>
      <c r="D2186" t="s">
        <v>26</v>
      </c>
      <c r="E2186" t="s">
        <v>30</v>
      </c>
      <c r="F2186">
        <v>2021</v>
      </c>
      <c r="G2186">
        <v>7381242.5149999997</v>
      </c>
      <c r="H2186">
        <v>7381242.5149999997</v>
      </c>
      <c r="I2186">
        <v>1</v>
      </c>
    </row>
    <row r="2187" spans="1:9">
      <c r="A2187" t="s">
        <v>308</v>
      </c>
      <c r="B2187" t="s">
        <v>309</v>
      </c>
      <c r="C2187" t="s">
        <v>269</v>
      </c>
      <c r="D2187" t="s">
        <v>26</v>
      </c>
      <c r="E2187" t="s">
        <v>30</v>
      </c>
      <c r="F2187">
        <v>2022</v>
      </c>
      <c r="G2187">
        <v>7516077.5449999999</v>
      </c>
      <c r="H2187">
        <v>7516077.5449999999</v>
      </c>
      <c r="I2187">
        <v>1</v>
      </c>
    </row>
    <row r="2188" spans="1:9">
      <c r="A2188" t="s">
        <v>308</v>
      </c>
      <c r="B2188" t="s">
        <v>309</v>
      </c>
      <c r="C2188" t="s">
        <v>269</v>
      </c>
      <c r="D2188" t="s">
        <v>26</v>
      </c>
      <c r="E2188" t="s">
        <v>30</v>
      </c>
      <c r="F2188">
        <v>2023</v>
      </c>
      <c r="G2188">
        <v>8191388.0120000001</v>
      </c>
      <c r="H2188">
        <v>8191388.0120000001</v>
      </c>
      <c r="I2188">
        <v>1</v>
      </c>
    </row>
    <row r="2189" spans="1:9">
      <c r="A2189" t="s">
        <v>308</v>
      </c>
      <c r="B2189" t="s">
        <v>309</v>
      </c>
      <c r="C2189" t="s">
        <v>269</v>
      </c>
      <c r="D2189" t="s">
        <v>26</v>
      </c>
      <c r="E2189" t="s">
        <v>30</v>
      </c>
      <c r="F2189">
        <v>2024</v>
      </c>
      <c r="G2189">
        <v>8649498.9240000006</v>
      </c>
      <c r="H2189">
        <v>8649498.9240000006</v>
      </c>
      <c r="I2189">
        <v>1</v>
      </c>
    </row>
    <row r="2190" spans="1:9">
      <c r="A2190" t="s">
        <v>308</v>
      </c>
      <c r="B2190" t="s">
        <v>309</v>
      </c>
      <c r="C2190" t="s">
        <v>269</v>
      </c>
      <c r="D2190" t="s">
        <v>26</v>
      </c>
      <c r="E2190" t="s">
        <v>30</v>
      </c>
      <c r="F2190">
        <v>2025</v>
      </c>
      <c r="G2190">
        <v>9038299.2819999997</v>
      </c>
      <c r="H2190">
        <v>9038299.2819999997</v>
      </c>
      <c r="I2190">
        <v>1</v>
      </c>
    </row>
    <row r="2191" spans="1:9">
      <c r="A2191" t="s">
        <v>308</v>
      </c>
      <c r="B2191" t="s">
        <v>309</v>
      </c>
      <c r="C2191" t="s">
        <v>269</v>
      </c>
      <c r="D2191" t="s">
        <v>26</v>
      </c>
      <c r="E2191" t="s">
        <v>30</v>
      </c>
      <c r="F2191">
        <v>2026</v>
      </c>
      <c r="G2191">
        <v>9597667.8239999991</v>
      </c>
      <c r="H2191">
        <v>9597667.8239999991</v>
      </c>
      <c r="I2191">
        <v>1</v>
      </c>
    </row>
    <row r="2192" spans="1:9">
      <c r="A2192" t="s">
        <v>308</v>
      </c>
      <c r="B2192" t="s">
        <v>309</v>
      </c>
      <c r="C2192" t="s">
        <v>269</v>
      </c>
      <c r="D2192" t="s">
        <v>26</v>
      </c>
      <c r="E2192" t="s">
        <v>30</v>
      </c>
      <c r="F2192">
        <v>2027</v>
      </c>
      <c r="G2192">
        <v>10252868.1</v>
      </c>
      <c r="H2192">
        <v>10252868.1</v>
      </c>
      <c r="I2192">
        <v>1</v>
      </c>
    </row>
    <row r="2193" spans="1:9">
      <c r="A2193" t="s">
        <v>308</v>
      </c>
      <c r="B2193" t="s">
        <v>309</v>
      </c>
      <c r="C2193" t="s">
        <v>269</v>
      </c>
      <c r="D2193" t="s">
        <v>26</v>
      </c>
      <c r="E2193" t="s">
        <v>30</v>
      </c>
      <c r="F2193">
        <v>2028</v>
      </c>
      <c r="G2193">
        <v>10503712.35</v>
      </c>
      <c r="H2193">
        <v>10503712.35</v>
      </c>
      <c r="I2193">
        <v>1</v>
      </c>
    </row>
    <row r="2194" spans="1:9">
      <c r="A2194" t="s">
        <v>308</v>
      </c>
      <c r="B2194" t="s">
        <v>309</v>
      </c>
      <c r="C2194" t="s">
        <v>269</v>
      </c>
      <c r="D2194" t="s">
        <v>26</v>
      </c>
      <c r="E2194" t="s">
        <v>30</v>
      </c>
      <c r="F2194">
        <v>2029</v>
      </c>
      <c r="G2194">
        <v>11012995.689999999</v>
      </c>
      <c r="H2194">
        <v>11012995.689999999</v>
      </c>
      <c r="I2194">
        <v>1</v>
      </c>
    </row>
    <row r="2195" spans="1:9">
      <c r="A2195" t="s">
        <v>308</v>
      </c>
      <c r="B2195" t="s">
        <v>309</v>
      </c>
      <c r="C2195" t="s">
        <v>269</v>
      </c>
      <c r="D2195" t="s">
        <v>26</v>
      </c>
      <c r="E2195" t="s">
        <v>30</v>
      </c>
      <c r="F2195">
        <v>2030</v>
      </c>
      <c r="G2195">
        <v>11445904.09</v>
      </c>
      <c r="H2195">
        <v>11445904.09</v>
      </c>
      <c r="I2195">
        <v>1</v>
      </c>
    </row>
    <row r="2196" spans="1:9">
      <c r="A2196" t="s">
        <v>308</v>
      </c>
      <c r="B2196" t="s">
        <v>309</v>
      </c>
      <c r="C2196" t="s">
        <v>269</v>
      </c>
      <c r="D2196" t="s">
        <v>26</v>
      </c>
      <c r="E2196" t="s">
        <v>30</v>
      </c>
      <c r="F2196">
        <v>2031</v>
      </c>
      <c r="G2196">
        <v>12150568.220000001</v>
      </c>
      <c r="H2196">
        <v>12150568.220000001</v>
      </c>
      <c r="I2196">
        <v>1</v>
      </c>
    </row>
    <row r="2197" spans="1:9">
      <c r="A2197" t="s">
        <v>308</v>
      </c>
      <c r="B2197" t="s">
        <v>309</v>
      </c>
      <c r="C2197" t="s">
        <v>269</v>
      </c>
      <c r="D2197" t="s">
        <v>26</v>
      </c>
      <c r="E2197" t="s">
        <v>30</v>
      </c>
      <c r="F2197">
        <v>2032</v>
      </c>
      <c r="G2197">
        <v>12691993.85</v>
      </c>
      <c r="H2197">
        <v>12691993.85</v>
      </c>
      <c r="I2197">
        <v>1</v>
      </c>
    </row>
    <row r="2198" spans="1:9">
      <c r="A2198" t="s">
        <v>308</v>
      </c>
      <c r="B2198" t="s">
        <v>309</v>
      </c>
      <c r="C2198" t="s">
        <v>269</v>
      </c>
      <c r="D2198" t="s">
        <v>26</v>
      </c>
      <c r="E2198" t="s">
        <v>30</v>
      </c>
      <c r="F2198">
        <v>2033</v>
      </c>
      <c r="G2198">
        <v>13198087.51</v>
      </c>
      <c r="H2198">
        <v>13198087.51</v>
      </c>
      <c r="I2198">
        <v>1</v>
      </c>
    </row>
    <row r="2199" spans="1:9">
      <c r="A2199" t="s">
        <v>308</v>
      </c>
      <c r="B2199" t="s">
        <v>309</v>
      </c>
      <c r="C2199" t="s">
        <v>269</v>
      </c>
      <c r="D2199" t="s">
        <v>26</v>
      </c>
      <c r="E2199" t="s">
        <v>30</v>
      </c>
      <c r="F2199">
        <v>2034</v>
      </c>
      <c r="G2199">
        <v>13620671.560000001</v>
      </c>
      <c r="H2199">
        <v>13620671.560000001</v>
      </c>
      <c r="I2199">
        <v>1</v>
      </c>
    </row>
    <row r="2200" spans="1:9">
      <c r="A2200" t="s">
        <v>308</v>
      </c>
      <c r="B2200" t="s">
        <v>309</v>
      </c>
      <c r="C2200" t="s">
        <v>269</v>
      </c>
      <c r="D2200" t="s">
        <v>26</v>
      </c>
      <c r="E2200" t="s">
        <v>30</v>
      </c>
      <c r="F2200">
        <v>2035</v>
      </c>
      <c r="G2200">
        <v>14095705.92</v>
      </c>
      <c r="H2200">
        <v>14095705.92</v>
      </c>
      <c r="I2200">
        <v>1</v>
      </c>
    </row>
    <row r="2201" spans="1:9">
      <c r="A2201" t="s">
        <v>308</v>
      </c>
      <c r="B2201" t="s">
        <v>309</v>
      </c>
      <c r="C2201" t="s">
        <v>269</v>
      </c>
      <c r="D2201" t="s">
        <v>26</v>
      </c>
      <c r="E2201" t="s">
        <v>30</v>
      </c>
      <c r="F2201">
        <v>2036</v>
      </c>
      <c r="G2201">
        <v>14861858.26</v>
      </c>
      <c r="H2201">
        <v>14861858.26</v>
      </c>
      <c r="I2201">
        <v>1</v>
      </c>
    </row>
    <row r="2202" spans="1:9">
      <c r="A2202" t="s">
        <v>308</v>
      </c>
      <c r="B2202" t="s">
        <v>309</v>
      </c>
      <c r="C2202" t="s">
        <v>269</v>
      </c>
      <c r="D2202" t="s">
        <v>26</v>
      </c>
      <c r="E2202" t="s">
        <v>30</v>
      </c>
      <c r="F2202">
        <v>2037</v>
      </c>
      <c r="G2202">
        <v>15355244.449999999</v>
      </c>
      <c r="H2202">
        <v>15355244.449999999</v>
      </c>
      <c r="I2202">
        <v>1</v>
      </c>
    </row>
    <row r="2203" spans="1:9">
      <c r="A2203" t="s">
        <v>308</v>
      </c>
      <c r="B2203" t="s">
        <v>309</v>
      </c>
      <c r="C2203" t="s">
        <v>269</v>
      </c>
      <c r="D2203" t="s">
        <v>26</v>
      </c>
      <c r="E2203" t="s">
        <v>30</v>
      </c>
      <c r="F2203">
        <v>2038</v>
      </c>
      <c r="G2203">
        <v>16050750.800000001</v>
      </c>
      <c r="H2203">
        <v>16050750.800000001</v>
      </c>
      <c r="I2203">
        <v>1</v>
      </c>
    </row>
    <row r="2204" spans="1:9">
      <c r="A2204" t="s">
        <v>308</v>
      </c>
      <c r="B2204" t="s">
        <v>309</v>
      </c>
      <c r="C2204" t="s">
        <v>269</v>
      </c>
      <c r="D2204" t="s">
        <v>26</v>
      </c>
      <c r="E2204" t="s">
        <v>30</v>
      </c>
      <c r="F2204">
        <v>2039</v>
      </c>
      <c r="G2204">
        <v>16266842.060000001</v>
      </c>
      <c r="H2204">
        <v>16266842.060000001</v>
      </c>
      <c r="I2204">
        <v>1</v>
      </c>
    </row>
    <row r="2205" spans="1:9">
      <c r="A2205" t="s">
        <v>308</v>
      </c>
      <c r="B2205" t="s">
        <v>309</v>
      </c>
      <c r="C2205" t="s">
        <v>269</v>
      </c>
      <c r="D2205" t="s">
        <v>26</v>
      </c>
      <c r="E2205" t="s">
        <v>30</v>
      </c>
      <c r="F2205">
        <v>2040</v>
      </c>
      <c r="G2205">
        <v>16877114.260000002</v>
      </c>
      <c r="H2205">
        <v>16877114.260000002</v>
      </c>
      <c r="I2205">
        <v>1</v>
      </c>
    </row>
    <row r="2206" spans="1:9">
      <c r="A2206" t="s">
        <v>308</v>
      </c>
      <c r="B2206" t="s">
        <v>309</v>
      </c>
      <c r="C2206" t="s">
        <v>269</v>
      </c>
      <c r="D2206" t="s">
        <v>26</v>
      </c>
      <c r="E2206" t="s">
        <v>30</v>
      </c>
      <c r="F2206">
        <v>2041</v>
      </c>
      <c r="G2206">
        <v>17694795.199999999</v>
      </c>
      <c r="H2206">
        <v>17694795.199999999</v>
      </c>
      <c r="I2206">
        <v>1</v>
      </c>
    </row>
    <row r="2207" spans="1:9">
      <c r="A2207" t="s">
        <v>308</v>
      </c>
      <c r="B2207" t="s">
        <v>309</v>
      </c>
      <c r="C2207" t="s">
        <v>269</v>
      </c>
      <c r="D2207" t="s">
        <v>26</v>
      </c>
      <c r="E2207" t="s">
        <v>30</v>
      </c>
      <c r="F2207">
        <v>2042</v>
      </c>
      <c r="G2207">
        <v>17805568.140000001</v>
      </c>
      <c r="H2207">
        <v>17805568.140000001</v>
      </c>
      <c r="I2207">
        <v>1</v>
      </c>
    </row>
    <row r="2208" spans="1:9">
      <c r="A2208" t="s">
        <v>308</v>
      </c>
      <c r="B2208" t="s">
        <v>309</v>
      </c>
      <c r="C2208" t="s">
        <v>269</v>
      </c>
      <c r="D2208" t="s">
        <v>26</v>
      </c>
      <c r="E2208" t="s">
        <v>30</v>
      </c>
      <c r="F2208">
        <v>2043</v>
      </c>
      <c r="G2208">
        <v>18995159.280000001</v>
      </c>
      <c r="H2208">
        <v>18995159.280000001</v>
      </c>
      <c r="I2208">
        <v>1</v>
      </c>
    </row>
    <row r="2209" spans="1:9">
      <c r="A2209" t="s">
        <v>308</v>
      </c>
      <c r="B2209" t="s">
        <v>309</v>
      </c>
      <c r="C2209" t="s">
        <v>269</v>
      </c>
      <c r="D2209" t="s">
        <v>26</v>
      </c>
      <c r="E2209" t="s">
        <v>30</v>
      </c>
      <c r="F2209">
        <v>2044</v>
      </c>
      <c r="G2209">
        <v>18735242.100000001</v>
      </c>
      <c r="H2209">
        <v>18735242.100000001</v>
      </c>
      <c r="I2209">
        <v>1</v>
      </c>
    </row>
    <row r="2210" spans="1:9">
      <c r="A2210" t="s">
        <v>308</v>
      </c>
      <c r="B2210" t="s">
        <v>309</v>
      </c>
      <c r="C2210" t="s">
        <v>269</v>
      </c>
      <c r="D2210" t="s">
        <v>26</v>
      </c>
      <c r="E2210" t="s">
        <v>30</v>
      </c>
      <c r="F2210">
        <v>2045</v>
      </c>
      <c r="G2210">
        <v>20309783.27</v>
      </c>
      <c r="H2210">
        <v>20309783.27</v>
      </c>
      <c r="I2210">
        <v>1</v>
      </c>
    </row>
    <row r="2211" spans="1:9">
      <c r="A2211" t="s">
        <v>308</v>
      </c>
      <c r="B2211" t="s">
        <v>309</v>
      </c>
      <c r="C2211" t="s">
        <v>269</v>
      </c>
      <c r="D2211" t="s">
        <v>26</v>
      </c>
      <c r="E2211" t="s">
        <v>30</v>
      </c>
      <c r="F2211">
        <v>2046</v>
      </c>
      <c r="G2211">
        <v>19768424.449999999</v>
      </c>
      <c r="H2211">
        <v>19768424.449999999</v>
      </c>
      <c r="I2211">
        <v>1</v>
      </c>
    </row>
    <row r="2212" spans="1:9">
      <c r="A2212" t="s">
        <v>308</v>
      </c>
      <c r="B2212" t="s">
        <v>309</v>
      </c>
      <c r="C2212" t="s">
        <v>269</v>
      </c>
      <c r="D2212" t="s">
        <v>26</v>
      </c>
      <c r="E2212" t="s">
        <v>30</v>
      </c>
      <c r="F2212">
        <v>2047</v>
      </c>
      <c r="G2212">
        <v>20823532.579999998</v>
      </c>
      <c r="H2212">
        <v>20823532.579999998</v>
      </c>
      <c r="I2212">
        <v>1</v>
      </c>
    </row>
    <row r="2213" spans="1:9">
      <c r="A2213" t="s">
        <v>308</v>
      </c>
      <c r="B2213" t="s">
        <v>309</v>
      </c>
      <c r="C2213" t="s">
        <v>269</v>
      </c>
      <c r="D2213" t="s">
        <v>26</v>
      </c>
      <c r="E2213" t="s">
        <v>30</v>
      </c>
      <c r="F2213">
        <v>2048</v>
      </c>
      <c r="G2213">
        <v>21016239.530000001</v>
      </c>
      <c r="H2213">
        <v>21016239.530000001</v>
      </c>
      <c r="I2213">
        <v>1</v>
      </c>
    </row>
    <row r="2214" spans="1:9">
      <c r="A2214" t="s">
        <v>308</v>
      </c>
      <c r="B2214" t="s">
        <v>309</v>
      </c>
      <c r="C2214" t="s">
        <v>269</v>
      </c>
      <c r="D2214" t="s">
        <v>26</v>
      </c>
      <c r="E2214" t="s">
        <v>30</v>
      </c>
      <c r="F2214">
        <v>2049</v>
      </c>
      <c r="G2214">
        <v>21860458.489999998</v>
      </c>
      <c r="H2214">
        <v>21860458.489999998</v>
      </c>
      <c r="I2214">
        <v>1</v>
      </c>
    </row>
    <row r="2215" spans="1:9">
      <c r="A2215" t="s">
        <v>308</v>
      </c>
      <c r="B2215" t="s">
        <v>309</v>
      </c>
      <c r="C2215" t="s">
        <v>269</v>
      </c>
      <c r="D2215" t="s">
        <v>26</v>
      </c>
      <c r="E2215" t="s">
        <v>30</v>
      </c>
      <c r="F2215">
        <v>2050</v>
      </c>
      <c r="G2215">
        <v>21766494.620000001</v>
      </c>
      <c r="H2215">
        <v>21766494.620000001</v>
      </c>
      <c r="I2215">
        <v>1</v>
      </c>
    </row>
    <row r="2216" spans="1:9">
      <c r="A2216" t="s">
        <v>308</v>
      </c>
      <c r="B2216" t="s">
        <v>309</v>
      </c>
      <c r="C2216" t="s">
        <v>269</v>
      </c>
      <c r="D2216" t="s">
        <v>307</v>
      </c>
      <c r="E2216" t="s">
        <v>30</v>
      </c>
      <c r="F2216">
        <v>2010</v>
      </c>
      <c r="G2216">
        <v>19665658.920000002</v>
      </c>
      <c r="H2216">
        <v>19665658.920000002</v>
      </c>
      <c r="I2216">
        <v>1</v>
      </c>
    </row>
    <row r="2217" spans="1:9">
      <c r="A2217" t="s">
        <v>308</v>
      </c>
      <c r="B2217" t="s">
        <v>309</v>
      </c>
      <c r="C2217" t="s">
        <v>269</v>
      </c>
      <c r="D2217" t="s">
        <v>307</v>
      </c>
      <c r="E2217" t="s">
        <v>30</v>
      </c>
      <c r="F2217">
        <v>2011</v>
      </c>
      <c r="G2217">
        <v>20893140.16</v>
      </c>
      <c r="H2217">
        <v>20893140.16</v>
      </c>
      <c r="I2217">
        <v>1</v>
      </c>
    </row>
    <row r="2218" spans="1:9">
      <c r="A2218" t="s">
        <v>308</v>
      </c>
      <c r="B2218" t="s">
        <v>309</v>
      </c>
      <c r="C2218" t="s">
        <v>269</v>
      </c>
      <c r="D2218" t="s">
        <v>307</v>
      </c>
      <c r="E2218" t="s">
        <v>30</v>
      </c>
      <c r="F2218">
        <v>2012</v>
      </c>
      <c r="G2218">
        <v>21998999.260000002</v>
      </c>
      <c r="H2218">
        <v>21998999.260000002</v>
      </c>
      <c r="I2218">
        <v>1</v>
      </c>
    </row>
    <row r="2219" spans="1:9">
      <c r="A2219" t="s">
        <v>308</v>
      </c>
      <c r="B2219" t="s">
        <v>309</v>
      </c>
      <c r="C2219" t="s">
        <v>269</v>
      </c>
      <c r="D2219" t="s">
        <v>307</v>
      </c>
      <c r="E2219" t="s">
        <v>30</v>
      </c>
      <c r="F2219">
        <v>2013</v>
      </c>
      <c r="G2219">
        <v>23242197.100000001</v>
      </c>
      <c r="H2219">
        <v>23242197.100000001</v>
      </c>
      <c r="I2219">
        <v>1</v>
      </c>
    </row>
    <row r="2220" spans="1:9">
      <c r="A2220" t="s">
        <v>308</v>
      </c>
      <c r="B2220" t="s">
        <v>309</v>
      </c>
      <c r="C2220" t="s">
        <v>269</v>
      </c>
      <c r="D2220" t="s">
        <v>307</v>
      </c>
      <c r="E2220" t="s">
        <v>30</v>
      </c>
      <c r="F2220">
        <v>2014</v>
      </c>
      <c r="G2220">
        <v>24351895.93</v>
      </c>
      <c r="H2220">
        <v>24351895.93</v>
      </c>
      <c r="I2220">
        <v>1</v>
      </c>
    </row>
    <row r="2221" spans="1:9">
      <c r="A2221" t="s">
        <v>308</v>
      </c>
      <c r="B2221" t="s">
        <v>309</v>
      </c>
      <c r="C2221" t="s">
        <v>269</v>
      </c>
      <c r="D2221" t="s">
        <v>307</v>
      </c>
      <c r="E2221" t="s">
        <v>30</v>
      </c>
      <c r="F2221">
        <v>2015</v>
      </c>
      <c r="G2221">
        <v>25409787.719999999</v>
      </c>
      <c r="H2221">
        <v>25409787.719999999</v>
      </c>
      <c r="I2221">
        <v>1</v>
      </c>
    </row>
    <row r="2222" spans="1:9">
      <c r="A2222" t="s">
        <v>308</v>
      </c>
      <c r="B2222" t="s">
        <v>309</v>
      </c>
      <c r="C2222" t="s">
        <v>269</v>
      </c>
      <c r="D2222" t="s">
        <v>307</v>
      </c>
      <c r="E2222" t="s">
        <v>30</v>
      </c>
      <c r="F2222">
        <v>2016</v>
      </c>
      <c r="G2222">
        <v>26507939.879999999</v>
      </c>
      <c r="H2222">
        <v>26507939.879999999</v>
      </c>
      <c r="I2222">
        <v>1</v>
      </c>
    </row>
    <row r="2223" spans="1:9">
      <c r="A2223" t="s">
        <v>308</v>
      </c>
      <c r="B2223" t="s">
        <v>309</v>
      </c>
      <c r="C2223" t="s">
        <v>269</v>
      </c>
      <c r="D2223" t="s">
        <v>307</v>
      </c>
      <c r="E2223" t="s">
        <v>30</v>
      </c>
      <c r="F2223">
        <v>2017</v>
      </c>
      <c r="G2223">
        <v>27749511.199999999</v>
      </c>
      <c r="H2223">
        <v>27749511.199999999</v>
      </c>
      <c r="I2223">
        <v>1</v>
      </c>
    </row>
    <row r="2224" spans="1:9">
      <c r="A2224" t="s">
        <v>308</v>
      </c>
      <c r="B2224" t="s">
        <v>309</v>
      </c>
      <c r="C2224" t="s">
        <v>269</v>
      </c>
      <c r="D2224" t="s">
        <v>307</v>
      </c>
      <c r="E2224" t="s">
        <v>30</v>
      </c>
      <c r="F2224">
        <v>2018</v>
      </c>
      <c r="G2224">
        <v>28984327.780000001</v>
      </c>
      <c r="H2224">
        <v>28984327.780000001</v>
      </c>
      <c r="I2224">
        <v>1</v>
      </c>
    </row>
    <row r="2225" spans="1:9">
      <c r="A2225" t="s">
        <v>308</v>
      </c>
      <c r="B2225" t="s">
        <v>309</v>
      </c>
      <c r="C2225" t="s">
        <v>269</v>
      </c>
      <c r="D2225" t="s">
        <v>307</v>
      </c>
      <c r="E2225" t="s">
        <v>30</v>
      </c>
      <c r="F2225">
        <v>2019</v>
      </c>
      <c r="G2225">
        <v>30261855.120000001</v>
      </c>
      <c r="H2225">
        <v>30261855.120000001</v>
      </c>
      <c r="I2225">
        <v>1</v>
      </c>
    </row>
    <row r="2226" spans="1:9">
      <c r="A2226" t="s">
        <v>308</v>
      </c>
      <c r="B2226" t="s">
        <v>309</v>
      </c>
      <c r="C2226" t="s">
        <v>269</v>
      </c>
      <c r="D2226" t="s">
        <v>307</v>
      </c>
      <c r="E2226" t="s">
        <v>30</v>
      </c>
      <c r="F2226">
        <v>2020</v>
      </c>
      <c r="G2226">
        <v>31073436.399999999</v>
      </c>
      <c r="H2226">
        <v>31073436.399999999</v>
      </c>
      <c r="I2226">
        <v>1</v>
      </c>
    </row>
    <row r="2227" spans="1:9">
      <c r="A2227" t="s">
        <v>308</v>
      </c>
      <c r="B2227" t="s">
        <v>309</v>
      </c>
      <c r="C2227" t="s">
        <v>269</v>
      </c>
      <c r="D2227" t="s">
        <v>307</v>
      </c>
      <c r="E2227" t="s">
        <v>30</v>
      </c>
      <c r="F2227">
        <v>2021</v>
      </c>
      <c r="G2227">
        <v>32362796.539999999</v>
      </c>
      <c r="H2227">
        <v>32362796.539999999</v>
      </c>
      <c r="I2227">
        <v>1</v>
      </c>
    </row>
    <row r="2228" spans="1:9">
      <c r="A2228" t="s">
        <v>308</v>
      </c>
      <c r="B2228" t="s">
        <v>309</v>
      </c>
      <c r="C2228" t="s">
        <v>269</v>
      </c>
      <c r="D2228" t="s">
        <v>307</v>
      </c>
      <c r="E2228" t="s">
        <v>30</v>
      </c>
      <c r="F2228">
        <v>2022</v>
      </c>
      <c r="G2228">
        <v>33452620.219999999</v>
      </c>
      <c r="H2228">
        <v>33452620.219999999</v>
      </c>
      <c r="I2228">
        <v>1</v>
      </c>
    </row>
    <row r="2229" spans="1:9">
      <c r="A2229" t="s">
        <v>308</v>
      </c>
      <c r="B2229" t="s">
        <v>309</v>
      </c>
      <c r="C2229" t="s">
        <v>269</v>
      </c>
      <c r="D2229" t="s">
        <v>307</v>
      </c>
      <c r="E2229" t="s">
        <v>30</v>
      </c>
      <c r="F2229">
        <v>2023</v>
      </c>
      <c r="G2229">
        <v>34569962.780000001</v>
      </c>
      <c r="H2229">
        <v>34569962.780000001</v>
      </c>
      <c r="I2229">
        <v>1</v>
      </c>
    </row>
    <row r="2230" spans="1:9">
      <c r="A2230" t="s">
        <v>308</v>
      </c>
      <c r="B2230" t="s">
        <v>309</v>
      </c>
      <c r="C2230" t="s">
        <v>269</v>
      </c>
      <c r="D2230" t="s">
        <v>307</v>
      </c>
      <c r="E2230" t="s">
        <v>30</v>
      </c>
      <c r="F2230">
        <v>2024</v>
      </c>
      <c r="G2230">
        <v>35589220.130000003</v>
      </c>
      <c r="H2230">
        <v>35589220.130000003</v>
      </c>
      <c r="I2230">
        <v>1</v>
      </c>
    </row>
    <row r="2231" spans="1:9">
      <c r="A2231" t="s">
        <v>308</v>
      </c>
      <c r="B2231" t="s">
        <v>309</v>
      </c>
      <c r="C2231" t="s">
        <v>269</v>
      </c>
      <c r="D2231" t="s">
        <v>307</v>
      </c>
      <c r="E2231" t="s">
        <v>30</v>
      </c>
      <c r="F2231">
        <v>2025</v>
      </c>
      <c r="G2231">
        <v>36762085.210000001</v>
      </c>
      <c r="H2231">
        <v>36762085.210000001</v>
      </c>
      <c r="I2231">
        <v>1</v>
      </c>
    </row>
    <row r="2232" spans="1:9">
      <c r="A2232" t="s">
        <v>308</v>
      </c>
      <c r="B2232" t="s">
        <v>309</v>
      </c>
      <c r="C2232" t="s">
        <v>269</v>
      </c>
      <c r="D2232" t="s">
        <v>307</v>
      </c>
      <c r="E2232" t="s">
        <v>30</v>
      </c>
      <c r="F2232">
        <v>2026</v>
      </c>
      <c r="G2232">
        <v>38234732.670000002</v>
      </c>
      <c r="H2232">
        <v>38234732.670000002</v>
      </c>
      <c r="I2232">
        <v>1</v>
      </c>
    </row>
    <row r="2233" spans="1:9">
      <c r="A2233" t="s">
        <v>308</v>
      </c>
      <c r="B2233" t="s">
        <v>309</v>
      </c>
      <c r="C2233" t="s">
        <v>269</v>
      </c>
      <c r="D2233" t="s">
        <v>307</v>
      </c>
      <c r="E2233" t="s">
        <v>30</v>
      </c>
      <c r="F2233">
        <v>2027</v>
      </c>
      <c r="G2233">
        <v>39337973.840000004</v>
      </c>
      <c r="H2233">
        <v>39337973.840000004</v>
      </c>
      <c r="I2233">
        <v>1</v>
      </c>
    </row>
    <row r="2234" spans="1:9">
      <c r="A2234" t="s">
        <v>308</v>
      </c>
      <c r="B2234" t="s">
        <v>309</v>
      </c>
      <c r="C2234" t="s">
        <v>269</v>
      </c>
      <c r="D2234" t="s">
        <v>307</v>
      </c>
      <c r="E2234" t="s">
        <v>30</v>
      </c>
      <c r="F2234">
        <v>2028</v>
      </c>
      <c r="G2234">
        <v>40322064.869999997</v>
      </c>
      <c r="H2234">
        <v>40322064.869999997</v>
      </c>
      <c r="I2234">
        <v>1</v>
      </c>
    </row>
    <row r="2235" spans="1:9">
      <c r="A2235" t="s">
        <v>308</v>
      </c>
      <c r="B2235" t="s">
        <v>309</v>
      </c>
      <c r="C2235" t="s">
        <v>269</v>
      </c>
      <c r="D2235" t="s">
        <v>307</v>
      </c>
      <c r="E2235" t="s">
        <v>30</v>
      </c>
      <c r="F2235">
        <v>2029</v>
      </c>
      <c r="G2235">
        <v>41614685.859999999</v>
      </c>
      <c r="H2235">
        <v>41614685.859999999</v>
      </c>
      <c r="I2235">
        <v>1</v>
      </c>
    </row>
    <row r="2236" spans="1:9">
      <c r="A2236" t="s">
        <v>308</v>
      </c>
      <c r="B2236" t="s">
        <v>309</v>
      </c>
      <c r="C2236" t="s">
        <v>269</v>
      </c>
      <c r="D2236" t="s">
        <v>307</v>
      </c>
      <c r="E2236" t="s">
        <v>30</v>
      </c>
      <c r="F2236">
        <v>2030</v>
      </c>
      <c r="G2236">
        <v>42637825.799999997</v>
      </c>
      <c r="H2236">
        <v>42637825.799999997</v>
      </c>
      <c r="I2236">
        <v>1</v>
      </c>
    </row>
    <row r="2237" spans="1:9">
      <c r="A2237" t="s">
        <v>308</v>
      </c>
      <c r="B2237" t="s">
        <v>309</v>
      </c>
      <c r="C2237" t="s">
        <v>269</v>
      </c>
      <c r="D2237" t="s">
        <v>307</v>
      </c>
      <c r="E2237" t="s">
        <v>30</v>
      </c>
      <c r="F2237">
        <v>2031</v>
      </c>
      <c r="G2237">
        <v>44140857.740000002</v>
      </c>
      <c r="H2237">
        <v>44140857.740000002</v>
      </c>
      <c r="I2237">
        <v>1</v>
      </c>
    </row>
    <row r="2238" spans="1:9">
      <c r="A2238" t="s">
        <v>308</v>
      </c>
      <c r="B2238" t="s">
        <v>309</v>
      </c>
      <c r="C2238" t="s">
        <v>269</v>
      </c>
      <c r="D2238" t="s">
        <v>307</v>
      </c>
      <c r="E2238" t="s">
        <v>30</v>
      </c>
      <c r="F2238">
        <v>2032</v>
      </c>
      <c r="G2238">
        <v>45684455.770000003</v>
      </c>
      <c r="H2238">
        <v>45684455.770000003</v>
      </c>
      <c r="I2238">
        <v>1</v>
      </c>
    </row>
    <row r="2239" spans="1:9">
      <c r="A2239" t="s">
        <v>308</v>
      </c>
      <c r="B2239" t="s">
        <v>309</v>
      </c>
      <c r="C2239" t="s">
        <v>269</v>
      </c>
      <c r="D2239" t="s">
        <v>307</v>
      </c>
      <c r="E2239" t="s">
        <v>30</v>
      </c>
      <c r="F2239">
        <v>2033</v>
      </c>
      <c r="G2239">
        <v>46777884.75</v>
      </c>
      <c r="H2239">
        <v>46777884.75</v>
      </c>
      <c r="I2239">
        <v>1</v>
      </c>
    </row>
    <row r="2240" spans="1:9">
      <c r="A2240" t="s">
        <v>308</v>
      </c>
      <c r="B2240" t="s">
        <v>309</v>
      </c>
      <c r="C2240" t="s">
        <v>269</v>
      </c>
      <c r="D2240" t="s">
        <v>307</v>
      </c>
      <c r="E2240" t="s">
        <v>30</v>
      </c>
      <c r="F2240">
        <v>2034</v>
      </c>
      <c r="G2240">
        <v>47716815.840000004</v>
      </c>
      <c r="H2240">
        <v>47716815.840000004</v>
      </c>
      <c r="I2240">
        <v>1</v>
      </c>
    </row>
    <row r="2241" spans="1:9">
      <c r="A2241" t="s">
        <v>308</v>
      </c>
      <c r="B2241" t="s">
        <v>309</v>
      </c>
      <c r="C2241" t="s">
        <v>269</v>
      </c>
      <c r="D2241" t="s">
        <v>307</v>
      </c>
      <c r="E2241" t="s">
        <v>30</v>
      </c>
      <c r="F2241">
        <v>2035</v>
      </c>
      <c r="G2241">
        <v>48831863.890000001</v>
      </c>
      <c r="H2241">
        <v>48831863.890000001</v>
      </c>
      <c r="I2241">
        <v>1</v>
      </c>
    </row>
    <row r="2242" spans="1:9">
      <c r="A2242" t="s">
        <v>308</v>
      </c>
      <c r="B2242" t="s">
        <v>309</v>
      </c>
      <c r="C2242" t="s">
        <v>269</v>
      </c>
      <c r="D2242" t="s">
        <v>307</v>
      </c>
      <c r="E2242" t="s">
        <v>30</v>
      </c>
      <c r="F2242">
        <v>2036</v>
      </c>
      <c r="G2242">
        <v>50136011.939999998</v>
      </c>
      <c r="H2242">
        <v>50136011.939999998</v>
      </c>
      <c r="I2242">
        <v>1</v>
      </c>
    </row>
    <row r="2243" spans="1:9">
      <c r="A2243" t="s">
        <v>308</v>
      </c>
      <c r="B2243" t="s">
        <v>309</v>
      </c>
      <c r="C2243" t="s">
        <v>269</v>
      </c>
      <c r="D2243" t="s">
        <v>307</v>
      </c>
      <c r="E2243" t="s">
        <v>30</v>
      </c>
      <c r="F2243">
        <v>2037</v>
      </c>
      <c r="G2243">
        <v>51279086.479999997</v>
      </c>
      <c r="H2243">
        <v>51279086.479999997</v>
      </c>
      <c r="I2243">
        <v>1</v>
      </c>
    </row>
    <row r="2244" spans="1:9">
      <c r="A2244" t="s">
        <v>308</v>
      </c>
      <c r="B2244" t="s">
        <v>309</v>
      </c>
      <c r="C2244" t="s">
        <v>269</v>
      </c>
      <c r="D2244" t="s">
        <v>307</v>
      </c>
      <c r="E2244" t="s">
        <v>30</v>
      </c>
      <c r="F2244">
        <v>2038</v>
      </c>
      <c r="G2244">
        <v>52619502.25</v>
      </c>
      <c r="H2244">
        <v>52619502.25</v>
      </c>
      <c r="I2244">
        <v>1</v>
      </c>
    </row>
    <row r="2245" spans="1:9">
      <c r="A2245" t="s">
        <v>308</v>
      </c>
      <c r="B2245" t="s">
        <v>309</v>
      </c>
      <c r="C2245" t="s">
        <v>269</v>
      </c>
      <c r="D2245" t="s">
        <v>307</v>
      </c>
      <c r="E2245" t="s">
        <v>30</v>
      </c>
      <c r="F2245">
        <v>2039</v>
      </c>
      <c r="G2245">
        <v>53405269.789999999</v>
      </c>
      <c r="H2245">
        <v>53405269.789999999</v>
      </c>
      <c r="I2245">
        <v>1</v>
      </c>
    </row>
    <row r="2246" spans="1:9">
      <c r="A2246" t="s">
        <v>308</v>
      </c>
      <c r="B2246" t="s">
        <v>309</v>
      </c>
      <c r="C2246" t="s">
        <v>269</v>
      </c>
      <c r="D2246" t="s">
        <v>307</v>
      </c>
      <c r="E2246" t="s">
        <v>30</v>
      </c>
      <c r="F2246">
        <v>2040</v>
      </c>
      <c r="G2246">
        <v>54180768.539999999</v>
      </c>
      <c r="H2246">
        <v>54180768.539999999</v>
      </c>
      <c r="I2246">
        <v>1</v>
      </c>
    </row>
    <row r="2247" spans="1:9">
      <c r="A2247" t="s">
        <v>308</v>
      </c>
      <c r="B2247" t="s">
        <v>309</v>
      </c>
      <c r="C2247" t="s">
        <v>269</v>
      </c>
      <c r="D2247" t="s">
        <v>307</v>
      </c>
      <c r="E2247" t="s">
        <v>30</v>
      </c>
      <c r="F2247">
        <v>2041</v>
      </c>
      <c r="G2247">
        <v>55649428.149999999</v>
      </c>
      <c r="H2247">
        <v>55649428.149999999</v>
      </c>
      <c r="I2247">
        <v>1</v>
      </c>
    </row>
    <row r="2248" spans="1:9">
      <c r="A2248" t="s">
        <v>308</v>
      </c>
      <c r="B2248" t="s">
        <v>309</v>
      </c>
      <c r="C2248" t="s">
        <v>269</v>
      </c>
      <c r="D2248" t="s">
        <v>307</v>
      </c>
      <c r="E2248" t="s">
        <v>30</v>
      </c>
      <c r="F2248">
        <v>2042</v>
      </c>
      <c r="G2248">
        <v>56315806.579999998</v>
      </c>
      <c r="H2248">
        <v>56315806.579999998</v>
      </c>
      <c r="I2248">
        <v>1</v>
      </c>
    </row>
    <row r="2249" spans="1:9">
      <c r="A2249" t="s">
        <v>308</v>
      </c>
      <c r="B2249" t="s">
        <v>309</v>
      </c>
      <c r="C2249" t="s">
        <v>269</v>
      </c>
      <c r="D2249" t="s">
        <v>307</v>
      </c>
      <c r="E2249" t="s">
        <v>30</v>
      </c>
      <c r="F2249">
        <v>2043</v>
      </c>
      <c r="G2249">
        <v>57280887.670000002</v>
      </c>
      <c r="H2249">
        <v>57280887.670000002</v>
      </c>
      <c r="I2249">
        <v>1</v>
      </c>
    </row>
    <row r="2250" spans="1:9">
      <c r="A2250" t="s">
        <v>308</v>
      </c>
      <c r="B2250" t="s">
        <v>309</v>
      </c>
      <c r="C2250" t="s">
        <v>269</v>
      </c>
      <c r="D2250" t="s">
        <v>307</v>
      </c>
      <c r="E2250" t="s">
        <v>30</v>
      </c>
      <c r="F2250">
        <v>2044</v>
      </c>
      <c r="G2250">
        <v>58674734.710000001</v>
      </c>
      <c r="H2250">
        <v>58674734.710000001</v>
      </c>
      <c r="I2250">
        <v>1</v>
      </c>
    </row>
    <row r="2251" spans="1:9">
      <c r="A2251" t="s">
        <v>308</v>
      </c>
      <c r="B2251" t="s">
        <v>309</v>
      </c>
      <c r="C2251" t="s">
        <v>269</v>
      </c>
      <c r="D2251" t="s">
        <v>307</v>
      </c>
      <c r="E2251" t="s">
        <v>30</v>
      </c>
      <c r="F2251">
        <v>2045</v>
      </c>
      <c r="G2251">
        <v>59640781.079999998</v>
      </c>
      <c r="H2251">
        <v>59640781.079999998</v>
      </c>
      <c r="I2251">
        <v>1</v>
      </c>
    </row>
    <row r="2252" spans="1:9">
      <c r="A2252" t="s">
        <v>308</v>
      </c>
      <c r="B2252" t="s">
        <v>309</v>
      </c>
      <c r="C2252" t="s">
        <v>269</v>
      </c>
      <c r="D2252" t="s">
        <v>307</v>
      </c>
      <c r="E2252" t="s">
        <v>30</v>
      </c>
      <c r="F2252">
        <v>2046</v>
      </c>
      <c r="G2252">
        <v>60373970.469999999</v>
      </c>
      <c r="H2252">
        <v>60373970.469999999</v>
      </c>
      <c r="I2252">
        <v>1</v>
      </c>
    </row>
    <row r="2253" spans="1:9">
      <c r="A2253" t="s">
        <v>308</v>
      </c>
      <c r="B2253" t="s">
        <v>309</v>
      </c>
      <c r="C2253" t="s">
        <v>269</v>
      </c>
      <c r="D2253" t="s">
        <v>307</v>
      </c>
      <c r="E2253" t="s">
        <v>30</v>
      </c>
      <c r="F2253">
        <v>2047</v>
      </c>
      <c r="G2253">
        <v>61090078.630000003</v>
      </c>
      <c r="H2253">
        <v>61090078.630000003</v>
      </c>
      <c r="I2253">
        <v>1</v>
      </c>
    </row>
    <row r="2254" spans="1:9">
      <c r="A2254" t="s">
        <v>308</v>
      </c>
      <c r="B2254" t="s">
        <v>309</v>
      </c>
      <c r="C2254" t="s">
        <v>269</v>
      </c>
      <c r="D2254" t="s">
        <v>307</v>
      </c>
      <c r="E2254" t="s">
        <v>30</v>
      </c>
      <c r="F2254">
        <v>2048</v>
      </c>
      <c r="G2254">
        <v>61313269.140000001</v>
      </c>
      <c r="H2254">
        <v>61313269.140000001</v>
      </c>
      <c r="I2254">
        <v>1</v>
      </c>
    </row>
    <row r="2255" spans="1:9">
      <c r="A2255" t="s">
        <v>308</v>
      </c>
      <c r="B2255" t="s">
        <v>309</v>
      </c>
      <c r="C2255" t="s">
        <v>269</v>
      </c>
      <c r="D2255" t="s">
        <v>307</v>
      </c>
      <c r="E2255" t="s">
        <v>30</v>
      </c>
      <c r="F2255">
        <v>2049</v>
      </c>
      <c r="G2255">
        <v>62712081.409999996</v>
      </c>
      <c r="H2255">
        <v>62712081.409999996</v>
      </c>
      <c r="I2255">
        <v>1</v>
      </c>
    </row>
    <row r="2256" spans="1:9">
      <c r="A2256" t="s">
        <v>308</v>
      </c>
      <c r="B2256" t="s">
        <v>309</v>
      </c>
      <c r="C2256" t="s">
        <v>269</v>
      </c>
      <c r="D2256" t="s">
        <v>307</v>
      </c>
      <c r="E2256" t="s">
        <v>30</v>
      </c>
      <c r="F2256">
        <v>2050</v>
      </c>
      <c r="G2256">
        <v>62633823.289999999</v>
      </c>
      <c r="H2256">
        <v>62633823.289999999</v>
      </c>
      <c r="I2256">
        <v>1</v>
      </c>
    </row>
    <row r="2257" spans="1:9">
      <c r="A2257" t="s">
        <v>308</v>
      </c>
      <c r="B2257" t="s">
        <v>309</v>
      </c>
      <c r="C2257" t="s">
        <v>269</v>
      </c>
      <c r="D2257" t="s">
        <v>25</v>
      </c>
      <c r="E2257" t="s">
        <v>46</v>
      </c>
      <c r="F2257">
        <v>2010</v>
      </c>
      <c r="G2257">
        <v>3976.3541249999998</v>
      </c>
      <c r="H2257">
        <v>3976.3541249999998</v>
      </c>
      <c r="I2257">
        <v>1</v>
      </c>
    </row>
    <row r="2258" spans="1:9">
      <c r="A2258" t="s">
        <v>308</v>
      </c>
      <c r="B2258" t="s">
        <v>309</v>
      </c>
      <c r="C2258" t="s">
        <v>269</v>
      </c>
      <c r="D2258" t="s">
        <v>25</v>
      </c>
      <c r="E2258" t="s">
        <v>46</v>
      </c>
      <c r="F2258">
        <v>2011</v>
      </c>
      <c r="G2258">
        <v>4203.2274550000002</v>
      </c>
      <c r="H2258">
        <v>4203.2274550000002</v>
      </c>
      <c r="I2258">
        <v>1</v>
      </c>
    </row>
    <row r="2259" spans="1:9">
      <c r="A2259" t="s">
        <v>308</v>
      </c>
      <c r="B2259" t="s">
        <v>309</v>
      </c>
      <c r="C2259" t="s">
        <v>269</v>
      </c>
      <c r="D2259" t="s">
        <v>25</v>
      </c>
      <c r="E2259" t="s">
        <v>46</v>
      </c>
      <c r="F2259">
        <v>2012</v>
      </c>
      <c r="G2259">
        <v>4441.5058300000001</v>
      </c>
      <c r="H2259">
        <v>4441.5058300000001</v>
      </c>
      <c r="I2259">
        <v>1</v>
      </c>
    </row>
    <row r="2260" spans="1:9">
      <c r="A2260" t="s">
        <v>308</v>
      </c>
      <c r="B2260" t="s">
        <v>309</v>
      </c>
      <c r="C2260" t="s">
        <v>269</v>
      </c>
      <c r="D2260" t="s">
        <v>25</v>
      </c>
      <c r="E2260" t="s">
        <v>46</v>
      </c>
      <c r="F2260">
        <v>2013</v>
      </c>
      <c r="G2260">
        <v>9382.5515450000003</v>
      </c>
      <c r="H2260">
        <v>9382.5515450000003</v>
      </c>
      <c r="I2260">
        <v>1</v>
      </c>
    </row>
    <row r="2261" spans="1:9">
      <c r="A2261" t="s">
        <v>308</v>
      </c>
      <c r="B2261" t="s">
        <v>309</v>
      </c>
      <c r="C2261" t="s">
        <v>269</v>
      </c>
      <c r="D2261" t="s">
        <v>25</v>
      </c>
      <c r="E2261" t="s">
        <v>46</v>
      </c>
      <c r="F2261">
        <v>2014</v>
      </c>
      <c r="G2261">
        <v>9905.7949769999996</v>
      </c>
      <c r="H2261">
        <v>9905.7949769999996</v>
      </c>
      <c r="I2261">
        <v>1</v>
      </c>
    </row>
    <row r="2262" spans="1:9">
      <c r="A2262" t="s">
        <v>308</v>
      </c>
      <c r="B2262" t="s">
        <v>309</v>
      </c>
      <c r="C2262" t="s">
        <v>269</v>
      </c>
      <c r="D2262" t="s">
        <v>25</v>
      </c>
      <c r="E2262" t="s">
        <v>46</v>
      </c>
      <c r="F2262">
        <v>2015</v>
      </c>
      <c r="G2262">
        <v>10453.426160000001</v>
      </c>
      <c r="H2262">
        <v>10453.426160000001</v>
      </c>
      <c r="I2262">
        <v>1</v>
      </c>
    </row>
    <row r="2263" spans="1:9">
      <c r="A2263" t="s">
        <v>308</v>
      </c>
      <c r="B2263" t="s">
        <v>309</v>
      </c>
      <c r="C2263" t="s">
        <v>269</v>
      </c>
      <c r="D2263" t="s">
        <v>25</v>
      </c>
      <c r="E2263" t="s">
        <v>46</v>
      </c>
      <c r="F2263">
        <v>2016</v>
      </c>
      <c r="G2263">
        <v>11026.085730000001</v>
      </c>
      <c r="H2263">
        <v>11026.085730000001</v>
      </c>
      <c r="I2263">
        <v>1</v>
      </c>
    </row>
    <row r="2264" spans="1:9">
      <c r="A2264" t="s">
        <v>308</v>
      </c>
      <c r="B2264" t="s">
        <v>309</v>
      </c>
      <c r="C2264" t="s">
        <v>269</v>
      </c>
      <c r="D2264" t="s">
        <v>25</v>
      </c>
      <c r="E2264" t="s">
        <v>46</v>
      </c>
      <c r="F2264">
        <v>2017</v>
      </c>
      <c r="G2264">
        <v>11624.008089999999</v>
      </c>
      <c r="H2264">
        <v>11624.008089999999</v>
      </c>
      <c r="I2264">
        <v>1</v>
      </c>
    </row>
    <row r="2265" spans="1:9">
      <c r="A2265" t="s">
        <v>308</v>
      </c>
      <c r="B2265" t="s">
        <v>309</v>
      </c>
      <c r="C2265" t="s">
        <v>269</v>
      </c>
      <c r="D2265" t="s">
        <v>25</v>
      </c>
      <c r="E2265" t="s">
        <v>46</v>
      </c>
      <c r="F2265">
        <v>2018</v>
      </c>
      <c r="G2265">
        <v>12247.288979999999</v>
      </c>
      <c r="H2265">
        <v>12247.288979999999</v>
      </c>
      <c r="I2265">
        <v>1</v>
      </c>
    </row>
    <row r="2266" spans="1:9">
      <c r="A2266" t="s">
        <v>308</v>
      </c>
      <c r="B2266" t="s">
        <v>309</v>
      </c>
      <c r="C2266" t="s">
        <v>269</v>
      </c>
      <c r="D2266" t="s">
        <v>25</v>
      </c>
      <c r="E2266" t="s">
        <v>46</v>
      </c>
      <c r="F2266">
        <v>2019</v>
      </c>
      <c r="G2266">
        <v>12895.80811</v>
      </c>
      <c r="H2266">
        <v>12895.80811</v>
      </c>
      <c r="I2266">
        <v>1</v>
      </c>
    </row>
    <row r="2267" spans="1:9">
      <c r="A2267" t="s">
        <v>308</v>
      </c>
      <c r="B2267" t="s">
        <v>309</v>
      </c>
      <c r="C2267" t="s">
        <v>269</v>
      </c>
      <c r="D2267" t="s">
        <v>25</v>
      </c>
      <c r="E2267" t="s">
        <v>46</v>
      </c>
      <c r="F2267">
        <v>2020</v>
      </c>
      <c r="G2267">
        <v>13569.55752</v>
      </c>
      <c r="H2267">
        <v>13569.55752</v>
      </c>
      <c r="I2267">
        <v>1</v>
      </c>
    </row>
    <row r="2268" spans="1:9">
      <c r="A2268" t="s">
        <v>308</v>
      </c>
      <c r="B2268" t="s">
        <v>309</v>
      </c>
      <c r="C2268" t="s">
        <v>269</v>
      </c>
      <c r="D2268" t="s">
        <v>25</v>
      </c>
      <c r="E2268" t="s">
        <v>46</v>
      </c>
      <c r="F2268">
        <v>2021</v>
      </c>
      <c r="G2268">
        <v>14268.72682</v>
      </c>
      <c r="H2268">
        <v>14268.72682</v>
      </c>
      <c r="I2268">
        <v>1</v>
      </c>
    </row>
    <row r="2269" spans="1:9">
      <c r="A2269" t="s">
        <v>308</v>
      </c>
      <c r="B2269" t="s">
        <v>309</v>
      </c>
      <c r="C2269" t="s">
        <v>269</v>
      </c>
      <c r="D2269" t="s">
        <v>25</v>
      </c>
      <c r="E2269" t="s">
        <v>46</v>
      </c>
      <c r="F2269">
        <v>2022</v>
      </c>
      <c r="G2269">
        <v>14993.825930000001</v>
      </c>
      <c r="H2269">
        <v>14993.825930000001</v>
      </c>
      <c r="I2269">
        <v>1</v>
      </c>
    </row>
    <row r="2270" spans="1:9">
      <c r="A2270" t="s">
        <v>308</v>
      </c>
      <c r="B2270" t="s">
        <v>309</v>
      </c>
      <c r="C2270" t="s">
        <v>269</v>
      </c>
      <c r="D2270" t="s">
        <v>25</v>
      </c>
      <c r="E2270" t="s">
        <v>46</v>
      </c>
      <c r="F2270">
        <v>2023</v>
      </c>
      <c r="G2270">
        <v>15745.536609999999</v>
      </c>
      <c r="H2270">
        <v>15745.536609999999</v>
      </c>
      <c r="I2270">
        <v>1</v>
      </c>
    </row>
    <row r="2271" spans="1:9">
      <c r="A2271" t="s">
        <v>308</v>
      </c>
      <c r="B2271" t="s">
        <v>309</v>
      </c>
      <c r="C2271" t="s">
        <v>269</v>
      </c>
      <c r="D2271" t="s">
        <v>25</v>
      </c>
      <c r="E2271" t="s">
        <v>46</v>
      </c>
      <c r="F2271">
        <v>2024</v>
      </c>
      <c r="G2271">
        <v>16524.732680000001</v>
      </c>
      <c r="H2271">
        <v>16524.732680000001</v>
      </c>
      <c r="I2271">
        <v>1</v>
      </c>
    </row>
    <row r="2272" spans="1:9">
      <c r="A2272" t="s">
        <v>308</v>
      </c>
      <c r="B2272" t="s">
        <v>309</v>
      </c>
      <c r="C2272" t="s">
        <v>269</v>
      </c>
      <c r="D2272" t="s">
        <v>25</v>
      </c>
      <c r="E2272" t="s">
        <v>46</v>
      </c>
      <c r="F2272">
        <v>2025</v>
      </c>
      <c r="G2272">
        <v>17332.151109999999</v>
      </c>
      <c r="H2272">
        <v>17332.151109999999</v>
      </c>
      <c r="I2272">
        <v>1</v>
      </c>
    </row>
    <row r="2273" spans="1:9">
      <c r="A2273" t="s">
        <v>308</v>
      </c>
      <c r="B2273" t="s">
        <v>309</v>
      </c>
      <c r="C2273" t="s">
        <v>269</v>
      </c>
      <c r="D2273" t="s">
        <v>25</v>
      </c>
      <c r="E2273" t="s">
        <v>46</v>
      </c>
      <c r="F2273">
        <v>2026</v>
      </c>
      <c r="G2273">
        <v>18168.126950000002</v>
      </c>
      <c r="H2273">
        <v>18168.126950000002</v>
      </c>
      <c r="I2273">
        <v>1</v>
      </c>
    </row>
    <row r="2274" spans="1:9">
      <c r="A2274" t="s">
        <v>308</v>
      </c>
      <c r="B2274" t="s">
        <v>309</v>
      </c>
      <c r="C2274" t="s">
        <v>269</v>
      </c>
      <c r="D2274" t="s">
        <v>25</v>
      </c>
      <c r="E2274" t="s">
        <v>46</v>
      </c>
      <c r="F2274">
        <v>2027</v>
      </c>
      <c r="G2274">
        <v>28549.213059999998</v>
      </c>
      <c r="H2274">
        <v>28549.213059999998</v>
      </c>
      <c r="I2274">
        <v>1</v>
      </c>
    </row>
    <row r="2275" spans="1:9">
      <c r="A2275" t="s">
        <v>308</v>
      </c>
      <c r="B2275" t="s">
        <v>309</v>
      </c>
      <c r="C2275" t="s">
        <v>269</v>
      </c>
      <c r="D2275" t="s">
        <v>25</v>
      </c>
      <c r="E2275" t="s">
        <v>46</v>
      </c>
      <c r="F2275">
        <v>2028</v>
      </c>
      <c r="G2275">
        <v>29889.764899999998</v>
      </c>
      <c r="H2275">
        <v>29889.764899999998</v>
      </c>
      <c r="I2275">
        <v>1</v>
      </c>
    </row>
    <row r="2276" spans="1:9">
      <c r="A2276" t="s">
        <v>308</v>
      </c>
      <c r="B2276" t="s">
        <v>309</v>
      </c>
      <c r="C2276" t="s">
        <v>269</v>
      </c>
      <c r="D2276" t="s">
        <v>25</v>
      </c>
      <c r="E2276" t="s">
        <v>46</v>
      </c>
      <c r="F2276">
        <v>2029</v>
      </c>
      <c r="G2276">
        <v>31274.245429999999</v>
      </c>
      <c r="H2276">
        <v>31274.245429999999</v>
      </c>
      <c r="I2276">
        <v>1</v>
      </c>
    </row>
    <row r="2277" spans="1:9">
      <c r="A2277" t="s">
        <v>308</v>
      </c>
      <c r="B2277" t="s">
        <v>309</v>
      </c>
      <c r="C2277" t="s">
        <v>269</v>
      </c>
      <c r="D2277" t="s">
        <v>25</v>
      </c>
      <c r="E2277" t="s">
        <v>46</v>
      </c>
      <c r="F2277">
        <v>2030</v>
      </c>
      <c r="G2277">
        <v>32702.881089999999</v>
      </c>
      <c r="H2277">
        <v>32702.881089999999</v>
      </c>
      <c r="I2277">
        <v>1</v>
      </c>
    </row>
    <row r="2278" spans="1:9">
      <c r="A2278" t="s">
        <v>308</v>
      </c>
      <c r="B2278" t="s">
        <v>309</v>
      </c>
      <c r="C2278" t="s">
        <v>269</v>
      </c>
      <c r="D2278" t="s">
        <v>25</v>
      </c>
      <c r="E2278" t="s">
        <v>46</v>
      </c>
      <c r="F2278">
        <v>2031</v>
      </c>
      <c r="G2278">
        <v>34175.764840000003</v>
      </c>
      <c r="H2278">
        <v>34175.764840000003</v>
      </c>
      <c r="I2278">
        <v>1</v>
      </c>
    </row>
    <row r="2279" spans="1:9">
      <c r="A2279" t="s">
        <v>308</v>
      </c>
      <c r="B2279" t="s">
        <v>309</v>
      </c>
      <c r="C2279" t="s">
        <v>269</v>
      </c>
      <c r="D2279" t="s">
        <v>25</v>
      </c>
      <c r="E2279" t="s">
        <v>46</v>
      </c>
      <c r="F2279">
        <v>2032</v>
      </c>
      <c r="G2279">
        <v>35692.696020000003</v>
      </c>
      <c r="H2279">
        <v>35692.696020000003</v>
      </c>
      <c r="I2279">
        <v>1</v>
      </c>
    </row>
    <row r="2280" spans="1:9">
      <c r="A2280" t="s">
        <v>308</v>
      </c>
      <c r="B2280" t="s">
        <v>309</v>
      </c>
      <c r="C2280" t="s">
        <v>269</v>
      </c>
      <c r="D2280" t="s">
        <v>25</v>
      </c>
      <c r="E2280" t="s">
        <v>46</v>
      </c>
      <c r="F2280">
        <v>2033</v>
      </c>
      <c r="G2280">
        <v>37253.113160000001</v>
      </c>
      <c r="H2280">
        <v>37253.113160000001</v>
      </c>
      <c r="I2280">
        <v>1</v>
      </c>
    </row>
    <row r="2281" spans="1:9">
      <c r="A2281" t="s">
        <v>308</v>
      </c>
      <c r="B2281" t="s">
        <v>309</v>
      </c>
      <c r="C2281" t="s">
        <v>269</v>
      </c>
      <c r="D2281" t="s">
        <v>25</v>
      </c>
      <c r="E2281" t="s">
        <v>46</v>
      </c>
      <c r="F2281">
        <v>2034</v>
      </c>
      <c r="G2281">
        <v>38856.166669999999</v>
      </c>
      <c r="H2281">
        <v>38856.166669999999</v>
      </c>
      <c r="I2281">
        <v>1</v>
      </c>
    </row>
    <row r="2282" spans="1:9">
      <c r="A2282" t="s">
        <v>308</v>
      </c>
      <c r="B2282" t="s">
        <v>309</v>
      </c>
      <c r="C2282" t="s">
        <v>269</v>
      </c>
      <c r="D2282" t="s">
        <v>25</v>
      </c>
      <c r="E2282" t="s">
        <v>46</v>
      </c>
      <c r="F2282">
        <v>2035</v>
      </c>
      <c r="G2282">
        <v>40500.874430000003</v>
      </c>
      <c r="H2282">
        <v>40500.874430000003</v>
      </c>
      <c r="I2282">
        <v>1</v>
      </c>
    </row>
    <row r="2283" spans="1:9">
      <c r="A2283" t="s">
        <v>308</v>
      </c>
      <c r="B2283" t="s">
        <v>309</v>
      </c>
      <c r="C2283" t="s">
        <v>269</v>
      </c>
      <c r="D2283" t="s">
        <v>25</v>
      </c>
      <c r="E2283" t="s">
        <v>46</v>
      </c>
      <c r="F2283">
        <v>2036</v>
      </c>
      <c r="G2283">
        <v>42186.239589999997</v>
      </c>
      <c r="H2283">
        <v>42186.239589999997</v>
      </c>
      <c r="I2283">
        <v>1</v>
      </c>
    </row>
    <row r="2284" spans="1:9">
      <c r="A2284" t="s">
        <v>308</v>
      </c>
      <c r="B2284" t="s">
        <v>309</v>
      </c>
      <c r="C2284" t="s">
        <v>269</v>
      </c>
      <c r="D2284" t="s">
        <v>25</v>
      </c>
      <c r="E2284" t="s">
        <v>46</v>
      </c>
      <c r="F2284">
        <v>2037</v>
      </c>
      <c r="G2284">
        <v>43911.027820000003</v>
      </c>
      <c r="H2284">
        <v>43911.027820000003</v>
      </c>
      <c r="I2284">
        <v>1</v>
      </c>
    </row>
    <row r="2285" spans="1:9">
      <c r="A2285" t="s">
        <v>308</v>
      </c>
      <c r="B2285" t="s">
        <v>309</v>
      </c>
      <c r="C2285" t="s">
        <v>269</v>
      </c>
      <c r="D2285" t="s">
        <v>25</v>
      </c>
      <c r="E2285" t="s">
        <v>46</v>
      </c>
      <c r="F2285">
        <v>2038</v>
      </c>
      <c r="G2285">
        <v>45673.313520000003</v>
      </c>
      <c r="H2285">
        <v>45673.313520000003</v>
      </c>
      <c r="I2285">
        <v>1</v>
      </c>
    </row>
    <row r="2286" spans="1:9">
      <c r="A2286" t="s">
        <v>308</v>
      </c>
      <c r="B2286" t="s">
        <v>309</v>
      </c>
      <c r="C2286" t="s">
        <v>269</v>
      </c>
      <c r="D2286" t="s">
        <v>25</v>
      </c>
      <c r="E2286" t="s">
        <v>46</v>
      </c>
      <c r="F2286">
        <v>2039</v>
      </c>
      <c r="G2286">
        <v>47469.792269999998</v>
      </c>
      <c r="H2286">
        <v>47469.792269999998</v>
      </c>
      <c r="I2286">
        <v>1</v>
      </c>
    </row>
    <row r="2287" spans="1:9">
      <c r="A2287" t="s">
        <v>308</v>
      </c>
      <c r="B2287" t="s">
        <v>309</v>
      </c>
      <c r="C2287" t="s">
        <v>269</v>
      </c>
      <c r="D2287" t="s">
        <v>25</v>
      </c>
      <c r="E2287" t="s">
        <v>46</v>
      </c>
      <c r="F2287">
        <v>2040</v>
      </c>
      <c r="G2287">
        <v>49317.213580000003</v>
      </c>
      <c r="H2287">
        <v>49317.213580000003</v>
      </c>
      <c r="I2287">
        <v>1</v>
      </c>
    </row>
    <row r="2288" spans="1:9">
      <c r="A2288" t="s">
        <v>308</v>
      </c>
      <c r="B2288" t="s">
        <v>309</v>
      </c>
      <c r="C2288" t="s">
        <v>269</v>
      </c>
      <c r="D2288" t="s">
        <v>25</v>
      </c>
      <c r="E2288" t="s">
        <v>46</v>
      </c>
      <c r="F2288">
        <v>2041</v>
      </c>
      <c r="G2288">
        <v>34142.263359999997</v>
      </c>
      <c r="H2288">
        <v>34142.263359999997</v>
      </c>
      <c r="I2288">
        <v>1</v>
      </c>
    </row>
    <row r="2289" spans="1:9">
      <c r="A2289" t="s">
        <v>308</v>
      </c>
      <c r="B2289" t="s">
        <v>309</v>
      </c>
      <c r="C2289" t="s">
        <v>269</v>
      </c>
      <c r="D2289" t="s">
        <v>25</v>
      </c>
      <c r="E2289" t="s">
        <v>46</v>
      </c>
      <c r="F2289">
        <v>2042</v>
      </c>
      <c r="G2289">
        <v>53158.374409999997</v>
      </c>
      <c r="H2289">
        <v>53158.374409999997</v>
      </c>
      <c r="I2289">
        <v>1</v>
      </c>
    </row>
    <row r="2290" spans="1:9">
      <c r="A2290" t="s">
        <v>308</v>
      </c>
      <c r="B2290" t="s">
        <v>309</v>
      </c>
      <c r="C2290" t="s">
        <v>269</v>
      </c>
      <c r="D2290" t="s">
        <v>25</v>
      </c>
      <c r="E2290" t="s">
        <v>46</v>
      </c>
      <c r="F2290">
        <v>2043</v>
      </c>
      <c r="G2290">
        <v>36767.977769999998</v>
      </c>
      <c r="H2290">
        <v>36767.977769999998</v>
      </c>
      <c r="I2290">
        <v>1</v>
      </c>
    </row>
    <row r="2291" spans="1:9">
      <c r="A2291" t="s">
        <v>308</v>
      </c>
      <c r="B2291" t="s">
        <v>309</v>
      </c>
      <c r="C2291" t="s">
        <v>269</v>
      </c>
      <c r="D2291" t="s">
        <v>25</v>
      </c>
      <c r="E2291" t="s">
        <v>46</v>
      </c>
      <c r="F2291">
        <v>2044</v>
      </c>
      <c r="G2291">
        <v>38129.242910000001</v>
      </c>
      <c r="H2291">
        <v>38129.242910000001</v>
      </c>
      <c r="I2291">
        <v>1</v>
      </c>
    </row>
    <row r="2292" spans="1:9">
      <c r="A2292" t="s">
        <v>308</v>
      </c>
      <c r="B2292" t="s">
        <v>309</v>
      </c>
      <c r="C2292" t="s">
        <v>269</v>
      </c>
      <c r="D2292" t="s">
        <v>25</v>
      </c>
      <c r="E2292" t="s">
        <v>46</v>
      </c>
      <c r="F2292">
        <v>2045</v>
      </c>
      <c r="G2292">
        <v>39522.55214</v>
      </c>
      <c r="H2292">
        <v>39522.55214</v>
      </c>
      <c r="I2292">
        <v>1</v>
      </c>
    </row>
    <row r="2293" spans="1:9">
      <c r="A2293" t="s">
        <v>308</v>
      </c>
      <c r="B2293" t="s">
        <v>309</v>
      </c>
      <c r="C2293" t="s">
        <v>269</v>
      </c>
      <c r="D2293" t="s">
        <v>25</v>
      </c>
      <c r="E2293" t="s">
        <v>46</v>
      </c>
      <c r="F2293">
        <v>2046</v>
      </c>
      <c r="G2293">
        <v>40947.772299999997</v>
      </c>
      <c r="H2293">
        <v>40947.772299999997</v>
      </c>
      <c r="I2293">
        <v>1</v>
      </c>
    </row>
    <row r="2294" spans="1:9">
      <c r="A2294" t="s">
        <v>308</v>
      </c>
      <c r="B2294" t="s">
        <v>309</v>
      </c>
      <c r="C2294" t="s">
        <v>269</v>
      </c>
      <c r="D2294" t="s">
        <v>25</v>
      </c>
      <c r="E2294" t="s">
        <v>46</v>
      </c>
      <c r="F2294">
        <v>2047</v>
      </c>
      <c r="G2294">
        <v>42404.903389999999</v>
      </c>
      <c r="H2294">
        <v>42404.903389999999</v>
      </c>
      <c r="I2294">
        <v>1</v>
      </c>
    </row>
    <row r="2295" spans="1:9">
      <c r="A2295" t="s">
        <v>308</v>
      </c>
      <c r="B2295" t="s">
        <v>309</v>
      </c>
      <c r="C2295" t="s">
        <v>269</v>
      </c>
      <c r="D2295" t="s">
        <v>25</v>
      </c>
      <c r="E2295" t="s">
        <v>46</v>
      </c>
      <c r="F2295">
        <v>2048</v>
      </c>
      <c r="G2295">
        <v>43894.05586</v>
      </c>
      <c r="H2295">
        <v>43894.05586</v>
      </c>
      <c r="I2295">
        <v>1</v>
      </c>
    </row>
    <row r="2296" spans="1:9">
      <c r="A2296" t="s">
        <v>308</v>
      </c>
      <c r="B2296" t="s">
        <v>309</v>
      </c>
      <c r="C2296" t="s">
        <v>269</v>
      </c>
      <c r="D2296" t="s">
        <v>25</v>
      </c>
      <c r="E2296" t="s">
        <v>46</v>
      </c>
      <c r="F2296">
        <v>2049</v>
      </c>
      <c r="G2296">
        <v>45415.408909999998</v>
      </c>
      <c r="H2296">
        <v>45415.408909999998</v>
      </c>
      <c r="I2296">
        <v>1</v>
      </c>
    </row>
    <row r="2297" spans="1:9">
      <c r="A2297" t="s">
        <v>308</v>
      </c>
      <c r="B2297" t="s">
        <v>309</v>
      </c>
      <c r="C2297" t="s">
        <v>269</v>
      </c>
      <c r="D2297" t="s">
        <v>25</v>
      </c>
      <c r="E2297" t="s">
        <v>46</v>
      </c>
      <c r="F2297">
        <v>2050</v>
      </c>
      <c r="G2297">
        <v>46969.074820000002</v>
      </c>
      <c r="H2297">
        <v>46969.074820000002</v>
      </c>
      <c r="I2297">
        <v>1</v>
      </c>
    </row>
    <row r="2298" spans="1:9">
      <c r="A2298" t="s">
        <v>308</v>
      </c>
      <c r="B2298" t="s">
        <v>309</v>
      </c>
      <c r="C2298" t="s">
        <v>269</v>
      </c>
      <c r="D2298" t="s">
        <v>26</v>
      </c>
      <c r="E2298" t="s">
        <v>46</v>
      </c>
      <c r="F2298">
        <v>2010</v>
      </c>
      <c r="G2298">
        <v>0</v>
      </c>
      <c r="H2298">
        <v>0</v>
      </c>
      <c r="I2298">
        <v>1</v>
      </c>
    </row>
    <row r="2299" spans="1:9">
      <c r="A2299" t="s">
        <v>308</v>
      </c>
      <c r="B2299" t="s">
        <v>309</v>
      </c>
      <c r="C2299" t="s">
        <v>269</v>
      </c>
      <c r="D2299" t="s">
        <v>26</v>
      </c>
      <c r="E2299" t="s">
        <v>46</v>
      </c>
      <c r="F2299">
        <v>2011</v>
      </c>
      <c r="G2299">
        <v>0</v>
      </c>
      <c r="H2299">
        <v>0</v>
      </c>
      <c r="I2299">
        <v>1</v>
      </c>
    </row>
    <row r="2300" spans="1:9">
      <c r="A2300" t="s">
        <v>308</v>
      </c>
      <c r="B2300" t="s">
        <v>309</v>
      </c>
      <c r="C2300" t="s">
        <v>269</v>
      </c>
      <c r="D2300" t="s">
        <v>26</v>
      </c>
      <c r="E2300" t="s">
        <v>46</v>
      </c>
      <c r="F2300">
        <v>2012</v>
      </c>
      <c r="G2300">
        <v>0</v>
      </c>
      <c r="H2300">
        <v>0</v>
      </c>
      <c r="I2300">
        <v>1</v>
      </c>
    </row>
    <row r="2301" spans="1:9">
      <c r="A2301" t="s">
        <v>308</v>
      </c>
      <c r="B2301" t="s">
        <v>309</v>
      </c>
      <c r="C2301" t="s">
        <v>269</v>
      </c>
      <c r="D2301" t="s">
        <v>26</v>
      </c>
      <c r="E2301" t="s">
        <v>46</v>
      </c>
      <c r="F2301">
        <v>2013</v>
      </c>
      <c r="G2301">
        <v>0</v>
      </c>
      <c r="H2301">
        <v>0</v>
      </c>
      <c r="I2301">
        <v>1</v>
      </c>
    </row>
    <row r="2302" spans="1:9">
      <c r="A2302" t="s">
        <v>308</v>
      </c>
      <c r="B2302" t="s">
        <v>309</v>
      </c>
      <c r="C2302" t="s">
        <v>269</v>
      </c>
      <c r="D2302" t="s">
        <v>26</v>
      </c>
      <c r="E2302" t="s">
        <v>46</v>
      </c>
      <c r="F2302">
        <v>2014</v>
      </c>
      <c r="G2302">
        <v>0</v>
      </c>
      <c r="H2302">
        <v>0</v>
      </c>
      <c r="I2302">
        <v>1</v>
      </c>
    </row>
    <row r="2303" spans="1:9">
      <c r="A2303" t="s">
        <v>308</v>
      </c>
      <c r="B2303" t="s">
        <v>309</v>
      </c>
      <c r="C2303" t="s">
        <v>269</v>
      </c>
      <c r="D2303" t="s">
        <v>26</v>
      </c>
      <c r="E2303" t="s">
        <v>46</v>
      </c>
      <c r="F2303">
        <v>2015</v>
      </c>
      <c r="G2303">
        <v>0</v>
      </c>
      <c r="H2303">
        <v>0</v>
      </c>
      <c r="I2303">
        <v>1</v>
      </c>
    </row>
    <row r="2304" spans="1:9">
      <c r="A2304" t="s">
        <v>308</v>
      </c>
      <c r="B2304" t="s">
        <v>309</v>
      </c>
      <c r="C2304" t="s">
        <v>269</v>
      </c>
      <c r="D2304" t="s">
        <v>26</v>
      </c>
      <c r="E2304" t="s">
        <v>46</v>
      </c>
      <c r="F2304">
        <v>2016</v>
      </c>
      <c r="G2304">
        <v>0</v>
      </c>
      <c r="H2304">
        <v>0</v>
      </c>
      <c r="I2304">
        <v>1</v>
      </c>
    </row>
    <row r="2305" spans="1:9">
      <c r="A2305" t="s">
        <v>308</v>
      </c>
      <c r="B2305" t="s">
        <v>309</v>
      </c>
      <c r="C2305" t="s">
        <v>269</v>
      </c>
      <c r="D2305" t="s">
        <v>26</v>
      </c>
      <c r="E2305" t="s">
        <v>46</v>
      </c>
      <c r="F2305">
        <v>2017</v>
      </c>
      <c r="G2305">
        <v>0</v>
      </c>
      <c r="H2305">
        <v>0</v>
      </c>
      <c r="I2305">
        <v>1</v>
      </c>
    </row>
    <row r="2306" spans="1:9">
      <c r="A2306" t="s">
        <v>308</v>
      </c>
      <c r="B2306" t="s">
        <v>309</v>
      </c>
      <c r="C2306" t="s">
        <v>269</v>
      </c>
      <c r="D2306" t="s">
        <v>26</v>
      </c>
      <c r="E2306" t="s">
        <v>46</v>
      </c>
      <c r="F2306">
        <v>2018</v>
      </c>
      <c r="G2306">
        <v>0</v>
      </c>
      <c r="H2306">
        <v>0</v>
      </c>
      <c r="I2306">
        <v>1</v>
      </c>
    </row>
    <row r="2307" spans="1:9">
      <c r="A2307" t="s">
        <v>308</v>
      </c>
      <c r="B2307" t="s">
        <v>309</v>
      </c>
      <c r="C2307" t="s">
        <v>269</v>
      </c>
      <c r="D2307" t="s">
        <v>26</v>
      </c>
      <c r="E2307" t="s">
        <v>46</v>
      </c>
      <c r="F2307">
        <v>2019</v>
      </c>
      <c r="G2307">
        <v>0</v>
      </c>
      <c r="H2307">
        <v>0</v>
      </c>
      <c r="I2307">
        <v>1</v>
      </c>
    </row>
    <row r="2308" spans="1:9">
      <c r="A2308" t="s">
        <v>308</v>
      </c>
      <c r="B2308" t="s">
        <v>309</v>
      </c>
      <c r="C2308" t="s">
        <v>269</v>
      </c>
      <c r="D2308" t="s">
        <v>26</v>
      </c>
      <c r="E2308" t="s">
        <v>46</v>
      </c>
      <c r="F2308">
        <v>2020</v>
      </c>
      <c r="G2308">
        <v>0</v>
      </c>
      <c r="H2308">
        <v>0</v>
      </c>
      <c r="I2308">
        <v>1</v>
      </c>
    </row>
    <row r="2309" spans="1:9">
      <c r="A2309" t="s">
        <v>308</v>
      </c>
      <c r="B2309" t="s">
        <v>309</v>
      </c>
      <c r="C2309" t="s">
        <v>269</v>
      </c>
      <c r="D2309" t="s">
        <v>26</v>
      </c>
      <c r="E2309" t="s">
        <v>46</v>
      </c>
      <c r="F2309">
        <v>2021</v>
      </c>
      <c r="G2309">
        <v>0</v>
      </c>
      <c r="H2309">
        <v>0</v>
      </c>
      <c r="I2309">
        <v>1</v>
      </c>
    </row>
    <row r="2310" spans="1:9">
      <c r="A2310" t="s">
        <v>308</v>
      </c>
      <c r="B2310" t="s">
        <v>309</v>
      </c>
      <c r="C2310" t="s">
        <v>269</v>
      </c>
      <c r="D2310" t="s">
        <v>26</v>
      </c>
      <c r="E2310" t="s">
        <v>46</v>
      </c>
      <c r="F2310">
        <v>2022</v>
      </c>
      <c r="G2310">
        <v>0</v>
      </c>
      <c r="H2310">
        <v>0</v>
      </c>
      <c r="I2310">
        <v>1</v>
      </c>
    </row>
    <row r="2311" spans="1:9">
      <c r="A2311" t="s">
        <v>308</v>
      </c>
      <c r="B2311" t="s">
        <v>309</v>
      </c>
      <c r="C2311" t="s">
        <v>269</v>
      </c>
      <c r="D2311" t="s">
        <v>26</v>
      </c>
      <c r="E2311" t="s">
        <v>46</v>
      </c>
      <c r="F2311">
        <v>2023</v>
      </c>
      <c r="G2311">
        <v>0</v>
      </c>
      <c r="H2311">
        <v>0</v>
      </c>
      <c r="I2311">
        <v>1</v>
      </c>
    </row>
    <row r="2312" spans="1:9">
      <c r="A2312" t="s">
        <v>308</v>
      </c>
      <c r="B2312" t="s">
        <v>309</v>
      </c>
      <c r="C2312" t="s">
        <v>269</v>
      </c>
      <c r="D2312" t="s">
        <v>26</v>
      </c>
      <c r="E2312" t="s">
        <v>46</v>
      </c>
      <c r="F2312">
        <v>2024</v>
      </c>
      <c r="G2312">
        <v>0</v>
      </c>
      <c r="H2312">
        <v>0</v>
      </c>
      <c r="I2312">
        <v>1</v>
      </c>
    </row>
    <row r="2313" spans="1:9">
      <c r="A2313" t="s">
        <v>308</v>
      </c>
      <c r="B2313" t="s">
        <v>309</v>
      </c>
      <c r="C2313" t="s">
        <v>269</v>
      </c>
      <c r="D2313" t="s">
        <v>26</v>
      </c>
      <c r="E2313" t="s">
        <v>46</v>
      </c>
      <c r="F2313">
        <v>2025</v>
      </c>
      <c r="G2313">
        <v>0</v>
      </c>
      <c r="H2313">
        <v>0</v>
      </c>
      <c r="I2313">
        <v>1</v>
      </c>
    </row>
    <row r="2314" spans="1:9">
      <c r="A2314" t="s">
        <v>308</v>
      </c>
      <c r="B2314" t="s">
        <v>309</v>
      </c>
      <c r="C2314" t="s">
        <v>269</v>
      </c>
      <c r="D2314" t="s">
        <v>26</v>
      </c>
      <c r="E2314" t="s">
        <v>46</v>
      </c>
      <c r="F2314">
        <v>2026</v>
      </c>
      <c r="G2314">
        <v>0</v>
      </c>
      <c r="H2314">
        <v>0</v>
      </c>
      <c r="I2314">
        <v>1</v>
      </c>
    </row>
    <row r="2315" spans="1:9">
      <c r="A2315" t="s">
        <v>308</v>
      </c>
      <c r="B2315" t="s">
        <v>309</v>
      </c>
      <c r="C2315" t="s">
        <v>269</v>
      </c>
      <c r="D2315" t="s">
        <v>26</v>
      </c>
      <c r="E2315" t="s">
        <v>46</v>
      </c>
      <c r="F2315">
        <v>2027</v>
      </c>
      <c r="G2315">
        <v>0</v>
      </c>
      <c r="H2315">
        <v>0</v>
      </c>
      <c r="I2315">
        <v>1</v>
      </c>
    </row>
    <row r="2316" spans="1:9">
      <c r="A2316" t="s">
        <v>308</v>
      </c>
      <c r="B2316" t="s">
        <v>309</v>
      </c>
      <c r="C2316" t="s">
        <v>269</v>
      </c>
      <c r="D2316" t="s">
        <v>26</v>
      </c>
      <c r="E2316" t="s">
        <v>46</v>
      </c>
      <c r="F2316">
        <v>2028</v>
      </c>
      <c r="G2316">
        <v>0</v>
      </c>
      <c r="H2316">
        <v>0</v>
      </c>
      <c r="I2316">
        <v>1</v>
      </c>
    </row>
    <row r="2317" spans="1:9">
      <c r="A2317" t="s">
        <v>308</v>
      </c>
      <c r="B2317" t="s">
        <v>309</v>
      </c>
      <c r="C2317" t="s">
        <v>269</v>
      </c>
      <c r="D2317" t="s">
        <v>26</v>
      </c>
      <c r="E2317" t="s">
        <v>46</v>
      </c>
      <c r="F2317">
        <v>2029</v>
      </c>
      <c r="G2317">
        <v>0</v>
      </c>
      <c r="H2317">
        <v>0</v>
      </c>
      <c r="I2317">
        <v>1</v>
      </c>
    </row>
    <row r="2318" spans="1:9">
      <c r="A2318" t="s">
        <v>308</v>
      </c>
      <c r="B2318" t="s">
        <v>309</v>
      </c>
      <c r="C2318" t="s">
        <v>269</v>
      </c>
      <c r="D2318" t="s">
        <v>26</v>
      </c>
      <c r="E2318" t="s">
        <v>46</v>
      </c>
      <c r="F2318">
        <v>2030</v>
      </c>
      <c r="G2318">
        <v>0</v>
      </c>
      <c r="H2318">
        <v>0</v>
      </c>
      <c r="I2318">
        <v>1</v>
      </c>
    </row>
    <row r="2319" spans="1:9">
      <c r="A2319" t="s">
        <v>308</v>
      </c>
      <c r="B2319" t="s">
        <v>309</v>
      </c>
      <c r="C2319" t="s">
        <v>269</v>
      </c>
      <c r="D2319" t="s">
        <v>26</v>
      </c>
      <c r="E2319" t="s">
        <v>46</v>
      </c>
      <c r="F2319">
        <v>2031</v>
      </c>
      <c r="G2319">
        <v>0</v>
      </c>
      <c r="H2319">
        <v>0</v>
      </c>
      <c r="I2319">
        <v>1</v>
      </c>
    </row>
    <row r="2320" spans="1:9">
      <c r="A2320" t="s">
        <v>308</v>
      </c>
      <c r="B2320" t="s">
        <v>309</v>
      </c>
      <c r="C2320" t="s">
        <v>269</v>
      </c>
      <c r="D2320" t="s">
        <v>26</v>
      </c>
      <c r="E2320" t="s">
        <v>46</v>
      </c>
      <c r="F2320">
        <v>2032</v>
      </c>
      <c r="G2320">
        <v>0</v>
      </c>
      <c r="H2320">
        <v>0</v>
      </c>
      <c r="I2320">
        <v>1</v>
      </c>
    </row>
    <row r="2321" spans="1:9">
      <c r="A2321" t="s">
        <v>308</v>
      </c>
      <c r="B2321" t="s">
        <v>309</v>
      </c>
      <c r="C2321" t="s">
        <v>269</v>
      </c>
      <c r="D2321" t="s">
        <v>26</v>
      </c>
      <c r="E2321" t="s">
        <v>46</v>
      </c>
      <c r="F2321">
        <v>2033</v>
      </c>
      <c r="G2321">
        <v>0</v>
      </c>
      <c r="H2321">
        <v>0</v>
      </c>
      <c r="I2321">
        <v>1</v>
      </c>
    </row>
    <row r="2322" spans="1:9">
      <c r="A2322" t="s">
        <v>308</v>
      </c>
      <c r="B2322" t="s">
        <v>309</v>
      </c>
      <c r="C2322" t="s">
        <v>269</v>
      </c>
      <c r="D2322" t="s">
        <v>26</v>
      </c>
      <c r="E2322" t="s">
        <v>46</v>
      </c>
      <c r="F2322">
        <v>2034</v>
      </c>
      <c r="G2322">
        <v>0</v>
      </c>
      <c r="H2322">
        <v>0</v>
      </c>
      <c r="I2322">
        <v>1</v>
      </c>
    </row>
    <row r="2323" spans="1:9">
      <c r="A2323" t="s">
        <v>308</v>
      </c>
      <c r="B2323" t="s">
        <v>309</v>
      </c>
      <c r="C2323" t="s">
        <v>269</v>
      </c>
      <c r="D2323" t="s">
        <v>26</v>
      </c>
      <c r="E2323" t="s">
        <v>46</v>
      </c>
      <c r="F2323">
        <v>2035</v>
      </c>
      <c r="G2323">
        <v>0</v>
      </c>
      <c r="H2323">
        <v>0</v>
      </c>
      <c r="I2323">
        <v>1</v>
      </c>
    </row>
    <row r="2324" spans="1:9">
      <c r="A2324" t="s">
        <v>308</v>
      </c>
      <c r="B2324" t="s">
        <v>309</v>
      </c>
      <c r="C2324" t="s">
        <v>269</v>
      </c>
      <c r="D2324" t="s">
        <v>26</v>
      </c>
      <c r="E2324" t="s">
        <v>46</v>
      </c>
      <c r="F2324">
        <v>2036</v>
      </c>
      <c r="G2324">
        <v>0</v>
      </c>
      <c r="H2324">
        <v>0</v>
      </c>
      <c r="I2324">
        <v>1</v>
      </c>
    </row>
    <row r="2325" spans="1:9">
      <c r="A2325" t="s">
        <v>308</v>
      </c>
      <c r="B2325" t="s">
        <v>309</v>
      </c>
      <c r="C2325" t="s">
        <v>269</v>
      </c>
      <c r="D2325" t="s">
        <v>26</v>
      </c>
      <c r="E2325" t="s">
        <v>46</v>
      </c>
      <c r="F2325">
        <v>2037</v>
      </c>
      <c r="G2325">
        <v>0</v>
      </c>
      <c r="H2325">
        <v>0</v>
      </c>
      <c r="I2325">
        <v>1</v>
      </c>
    </row>
    <row r="2326" spans="1:9">
      <c r="A2326" t="s">
        <v>308</v>
      </c>
      <c r="B2326" t="s">
        <v>309</v>
      </c>
      <c r="C2326" t="s">
        <v>269</v>
      </c>
      <c r="D2326" t="s">
        <v>26</v>
      </c>
      <c r="E2326" t="s">
        <v>46</v>
      </c>
      <c r="F2326">
        <v>2038</v>
      </c>
      <c r="G2326">
        <v>0</v>
      </c>
      <c r="H2326">
        <v>0</v>
      </c>
      <c r="I2326">
        <v>1</v>
      </c>
    </row>
    <row r="2327" spans="1:9">
      <c r="A2327" t="s">
        <v>308</v>
      </c>
      <c r="B2327" t="s">
        <v>309</v>
      </c>
      <c r="C2327" t="s">
        <v>269</v>
      </c>
      <c r="D2327" t="s">
        <v>26</v>
      </c>
      <c r="E2327" t="s">
        <v>46</v>
      </c>
      <c r="F2327">
        <v>2039</v>
      </c>
      <c r="G2327">
        <v>0</v>
      </c>
      <c r="H2327">
        <v>0</v>
      </c>
      <c r="I2327">
        <v>1</v>
      </c>
    </row>
    <row r="2328" spans="1:9">
      <c r="A2328" t="s">
        <v>308</v>
      </c>
      <c r="B2328" t="s">
        <v>309</v>
      </c>
      <c r="C2328" t="s">
        <v>269</v>
      </c>
      <c r="D2328" t="s">
        <v>26</v>
      </c>
      <c r="E2328" t="s">
        <v>46</v>
      </c>
      <c r="F2328">
        <v>2040</v>
      </c>
      <c r="G2328">
        <v>0</v>
      </c>
      <c r="H2328">
        <v>0</v>
      </c>
      <c r="I2328">
        <v>1</v>
      </c>
    </row>
    <row r="2329" spans="1:9">
      <c r="A2329" t="s">
        <v>308</v>
      </c>
      <c r="B2329" t="s">
        <v>309</v>
      </c>
      <c r="C2329" t="s">
        <v>269</v>
      </c>
      <c r="D2329" t="s">
        <v>26</v>
      </c>
      <c r="E2329" t="s">
        <v>46</v>
      </c>
      <c r="F2329">
        <v>2041</v>
      </c>
      <c r="G2329">
        <v>0</v>
      </c>
      <c r="H2329">
        <v>0</v>
      </c>
      <c r="I2329">
        <v>1</v>
      </c>
    </row>
    <row r="2330" spans="1:9">
      <c r="A2330" t="s">
        <v>308</v>
      </c>
      <c r="B2330" t="s">
        <v>309</v>
      </c>
      <c r="C2330" t="s">
        <v>269</v>
      </c>
      <c r="D2330" t="s">
        <v>26</v>
      </c>
      <c r="E2330" t="s">
        <v>46</v>
      </c>
      <c r="F2330">
        <v>2042</v>
      </c>
      <c r="G2330">
        <v>0</v>
      </c>
      <c r="H2330">
        <v>0</v>
      </c>
      <c r="I2330">
        <v>1</v>
      </c>
    </row>
    <row r="2331" spans="1:9">
      <c r="A2331" t="s">
        <v>308</v>
      </c>
      <c r="B2331" t="s">
        <v>309</v>
      </c>
      <c r="C2331" t="s">
        <v>269</v>
      </c>
      <c r="D2331" t="s">
        <v>26</v>
      </c>
      <c r="E2331" t="s">
        <v>46</v>
      </c>
      <c r="F2331">
        <v>2043</v>
      </c>
      <c r="G2331">
        <v>0</v>
      </c>
      <c r="H2331">
        <v>0</v>
      </c>
      <c r="I2331">
        <v>1</v>
      </c>
    </row>
    <row r="2332" spans="1:9">
      <c r="A2332" t="s">
        <v>308</v>
      </c>
      <c r="B2332" t="s">
        <v>309</v>
      </c>
      <c r="C2332" t="s">
        <v>269</v>
      </c>
      <c r="D2332" t="s">
        <v>26</v>
      </c>
      <c r="E2332" t="s">
        <v>46</v>
      </c>
      <c r="F2332">
        <v>2044</v>
      </c>
      <c r="G2332">
        <v>0</v>
      </c>
      <c r="H2332">
        <v>0</v>
      </c>
      <c r="I2332">
        <v>1</v>
      </c>
    </row>
    <row r="2333" spans="1:9">
      <c r="A2333" t="s">
        <v>308</v>
      </c>
      <c r="B2333" t="s">
        <v>309</v>
      </c>
      <c r="C2333" t="s">
        <v>269</v>
      </c>
      <c r="D2333" t="s">
        <v>26</v>
      </c>
      <c r="E2333" t="s">
        <v>46</v>
      </c>
      <c r="F2333">
        <v>2045</v>
      </c>
      <c r="G2333">
        <v>0</v>
      </c>
      <c r="H2333">
        <v>0</v>
      </c>
      <c r="I2333">
        <v>1</v>
      </c>
    </row>
    <row r="2334" spans="1:9">
      <c r="A2334" t="s">
        <v>308</v>
      </c>
      <c r="B2334" t="s">
        <v>309</v>
      </c>
      <c r="C2334" t="s">
        <v>269</v>
      </c>
      <c r="D2334" t="s">
        <v>26</v>
      </c>
      <c r="E2334" t="s">
        <v>46</v>
      </c>
      <c r="F2334">
        <v>2046</v>
      </c>
      <c r="G2334">
        <v>0</v>
      </c>
      <c r="H2334">
        <v>0</v>
      </c>
      <c r="I2334">
        <v>1</v>
      </c>
    </row>
    <row r="2335" spans="1:9">
      <c r="A2335" t="s">
        <v>308</v>
      </c>
      <c r="B2335" t="s">
        <v>309</v>
      </c>
      <c r="C2335" t="s">
        <v>269</v>
      </c>
      <c r="D2335" t="s">
        <v>26</v>
      </c>
      <c r="E2335" t="s">
        <v>46</v>
      </c>
      <c r="F2335">
        <v>2047</v>
      </c>
      <c r="G2335">
        <v>0</v>
      </c>
      <c r="H2335">
        <v>0</v>
      </c>
      <c r="I2335">
        <v>1</v>
      </c>
    </row>
    <row r="2336" spans="1:9">
      <c r="A2336" t="s">
        <v>308</v>
      </c>
      <c r="B2336" t="s">
        <v>309</v>
      </c>
      <c r="C2336" t="s">
        <v>269</v>
      </c>
      <c r="D2336" t="s">
        <v>26</v>
      </c>
      <c r="E2336" t="s">
        <v>46</v>
      </c>
      <c r="F2336">
        <v>2048</v>
      </c>
      <c r="G2336">
        <v>0</v>
      </c>
      <c r="H2336">
        <v>0</v>
      </c>
      <c r="I2336">
        <v>1</v>
      </c>
    </row>
    <row r="2337" spans="1:9">
      <c r="A2337" t="s">
        <v>308</v>
      </c>
      <c r="B2337" t="s">
        <v>309</v>
      </c>
      <c r="C2337" t="s">
        <v>269</v>
      </c>
      <c r="D2337" t="s">
        <v>26</v>
      </c>
      <c r="E2337" t="s">
        <v>46</v>
      </c>
      <c r="F2337">
        <v>2049</v>
      </c>
      <c r="G2337">
        <v>0</v>
      </c>
      <c r="H2337">
        <v>0</v>
      </c>
      <c r="I2337">
        <v>1</v>
      </c>
    </row>
    <row r="2338" spans="1:9">
      <c r="A2338" t="s">
        <v>308</v>
      </c>
      <c r="B2338" t="s">
        <v>309</v>
      </c>
      <c r="C2338" t="s">
        <v>269</v>
      </c>
      <c r="D2338" t="s">
        <v>26</v>
      </c>
      <c r="E2338" t="s">
        <v>46</v>
      </c>
      <c r="F2338">
        <v>2050</v>
      </c>
      <c r="G2338">
        <v>0</v>
      </c>
      <c r="H2338">
        <v>0</v>
      </c>
      <c r="I2338">
        <v>1</v>
      </c>
    </row>
    <row r="2339" spans="1:9">
      <c r="A2339" t="s">
        <v>308</v>
      </c>
      <c r="B2339" t="s">
        <v>309</v>
      </c>
      <c r="C2339" t="s">
        <v>269</v>
      </c>
      <c r="D2339" t="s">
        <v>307</v>
      </c>
      <c r="E2339" t="s">
        <v>46</v>
      </c>
      <c r="F2339">
        <v>2010</v>
      </c>
      <c r="G2339">
        <v>14143.88587</v>
      </c>
      <c r="H2339">
        <v>14143.88587</v>
      </c>
      <c r="I2339">
        <v>1</v>
      </c>
    </row>
    <row r="2340" spans="1:9">
      <c r="A2340" t="s">
        <v>308</v>
      </c>
      <c r="B2340" t="s">
        <v>309</v>
      </c>
      <c r="C2340" t="s">
        <v>269</v>
      </c>
      <c r="D2340" t="s">
        <v>307</v>
      </c>
      <c r="E2340" t="s">
        <v>46</v>
      </c>
      <c r="F2340">
        <v>2011</v>
      </c>
      <c r="G2340">
        <v>14595.61766</v>
      </c>
      <c r="H2340">
        <v>14595.61766</v>
      </c>
      <c r="I2340">
        <v>1</v>
      </c>
    </row>
    <row r="2341" spans="1:9">
      <c r="A2341" t="s">
        <v>308</v>
      </c>
      <c r="B2341" t="s">
        <v>309</v>
      </c>
      <c r="C2341" t="s">
        <v>269</v>
      </c>
      <c r="D2341" t="s">
        <v>307</v>
      </c>
      <c r="E2341" t="s">
        <v>46</v>
      </c>
      <c r="F2341">
        <v>2012</v>
      </c>
      <c r="G2341">
        <v>15059.555899999999</v>
      </c>
      <c r="H2341">
        <v>15059.555899999999</v>
      </c>
      <c r="I2341">
        <v>1</v>
      </c>
    </row>
    <row r="2342" spans="1:9">
      <c r="A2342" t="s">
        <v>308</v>
      </c>
      <c r="B2342" t="s">
        <v>309</v>
      </c>
      <c r="C2342" t="s">
        <v>269</v>
      </c>
      <c r="D2342" t="s">
        <v>307</v>
      </c>
      <c r="E2342" t="s">
        <v>46</v>
      </c>
      <c r="F2342">
        <v>2013</v>
      </c>
      <c r="G2342">
        <v>15536.228010000001</v>
      </c>
      <c r="H2342">
        <v>15536.228010000001</v>
      </c>
      <c r="I2342">
        <v>1</v>
      </c>
    </row>
    <row r="2343" spans="1:9">
      <c r="A2343" t="s">
        <v>308</v>
      </c>
      <c r="B2343" t="s">
        <v>309</v>
      </c>
      <c r="C2343" t="s">
        <v>269</v>
      </c>
      <c r="D2343" t="s">
        <v>307</v>
      </c>
      <c r="E2343" t="s">
        <v>46</v>
      </c>
      <c r="F2343">
        <v>2014</v>
      </c>
      <c r="G2343">
        <v>16026.607529999999</v>
      </c>
      <c r="H2343">
        <v>16026.607529999999</v>
      </c>
      <c r="I2343">
        <v>1</v>
      </c>
    </row>
    <row r="2344" spans="1:9">
      <c r="A2344" t="s">
        <v>308</v>
      </c>
      <c r="B2344" t="s">
        <v>309</v>
      </c>
      <c r="C2344" t="s">
        <v>269</v>
      </c>
      <c r="D2344" t="s">
        <v>307</v>
      </c>
      <c r="E2344" t="s">
        <v>46</v>
      </c>
      <c r="F2344">
        <v>2015</v>
      </c>
      <c r="G2344">
        <v>16531.350439999998</v>
      </c>
      <c r="H2344">
        <v>16531.350439999998</v>
      </c>
      <c r="I2344">
        <v>1</v>
      </c>
    </row>
    <row r="2345" spans="1:9">
      <c r="A2345" t="s">
        <v>308</v>
      </c>
      <c r="B2345" t="s">
        <v>309</v>
      </c>
      <c r="C2345" t="s">
        <v>269</v>
      </c>
      <c r="D2345" t="s">
        <v>307</v>
      </c>
      <c r="E2345" t="s">
        <v>46</v>
      </c>
      <c r="F2345">
        <v>2016</v>
      </c>
      <c r="G2345">
        <v>17050.561669999999</v>
      </c>
      <c r="H2345">
        <v>17050.561669999999</v>
      </c>
      <c r="I2345">
        <v>1</v>
      </c>
    </row>
    <row r="2346" spans="1:9">
      <c r="A2346" t="s">
        <v>308</v>
      </c>
      <c r="B2346" t="s">
        <v>309</v>
      </c>
      <c r="C2346" t="s">
        <v>269</v>
      </c>
      <c r="D2346" t="s">
        <v>307</v>
      </c>
      <c r="E2346" t="s">
        <v>46</v>
      </c>
      <c r="F2346">
        <v>2017</v>
      </c>
      <c r="G2346">
        <v>17583.755829999998</v>
      </c>
      <c r="H2346">
        <v>17583.755829999998</v>
      </c>
      <c r="I2346">
        <v>1</v>
      </c>
    </row>
    <row r="2347" spans="1:9">
      <c r="A2347" t="s">
        <v>308</v>
      </c>
      <c r="B2347" t="s">
        <v>309</v>
      </c>
      <c r="C2347" t="s">
        <v>269</v>
      </c>
      <c r="D2347" t="s">
        <v>307</v>
      </c>
      <c r="E2347" t="s">
        <v>46</v>
      </c>
      <c r="F2347">
        <v>2018</v>
      </c>
      <c r="G2347">
        <v>18130.313450000001</v>
      </c>
      <c r="H2347">
        <v>18130.313450000001</v>
      </c>
      <c r="I2347">
        <v>1</v>
      </c>
    </row>
    <row r="2348" spans="1:9">
      <c r="A2348" t="s">
        <v>308</v>
      </c>
      <c r="B2348" t="s">
        <v>309</v>
      </c>
      <c r="C2348" t="s">
        <v>269</v>
      </c>
      <c r="D2348" t="s">
        <v>307</v>
      </c>
      <c r="E2348" t="s">
        <v>46</v>
      </c>
      <c r="F2348">
        <v>2019</v>
      </c>
      <c r="G2348">
        <v>18689.38681</v>
      </c>
      <c r="H2348">
        <v>18689.38681</v>
      </c>
      <c r="I2348">
        <v>1</v>
      </c>
    </row>
    <row r="2349" spans="1:9">
      <c r="A2349" t="s">
        <v>308</v>
      </c>
      <c r="B2349" t="s">
        <v>309</v>
      </c>
      <c r="C2349" t="s">
        <v>269</v>
      </c>
      <c r="D2349" t="s">
        <v>307</v>
      </c>
      <c r="E2349" t="s">
        <v>46</v>
      </c>
      <c r="F2349">
        <v>2020</v>
      </c>
      <c r="G2349">
        <v>19260.394469999999</v>
      </c>
      <c r="H2349">
        <v>19260.394469999999</v>
      </c>
      <c r="I2349">
        <v>1</v>
      </c>
    </row>
    <row r="2350" spans="1:9">
      <c r="A2350" t="s">
        <v>308</v>
      </c>
      <c r="B2350" t="s">
        <v>309</v>
      </c>
      <c r="C2350" t="s">
        <v>269</v>
      </c>
      <c r="D2350" t="s">
        <v>307</v>
      </c>
      <c r="E2350" t="s">
        <v>46</v>
      </c>
      <c r="F2350">
        <v>2021</v>
      </c>
      <c r="G2350">
        <v>19843.114300000001</v>
      </c>
      <c r="H2350">
        <v>19843.114300000001</v>
      </c>
      <c r="I2350">
        <v>1</v>
      </c>
    </row>
    <row r="2351" spans="1:9">
      <c r="A2351" t="s">
        <v>308</v>
      </c>
      <c r="B2351" t="s">
        <v>309</v>
      </c>
      <c r="C2351" t="s">
        <v>269</v>
      </c>
      <c r="D2351" t="s">
        <v>307</v>
      </c>
      <c r="E2351" t="s">
        <v>46</v>
      </c>
      <c r="F2351">
        <v>2022</v>
      </c>
      <c r="G2351">
        <v>20437.81783</v>
      </c>
      <c r="H2351">
        <v>20437.81783</v>
      </c>
      <c r="I2351">
        <v>1</v>
      </c>
    </row>
    <row r="2352" spans="1:9">
      <c r="A2352" t="s">
        <v>308</v>
      </c>
      <c r="B2352" t="s">
        <v>309</v>
      </c>
      <c r="C2352" t="s">
        <v>269</v>
      </c>
      <c r="D2352" t="s">
        <v>307</v>
      </c>
      <c r="E2352" t="s">
        <v>46</v>
      </c>
      <c r="F2352">
        <v>2023</v>
      </c>
      <c r="G2352">
        <v>21045.02605</v>
      </c>
      <c r="H2352">
        <v>21045.02605</v>
      </c>
      <c r="I2352">
        <v>1</v>
      </c>
    </row>
    <row r="2353" spans="1:9">
      <c r="A2353" t="s">
        <v>308</v>
      </c>
      <c r="B2353" t="s">
        <v>309</v>
      </c>
      <c r="C2353" t="s">
        <v>269</v>
      </c>
      <c r="D2353" t="s">
        <v>307</v>
      </c>
      <c r="E2353" t="s">
        <v>46</v>
      </c>
      <c r="F2353">
        <v>2024</v>
      </c>
      <c r="G2353">
        <v>21665.515500000001</v>
      </c>
      <c r="H2353">
        <v>21665.515500000001</v>
      </c>
      <c r="I2353">
        <v>1</v>
      </c>
    </row>
    <row r="2354" spans="1:9">
      <c r="A2354" t="s">
        <v>308</v>
      </c>
      <c r="B2354" t="s">
        <v>309</v>
      </c>
      <c r="C2354" t="s">
        <v>269</v>
      </c>
      <c r="D2354" t="s">
        <v>307</v>
      </c>
      <c r="E2354" t="s">
        <v>46</v>
      </c>
      <c r="F2354">
        <v>2025</v>
      </c>
      <c r="G2354">
        <v>22299.873749999999</v>
      </c>
      <c r="H2354">
        <v>22299.873749999999</v>
      </c>
      <c r="I2354">
        <v>1</v>
      </c>
    </row>
    <row r="2355" spans="1:9">
      <c r="A2355" t="s">
        <v>308</v>
      </c>
      <c r="B2355" t="s">
        <v>309</v>
      </c>
      <c r="C2355" t="s">
        <v>269</v>
      </c>
      <c r="D2355" t="s">
        <v>307</v>
      </c>
      <c r="E2355" t="s">
        <v>46</v>
      </c>
      <c r="F2355">
        <v>2026</v>
      </c>
      <c r="G2355">
        <v>45896.366049999997</v>
      </c>
      <c r="H2355">
        <v>45896.366049999997</v>
      </c>
      <c r="I2355">
        <v>1</v>
      </c>
    </row>
    <row r="2356" spans="1:9">
      <c r="A2356" t="s">
        <v>308</v>
      </c>
      <c r="B2356" t="s">
        <v>309</v>
      </c>
      <c r="C2356" t="s">
        <v>269</v>
      </c>
      <c r="D2356" t="s">
        <v>307</v>
      </c>
      <c r="E2356" t="s">
        <v>46</v>
      </c>
      <c r="F2356">
        <v>2027</v>
      </c>
      <c r="G2356">
        <v>47220.679230000002</v>
      </c>
      <c r="H2356">
        <v>47220.679230000002</v>
      </c>
      <c r="I2356">
        <v>1</v>
      </c>
    </row>
    <row r="2357" spans="1:9">
      <c r="A2357" t="s">
        <v>308</v>
      </c>
      <c r="B2357" t="s">
        <v>309</v>
      </c>
      <c r="C2357" t="s">
        <v>269</v>
      </c>
      <c r="D2357" t="s">
        <v>307</v>
      </c>
      <c r="E2357" t="s">
        <v>46</v>
      </c>
      <c r="F2357">
        <v>2028</v>
      </c>
      <c r="G2357">
        <v>48572.998160000003</v>
      </c>
      <c r="H2357">
        <v>48572.998160000003</v>
      </c>
      <c r="I2357">
        <v>1</v>
      </c>
    </row>
    <row r="2358" spans="1:9">
      <c r="A2358" t="s">
        <v>308</v>
      </c>
      <c r="B2358" t="s">
        <v>309</v>
      </c>
      <c r="C2358" t="s">
        <v>269</v>
      </c>
      <c r="D2358" t="s">
        <v>307</v>
      </c>
      <c r="E2358" t="s">
        <v>46</v>
      </c>
      <c r="F2358">
        <v>2029</v>
      </c>
      <c r="G2358">
        <v>49953.608180000003</v>
      </c>
      <c r="H2358">
        <v>49953.608180000003</v>
      </c>
      <c r="I2358">
        <v>1</v>
      </c>
    </row>
    <row r="2359" spans="1:9">
      <c r="A2359" t="s">
        <v>308</v>
      </c>
      <c r="B2359" t="s">
        <v>309</v>
      </c>
      <c r="C2359" t="s">
        <v>269</v>
      </c>
      <c r="D2359" t="s">
        <v>307</v>
      </c>
      <c r="E2359" t="s">
        <v>46</v>
      </c>
      <c r="F2359">
        <v>2030</v>
      </c>
      <c r="G2359">
        <v>51362.62343</v>
      </c>
      <c r="H2359">
        <v>51362.62343</v>
      </c>
      <c r="I2359">
        <v>1</v>
      </c>
    </row>
    <row r="2360" spans="1:9">
      <c r="A2360" t="s">
        <v>308</v>
      </c>
      <c r="B2360" t="s">
        <v>309</v>
      </c>
      <c r="C2360" t="s">
        <v>269</v>
      </c>
      <c r="D2360" t="s">
        <v>307</v>
      </c>
      <c r="E2360" t="s">
        <v>46</v>
      </c>
      <c r="F2360">
        <v>2031</v>
      </c>
      <c r="G2360">
        <v>52800.069069999998</v>
      </c>
      <c r="H2360">
        <v>52800.069069999998</v>
      </c>
      <c r="I2360">
        <v>1</v>
      </c>
    </row>
    <row r="2361" spans="1:9">
      <c r="A2361" t="s">
        <v>308</v>
      </c>
      <c r="B2361" t="s">
        <v>309</v>
      </c>
      <c r="C2361" t="s">
        <v>269</v>
      </c>
      <c r="D2361" t="s">
        <v>307</v>
      </c>
      <c r="E2361" t="s">
        <v>46</v>
      </c>
      <c r="F2361">
        <v>2032</v>
      </c>
      <c r="G2361">
        <v>54265.666499999999</v>
      </c>
      <c r="H2361">
        <v>54265.666499999999</v>
      </c>
      <c r="I2361">
        <v>1</v>
      </c>
    </row>
    <row r="2362" spans="1:9">
      <c r="A2362" t="s">
        <v>308</v>
      </c>
      <c r="B2362" t="s">
        <v>309</v>
      </c>
      <c r="C2362" t="s">
        <v>269</v>
      </c>
      <c r="D2362" t="s">
        <v>307</v>
      </c>
      <c r="E2362" t="s">
        <v>46</v>
      </c>
      <c r="F2362">
        <v>2033</v>
      </c>
      <c r="G2362">
        <v>55758.762820000004</v>
      </c>
      <c r="H2362">
        <v>55758.762820000004</v>
      </c>
      <c r="I2362">
        <v>1</v>
      </c>
    </row>
    <row r="2363" spans="1:9">
      <c r="A2363" t="s">
        <v>308</v>
      </c>
      <c r="B2363" t="s">
        <v>309</v>
      </c>
      <c r="C2363" t="s">
        <v>269</v>
      </c>
      <c r="D2363" t="s">
        <v>307</v>
      </c>
      <c r="E2363" t="s">
        <v>46</v>
      </c>
      <c r="F2363">
        <v>2034</v>
      </c>
      <c r="G2363">
        <v>85917.762199999997</v>
      </c>
      <c r="H2363">
        <v>85917.762199999997</v>
      </c>
      <c r="I2363">
        <v>1</v>
      </c>
    </row>
    <row r="2364" spans="1:9">
      <c r="A2364" t="s">
        <v>308</v>
      </c>
      <c r="B2364" t="s">
        <v>309</v>
      </c>
      <c r="C2364" t="s">
        <v>269</v>
      </c>
      <c r="D2364" t="s">
        <v>307</v>
      </c>
      <c r="E2364" t="s">
        <v>46</v>
      </c>
      <c r="F2364">
        <v>2035</v>
      </c>
      <c r="G2364">
        <v>88236.181939999995</v>
      </c>
      <c r="H2364">
        <v>88236.181939999995</v>
      </c>
      <c r="I2364">
        <v>1</v>
      </c>
    </row>
    <row r="2365" spans="1:9">
      <c r="A2365" t="s">
        <v>308</v>
      </c>
      <c r="B2365" t="s">
        <v>309</v>
      </c>
      <c r="C2365" t="s">
        <v>269</v>
      </c>
      <c r="D2365" t="s">
        <v>307</v>
      </c>
      <c r="E2365" t="s">
        <v>46</v>
      </c>
      <c r="F2365">
        <v>2036</v>
      </c>
      <c r="G2365">
        <v>90592.697450000007</v>
      </c>
      <c r="H2365">
        <v>90592.697450000007</v>
      </c>
      <c r="I2365">
        <v>1</v>
      </c>
    </row>
    <row r="2366" spans="1:9">
      <c r="A2366" t="s">
        <v>308</v>
      </c>
      <c r="B2366" t="s">
        <v>309</v>
      </c>
      <c r="C2366" t="s">
        <v>269</v>
      </c>
      <c r="D2366" t="s">
        <v>307</v>
      </c>
      <c r="E2366" t="s">
        <v>46</v>
      </c>
      <c r="F2366">
        <v>2037</v>
      </c>
      <c r="G2366">
        <v>92986.738060000003</v>
      </c>
      <c r="H2366">
        <v>92986.738060000003</v>
      </c>
      <c r="I2366">
        <v>1</v>
      </c>
    </row>
    <row r="2367" spans="1:9">
      <c r="A2367" t="s">
        <v>308</v>
      </c>
      <c r="B2367" t="s">
        <v>309</v>
      </c>
      <c r="C2367" t="s">
        <v>269</v>
      </c>
      <c r="D2367" t="s">
        <v>307</v>
      </c>
      <c r="E2367" t="s">
        <v>46</v>
      </c>
      <c r="F2367">
        <v>2038</v>
      </c>
      <c r="G2367">
        <v>95417.375929999995</v>
      </c>
      <c r="H2367">
        <v>95417.375929999995</v>
      </c>
      <c r="I2367">
        <v>1</v>
      </c>
    </row>
    <row r="2368" spans="1:9">
      <c r="A2368" t="s">
        <v>308</v>
      </c>
      <c r="B2368" t="s">
        <v>309</v>
      </c>
      <c r="C2368" t="s">
        <v>269</v>
      </c>
      <c r="D2368" t="s">
        <v>307</v>
      </c>
      <c r="E2368" t="s">
        <v>46</v>
      </c>
      <c r="F2368">
        <v>2039</v>
      </c>
      <c r="G2368">
        <v>97883.558999999994</v>
      </c>
      <c r="H2368">
        <v>97883.558999999994</v>
      </c>
      <c r="I2368">
        <v>1</v>
      </c>
    </row>
    <row r="2369" spans="1:9">
      <c r="A2369" t="s">
        <v>308</v>
      </c>
      <c r="B2369" t="s">
        <v>309</v>
      </c>
      <c r="C2369" t="s">
        <v>269</v>
      </c>
      <c r="D2369" t="s">
        <v>307</v>
      </c>
      <c r="E2369" t="s">
        <v>46</v>
      </c>
      <c r="F2369">
        <v>2040</v>
      </c>
      <c r="G2369">
        <v>100384.3291</v>
      </c>
      <c r="H2369">
        <v>100384.3291</v>
      </c>
      <c r="I2369">
        <v>1</v>
      </c>
    </row>
    <row r="2370" spans="1:9">
      <c r="A2370" t="s">
        <v>308</v>
      </c>
      <c r="B2370" t="s">
        <v>309</v>
      </c>
      <c r="C2370" t="s">
        <v>269</v>
      </c>
      <c r="D2370" t="s">
        <v>307</v>
      </c>
      <c r="E2370" t="s">
        <v>46</v>
      </c>
      <c r="F2370">
        <v>2041</v>
      </c>
      <c r="G2370">
        <v>102918.9654</v>
      </c>
      <c r="H2370">
        <v>102918.9654</v>
      </c>
      <c r="I2370">
        <v>1</v>
      </c>
    </row>
    <row r="2371" spans="1:9">
      <c r="A2371" t="s">
        <v>308</v>
      </c>
      <c r="B2371" t="s">
        <v>309</v>
      </c>
      <c r="C2371" t="s">
        <v>269</v>
      </c>
      <c r="D2371" t="s">
        <v>307</v>
      </c>
      <c r="E2371" t="s">
        <v>46</v>
      </c>
      <c r="F2371">
        <v>2042</v>
      </c>
      <c r="G2371">
        <v>105486.6507</v>
      </c>
      <c r="H2371">
        <v>105486.6507</v>
      </c>
      <c r="I2371">
        <v>1</v>
      </c>
    </row>
    <row r="2372" spans="1:9">
      <c r="A2372" t="s">
        <v>308</v>
      </c>
      <c r="B2372" t="s">
        <v>309</v>
      </c>
      <c r="C2372" t="s">
        <v>269</v>
      </c>
      <c r="D2372" t="s">
        <v>307</v>
      </c>
      <c r="E2372" t="s">
        <v>46</v>
      </c>
      <c r="F2372">
        <v>2043</v>
      </c>
      <c r="G2372">
        <v>144114.9472</v>
      </c>
      <c r="H2372">
        <v>144114.9472</v>
      </c>
      <c r="I2372">
        <v>1</v>
      </c>
    </row>
    <row r="2373" spans="1:9">
      <c r="A2373" t="s">
        <v>308</v>
      </c>
      <c r="B2373" t="s">
        <v>309</v>
      </c>
      <c r="C2373" t="s">
        <v>269</v>
      </c>
      <c r="D2373" t="s">
        <v>307</v>
      </c>
      <c r="E2373" t="s">
        <v>46</v>
      </c>
      <c r="F2373">
        <v>2044</v>
      </c>
      <c r="G2373">
        <v>147621.77470000001</v>
      </c>
      <c r="H2373">
        <v>147621.77470000001</v>
      </c>
      <c r="I2373">
        <v>1</v>
      </c>
    </row>
    <row r="2374" spans="1:9">
      <c r="A2374" t="s">
        <v>308</v>
      </c>
      <c r="B2374" t="s">
        <v>309</v>
      </c>
      <c r="C2374" t="s">
        <v>269</v>
      </c>
      <c r="D2374" t="s">
        <v>307</v>
      </c>
      <c r="E2374" t="s">
        <v>46</v>
      </c>
      <c r="F2374">
        <v>2045</v>
      </c>
      <c r="G2374">
        <v>151167.9142</v>
      </c>
      <c r="H2374">
        <v>151167.9142</v>
      </c>
      <c r="I2374">
        <v>1</v>
      </c>
    </row>
    <row r="2375" spans="1:9">
      <c r="A2375" t="s">
        <v>308</v>
      </c>
      <c r="B2375" t="s">
        <v>309</v>
      </c>
      <c r="C2375" t="s">
        <v>269</v>
      </c>
      <c r="D2375" t="s">
        <v>307</v>
      </c>
      <c r="E2375" t="s">
        <v>46</v>
      </c>
      <c r="F2375">
        <v>2046</v>
      </c>
      <c r="G2375">
        <v>154752.1458</v>
      </c>
      <c r="H2375">
        <v>154752.1458</v>
      </c>
      <c r="I2375">
        <v>1</v>
      </c>
    </row>
    <row r="2376" spans="1:9">
      <c r="A2376" t="s">
        <v>308</v>
      </c>
      <c r="B2376" t="s">
        <v>309</v>
      </c>
      <c r="C2376" t="s">
        <v>269</v>
      </c>
      <c r="D2376" t="s">
        <v>307</v>
      </c>
      <c r="E2376" t="s">
        <v>46</v>
      </c>
      <c r="F2376">
        <v>2047</v>
      </c>
      <c r="G2376">
        <v>158373.86439999999</v>
      </c>
      <c r="H2376">
        <v>158373.86439999999</v>
      </c>
      <c r="I2376">
        <v>1</v>
      </c>
    </row>
    <row r="2377" spans="1:9">
      <c r="A2377" t="s">
        <v>308</v>
      </c>
      <c r="B2377" t="s">
        <v>309</v>
      </c>
      <c r="C2377" t="s">
        <v>269</v>
      </c>
      <c r="D2377" t="s">
        <v>307</v>
      </c>
      <c r="E2377" t="s">
        <v>46</v>
      </c>
      <c r="F2377">
        <v>2048</v>
      </c>
      <c r="G2377">
        <v>162032.9523</v>
      </c>
      <c r="H2377">
        <v>162032.9523</v>
      </c>
      <c r="I2377">
        <v>1</v>
      </c>
    </row>
    <row r="2378" spans="1:9">
      <c r="A2378" t="s">
        <v>308</v>
      </c>
      <c r="B2378" t="s">
        <v>309</v>
      </c>
      <c r="C2378" t="s">
        <v>269</v>
      </c>
      <c r="D2378" t="s">
        <v>307</v>
      </c>
      <c r="E2378" t="s">
        <v>46</v>
      </c>
      <c r="F2378">
        <v>2049</v>
      </c>
      <c r="G2378">
        <v>165729.60200000001</v>
      </c>
      <c r="H2378">
        <v>165729.60200000001</v>
      </c>
      <c r="I2378">
        <v>1</v>
      </c>
    </row>
    <row r="2379" spans="1:9">
      <c r="A2379" t="s">
        <v>308</v>
      </c>
      <c r="B2379" t="s">
        <v>309</v>
      </c>
      <c r="C2379" t="s">
        <v>269</v>
      </c>
      <c r="D2379" t="s">
        <v>307</v>
      </c>
      <c r="E2379" t="s">
        <v>46</v>
      </c>
      <c r="F2379">
        <v>2050</v>
      </c>
      <c r="G2379">
        <v>211829.75949999999</v>
      </c>
      <c r="H2379">
        <v>211829.75949999999</v>
      </c>
      <c r="I2379">
        <v>1</v>
      </c>
    </row>
    <row r="2380" spans="1:9">
      <c r="A2380" t="s">
        <v>310</v>
      </c>
      <c r="B2380" t="s">
        <v>311</v>
      </c>
      <c r="C2380" t="s">
        <v>269</v>
      </c>
      <c r="D2380" t="s">
        <v>25</v>
      </c>
      <c r="E2380" t="s">
        <v>40</v>
      </c>
      <c r="F2380">
        <v>2010</v>
      </c>
      <c r="G2380">
        <v>0</v>
      </c>
      <c r="H2380">
        <v>0</v>
      </c>
      <c r="I2380">
        <v>1</v>
      </c>
    </row>
    <row r="2381" spans="1:9">
      <c r="A2381" t="s">
        <v>310</v>
      </c>
      <c r="B2381" t="s">
        <v>311</v>
      </c>
      <c r="C2381" t="s">
        <v>269</v>
      </c>
      <c r="D2381" t="s">
        <v>25</v>
      </c>
      <c r="E2381" t="s">
        <v>40</v>
      </c>
      <c r="F2381">
        <v>2011</v>
      </c>
      <c r="G2381">
        <v>0</v>
      </c>
      <c r="H2381">
        <v>0</v>
      </c>
      <c r="I2381">
        <v>1</v>
      </c>
    </row>
    <row r="2382" spans="1:9">
      <c r="A2382" t="s">
        <v>310</v>
      </c>
      <c r="B2382" t="s">
        <v>311</v>
      </c>
      <c r="C2382" t="s">
        <v>269</v>
      </c>
      <c r="D2382" t="s">
        <v>25</v>
      </c>
      <c r="E2382" t="s">
        <v>40</v>
      </c>
      <c r="F2382">
        <v>2012</v>
      </c>
      <c r="G2382">
        <v>0</v>
      </c>
      <c r="H2382">
        <v>0</v>
      </c>
      <c r="I2382">
        <v>1</v>
      </c>
    </row>
    <row r="2383" spans="1:9">
      <c r="A2383" t="s">
        <v>310</v>
      </c>
      <c r="B2383" t="s">
        <v>311</v>
      </c>
      <c r="C2383" t="s">
        <v>269</v>
      </c>
      <c r="D2383" t="s">
        <v>25</v>
      </c>
      <c r="E2383" t="s">
        <v>40</v>
      </c>
      <c r="F2383">
        <v>2013</v>
      </c>
      <c r="G2383">
        <v>0</v>
      </c>
      <c r="H2383">
        <v>0</v>
      </c>
      <c r="I2383">
        <v>1</v>
      </c>
    </row>
    <row r="2384" spans="1:9">
      <c r="A2384" t="s">
        <v>310</v>
      </c>
      <c r="B2384" t="s">
        <v>311</v>
      </c>
      <c r="C2384" t="s">
        <v>269</v>
      </c>
      <c r="D2384" t="s">
        <v>25</v>
      </c>
      <c r="E2384" t="s">
        <v>40</v>
      </c>
      <c r="F2384">
        <v>2014</v>
      </c>
      <c r="G2384">
        <v>0</v>
      </c>
      <c r="H2384">
        <v>0</v>
      </c>
      <c r="I2384">
        <v>1</v>
      </c>
    </row>
    <row r="2385" spans="1:9">
      <c r="A2385" t="s">
        <v>310</v>
      </c>
      <c r="B2385" t="s">
        <v>311</v>
      </c>
      <c r="C2385" t="s">
        <v>269</v>
      </c>
      <c r="D2385" t="s">
        <v>25</v>
      </c>
      <c r="E2385" t="s">
        <v>40</v>
      </c>
      <c r="F2385">
        <v>2015</v>
      </c>
      <c r="G2385">
        <v>0</v>
      </c>
      <c r="H2385">
        <v>0</v>
      </c>
      <c r="I2385">
        <v>1</v>
      </c>
    </row>
    <row r="2386" spans="1:9">
      <c r="A2386" t="s">
        <v>310</v>
      </c>
      <c r="B2386" t="s">
        <v>311</v>
      </c>
      <c r="C2386" t="s">
        <v>269</v>
      </c>
      <c r="D2386" t="s">
        <v>25</v>
      </c>
      <c r="E2386" t="s">
        <v>40</v>
      </c>
      <c r="F2386">
        <v>2016</v>
      </c>
      <c r="G2386">
        <v>0</v>
      </c>
      <c r="H2386">
        <v>0</v>
      </c>
      <c r="I2386">
        <v>1</v>
      </c>
    </row>
    <row r="2387" spans="1:9">
      <c r="A2387" t="s">
        <v>310</v>
      </c>
      <c r="B2387" t="s">
        <v>311</v>
      </c>
      <c r="C2387" t="s">
        <v>269</v>
      </c>
      <c r="D2387" t="s">
        <v>25</v>
      </c>
      <c r="E2387" t="s">
        <v>40</v>
      </c>
      <c r="F2387">
        <v>2017</v>
      </c>
      <c r="G2387">
        <v>0</v>
      </c>
      <c r="H2387">
        <v>0</v>
      </c>
      <c r="I2387">
        <v>1</v>
      </c>
    </row>
    <row r="2388" spans="1:9">
      <c r="A2388" t="s">
        <v>310</v>
      </c>
      <c r="B2388" t="s">
        <v>311</v>
      </c>
      <c r="C2388" t="s">
        <v>269</v>
      </c>
      <c r="D2388" t="s">
        <v>25</v>
      </c>
      <c r="E2388" t="s">
        <v>40</v>
      </c>
      <c r="F2388">
        <v>2018</v>
      </c>
      <c r="G2388">
        <v>0</v>
      </c>
      <c r="H2388">
        <v>0</v>
      </c>
      <c r="I2388">
        <v>1</v>
      </c>
    </row>
    <row r="2389" spans="1:9">
      <c r="A2389" t="s">
        <v>310</v>
      </c>
      <c r="B2389" t="s">
        <v>311</v>
      </c>
      <c r="C2389" t="s">
        <v>269</v>
      </c>
      <c r="D2389" t="s">
        <v>25</v>
      </c>
      <c r="E2389" t="s">
        <v>40</v>
      </c>
      <c r="F2389">
        <v>2019</v>
      </c>
      <c r="G2389">
        <v>0</v>
      </c>
      <c r="H2389">
        <v>0</v>
      </c>
      <c r="I2389">
        <v>1</v>
      </c>
    </row>
    <row r="2390" spans="1:9">
      <c r="A2390" t="s">
        <v>310</v>
      </c>
      <c r="B2390" t="s">
        <v>311</v>
      </c>
      <c r="C2390" t="s">
        <v>269</v>
      </c>
      <c r="D2390" t="s">
        <v>25</v>
      </c>
      <c r="E2390" t="s">
        <v>40</v>
      </c>
      <c r="F2390">
        <v>2020</v>
      </c>
      <c r="G2390">
        <v>0</v>
      </c>
      <c r="H2390">
        <v>0</v>
      </c>
      <c r="I2390">
        <v>1</v>
      </c>
    </row>
    <row r="2391" spans="1:9">
      <c r="A2391" t="s">
        <v>310</v>
      </c>
      <c r="B2391" t="s">
        <v>311</v>
      </c>
      <c r="C2391" t="s">
        <v>269</v>
      </c>
      <c r="D2391" t="s">
        <v>25</v>
      </c>
      <c r="E2391" t="s">
        <v>40</v>
      </c>
      <c r="F2391">
        <v>2021</v>
      </c>
      <c r="G2391">
        <v>0</v>
      </c>
      <c r="H2391">
        <v>0</v>
      </c>
      <c r="I2391">
        <v>1</v>
      </c>
    </row>
    <row r="2392" spans="1:9">
      <c r="A2392" t="s">
        <v>310</v>
      </c>
      <c r="B2392" t="s">
        <v>311</v>
      </c>
      <c r="C2392" t="s">
        <v>269</v>
      </c>
      <c r="D2392" t="s">
        <v>25</v>
      </c>
      <c r="E2392" t="s">
        <v>40</v>
      </c>
      <c r="F2392">
        <v>2022</v>
      </c>
      <c r="G2392">
        <v>0</v>
      </c>
      <c r="H2392">
        <v>0</v>
      </c>
      <c r="I2392">
        <v>1</v>
      </c>
    </row>
    <row r="2393" spans="1:9">
      <c r="A2393" t="s">
        <v>310</v>
      </c>
      <c r="B2393" t="s">
        <v>311</v>
      </c>
      <c r="C2393" t="s">
        <v>269</v>
      </c>
      <c r="D2393" t="s">
        <v>25</v>
      </c>
      <c r="E2393" t="s">
        <v>40</v>
      </c>
      <c r="F2393">
        <v>2023</v>
      </c>
      <c r="G2393">
        <v>0</v>
      </c>
      <c r="H2393">
        <v>0</v>
      </c>
      <c r="I2393">
        <v>1</v>
      </c>
    </row>
    <row r="2394" spans="1:9">
      <c r="A2394" t="s">
        <v>310</v>
      </c>
      <c r="B2394" t="s">
        <v>311</v>
      </c>
      <c r="C2394" t="s">
        <v>269</v>
      </c>
      <c r="D2394" t="s">
        <v>25</v>
      </c>
      <c r="E2394" t="s">
        <v>40</v>
      </c>
      <c r="F2394">
        <v>2024</v>
      </c>
      <c r="G2394">
        <v>0</v>
      </c>
      <c r="H2394">
        <v>0</v>
      </c>
      <c r="I2394">
        <v>1</v>
      </c>
    </row>
    <row r="2395" spans="1:9">
      <c r="A2395" t="s">
        <v>310</v>
      </c>
      <c r="B2395" t="s">
        <v>311</v>
      </c>
      <c r="C2395" t="s">
        <v>269</v>
      </c>
      <c r="D2395" t="s">
        <v>25</v>
      </c>
      <c r="E2395" t="s">
        <v>40</v>
      </c>
      <c r="F2395">
        <v>2025</v>
      </c>
      <c r="G2395">
        <v>0</v>
      </c>
      <c r="H2395">
        <v>0</v>
      </c>
      <c r="I2395">
        <v>1</v>
      </c>
    </row>
    <row r="2396" spans="1:9">
      <c r="A2396" t="s">
        <v>310</v>
      </c>
      <c r="B2396" t="s">
        <v>311</v>
      </c>
      <c r="C2396" t="s">
        <v>269</v>
      </c>
      <c r="D2396" t="s">
        <v>25</v>
      </c>
      <c r="E2396" t="s">
        <v>40</v>
      </c>
      <c r="F2396">
        <v>2026</v>
      </c>
      <c r="G2396">
        <v>0</v>
      </c>
      <c r="H2396">
        <v>0</v>
      </c>
      <c r="I2396">
        <v>1</v>
      </c>
    </row>
    <row r="2397" spans="1:9">
      <c r="A2397" t="s">
        <v>310</v>
      </c>
      <c r="B2397" t="s">
        <v>311</v>
      </c>
      <c r="C2397" t="s">
        <v>269</v>
      </c>
      <c r="D2397" t="s">
        <v>25</v>
      </c>
      <c r="E2397" t="s">
        <v>40</v>
      </c>
      <c r="F2397">
        <v>2027</v>
      </c>
      <c r="G2397">
        <v>0</v>
      </c>
      <c r="H2397">
        <v>0</v>
      </c>
      <c r="I2397">
        <v>1</v>
      </c>
    </row>
    <row r="2398" spans="1:9">
      <c r="A2398" t="s">
        <v>310</v>
      </c>
      <c r="B2398" t="s">
        <v>311</v>
      </c>
      <c r="C2398" t="s">
        <v>269</v>
      </c>
      <c r="D2398" t="s">
        <v>25</v>
      </c>
      <c r="E2398" t="s">
        <v>40</v>
      </c>
      <c r="F2398">
        <v>2028</v>
      </c>
      <c r="G2398">
        <v>0</v>
      </c>
      <c r="H2398">
        <v>0</v>
      </c>
      <c r="I2398">
        <v>1</v>
      </c>
    </row>
    <row r="2399" spans="1:9">
      <c r="A2399" t="s">
        <v>310</v>
      </c>
      <c r="B2399" t="s">
        <v>311</v>
      </c>
      <c r="C2399" t="s">
        <v>269</v>
      </c>
      <c r="D2399" t="s">
        <v>25</v>
      </c>
      <c r="E2399" t="s">
        <v>40</v>
      </c>
      <c r="F2399">
        <v>2029</v>
      </c>
      <c r="G2399">
        <v>0</v>
      </c>
      <c r="H2399">
        <v>0</v>
      </c>
      <c r="I2399">
        <v>1</v>
      </c>
    </row>
    <row r="2400" spans="1:9">
      <c r="A2400" t="s">
        <v>310</v>
      </c>
      <c r="B2400" t="s">
        <v>311</v>
      </c>
      <c r="C2400" t="s">
        <v>269</v>
      </c>
      <c r="D2400" t="s">
        <v>25</v>
      </c>
      <c r="E2400" t="s">
        <v>40</v>
      </c>
      <c r="F2400">
        <v>2030</v>
      </c>
      <c r="G2400">
        <v>0</v>
      </c>
      <c r="H2400">
        <v>0</v>
      </c>
      <c r="I2400">
        <v>1</v>
      </c>
    </row>
    <row r="2401" spans="1:9">
      <c r="A2401" t="s">
        <v>310</v>
      </c>
      <c r="B2401" t="s">
        <v>311</v>
      </c>
      <c r="C2401" t="s">
        <v>269</v>
      </c>
      <c r="D2401" t="s">
        <v>25</v>
      </c>
      <c r="E2401" t="s">
        <v>40</v>
      </c>
      <c r="F2401">
        <v>2031</v>
      </c>
      <c r="G2401">
        <v>0</v>
      </c>
      <c r="H2401">
        <v>0</v>
      </c>
      <c r="I2401">
        <v>1</v>
      </c>
    </row>
    <row r="2402" spans="1:9">
      <c r="A2402" t="s">
        <v>310</v>
      </c>
      <c r="B2402" t="s">
        <v>311</v>
      </c>
      <c r="C2402" t="s">
        <v>269</v>
      </c>
      <c r="D2402" t="s">
        <v>25</v>
      </c>
      <c r="E2402" t="s">
        <v>40</v>
      </c>
      <c r="F2402">
        <v>2032</v>
      </c>
      <c r="G2402">
        <v>0</v>
      </c>
      <c r="H2402">
        <v>0</v>
      </c>
      <c r="I2402">
        <v>1</v>
      </c>
    </row>
    <row r="2403" spans="1:9">
      <c r="A2403" t="s">
        <v>310</v>
      </c>
      <c r="B2403" t="s">
        <v>311</v>
      </c>
      <c r="C2403" t="s">
        <v>269</v>
      </c>
      <c r="D2403" t="s">
        <v>25</v>
      </c>
      <c r="E2403" t="s">
        <v>40</v>
      </c>
      <c r="F2403">
        <v>2033</v>
      </c>
      <c r="G2403">
        <v>0</v>
      </c>
      <c r="H2403">
        <v>0</v>
      </c>
      <c r="I2403">
        <v>1</v>
      </c>
    </row>
    <row r="2404" spans="1:9">
      <c r="A2404" t="s">
        <v>310</v>
      </c>
      <c r="B2404" t="s">
        <v>311</v>
      </c>
      <c r="C2404" t="s">
        <v>269</v>
      </c>
      <c r="D2404" t="s">
        <v>25</v>
      </c>
      <c r="E2404" t="s">
        <v>40</v>
      </c>
      <c r="F2404">
        <v>2034</v>
      </c>
      <c r="G2404">
        <v>0</v>
      </c>
      <c r="H2404">
        <v>0</v>
      </c>
      <c r="I2404">
        <v>1</v>
      </c>
    </row>
    <row r="2405" spans="1:9">
      <c r="A2405" t="s">
        <v>310</v>
      </c>
      <c r="B2405" t="s">
        <v>311</v>
      </c>
      <c r="C2405" t="s">
        <v>269</v>
      </c>
      <c r="D2405" t="s">
        <v>25</v>
      </c>
      <c r="E2405" t="s">
        <v>40</v>
      </c>
      <c r="F2405">
        <v>2035</v>
      </c>
      <c r="G2405">
        <v>0</v>
      </c>
      <c r="H2405">
        <v>0</v>
      </c>
      <c r="I2405">
        <v>1</v>
      </c>
    </row>
    <row r="2406" spans="1:9">
      <c r="A2406" t="s">
        <v>310</v>
      </c>
      <c r="B2406" t="s">
        <v>311</v>
      </c>
      <c r="C2406" t="s">
        <v>269</v>
      </c>
      <c r="D2406" t="s">
        <v>25</v>
      </c>
      <c r="E2406" t="s">
        <v>40</v>
      </c>
      <c r="F2406">
        <v>2036</v>
      </c>
      <c r="G2406">
        <v>0</v>
      </c>
      <c r="H2406">
        <v>0</v>
      </c>
      <c r="I2406">
        <v>1</v>
      </c>
    </row>
    <row r="2407" spans="1:9">
      <c r="A2407" t="s">
        <v>310</v>
      </c>
      <c r="B2407" t="s">
        <v>311</v>
      </c>
      <c r="C2407" t="s">
        <v>269</v>
      </c>
      <c r="D2407" t="s">
        <v>25</v>
      </c>
      <c r="E2407" t="s">
        <v>40</v>
      </c>
      <c r="F2407">
        <v>2037</v>
      </c>
      <c r="G2407">
        <v>0</v>
      </c>
      <c r="H2407">
        <v>0</v>
      </c>
      <c r="I2407">
        <v>1</v>
      </c>
    </row>
    <row r="2408" spans="1:9">
      <c r="A2408" t="s">
        <v>310</v>
      </c>
      <c r="B2408" t="s">
        <v>311</v>
      </c>
      <c r="C2408" t="s">
        <v>269</v>
      </c>
      <c r="D2408" t="s">
        <v>25</v>
      </c>
      <c r="E2408" t="s">
        <v>40</v>
      </c>
      <c r="F2408">
        <v>2038</v>
      </c>
      <c r="G2408">
        <v>0</v>
      </c>
      <c r="H2408">
        <v>0</v>
      </c>
      <c r="I2408">
        <v>1</v>
      </c>
    </row>
    <row r="2409" spans="1:9">
      <c r="A2409" t="s">
        <v>310</v>
      </c>
      <c r="B2409" t="s">
        <v>311</v>
      </c>
      <c r="C2409" t="s">
        <v>269</v>
      </c>
      <c r="D2409" t="s">
        <v>25</v>
      </c>
      <c r="E2409" t="s">
        <v>40</v>
      </c>
      <c r="F2409">
        <v>2039</v>
      </c>
      <c r="G2409">
        <v>0</v>
      </c>
      <c r="H2409">
        <v>0</v>
      </c>
      <c r="I2409">
        <v>1</v>
      </c>
    </row>
    <row r="2410" spans="1:9">
      <c r="A2410" t="s">
        <v>310</v>
      </c>
      <c r="B2410" t="s">
        <v>311</v>
      </c>
      <c r="C2410" t="s">
        <v>269</v>
      </c>
      <c r="D2410" t="s">
        <v>25</v>
      </c>
      <c r="E2410" t="s">
        <v>40</v>
      </c>
      <c r="F2410">
        <v>2040</v>
      </c>
      <c r="G2410">
        <v>0</v>
      </c>
      <c r="H2410">
        <v>0</v>
      </c>
      <c r="I2410">
        <v>1</v>
      </c>
    </row>
    <row r="2411" spans="1:9">
      <c r="A2411" t="s">
        <v>310</v>
      </c>
      <c r="B2411" t="s">
        <v>311</v>
      </c>
      <c r="C2411" t="s">
        <v>269</v>
      </c>
      <c r="D2411" t="s">
        <v>25</v>
      </c>
      <c r="E2411" t="s">
        <v>40</v>
      </c>
      <c r="F2411">
        <v>2041</v>
      </c>
      <c r="G2411">
        <v>0</v>
      </c>
      <c r="H2411">
        <v>0</v>
      </c>
      <c r="I2411">
        <v>1</v>
      </c>
    </row>
    <row r="2412" spans="1:9">
      <c r="A2412" t="s">
        <v>310</v>
      </c>
      <c r="B2412" t="s">
        <v>311</v>
      </c>
      <c r="C2412" t="s">
        <v>269</v>
      </c>
      <c r="D2412" t="s">
        <v>25</v>
      </c>
      <c r="E2412" t="s">
        <v>40</v>
      </c>
      <c r="F2412">
        <v>2042</v>
      </c>
      <c r="G2412">
        <v>0</v>
      </c>
      <c r="H2412">
        <v>0</v>
      </c>
      <c r="I2412">
        <v>1</v>
      </c>
    </row>
    <row r="2413" spans="1:9">
      <c r="A2413" t="s">
        <v>310</v>
      </c>
      <c r="B2413" t="s">
        <v>311</v>
      </c>
      <c r="C2413" t="s">
        <v>269</v>
      </c>
      <c r="D2413" t="s">
        <v>25</v>
      </c>
      <c r="E2413" t="s">
        <v>40</v>
      </c>
      <c r="F2413">
        <v>2043</v>
      </c>
      <c r="G2413">
        <v>0</v>
      </c>
      <c r="H2413">
        <v>0</v>
      </c>
      <c r="I2413">
        <v>1</v>
      </c>
    </row>
    <row r="2414" spans="1:9">
      <c r="A2414" t="s">
        <v>310</v>
      </c>
      <c r="B2414" t="s">
        <v>311</v>
      </c>
      <c r="C2414" t="s">
        <v>269</v>
      </c>
      <c r="D2414" t="s">
        <v>25</v>
      </c>
      <c r="E2414" t="s">
        <v>40</v>
      </c>
      <c r="F2414">
        <v>2044</v>
      </c>
      <c r="G2414">
        <v>0</v>
      </c>
      <c r="H2414">
        <v>0</v>
      </c>
      <c r="I2414">
        <v>1</v>
      </c>
    </row>
    <row r="2415" spans="1:9">
      <c r="A2415" t="s">
        <v>310</v>
      </c>
      <c r="B2415" t="s">
        <v>311</v>
      </c>
      <c r="C2415" t="s">
        <v>269</v>
      </c>
      <c r="D2415" t="s">
        <v>25</v>
      </c>
      <c r="E2415" t="s">
        <v>40</v>
      </c>
      <c r="F2415">
        <v>2045</v>
      </c>
      <c r="G2415">
        <v>0</v>
      </c>
      <c r="H2415">
        <v>0</v>
      </c>
      <c r="I2415">
        <v>1</v>
      </c>
    </row>
    <row r="2416" spans="1:9">
      <c r="A2416" t="s">
        <v>310</v>
      </c>
      <c r="B2416" t="s">
        <v>311</v>
      </c>
      <c r="C2416" t="s">
        <v>269</v>
      </c>
      <c r="D2416" t="s">
        <v>25</v>
      </c>
      <c r="E2416" t="s">
        <v>40</v>
      </c>
      <c r="F2416">
        <v>2046</v>
      </c>
      <c r="G2416">
        <v>0</v>
      </c>
      <c r="H2416">
        <v>0</v>
      </c>
      <c r="I2416">
        <v>1</v>
      </c>
    </row>
    <row r="2417" spans="1:9">
      <c r="A2417" t="s">
        <v>310</v>
      </c>
      <c r="B2417" t="s">
        <v>311</v>
      </c>
      <c r="C2417" t="s">
        <v>269</v>
      </c>
      <c r="D2417" t="s">
        <v>25</v>
      </c>
      <c r="E2417" t="s">
        <v>40</v>
      </c>
      <c r="F2417">
        <v>2047</v>
      </c>
      <c r="G2417">
        <v>0</v>
      </c>
      <c r="H2417">
        <v>0</v>
      </c>
      <c r="I2417">
        <v>1</v>
      </c>
    </row>
    <row r="2418" spans="1:9">
      <c r="A2418" t="s">
        <v>310</v>
      </c>
      <c r="B2418" t="s">
        <v>311</v>
      </c>
      <c r="C2418" t="s">
        <v>269</v>
      </c>
      <c r="D2418" t="s">
        <v>25</v>
      </c>
      <c r="E2418" t="s">
        <v>40</v>
      </c>
      <c r="F2418">
        <v>2048</v>
      </c>
      <c r="G2418">
        <v>0</v>
      </c>
      <c r="H2418">
        <v>0</v>
      </c>
      <c r="I2418">
        <v>1</v>
      </c>
    </row>
    <row r="2419" spans="1:9">
      <c r="A2419" t="s">
        <v>310</v>
      </c>
      <c r="B2419" t="s">
        <v>311</v>
      </c>
      <c r="C2419" t="s">
        <v>269</v>
      </c>
      <c r="D2419" t="s">
        <v>25</v>
      </c>
      <c r="E2419" t="s">
        <v>40</v>
      </c>
      <c r="F2419">
        <v>2049</v>
      </c>
      <c r="G2419">
        <v>0</v>
      </c>
      <c r="H2419">
        <v>0</v>
      </c>
      <c r="I2419">
        <v>1</v>
      </c>
    </row>
    <row r="2420" spans="1:9">
      <c r="A2420" t="s">
        <v>310</v>
      </c>
      <c r="B2420" t="s">
        <v>311</v>
      </c>
      <c r="C2420" t="s">
        <v>269</v>
      </c>
      <c r="D2420" t="s">
        <v>25</v>
      </c>
      <c r="E2420" t="s">
        <v>40</v>
      </c>
      <c r="F2420">
        <v>2050</v>
      </c>
      <c r="G2420">
        <v>0</v>
      </c>
      <c r="H2420">
        <v>0</v>
      </c>
      <c r="I2420">
        <v>1</v>
      </c>
    </row>
    <row r="2421" spans="1:9">
      <c r="A2421" t="s">
        <v>310</v>
      </c>
      <c r="B2421" t="s">
        <v>311</v>
      </c>
      <c r="C2421" t="s">
        <v>269</v>
      </c>
      <c r="D2421" t="s">
        <v>26</v>
      </c>
      <c r="E2421" t="s">
        <v>40</v>
      </c>
      <c r="F2421">
        <v>2010</v>
      </c>
      <c r="G2421">
        <v>0</v>
      </c>
      <c r="H2421">
        <v>0</v>
      </c>
      <c r="I2421">
        <v>1</v>
      </c>
    </row>
    <row r="2422" spans="1:9">
      <c r="A2422" t="s">
        <v>310</v>
      </c>
      <c r="B2422" t="s">
        <v>311</v>
      </c>
      <c r="C2422" t="s">
        <v>269</v>
      </c>
      <c r="D2422" t="s">
        <v>26</v>
      </c>
      <c r="E2422" t="s">
        <v>40</v>
      </c>
      <c r="F2422">
        <v>2011</v>
      </c>
      <c r="G2422">
        <v>0</v>
      </c>
      <c r="H2422">
        <v>0</v>
      </c>
      <c r="I2422">
        <v>1</v>
      </c>
    </row>
    <row r="2423" spans="1:9">
      <c r="A2423" t="s">
        <v>310</v>
      </c>
      <c r="B2423" t="s">
        <v>311</v>
      </c>
      <c r="C2423" t="s">
        <v>269</v>
      </c>
      <c r="D2423" t="s">
        <v>26</v>
      </c>
      <c r="E2423" t="s">
        <v>40</v>
      </c>
      <c r="F2423">
        <v>2012</v>
      </c>
      <c r="G2423">
        <v>0</v>
      </c>
      <c r="H2423">
        <v>0</v>
      </c>
      <c r="I2423">
        <v>1</v>
      </c>
    </row>
    <row r="2424" spans="1:9">
      <c r="A2424" t="s">
        <v>310</v>
      </c>
      <c r="B2424" t="s">
        <v>311</v>
      </c>
      <c r="C2424" t="s">
        <v>269</v>
      </c>
      <c r="D2424" t="s">
        <v>26</v>
      </c>
      <c r="E2424" t="s">
        <v>40</v>
      </c>
      <c r="F2424">
        <v>2013</v>
      </c>
      <c r="G2424">
        <v>0</v>
      </c>
      <c r="H2424">
        <v>0</v>
      </c>
      <c r="I2424">
        <v>1</v>
      </c>
    </row>
    <row r="2425" spans="1:9">
      <c r="A2425" t="s">
        <v>310</v>
      </c>
      <c r="B2425" t="s">
        <v>311</v>
      </c>
      <c r="C2425" t="s">
        <v>269</v>
      </c>
      <c r="D2425" t="s">
        <v>26</v>
      </c>
      <c r="E2425" t="s">
        <v>40</v>
      </c>
      <c r="F2425">
        <v>2014</v>
      </c>
      <c r="G2425">
        <v>0</v>
      </c>
      <c r="H2425">
        <v>0</v>
      </c>
      <c r="I2425">
        <v>1</v>
      </c>
    </row>
    <row r="2426" spans="1:9">
      <c r="A2426" t="s">
        <v>310</v>
      </c>
      <c r="B2426" t="s">
        <v>311</v>
      </c>
      <c r="C2426" t="s">
        <v>269</v>
      </c>
      <c r="D2426" t="s">
        <v>26</v>
      </c>
      <c r="E2426" t="s">
        <v>40</v>
      </c>
      <c r="F2426">
        <v>2015</v>
      </c>
      <c r="G2426">
        <v>0</v>
      </c>
      <c r="H2426">
        <v>0</v>
      </c>
      <c r="I2426">
        <v>1</v>
      </c>
    </row>
    <row r="2427" spans="1:9">
      <c r="A2427" t="s">
        <v>310</v>
      </c>
      <c r="B2427" t="s">
        <v>311</v>
      </c>
      <c r="C2427" t="s">
        <v>269</v>
      </c>
      <c r="D2427" t="s">
        <v>26</v>
      </c>
      <c r="E2427" t="s">
        <v>40</v>
      </c>
      <c r="F2427">
        <v>2016</v>
      </c>
      <c r="G2427">
        <v>0</v>
      </c>
      <c r="H2427">
        <v>0</v>
      </c>
      <c r="I2427">
        <v>1</v>
      </c>
    </row>
    <row r="2428" spans="1:9">
      <c r="A2428" t="s">
        <v>310</v>
      </c>
      <c r="B2428" t="s">
        <v>311</v>
      </c>
      <c r="C2428" t="s">
        <v>269</v>
      </c>
      <c r="D2428" t="s">
        <v>26</v>
      </c>
      <c r="E2428" t="s">
        <v>40</v>
      </c>
      <c r="F2428">
        <v>2017</v>
      </c>
      <c r="G2428">
        <v>0</v>
      </c>
      <c r="H2428">
        <v>0</v>
      </c>
      <c r="I2428">
        <v>1</v>
      </c>
    </row>
    <row r="2429" spans="1:9">
      <c r="A2429" t="s">
        <v>310</v>
      </c>
      <c r="B2429" t="s">
        <v>311</v>
      </c>
      <c r="C2429" t="s">
        <v>269</v>
      </c>
      <c r="D2429" t="s">
        <v>26</v>
      </c>
      <c r="E2429" t="s">
        <v>40</v>
      </c>
      <c r="F2429">
        <v>2018</v>
      </c>
      <c r="G2429">
        <v>0</v>
      </c>
      <c r="H2429">
        <v>0</v>
      </c>
      <c r="I2429">
        <v>1</v>
      </c>
    </row>
    <row r="2430" spans="1:9">
      <c r="A2430" t="s">
        <v>310</v>
      </c>
      <c r="B2430" t="s">
        <v>311</v>
      </c>
      <c r="C2430" t="s">
        <v>269</v>
      </c>
      <c r="D2430" t="s">
        <v>26</v>
      </c>
      <c r="E2430" t="s">
        <v>40</v>
      </c>
      <c r="F2430">
        <v>2019</v>
      </c>
      <c r="G2430">
        <v>0</v>
      </c>
      <c r="H2430">
        <v>0</v>
      </c>
      <c r="I2430">
        <v>1</v>
      </c>
    </row>
    <row r="2431" spans="1:9">
      <c r="A2431" t="s">
        <v>310</v>
      </c>
      <c r="B2431" t="s">
        <v>311</v>
      </c>
      <c r="C2431" t="s">
        <v>269</v>
      </c>
      <c r="D2431" t="s">
        <v>26</v>
      </c>
      <c r="E2431" t="s">
        <v>40</v>
      </c>
      <c r="F2431">
        <v>2020</v>
      </c>
      <c r="G2431">
        <v>0</v>
      </c>
      <c r="H2431">
        <v>0</v>
      </c>
      <c r="I2431">
        <v>1</v>
      </c>
    </row>
    <row r="2432" spans="1:9">
      <c r="A2432" t="s">
        <v>310</v>
      </c>
      <c r="B2432" t="s">
        <v>311</v>
      </c>
      <c r="C2432" t="s">
        <v>269</v>
      </c>
      <c r="D2432" t="s">
        <v>26</v>
      </c>
      <c r="E2432" t="s">
        <v>40</v>
      </c>
      <c r="F2432">
        <v>2021</v>
      </c>
      <c r="G2432">
        <v>0</v>
      </c>
      <c r="H2432">
        <v>0</v>
      </c>
      <c r="I2432">
        <v>1</v>
      </c>
    </row>
    <row r="2433" spans="1:9">
      <c r="A2433" t="s">
        <v>310</v>
      </c>
      <c r="B2433" t="s">
        <v>311</v>
      </c>
      <c r="C2433" t="s">
        <v>269</v>
      </c>
      <c r="D2433" t="s">
        <v>26</v>
      </c>
      <c r="E2433" t="s">
        <v>40</v>
      </c>
      <c r="F2433">
        <v>2022</v>
      </c>
      <c r="G2433">
        <v>0</v>
      </c>
      <c r="H2433">
        <v>0</v>
      </c>
      <c r="I2433">
        <v>1</v>
      </c>
    </row>
    <row r="2434" spans="1:9">
      <c r="A2434" t="s">
        <v>310</v>
      </c>
      <c r="B2434" t="s">
        <v>311</v>
      </c>
      <c r="C2434" t="s">
        <v>269</v>
      </c>
      <c r="D2434" t="s">
        <v>26</v>
      </c>
      <c r="E2434" t="s">
        <v>40</v>
      </c>
      <c r="F2434">
        <v>2023</v>
      </c>
      <c r="G2434">
        <v>0</v>
      </c>
      <c r="H2434">
        <v>0</v>
      </c>
      <c r="I2434">
        <v>1</v>
      </c>
    </row>
    <row r="2435" spans="1:9">
      <c r="A2435" t="s">
        <v>310</v>
      </c>
      <c r="B2435" t="s">
        <v>311</v>
      </c>
      <c r="C2435" t="s">
        <v>269</v>
      </c>
      <c r="D2435" t="s">
        <v>26</v>
      </c>
      <c r="E2435" t="s">
        <v>40</v>
      </c>
      <c r="F2435">
        <v>2024</v>
      </c>
      <c r="G2435">
        <v>0</v>
      </c>
      <c r="H2435">
        <v>0</v>
      </c>
      <c r="I2435">
        <v>1</v>
      </c>
    </row>
    <row r="2436" spans="1:9">
      <c r="A2436" t="s">
        <v>310</v>
      </c>
      <c r="B2436" t="s">
        <v>311</v>
      </c>
      <c r="C2436" t="s">
        <v>269</v>
      </c>
      <c r="D2436" t="s">
        <v>26</v>
      </c>
      <c r="E2436" t="s">
        <v>40</v>
      </c>
      <c r="F2436">
        <v>2025</v>
      </c>
      <c r="G2436">
        <v>0</v>
      </c>
      <c r="H2436">
        <v>0</v>
      </c>
      <c r="I2436">
        <v>1</v>
      </c>
    </row>
    <row r="2437" spans="1:9">
      <c r="A2437" t="s">
        <v>310</v>
      </c>
      <c r="B2437" t="s">
        <v>311</v>
      </c>
      <c r="C2437" t="s">
        <v>269</v>
      </c>
      <c r="D2437" t="s">
        <v>26</v>
      </c>
      <c r="E2437" t="s">
        <v>40</v>
      </c>
      <c r="F2437">
        <v>2026</v>
      </c>
      <c r="G2437">
        <v>0</v>
      </c>
      <c r="H2437">
        <v>0</v>
      </c>
      <c r="I2437">
        <v>1</v>
      </c>
    </row>
    <row r="2438" spans="1:9">
      <c r="A2438" t="s">
        <v>310</v>
      </c>
      <c r="B2438" t="s">
        <v>311</v>
      </c>
      <c r="C2438" t="s">
        <v>269</v>
      </c>
      <c r="D2438" t="s">
        <v>26</v>
      </c>
      <c r="E2438" t="s">
        <v>40</v>
      </c>
      <c r="F2438">
        <v>2027</v>
      </c>
      <c r="G2438">
        <v>0</v>
      </c>
      <c r="H2438">
        <v>0</v>
      </c>
      <c r="I2438">
        <v>1</v>
      </c>
    </row>
    <row r="2439" spans="1:9">
      <c r="A2439" t="s">
        <v>310</v>
      </c>
      <c r="B2439" t="s">
        <v>311</v>
      </c>
      <c r="C2439" t="s">
        <v>269</v>
      </c>
      <c r="D2439" t="s">
        <v>26</v>
      </c>
      <c r="E2439" t="s">
        <v>40</v>
      </c>
      <c r="F2439">
        <v>2028</v>
      </c>
      <c r="G2439">
        <v>0</v>
      </c>
      <c r="H2439">
        <v>0</v>
      </c>
      <c r="I2439">
        <v>1</v>
      </c>
    </row>
    <row r="2440" spans="1:9">
      <c r="A2440" t="s">
        <v>310</v>
      </c>
      <c r="B2440" t="s">
        <v>311</v>
      </c>
      <c r="C2440" t="s">
        <v>269</v>
      </c>
      <c r="D2440" t="s">
        <v>26</v>
      </c>
      <c r="E2440" t="s">
        <v>40</v>
      </c>
      <c r="F2440">
        <v>2029</v>
      </c>
      <c r="G2440">
        <v>0</v>
      </c>
      <c r="H2440">
        <v>0</v>
      </c>
      <c r="I2440">
        <v>1</v>
      </c>
    </row>
    <row r="2441" spans="1:9">
      <c r="A2441" t="s">
        <v>310</v>
      </c>
      <c r="B2441" t="s">
        <v>311</v>
      </c>
      <c r="C2441" t="s">
        <v>269</v>
      </c>
      <c r="D2441" t="s">
        <v>26</v>
      </c>
      <c r="E2441" t="s">
        <v>40</v>
      </c>
      <c r="F2441">
        <v>2030</v>
      </c>
      <c r="G2441">
        <v>0</v>
      </c>
      <c r="H2441">
        <v>0</v>
      </c>
      <c r="I2441">
        <v>1</v>
      </c>
    </row>
    <row r="2442" spans="1:9">
      <c r="A2442" t="s">
        <v>310</v>
      </c>
      <c r="B2442" t="s">
        <v>311</v>
      </c>
      <c r="C2442" t="s">
        <v>269</v>
      </c>
      <c r="D2442" t="s">
        <v>26</v>
      </c>
      <c r="E2442" t="s">
        <v>40</v>
      </c>
      <c r="F2442">
        <v>2031</v>
      </c>
      <c r="G2442">
        <v>0</v>
      </c>
      <c r="H2442">
        <v>0</v>
      </c>
      <c r="I2442">
        <v>1</v>
      </c>
    </row>
    <row r="2443" spans="1:9">
      <c r="A2443" t="s">
        <v>310</v>
      </c>
      <c r="B2443" t="s">
        <v>311</v>
      </c>
      <c r="C2443" t="s">
        <v>269</v>
      </c>
      <c r="D2443" t="s">
        <v>26</v>
      </c>
      <c r="E2443" t="s">
        <v>40</v>
      </c>
      <c r="F2443">
        <v>2032</v>
      </c>
      <c r="G2443">
        <v>0</v>
      </c>
      <c r="H2443">
        <v>0</v>
      </c>
      <c r="I2443">
        <v>1</v>
      </c>
    </row>
    <row r="2444" spans="1:9">
      <c r="A2444" t="s">
        <v>310</v>
      </c>
      <c r="B2444" t="s">
        <v>311</v>
      </c>
      <c r="C2444" t="s">
        <v>269</v>
      </c>
      <c r="D2444" t="s">
        <v>26</v>
      </c>
      <c r="E2444" t="s">
        <v>40</v>
      </c>
      <c r="F2444">
        <v>2033</v>
      </c>
      <c r="G2444">
        <v>0</v>
      </c>
      <c r="H2444">
        <v>0</v>
      </c>
      <c r="I2444">
        <v>1</v>
      </c>
    </row>
    <row r="2445" spans="1:9">
      <c r="A2445" t="s">
        <v>310</v>
      </c>
      <c r="B2445" t="s">
        <v>311</v>
      </c>
      <c r="C2445" t="s">
        <v>269</v>
      </c>
      <c r="D2445" t="s">
        <v>26</v>
      </c>
      <c r="E2445" t="s">
        <v>40</v>
      </c>
      <c r="F2445">
        <v>2034</v>
      </c>
      <c r="G2445">
        <v>0</v>
      </c>
      <c r="H2445">
        <v>0</v>
      </c>
      <c r="I2445">
        <v>1</v>
      </c>
    </row>
    <row r="2446" spans="1:9">
      <c r="A2446" t="s">
        <v>310</v>
      </c>
      <c r="B2446" t="s">
        <v>311</v>
      </c>
      <c r="C2446" t="s">
        <v>269</v>
      </c>
      <c r="D2446" t="s">
        <v>26</v>
      </c>
      <c r="E2446" t="s">
        <v>40</v>
      </c>
      <c r="F2446">
        <v>2035</v>
      </c>
      <c r="G2446">
        <v>0</v>
      </c>
      <c r="H2446">
        <v>0</v>
      </c>
      <c r="I2446">
        <v>1</v>
      </c>
    </row>
    <row r="2447" spans="1:9">
      <c r="A2447" t="s">
        <v>310</v>
      </c>
      <c r="B2447" t="s">
        <v>311</v>
      </c>
      <c r="C2447" t="s">
        <v>269</v>
      </c>
      <c r="D2447" t="s">
        <v>26</v>
      </c>
      <c r="E2447" t="s">
        <v>40</v>
      </c>
      <c r="F2447">
        <v>2036</v>
      </c>
      <c r="G2447">
        <v>0</v>
      </c>
      <c r="H2447">
        <v>0</v>
      </c>
      <c r="I2447">
        <v>1</v>
      </c>
    </row>
    <row r="2448" spans="1:9">
      <c r="A2448" t="s">
        <v>310</v>
      </c>
      <c r="B2448" t="s">
        <v>311</v>
      </c>
      <c r="C2448" t="s">
        <v>269</v>
      </c>
      <c r="D2448" t="s">
        <v>26</v>
      </c>
      <c r="E2448" t="s">
        <v>40</v>
      </c>
      <c r="F2448">
        <v>2037</v>
      </c>
      <c r="G2448">
        <v>0</v>
      </c>
      <c r="H2448">
        <v>0</v>
      </c>
      <c r="I2448">
        <v>1</v>
      </c>
    </row>
    <row r="2449" spans="1:9">
      <c r="A2449" t="s">
        <v>310</v>
      </c>
      <c r="B2449" t="s">
        <v>311</v>
      </c>
      <c r="C2449" t="s">
        <v>269</v>
      </c>
      <c r="D2449" t="s">
        <v>26</v>
      </c>
      <c r="E2449" t="s">
        <v>40</v>
      </c>
      <c r="F2449">
        <v>2038</v>
      </c>
      <c r="G2449">
        <v>0</v>
      </c>
      <c r="H2449">
        <v>0</v>
      </c>
      <c r="I2449">
        <v>1</v>
      </c>
    </row>
    <row r="2450" spans="1:9">
      <c r="A2450" t="s">
        <v>310</v>
      </c>
      <c r="B2450" t="s">
        <v>311</v>
      </c>
      <c r="C2450" t="s">
        <v>269</v>
      </c>
      <c r="D2450" t="s">
        <v>26</v>
      </c>
      <c r="E2450" t="s">
        <v>40</v>
      </c>
      <c r="F2450">
        <v>2039</v>
      </c>
      <c r="G2450">
        <v>0</v>
      </c>
      <c r="H2450">
        <v>0</v>
      </c>
      <c r="I2450">
        <v>1</v>
      </c>
    </row>
    <row r="2451" spans="1:9">
      <c r="A2451" t="s">
        <v>310</v>
      </c>
      <c r="B2451" t="s">
        <v>311</v>
      </c>
      <c r="C2451" t="s">
        <v>269</v>
      </c>
      <c r="D2451" t="s">
        <v>26</v>
      </c>
      <c r="E2451" t="s">
        <v>40</v>
      </c>
      <c r="F2451">
        <v>2040</v>
      </c>
      <c r="G2451">
        <v>0</v>
      </c>
      <c r="H2451">
        <v>0</v>
      </c>
      <c r="I2451">
        <v>1</v>
      </c>
    </row>
    <row r="2452" spans="1:9">
      <c r="A2452" t="s">
        <v>310</v>
      </c>
      <c r="B2452" t="s">
        <v>311</v>
      </c>
      <c r="C2452" t="s">
        <v>269</v>
      </c>
      <c r="D2452" t="s">
        <v>26</v>
      </c>
      <c r="E2452" t="s">
        <v>40</v>
      </c>
      <c r="F2452">
        <v>2041</v>
      </c>
      <c r="G2452">
        <v>0</v>
      </c>
      <c r="H2452">
        <v>0</v>
      </c>
      <c r="I2452">
        <v>1</v>
      </c>
    </row>
    <row r="2453" spans="1:9">
      <c r="A2453" t="s">
        <v>310</v>
      </c>
      <c r="B2453" t="s">
        <v>311</v>
      </c>
      <c r="C2453" t="s">
        <v>269</v>
      </c>
      <c r="D2453" t="s">
        <v>26</v>
      </c>
      <c r="E2453" t="s">
        <v>40</v>
      </c>
      <c r="F2453">
        <v>2042</v>
      </c>
      <c r="G2453">
        <v>0</v>
      </c>
      <c r="H2453">
        <v>0</v>
      </c>
      <c r="I2453">
        <v>1</v>
      </c>
    </row>
    <row r="2454" spans="1:9">
      <c r="A2454" t="s">
        <v>310</v>
      </c>
      <c r="B2454" t="s">
        <v>311</v>
      </c>
      <c r="C2454" t="s">
        <v>269</v>
      </c>
      <c r="D2454" t="s">
        <v>26</v>
      </c>
      <c r="E2454" t="s">
        <v>40</v>
      </c>
      <c r="F2454">
        <v>2043</v>
      </c>
      <c r="G2454">
        <v>0</v>
      </c>
      <c r="H2454">
        <v>0</v>
      </c>
      <c r="I2454">
        <v>1</v>
      </c>
    </row>
    <row r="2455" spans="1:9">
      <c r="A2455" t="s">
        <v>310</v>
      </c>
      <c r="B2455" t="s">
        <v>311</v>
      </c>
      <c r="C2455" t="s">
        <v>269</v>
      </c>
      <c r="D2455" t="s">
        <v>26</v>
      </c>
      <c r="E2455" t="s">
        <v>40</v>
      </c>
      <c r="F2455">
        <v>2044</v>
      </c>
      <c r="G2455">
        <v>0</v>
      </c>
      <c r="H2455">
        <v>0</v>
      </c>
      <c r="I2455">
        <v>1</v>
      </c>
    </row>
    <row r="2456" spans="1:9">
      <c r="A2456" t="s">
        <v>310</v>
      </c>
      <c r="B2456" t="s">
        <v>311</v>
      </c>
      <c r="C2456" t="s">
        <v>269</v>
      </c>
      <c r="D2456" t="s">
        <v>26</v>
      </c>
      <c r="E2456" t="s">
        <v>40</v>
      </c>
      <c r="F2456">
        <v>2045</v>
      </c>
      <c r="G2456">
        <v>0</v>
      </c>
      <c r="H2456">
        <v>0</v>
      </c>
      <c r="I2456">
        <v>1</v>
      </c>
    </row>
    <row r="2457" spans="1:9">
      <c r="A2457" t="s">
        <v>310</v>
      </c>
      <c r="B2457" t="s">
        <v>311</v>
      </c>
      <c r="C2457" t="s">
        <v>269</v>
      </c>
      <c r="D2457" t="s">
        <v>26</v>
      </c>
      <c r="E2457" t="s">
        <v>40</v>
      </c>
      <c r="F2457">
        <v>2046</v>
      </c>
      <c r="G2457">
        <v>0</v>
      </c>
      <c r="H2457">
        <v>0</v>
      </c>
      <c r="I2457">
        <v>1</v>
      </c>
    </row>
    <row r="2458" spans="1:9">
      <c r="A2458" t="s">
        <v>310</v>
      </c>
      <c r="B2458" t="s">
        <v>311</v>
      </c>
      <c r="C2458" t="s">
        <v>269</v>
      </c>
      <c r="D2458" t="s">
        <v>26</v>
      </c>
      <c r="E2458" t="s">
        <v>40</v>
      </c>
      <c r="F2458">
        <v>2047</v>
      </c>
      <c r="G2458">
        <v>0</v>
      </c>
      <c r="H2458">
        <v>0</v>
      </c>
      <c r="I2458">
        <v>1</v>
      </c>
    </row>
    <row r="2459" spans="1:9">
      <c r="A2459" t="s">
        <v>310</v>
      </c>
      <c r="B2459" t="s">
        <v>311</v>
      </c>
      <c r="C2459" t="s">
        <v>269</v>
      </c>
      <c r="D2459" t="s">
        <v>26</v>
      </c>
      <c r="E2459" t="s">
        <v>40</v>
      </c>
      <c r="F2459">
        <v>2048</v>
      </c>
      <c r="G2459">
        <v>0</v>
      </c>
      <c r="H2459">
        <v>0</v>
      </c>
      <c r="I2459">
        <v>1</v>
      </c>
    </row>
    <row r="2460" spans="1:9">
      <c r="A2460" t="s">
        <v>310</v>
      </c>
      <c r="B2460" t="s">
        <v>311</v>
      </c>
      <c r="C2460" t="s">
        <v>269</v>
      </c>
      <c r="D2460" t="s">
        <v>26</v>
      </c>
      <c r="E2460" t="s">
        <v>40</v>
      </c>
      <c r="F2460">
        <v>2049</v>
      </c>
      <c r="G2460">
        <v>0</v>
      </c>
      <c r="H2460">
        <v>0</v>
      </c>
      <c r="I2460">
        <v>1</v>
      </c>
    </row>
    <row r="2461" spans="1:9">
      <c r="A2461" t="s">
        <v>310</v>
      </c>
      <c r="B2461" t="s">
        <v>311</v>
      </c>
      <c r="C2461" t="s">
        <v>269</v>
      </c>
      <c r="D2461" t="s">
        <v>26</v>
      </c>
      <c r="E2461" t="s">
        <v>40</v>
      </c>
      <c r="F2461">
        <v>2050</v>
      </c>
      <c r="G2461">
        <v>0</v>
      </c>
      <c r="H2461">
        <v>0</v>
      </c>
      <c r="I2461">
        <v>1</v>
      </c>
    </row>
    <row r="2462" spans="1:9">
      <c r="A2462" t="s">
        <v>310</v>
      </c>
      <c r="B2462" t="s">
        <v>311</v>
      </c>
      <c r="C2462" t="s">
        <v>269</v>
      </c>
      <c r="D2462" t="s">
        <v>307</v>
      </c>
      <c r="E2462" t="s">
        <v>40</v>
      </c>
      <c r="F2462">
        <v>2010</v>
      </c>
      <c r="G2462">
        <v>0</v>
      </c>
      <c r="H2462">
        <v>0</v>
      </c>
      <c r="I2462">
        <v>1</v>
      </c>
    </row>
    <row r="2463" spans="1:9">
      <c r="A2463" t="s">
        <v>310</v>
      </c>
      <c r="B2463" t="s">
        <v>311</v>
      </c>
      <c r="C2463" t="s">
        <v>269</v>
      </c>
      <c r="D2463" t="s">
        <v>307</v>
      </c>
      <c r="E2463" t="s">
        <v>40</v>
      </c>
      <c r="F2463">
        <v>2011</v>
      </c>
      <c r="G2463">
        <v>0</v>
      </c>
      <c r="H2463">
        <v>0</v>
      </c>
      <c r="I2463">
        <v>1</v>
      </c>
    </row>
    <row r="2464" spans="1:9">
      <c r="A2464" t="s">
        <v>310</v>
      </c>
      <c r="B2464" t="s">
        <v>311</v>
      </c>
      <c r="C2464" t="s">
        <v>269</v>
      </c>
      <c r="D2464" t="s">
        <v>307</v>
      </c>
      <c r="E2464" t="s">
        <v>40</v>
      </c>
      <c r="F2464">
        <v>2012</v>
      </c>
      <c r="G2464">
        <v>0</v>
      </c>
      <c r="H2464">
        <v>0</v>
      </c>
      <c r="I2464">
        <v>1</v>
      </c>
    </row>
    <row r="2465" spans="1:9">
      <c r="A2465" t="s">
        <v>310</v>
      </c>
      <c r="B2465" t="s">
        <v>311</v>
      </c>
      <c r="C2465" t="s">
        <v>269</v>
      </c>
      <c r="D2465" t="s">
        <v>307</v>
      </c>
      <c r="E2465" t="s">
        <v>40</v>
      </c>
      <c r="F2465">
        <v>2013</v>
      </c>
      <c r="G2465">
        <v>0</v>
      </c>
      <c r="H2465">
        <v>0</v>
      </c>
      <c r="I2465">
        <v>1</v>
      </c>
    </row>
    <row r="2466" spans="1:9">
      <c r="A2466" t="s">
        <v>310</v>
      </c>
      <c r="B2466" t="s">
        <v>311</v>
      </c>
      <c r="C2466" t="s">
        <v>269</v>
      </c>
      <c r="D2466" t="s">
        <v>307</v>
      </c>
      <c r="E2466" t="s">
        <v>40</v>
      </c>
      <c r="F2466">
        <v>2014</v>
      </c>
      <c r="G2466">
        <v>0</v>
      </c>
      <c r="H2466">
        <v>0</v>
      </c>
      <c r="I2466">
        <v>1</v>
      </c>
    </row>
    <row r="2467" spans="1:9">
      <c r="A2467" t="s">
        <v>310</v>
      </c>
      <c r="B2467" t="s">
        <v>311</v>
      </c>
      <c r="C2467" t="s">
        <v>269</v>
      </c>
      <c r="D2467" t="s">
        <v>307</v>
      </c>
      <c r="E2467" t="s">
        <v>40</v>
      </c>
      <c r="F2467">
        <v>2015</v>
      </c>
      <c r="G2467">
        <v>0</v>
      </c>
      <c r="H2467">
        <v>0</v>
      </c>
      <c r="I2467">
        <v>1</v>
      </c>
    </row>
    <row r="2468" spans="1:9">
      <c r="A2468" t="s">
        <v>310</v>
      </c>
      <c r="B2468" t="s">
        <v>311</v>
      </c>
      <c r="C2468" t="s">
        <v>269</v>
      </c>
      <c r="D2468" t="s">
        <v>307</v>
      </c>
      <c r="E2468" t="s">
        <v>40</v>
      </c>
      <c r="F2468">
        <v>2016</v>
      </c>
      <c r="G2468">
        <v>0</v>
      </c>
      <c r="H2468">
        <v>0</v>
      </c>
      <c r="I2468">
        <v>1</v>
      </c>
    </row>
    <row r="2469" spans="1:9">
      <c r="A2469" t="s">
        <v>310</v>
      </c>
      <c r="B2469" t="s">
        <v>311</v>
      </c>
      <c r="C2469" t="s">
        <v>269</v>
      </c>
      <c r="D2469" t="s">
        <v>307</v>
      </c>
      <c r="E2469" t="s">
        <v>40</v>
      </c>
      <c r="F2469">
        <v>2017</v>
      </c>
      <c r="G2469">
        <v>0</v>
      </c>
      <c r="H2469">
        <v>0</v>
      </c>
      <c r="I2469">
        <v>1</v>
      </c>
    </row>
    <row r="2470" spans="1:9">
      <c r="A2470" t="s">
        <v>310</v>
      </c>
      <c r="B2470" t="s">
        <v>311</v>
      </c>
      <c r="C2470" t="s">
        <v>269</v>
      </c>
      <c r="D2470" t="s">
        <v>307</v>
      </c>
      <c r="E2470" t="s">
        <v>40</v>
      </c>
      <c r="F2470">
        <v>2018</v>
      </c>
      <c r="G2470">
        <v>0</v>
      </c>
      <c r="H2470">
        <v>0</v>
      </c>
      <c r="I2470">
        <v>1</v>
      </c>
    </row>
    <row r="2471" spans="1:9">
      <c r="A2471" t="s">
        <v>310</v>
      </c>
      <c r="B2471" t="s">
        <v>311</v>
      </c>
      <c r="C2471" t="s">
        <v>269</v>
      </c>
      <c r="D2471" t="s">
        <v>307</v>
      </c>
      <c r="E2471" t="s">
        <v>40</v>
      </c>
      <c r="F2471">
        <v>2019</v>
      </c>
      <c r="G2471">
        <v>0</v>
      </c>
      <c r="H2471">
        <v>0</v>
      </c>
      <c r="I2471">
        <v>1</v>
      </c>
    </row>
    <row r="2472" spans="1:9">
      <c r="A2472" t="s">
        <v>310</v>
      </c>
      <c r="B2472" t="s">
        <v>311</v>
      </c>
      <c r="C2472" t="s">
        <v>269</v>
      </c>
      <c r="D2472" t="s">
        <v>307</v>
      </c>
      <c r="E2472" t="s">
        <v>40</v>
      </c>
      <c r="F2472">
        <v>2020</v>
      </c>
      <c r="G2472">
        <v>0</v>
      </c>
      <c r="H2472">
        <v>0</v>
      </c>
      <c r="I2472">
        <v>1</v>
      </c>
    </row>
    <row r="2473" spans="1:9">
      <c r="A2473" t="s">
        <v>310</v>
      </c>
      <c r="B2473" t="s">
        <v>311</v>
      </c>
      <c r="C2473" t="s">
        <v>269</v>
      </c>
      <c r="D2473" t="s">
        <v>307</v>
      </c>
      <c r="E2473" t="s">
        <v>40</v>
      </c>
      <c r="F2473">
        <v>2021</v>
      </c>
      <c r="G2473">
        <v>0</v>
      </c>
      <c r="H2473">
        <v>0</v>
      </c>
      <c r="I2473">
        <v>1</v>
      </c>
    </row>
    <row r="2474" spans="1:9">
      <c r="A2474" t="s">
        <v>310</v>
      </c>
      <c r="B2474" t="s">
        <v>311</v>
      </c>
      <c r="C2474" t="s">
        <v>269</v>
      </c>
      <c r="D2474" t="s">
        <v>307</v>
      </c>
      <c r="E2474" t="s">
        <v>40</v>
      </c>
      <c r="F2474">
        <v>2022</v>
      </c>
      <c r="G2474">
        <v>0</v>
      </c>
      <c r="H2474">
        <v>0</v>
      </c>
      <c r="I2474">
        <v>1</v>
      </c>
    </row>
    <row r="2475" spans="1:9">
      <c r="A2475" t="s">
        <v>310</v>
      </c>
      <c r="B2475" t="s">
        <v>311</v>
      </c>
      <c r="C2475" t="s">
        <v>269</v>
      </c>
      <c r="D2475" t="s">
        <v>307</v>
      </c>
      <c r="E2475" t="s">
        <v>40</v>
      </c>
      <c r="F2475">
        <v>2023</v>
      </c>
      <c r="G2475">
        <v>0</v>
      </c>
      <c r="H2475">
        <v>0</v>
      </c>
      <c r="I2475">
        <v>1</v>
      </c>
    </row>
    <row r="2476" spans="1:9">
      <c r="A2476" t="s">
        <v>310</v>
      </c>
      <c r="B2476" t="s">
        <v>311</v>
      </c>
      <c r="C2476" t="s">
        <v>269</v>
      </c>
      <c r="D2476" t="s">
        <v>307</v>
      </c>
      <c r="E2476" t="s">
        <v>40</v>
      </c>
      <c r="F2476">
        <v>2024</v>
      </c>
      <c r="G2476">
        <v>0</v>
      </c>
      <c r="H2476">
        <v>0</v>
      </c>
      <c r="I2476">
        <v>1</v>
      </c>
    </row>
    <row r="2477" spans="1:9">
      <c r="A2477" t="s">
        <v>310</v>
      </c>
      <c r="B2477" t="s">
        <v>311</v>
      </c>
      <c r="C2477" t="s">
        <v>269</v>
      </c>
      <c r="D2477" t="s">
        <v>307</v>
      </c>
      <c r="E2477" t="s">
        <v>40</v>
      </c>
      <c r="F2477">
        <v>2025</v>
      </c>
      <c r="G2477">
        <v>0</v>
      </c>
      <c r="H2477">
        <v>0</v>
      </c>
      <c r="I2477">
        <v>1</v>
      </c>
    </row>
    <row r="2478" spans="1:9">
      <c r="A2478" t="s">
        <v>310</v>
      </c>
      <c r="B2478" t="s">
        <v>311</v>
      </c>
      <c r="C2478" t="s">
        <v>269</v>
      </c>
      <c r="D2478" t="s">
        <v>307</v>
      </c>
      <c r="E2478" t="s">
        <v>40</v>
      </c>
      <c r="F2478">
        <v>2026</v>
      </c>
      <c r="G2478">
        <v>0</v>
      </c>
      <c r="H2478">
        <v>0</v>
      </c>
      <c r="I2478">
        <v>1</v>
      </c>
    </row>
    <row r="2479" spans="1:9">
      <c r="A2479" t="s">
        <v>310</v>
      </c>
      <c r="B2479" t="s">
        <v>311</v>
      </c>
      <c r="C2479" t="s">
        <v>269</v>
      </c>
      <c r="D2479" t="s">
        <v>307</v>
      </c>
      <c r="E2479" t="s">
        <v>40</v>
      </c>
      <c r="F2479">
        <v>2027</v>
      </c>
      <c r="G2479">
        <v>0</v>
      </c>
      <c r="H2479">
        <v>0</v>
      </c>
      <c r="I2479">
        <v>1</v>
      </c>
    </row>
    <row r="2480" spans="1:9">
      <c r="A2480" t="s">
        <v>310</v>
      </c>
      <c r="B2480" t="s">
        <v>311</v>
      </c>
      <c r="C2480" t="s">
        <v>269</v>
      </c>
      <c r="D2480" t="s">
        <v>307</v>
      </c>
      <c r="E2480" t="s">
        <v>40</v>
      </c>
      <c r="F2480">
        <v>2028</v>
      </c>
      <c r="G2480">
        <v>0</v>
      </c>
      <c r="H2480">
        <v>0</v>
      </c>
      <c r="I2480">
        <v>1</v>
      </c>
    </row>
    <row r="2481" spans="1:9">
      <c r="A2481" t="s">
        <v>310</v>
      </c>
      <c r="B2481" t="s">
        <v>311</v>
      </c>
      <c r="C2481" t="s">
        <v>269</v>
      </c>
      <c r="D2481" t="s">
        <v>307</v>
      </c>
      <c r="E2481" t="s">
        <v>40</v>
      </c>
      <c r="F2481">
        <v>2029</v>
      </c>
      <c r="G2481">
        <v>0</v>
      </c>
      <c r="H2481">
        <v>0</v>
      </c>
      <c r="I2481">
        <v>1</v>
      </c>
    </row>
    <row r="2482" spans="1:9">
      <c r="A2482" t="s">
        <v>310</v>
      </c>
      <c r="B2482" t="s">
        <v>311</v>
      </c>
      <c r="C2482" t="s">
        <v>269</v>
      </c>
      <c r="D2482" t="s">
        <v>307</v>
      </c>
      <c r="E2482" t="s">
        <v>40</v>
      </c>
      <c r="F2482">
        <v>2030</v>
      </c>
      <c r="G2482">
        <v>0</v>
      </c>
      <c r="H2482">
        <v>0</v>
      </c>
      <c r="I2482">
        <v>1</v>
      </c>
    </row>
    <row r="2483" spans="1:9">
      <c r="A2483" t="s">
        <v>310</v>
      </c>
      <c r="B2483" t="s">
        <v>311</v>
      </c>
      <c r="C2483" t="s">
        <v>269</v>
      </c>
      <c r="D2483" t="s">
        <v>307</v>
      </c>
      <c r="E2483" t="s">
        <v>40</v>
      </c>
      <c r="F2483">
        <v>2031</v>
      </c>
      <c r="G2483">
        <v>0</v>
      </c>
      <c r="H2483">
        <v>0</v>
      </c>
      <c r="I2483">
        <v>1</v>
      </c>
    </row>
    <row r="2484" spans="1:9">
      <c r="A2484" t="s">
        <v>310</v>
      </c>
      <c r="B2484" t="s">
        <v>311</v>
      </c>
      <c r="C2484" t="s">
        <v>269</v>
      </c>
      <c r="D2484" t="s">
        <v>307</v>
      </c>
      <c r="E2484" t="s">
        <v>40</v>
      </c>
      <c r="F2484">
        <v>2032</v>
      </c>
      <c r="G2484">
        <v>0</v>
      </c>
      <c r="H2484">
        <v>0</v>
      </c>
      <c r="I2484">
        <v>1</v>
      </c>
    </row>
    <row r="2485" spans="1:9">
      <c r="A2485" t="s">
        <v>310</v>
      </c>
      <c r="B2485" t="s">
        <v>311</v>
      </c>
      <c r="C2485" t="s">
        <v>269</v>
      </c>
      <c r="D2485" t="s">
        <v>307</v>
      </c>
      <c r="E2485" t="s">
        <v>40</v>
      </c>
      <c r="F2485">
        <v>2033</v>
      </c>
      <c r="G2485">
        <v>0</v>
      </c>
      <c r="H2485">
        <v>0</v>
      </c>
      <c r="I2485">
        <v>1</v>
      </c>
    </row>
    <row r="2486" spans="1:9">
      <c r="A2486" t="s">
        <v>310</v>
      </c>
      <c r="B2486" t="s">
        <v>311</v>
      </c>
      <c r="C2486" t="s">
        <v>269</v>
      </c>
      <c r="D2486" t="s">
        <v>307</v>
      </c>
      <c r="E2486" t="s">
        <v>40</v>
      </c>
      <c r="F2486">
        <v>2034</v>
      </c>
      <c r="G2486">
        <v>0</v>
      </c>
      <c r="H2486">
        <v>0</v>
      </c>
      <c r="I2486">
        <v>1</v>
      </c>
    </row>
    <row r="2487" spans="1:9">
      <c r="A2487" t="s">
        <v>310</v>
      </c>
      <c r="B2487" t="s">
        <v>311</v>
      </c>
      <c r="C2487" t="s">
        <v>269</v>
      </c>
      <c r="D2487" t="s">
        <v>307</v>
      </c>
      <c r="E2487" t="s">
        <v>40</v>
      </c>
      <c r="F2487">
        <v>2035</v>
      </c>
      <c r="G2487">
        <v>0</v>
      </c>
      <c r="H2487">
        <v>0</v>
      </c>
      <c r="I2487">
        <v>1</v>
      </c>
    </row>
    <row r="2488" spans="1:9">
      <c r="A2488" t="s">
        <v>310</v>
      </c>
      <c r="B2488" t="s">
        <v>311</v>
      </c>
      <c r="C2488" t="s">
        <v>269</v>
      </c>
      <c r="D2488" t="s">
        <v>307</v>
      </c>
      <c r="E2488" t="s">
        <v>40</v>
      </c>
      <c r="F2488">
        <v>2036</v>
      </c>
      <c r="G2488">
        <v>0</v>
      </c>
      <c r="H2488">
        <v>0</v>
      </c>
      <c r="I2488">
        <v>1</v>
      </c>
    </row>
    <row r="2489" spans="1:9">
      <c r="A2489" t="s">
        <v>310</v>
      </c>
      <c r="B2489" t="s">
        <v>311</v>
      </c>
      <c r="C2489" t="s">
        <v>269</v>
      </c>
      <c r="D2489" t="s">
        <v>307</v>
      </c>
      <c r="E2489" t="s">
        <v>40</v>
      </c>
      <c r="F2489">
        <v>2037</v>
      </c>
      <c r="G2489">
        <v>0</v>
      </c>
      <c r="H2489">
        <v>0</v>
      </c>
      <c r="I2489">
        <v>1</v>
      </c>
    </row>
    <row r="2490" spans="1:9">
      <c r="A2490" t="s">
        <v>310</v>
      </c>
      <c r="B2490" t="s">
        <v>311</v>
      </c>
      <c r="C2490" t="s">
        <v>269</v>
      </c>
      <c r="D2490" t="s">
        <v>307</v>
      </c>
      <c r="E2490" t="s">
        <v>40</v>
      </c>
      <c r="F2490">
        <v>2038</v>
      </c>
      <c r="G2490">
        <v>0</v>
      </c>
      <c r="H2490">
        <v>0</v>
      </c>
      <c r="I2490">
        <v>1</v>
      </c>
    </row>
    <row r="2491" spans="1:9">
      <c r="A2491" t="s">
        <v>310</v>
      </c>
      <c r="B2491" t="s">
        <v>311</v>
      </c>
      <c r="C2491" t="s">
        <v>269</v>
      </c>
      <c r="D2491" t="s">
        <v>307</v>
      </c>
      <c r="E2491" t="s">
        <v>40</v>
      </c>
      <c r="F2491">
        <v>2039</v>
      </c>
      <c r="G2491">
        <v>0</v>
      </c>
      <c r="H2491">
        <v>0</v>
      </c>
      <c r="I2491">
        <v>1</v>
      </c>
    </row>
    <row r="2492" spans="1:9">
      <c r="A2492" t="s">
        <v>310</v>
      </c>
      <c r="B2492" t="s">
        <v>311</v>
      </c>
      <c r="C2492" t="s">
        <v>269</v>
      </c>
      <c r="D2492" t="s">
        <v>307</v>
      </c>
      <c r="E2492" t="s">
        <v>40</v>
      </c>
      <c r="F2492">
        <v>2040</v>
      </c>
      <c r="G2492">
        <v>0</v>
      </c>
      <c r="H2492">
        <v>0</v>
      </c>
      <c r="I2492">
        <v>1</v>
      </c>
    </row>
    <row r="2493" spans="1:9">
      <c r="A2493" t="s">
        <v>310</v>
      </c>
      <c r="B2493" t="s">
        <v>311</v>
      </c>
      <c r="C2493" t="s">
        <v>269</v>
      </c>
      <c r="D2493" t="s">
        <v>307</v>
      </c>
      <c r="E2493" t="s">
        <v>40</v>
      </c>
      <c r="F2493">
        <v>2041</v>
      </c>
      <c r="G2493">
        <v>0</v>
      </c>
      <c r="H2493">
        <v>0</v>
      </c>
      <c r="I2493">
        <v>1</v>
      </c>
    </row>
    <row r="2494" spans="1:9">
      <c r="A2494" t="s">
        <v>310</v>
      </c>
      <c r="B2494" t="s">
        <v>311</v>
      </c>
      <c r="C2494" t="s">
        <v>269</v>
      </c>
      <c r="D2494" t="s">
        <v>307</v>
      </c>
      <c r="E2494" t="s">
        <v>40</v>
      </c>
      <c r="F2494">
        <v>2042</v>
      </c>
      <c r="G2494">
        <v>0</v>
      </c>
      <c r="H2494">
        <v>0</v>
      </c>
      <c r="I2494">
        <v>1</v>
      </c>
    </row>
    <row r="2495" spans="1:9">
      <c r="A2495" t="s">
        <v>310</v>
      </c>
      <c r="B2495" t="s">
        <v>311</v>
      </c>
      <c r="C2495" t="s">
        <v>269</v>
      </c>
      <c r="D2495" t="s">
        <v>307</v>
      </c>
      <c r="E2495" t="s">
        <v>40</v>
      </c>
      <c r="F2495">
        <v>2043</v>
      </c>
      <c r="G2495">
        <v>0</v>
      </c>
      <c r="H2495">
        <v>0</v>
      </c>
      <c r="I2495">
        <v>1</v>
      </c>
    </row>
    <row r="2496" spans="1:9">
      <c r="A2496" t="s">
        <v>310</v>
      </c>
      <c r="B2496" t="s">
        <v>311</v>
      </c>
      <c r="C2496" t="s">
        <v>269</v>
      </c>
      <c r="D2496" t="s">
        <v>307</v>
      </c>
      <c r="E2496" t="s">
        <v>40</v>
      </c>
      <c r="F2496">
        <v>2044</v>
      </c>
      <c r="G2496">
        <v>0</v>
      </c>
      <c r="H2496">
        <v>0</v>
      </c>
      <c r="I2496">
        <v>1</v>
      </c>
    </row>
    <row r="2497" spans="1:9">
      <c r="A2497" t="s">
        <v>310</v>
      </c>
      <c r="B2497" t="s">
        <v>311</v>
      </c>
      <c r="C2497" t="s">
        <v>269</v>
      </c>
      <c r="D2497" t="s">
        <v>307</v>
      </c>
      <c r="E2497" t="s">
        <v>40</v>
      </c>
      <c r="F2497">
        <v>2045</v>
      </c>
      <c r="G2497">
        <v>0</v>
      </c>
      <c r="H2497">
        <v>0</v>
      </c>
      <c r="I2497">
        <v>1</v>
      </c>
    </row>
    <row r="2498" spans="1:9">
      <c r="A2498" t="s">
        <v>310</v>
      </c>
      <c r="B2498" t="s">
        <v>311</v>
      </c>
      <c r="C2498" t="s">
        <v>269</v>
      </c>
      <c r="D2498" t="s">
        <v>307</v>
      </c>
      <c r="E2498" t="s">
        <v>40</v>
      </c>
      <c r="F2498">
        <v>2046</v>
      </c>
      <c r="G2498">
        <v>0</v>
      </c>
      <c r="H2498">
        <v>0</v>
      </c>
      <c r="I2498">
        <v>1</v>
      </c>
    </row>
    <row r="2499" spans="1:9">
      <c r="A2499" t="s">
        <v>310</v>
      </c>
      <c r="B2499" t="s">
        <v>311</v>
      </c>
      <c r="C2499" t="s">
        <v>269</v>
      </c>
      <c r="D2499" t="s">
        <v>307</v>
      </c>
      <c r="E2499" t="s">
        <v>40</v>
      </c>
      <c r="F2499">
        <v>2047</v>
      </c>
      <c r="G2499">
        <v>0</v>
      </c>
      <c r="H2499">
        <v>0</v>
      </c>
      <c r="I2499">
        <v>1</v>
      </c>
    </row>
    <row r="2500" spans="1:9">
      <c r="A2500" t="s">
        <v>310</v>
      </c>
      <c r="B2500" t="s">
        <v>311</v>
      </c>
      <c r="C2500" t="s">
        <v>269</v>
      </c>
      <c r="D2500" t="s">
        <v>307</v>
      </c>
      <c r="E2500" t="s">
        <v>40</v>
      </c>
      <c r="F2500">
        <v>2048</v>
      </c>
      <c r="G2500">
        <v>0</v>
      </c>
      <c r="H2500">
        <v>0</v>
      </c>
      <c r="I2500">
        <v>1</v>
      </c>
    </row>
    <row r="2501" spans="1:9">
      <c r="A2501" t="s">
        <v>310</v>
      </c>
      <c r="B2501" t="s">
        <v>311</v>
      </c>
      <c r="C2501" t="s">
        <v>269</v>
      </c>
      <c r="D2501" t="s">
        <v>307</v>
      </c>
      <c r="E2501" t="s">
        <v>40</v>
      </c>
      <c r="F2501">
        <v>2049</v>
      </c>
      <c r="G2501">
        <v>0</v>
      </c>
      <c r="H2501">
        <v>0</v>
      </c>
      <c r="I2501">
        <v>1</v>
      </c>
    </row>
    <row r="2502" spans="1:9">
      <c r="A2502" t="s">
        <v>310</v>
      </c>
      <c r="B2502" t="s">
        <v>311</v>
      </c>
      <c r="C2502" t="s">
        <v>269</v>
      </c>
      <c r="D2502" t="s">
        <v>307</v>
      </c>
      <c r="E2502" t="s">
        <v>40</v>
      </c>
      <c r="F2502">
        <v>2050</v>
      </c>
      <c r="G2502">
        <v>0</v>
      </c>
      <c r="H2502">
        <v>0</v>
      </c>
      <c r="I2502">
        <v>1</v>
      </c>
    </row>
    <row r="2503" spans="1:9">
      <c r="A2503" t="s">
        <v>310</v>
      </c>
      <c r="B2503" t="s">
        <v>311</v>
      </c>
      <c r="C2503" t="s">
        <v>269</v>
      </c>
      <c r="D2503" t="s">
        <v>25</v>
      </c>
      <c r="E2503" t="s">
        <v>11</v>
      </c>
      <c r="F2503">
        <v>2010</v>
      </c>
      <c r="G2503">
        <v>0</v>
      </c>
      <c r="H2503">
        <v>0</v>
      </c>
      <c r="I2503">
        <v>1</v>
      </c>
    </row>
    <row r="2504" spans="1:9">
      <c r="A2504" t="s">
        <v>310</v>
      </c>
      <c r="B2504" t="s">
        <v>311</v>
      </c>
      <c r="C2504" t="s">
        <v>269</v>
      </c>
      <c r="D2504" t="s">
        <v>25</v>
      </c>
      <c r="E2504" t="s">
        <v>11</v>
      </c>
      <c r="F2504">
        <v>2011</v>
      </c>
      <c r="G2504">
        <v>0</v>
      </c>
      <c r="H2504">
        <v>0</v>
      </c>
      <c r="I2504">
        <v>1</v>
      </c>
    </row>
    <row r="2505" spans="1:9">
      <c r="A2505" t="s">
        <v>310</v>
      </c>
      <c r="B2505" t="s">
        <v>311</v>
      </c>
      <c r="C2505" t="s">
        <v>269</v>
      </c>
      <c r="D2505" t="s">
        <v>25</v>
      </c>
      <c r="E2505" t="s">
        <v>11</v>
      </c>
      <c r="F2505">
        <v>2012</v>
      </c>
      <c r="G2505">
        <v>0</v>
      </c>
      <c r="H2505">
        <v>0</v>
      </c>
      <c r="I2505">
        <v>1</v>
      </c>
    </row>
    <row r="2506" spans="1:9">
      <c r="A2506" t="s">
        <v>310</v>
      </c>
      <c r="B2506" t="s">
        <v>311</v>
      </c>
      <c r="C2506" t="s">
        <v>269</v>
      </c>
      <c r="D2506" t="s">
        <v>25</v>
      </c>
      <c r="E2506" t="s">
        <v>11</v>
      </c>
      <c r="F2506">
        <v>2013</v>
      </c>
      <c r="G2506">
        <v>0</v>
      </c>
      <c r="H2506">
        <v>0</v>
      </c>
      <c r="I2506">
        <v>1</v>
      </c>
    </row>
    <row r="2507" spans="1:9">
      <c r="A2507" t="s">
        <v>310</v>
      </c>
      <c r="B2507" t="s">
        <v>311</v>
      </c>
      <c r="C2507" t="s">
        <v>269</v>
      </c>
      <c r="D2507" t="s">
        <v>25</v>
      </c>
      <c r="E2507" t="s">
        <v>11</v>
      </c>
      <c r="F2507">
        <v>2014</v>
      </c>
      <c r="G2507">
        <v>0</v>
      </c>
      <c r="H2507">
        <v>0</v>
      </c>
      <c r="I2507">
        <v>1</v>
      </c>
    </row>
    <row r="2508" spans="1:9">
      <c r="A2508" t="s">
        <v>310</v>
      </c>
      <c r="B2508" t="s">
        <v>311</v>
      </c>
      <c r="C2508" t="s">
        <v>269</v>
      </c>
      <c r="D2508" t="s">
        <v>25</v>
      </c>
      <c r="E2508" t="s">
        <v>11</v>
      </c>
      <c r="F2508">
        <v>2015</v>
      </c>
      <c r="G2508">
        <v>323.86732799999999</v>
      </c>
      <c r="H2508">
        <v>323.86732799999999</v>
      </c>
      <c r="I2508">
        <v>1</v>
      </c>
    </row>
    <row r="2509" spans="1:9">
      <c r="A2509" t="s">
        <v>310</v>
      </c>
      <c r="B2509" t="s">
        <v>311</v>
      </c>
      <c r="C2509" t="s">
        <v>269</v>
      </c>
      <c r="D2509" t="s">
        <v>25</v>
      </c>
      <c r="E2509" t="s">
        <v>11</v>
      </c>
      <c r="F2509">
        <v>2016</v>
      </c>
      <c r="G2509">
        <v>337.97193600000003</v>
      </c>
      <c r="H2509">
        <v>337.97193600000003</v>
      </c>
      <c r="I2509">
        <v>1</v>
      </c>
    </row>
    <row r="2510" spans="1:9">
      <c r="A2510" t="s">
        <v>310</v>
      </c>
      <c r="B2510" t="s">
        <v>311</v>
      </c>
      <c r="C2510" t="s">
        <v>269</v>
      </c>
      <c r="D2510" t="s">
        <v>25</v>
      </c>
      <c r="E2510" t="s">
        <v>11</v>
      </c>
      <c r="F2510">
        <v>2017</v>
      </c>
      <c r="G2510">
        <v>352.62820799999997</v>
      </c>
      <c r="H2510">
        <v>352.62820799999997</v>
      </c>
      <c r="I2510">
        <v>1</v>
      </c>
    </row>
    <row r="2511" spans="1:9">
      <c r="A2511" t="s">
        <v>310</v>
      </c>
      <c r="B2511" t="s">
        <v>311</v>
      </c>
      <c r="C2511" t="s">
        <v>269</v>
      </c>
      <c r="D2511" t="s">
        <v>25</v>
      </c>
      <c r="E2511" t="s">
        <v>11</v>
      </c>
      <c r="F2511">
        <v>2018</v>
      </c>
      <c r="G2511">
        <v>367.85649599999999</v>
      </c>
      <c r="H2511">
        <v>367.85649599999999</v>
      </c>
      <c r="I2511">
        <v>1</v>
      </c>
    </row>
    <row r="2512" spans="1:9">
      <c r="A2512" t="s">
        <v>310</v>
      </c>
      <c r="B2512" t="s">
        <v>311</v>
      </c>
      <c r="C2512" t="s">
        <v>269</v>
      </c>
      <c r="D2512" t="s">
        <v>25</v>
      </c>
      <c r="E2512" t="s">
        <v>11</v>
      </c>
      <c r="F2512">
        <v>2019</v>
      </c>
      <c r="G2512">
        <v>383.68732799999998</v>
      </c>
      <c r="H2512">
        <v>383.68732799999998</v>
      </c>
      <c r="I2512">
        <v>1</v>
      </c>
    </row>
    <row r="2513" spans="1:9">
      <c r="A2513" t="s">
        <v>310</v>
      </c>
      <c r="B2513" t="s">
        <v>311</v>
      </c>
      <c r="C2513" t="s">
        <v>269</v>
      </c>
      <c r="D2513" t="s">
        <v>25</v>
      </c>
      <c r="E2513" t="s">
        <v>11</v>
      </c>
      <c r="F2513">
        <v>2020</v>
      </c>
      <c r="G2513">
        <v>400.14628800000003</v>
      </c>
      <c r="H2513">
        <v>400.14628800000003</v>
      </c>
      <c r="I2513">
        <v>1</v>
      </c>
    </row>
    <row r="2514" spans="1:9">
      <c r="A2514" t="s">
        <v>310</v>
      </c>
      <c r="B2514" t="s">
        <v>311</v>
      </c>
      <c r="C2514" t="s">
        <v>269</v>
      </c>
      <c r="D2514" t="s">
        <v>25</v>
      </c>
      <c r="E2514" t="s">
        <v>11</v>
      </c>
      <c r="F2514">
        <v>2021</v>
      </c>
      <c r="G2514">
        <v>417.24489599999998</v>
      </c>
      <c r="H2514">
        <v>417.24489599999998</v>
      </c>
      <c r="I2514">
        <v>1</v>
      </c>
    </row>
    <row r="2515" spans="1:9">
      <c r="A2515" t="s">
        <v>310</v>
      </c>
      <c r="B2515" t="s">
        <v>311</v>
      </c>
      <c r="C2515" t="s">
        <v>269</v>
      </c>
      <c r="D2515" t="s">
        <v>25</v>
      </c>
      <c r="E2515" t="s">
        <v>11</v>
      </c>
      <c r="F2515">
        <v>2022</v>
      </c>
      <c r="G2515">
        <v>434.98996799999998</v>
      </c>
      <c r="H2515">
        <v>434.98996799999998</v>
      </c>
      <c r="I2515">
        <v>1</v>
      </c>
    </row>
    <row r="2516" spans="1:9">
      <c r="A2516" t="s">
        <v>310</v>
      </c>
      <c r="B2516" t="s">
        <v>311</v>
      </c>
      <c r="C2516" t="s">
        <v>269</v>
      </c>
      <c r="D2516" t="s">
        <v>25</v>
      </c>
      <c r="E2516" t="s">
        <v>11</v>
      </c>
      <c r="F2516">
        <v>2023</v>
      </c>
      <c r="G2516">
        <v>453.402624</v>
      </c>
      <c r="H2516">
        <v>453.402624</v>
      </c>
      <c r="I2516">
        <v>1</v>
      </c>
    </row>
    <row r="2517" spans="1:9">
      <c r="A2517" t="s">
        <v>310</v>
      </c>
      <c r="B2517" t="s">
        <v>311</v>
      </c>
      <c r="C2517" t="s">
        <v>269</v>
      </c>
      <c r="D2517" t="s">
        <v>25</v>
      </c>
      <c r="E2517" t="s">
        <v>11</v>
      </c>
      <c r="F2517">
        <v>2024</v>
      </c>
      <c r="G2517">
        <v>472.50614400000001</v>
      </c>
      <c r="H2517">
        <v>472.50614400000001</v>
      </c>
      <c r="I2517">
        <v>1</v>
      </c>
    </row>
    <row r="2518" spans="1:9">
      <c r="A2518" t="s">
        <v>310</v>
      </c>
      <c r="B2518" t="s">
        <v>311</v>
      </c>
      <c r="C2518" t="s">
        <v>269</v>
      </c>
      <c r="D2518" t="s">
        <v>25</v>
      </c>
      <c r="E2518" t="s">
        <v>11</v>
      </c>
      <c r="F2518">
        <v>2025</v>
      </c>
      <c r="G2518">
        <v>492.320064</v>
      </c>
      <c r="H2518">
        <v>492.320064</v>
      </c>
      <c r="I2518">
        <v>1</v>
      </c>
    </row>
    <row r="2519" spans="1:9">
      <c r="A2519" t="s">
        <v>310</v>
      </c>
      <c r="B2519" t="s">
        <v>311</v>
      </c>
      <c r="C2519" t="s">
        <v>269</v>
      </c>
      <c r="D2519" t="s">
        <v>25</v>
      </c>
      <c r="E2519" t="s">
        <v>11</v>
      </c>
      <c r="F2519">
        <v>2026</v>
      </c>
      <c r="G2519">
        <v>512.86032</v>
      </c>
      <c r="H2519">
        <v>512.86032</v>
      </c>
      <c r="I2519">
        <v>1</v>
      </c>
    </row>
    <row r="2520" spans="1:9">
      <c r="A2520" t="s">
        <v>310</v>
      </c>
      <c r="B2520" t="s">
        <v>311</v>
      </c>
      <c r="C2520" t="s">
        <v>269</v>
      </c>
      <c r="D2520" t="s">
        <v>25</v>
      </c>
      <c r="E2520" t="s">
        <v>11</v>
      </c>
      <c r="F2520">
        <v>2027</v>
      </c>
      <c r="G2520">
        <v>534.13363200000003</v>
      </c>
      <c r="H2520">
        <v>534.13363200000003</v>
      </c>
      <c r="I2520">
        <v>1</v>
      </c>
    </row>
    <row r="2521" spans="1:9">
      <c r="A2521" t="s">
        <v>310</v>
      </c>
      <c r="B2521" t="s">
        <v>311</v>
      </c>
      <c r="C2521" t="s">
        <v>269</v>
      </c>
      <c r="D2521" t="s">
        <v>25</v>
      </c>
      <c r="E2521" t="s">
        <v>11</v>
      </c>
      <c r="F2521">
        <v>2028</v>
      </c>
      <c r="G2521">
        <v>556.14019199999996</v>
      </c>
      <c r="H2521">
        <v>556.14019199999996</v>
      </c>
      <c r="I2521">
        <v>1</v>
      </c>
    </row>
    <row r="2522" spans="1:9">
      <c r="A2522" t="s">
        <v>310</v>
      </c>
      <c r="B2522" t="s">
        <v>311</v>
      </c>
      <c r="C2522" t="s">
        <v>269</v>
      </c>
      <c r="D2522" t="s">
        <v>25</v>
      </c>
      <c r="E2522" t="s">
        <v>11</v>
      </c>
      <c r="F2522">
        <v>2029</v>
      </c>
      <c r="G2522">
        <v>578.87332800000001</v>
      </c>
      <c r="H2522">
        <v>578.87332800000001</v>
      </c>
      <c r="I2522">
        <v>1</v>
      </c>
    </row>
    <row r="2523" spans="1:9">
      <c r="A2523" t="s">
        <v>310</v>
      </c>
      <c r="B2523" t="s">
        <v>311</v>
      </c>
      <c r="C2523" t="s">
        <v>269</v>
      </c>
      <c r="D2523" t="s">
        <v>25</v>
      </c>
      <c r="E2523" t="s">
        <v>11</v>
      </c>
      <c r="F2523">
        <v>2030</v>
      </c>
      <c r="G2523">
        <v>602.32886399999995</v>
      </c>
      <c r="H2523">
        <v>602.32886399999995</v>
      </c>
      <c r="I2523">
        <v>1</v>
      </c>
    </row>
    <row r="2524" spans="1:9">
      <c r="A2524" t="s">
        <v>310</v>
      </c>
      <c r="B2524" t="s">
        <v>311</v>
      </c>
      <c r="C2524" t="s">
        <v>269</v>
      </c>
      <c r="D2524" t="s">
        <v>25</v>
      </c>
      <c r="E2524" t="s">
        <v>11</v>
      </c>
      <c r="F2524">
        <v>2031</v>
      </c>
      <c r="G2524">
        <v>626.51011200000005</v>
      </c>
      <c r="H2524">
        <v>626.51011200000005</v>
      </c>
      <c r="I2524">
        <v>1</v>
      </c>
    </row>
    <row r="2525" spans="1:9">
      <c r="A2525" t="s">
        <v>310</v>
      </c>
      <c r="B2525" t="s">
        <v>311</v>
      </c>
      <c r="C2525" t="s">
        <v>269</v>
      </c>
      <c r="D2525" t="s">
        <v>25</v>
      </c>
      <c r="E2525" t="s">
        <v>11</v>
      </c>
      <c r="F2525">
        <v>2032</v>
      </c>
      <c r="G2525">
        <v>651.42326400000002</v>
      </c>
      <c r="H2525">
        <v>651.42326400000002</v>
      </c>
      <c r="I2525">
        <v>1</v>
      </c>
    </row>
    <row r="2526" spans="1:9">
      <c r="A2526" t="s">
        <v>310</v>
      </c>
      <c r="B2526" t="s">
        <v>311</v>
      </c>
      <c r="C2526" t="s">
        <v>269</v>
      </c>
      <c r="D2526" t="s">
        <v>25</v>
      </c>
      <c r="E2526" t="s">
        <v>11</v>
      </c>
      <c r="F2526">
        <v>2033</v>
      </c>
      <c r="G2526">
        <v>677.06947200000002</v>
      </c>
      <c r="H2526">
        <v>677.06947200000002</v>
      </c>
      <c r="I2526">
        <v>1</v>
      </c>
    </row>
    <row r="2527" spans="1:9">
      <c r="A2527" t="s">
        <v>310</v>
      </c>
      <c r="B2527" t="s">
        <v>311</v>
      </c>
      <c r="C2527" t="s">
        <v>269</v>
      </c>
      <c r="D2527" t="s">
        <v>25</v>
      </c>
      <c r="E2527" t="s">
        <v>11</v>
      </c>
      <c r="F2527">
        <v>2034</v>
      </c>
      <c r="G2527">
        <v>703.44921599999998</v>
      </c>
      <c r="H2527">
        <v>703.44921599999998</v>
      </c>
      <c r="I2527">
        <v>1</v>
      </c>
    </row>
    <row r="2528" spans="1:9">
      <c r="A2528" t="s">
        <v>310</v>
      </c>
      <c r="B2528" t="s">
        <v>311</v>
      </c>
      <c r="C2528" t="s">
        <v>269</v>
      </c>
      <c r="D2528" t="s">
        <v>25</v>
      </c>
      <c r="E2528" t="s">
        <v>11</v>
      </c>
      <c r="F2528">
        <v>2035</v>
      </c>
      <c r="G2528">
        <v>730.55860800000005</v>
      </c>
      <c r="H2528">
        <v>730.55860800000005</v>
      </c>
      <c r="I2528">
        <v>1</v>
      </c>
    </row>
    <row r="2529" spans="1:9">
      <c r="A2529" t="s">
        <v>310</v>
      </c>
      <c r="B2529" t="s">
        <v>311</v>
      </c>
      <c r="C2529" t="s">
        <v>269</v>
      </c>
      <c r="D2529" t="s">
        <v>25</v>
      </c>
      <c r="E2529" t="s">
        <v>11</v>
      </c>
      <c r="F2529">
        <v>2036</v>
      </c>
      <c r="G2529">
        <v>758.38574400000005</v>
      </c>
      <c r="H2529">
        <v>758.38574400000005</v>
      </c>
      <c r="I2529">
        <v>1</v>
      </c>
    </row>
    <row r="2530" spans="1:9">
      <c r="A2530" t="s">
        <v>310</v>
      </c>
      <c r="B2530" t="s">
        <v>311</v>
      </c>
      <c r="C2530" t="s">
        <v>269</v>
      </c>
      <c r="D2530" t="s">
        <v>25</v>
      </c>
      <c r="E2530" t="s">
        <v>11</v>
      </c>
      <c r="F2530">
        <v>2037</v>
      </c>
      <c r="G2530">
        <v>786.90139199999999</v>
      </c>
      <c r="H2530">
        <v>786.90139199999999</v>
      </c>
      <c r="I2530">
        <v>1</v>
      </c>
    </row>
    <row r="2531" spans="1:9">
      <c r="A2531" t="s">
        <v>310</v>
      </c>
      <c r="B2531" t="s">
        <v>311</v>
      </c>
      <c r="C2531" t="s">
        <v>269</v>
      </c>
      <c r="D2531" t="s">
        <v>25</v>
      </c>
      <c r="E2531" t="s">
        <v>11</v>
      </c>
      <c r="F2531">
        <v>2038</v>
      </c>
      <c r="G2531">
        <v>816.19257600000003</v>
      </c>
      <c r="H2531">
        <v>816.19257600000003</v>
      </c>
      <c r="I2531">
        <v>1</v>
      </c>
    </row>
    <row r="2532" spans="1:9">
      <c r="A2532" t="s">
        <v>310</v>
      </c>
      <c r="B2532" t="s">
        <v>311</v>
      </c>
      <c r="C2532" t="s">
        <v>269</v>
      </c>
      <c r="D2532" t="s">
        <v>25</v>
      </c>
      <c r="E2532" t="s">
        <v>11</v>
      </c>
      <c r="F2532">
        <v>2039</v>
      </c>
      <c r="G2532">
        <v>846.23798399999998</v>
      </c>
      <c r="H2532">
        <v>846.23798399999998</v>
      </c>
      <c r="I2532">
        <v>1</v>
      </c>
    </row>
    <row r="2533" spans="1:9">
      <c r="A2533" t="s">
        <v>310</v>
      </c>
      <c r="B2533" t="s">
        <v>311</v>
      </c>
      <c r="C2533" t="s">
        <v>269</v>
      </c>
      <c r="D2533" t="s">
        <v>25</v>
      </c>
      <c r="E2533" t="s">
        <v>11</v>
      </c>
      <c r="F2533">
        <v>2040</v>
      </c>
      <c r="G2533">
        <v>877.04644800000005</v>
      </c>
      <c r="H2533">
        <v>877.04644800000005</v>
      </c>
      <c r="I2533">
        <v>1</v>
      </c>
    </row>
    <row r="2534" spans="1:9">
      <c r="A2534" t="s">
        <v>310</v>
      </c>
      <c r="B2534" t="s">
        <v>311</v>
      </c>
      <c r="C2534" t="s">
        <v>269</v>
      </c>
      <c r="D2534" t="s">
        <v>25</v>
      </c>
      <c r="E2534" t="s">
        <v>11</v>
      </c>
      <c r="F2534">
        <v>2041</v>
      </c>
      <c r="G2534">
        <v>908.62363200000004</v>
      </c>
      <c r="H2534">
        <v>908.62363200000004</v>
      </c>
      <c r="I2534">
        <v>1</v>
      </c>
    </row>
    <row r="2535" spans="1:9">
      <c r="A2535" t="s">
        <v>310</v>
      </c>
      <c r="B2535" t="s">
        <v>311</v>
      </c>
      <c r="C2535" t="s">
        <v>269</v>
      </c>
      <c r="D2535" t="s">
        <v>25</v>
      </c>
      <c r="E2535" t="s">
        <v>11</v>
      </c>
      <c r="F2535">
        <v>2042</v>
      </c>
      <c r="G2535">
        <v>940.97188800000004</v>
      </c>
      <c r="H2535">
        <v>940.97188800000004</v>
      </c>
      <c r="I2535">
        <v>1</v>
      </c>
    </row>
    <row r="2536" spans="1:9">
      <c r="A2536" t="s">
        <v>310</v>
      </c>
      <c r="B2536" t="s">
        <v>311</v>
      </c>
      <c r="C2536" t="s">
        <v>269</v>
      </c>
      <c r="D2536" t="s">
        <v>25</v>
      </c>
      <c r="E2536" t="s">
        <v>11</v>
      </c>
      <c r="F2536">
        <v>2043</v>
      </c>
      <c r="G2536">
        <v>974.09380799999997</v>
      </c>
      <c r="H2536">
        <v>974.09380799999997</v>
      </c>
      <c r="I2536">
        <v>1</v>
      </c>
    </row>
    <row r="2537" spans="1:9">
      <c r="A2537" t="s">
        <v>310</v>
      </c>
      <c r="B2537" t="s">
        <v>311</v>
      </c>
      <c r="C2537" t="s">
        <v>269</v>
      </c>
      <c r="D2537" t="s">
        <v>25</v>
      </c>
      <c r="E2537" t="s">
        <v>11</v>
      </c>
      <c r="F2537">
        <v>2044</v>
      </c>
      <c r="G2537">
        <v>1007.990592</v>
      </c>
      <c r="H2537">
        <v>1007.990592</v>
      </c>
      <c r="I2537">
        <v>1</v>
      </c>
    </row>
    <row r="2538" spans="1:9">
      <c r="A2538" t="s">
        <v>310</v>
      </c>
      <c r="B2538" t="s">
        <v>311</v>
      </c>
      <c r="C2538" t="s">
        <v>269</v>
      </c>
      <c r="D2538" t="s">
        <v>25</v>
      </c>
      <c r="E2538" t="s">
        <v>11</v>
      </c>
      <c r="F2538">
        <v>2045</v>
      </c>
      <c r="G2538">
        <v>1042.6628639999999</v>
      </c>
      <c r="H2538">
        <v>1042.6628639999999</v>
      </c>
      <c r="I2538">
        <v>1</v>
      </c>
    </row>
    <row r="2539" spans="1:9">
      <c r="A2539" t="s">
        <v>310</v>
      </c>
      <c r="B2539" t="s">
        <v>311</v>
      </c>
      <c r="C2539" t="s">
        <v>269</v>
      </c>
      <c r="D2539" t="s">
        <v>25</v>
      </c>
      <c r="E2539" t="s">
        <v>11</v>
      </c>
      <c r="F2539">
        <v>2046</v>
      </c>
      <c r="G2539">
        <v>1078.109328</v>
      </c>
      <c r="H2539">
        <v>1078.109328</v>
      </c>
      <c r="I2539">
        <v>1</v>
      </c>
    </row>
    <row r="2540" spans="1:9">
      <c r="A2540" t="s">
        <v>310</v>
      </c>
      <c r="B2540" t="s">
        <v>311</v>
      </c>
      <c r="C2540" t="s">
        <v>269</v>
      </c>
      <c r="D2540" t="s">
        <v>25</v>
      </c>
      <c r="E2540" t="s">
        <v>11</v>
      </c>
      <c r="F2540">
        <v>2047</v>
      </c>
      <c r="G2540">
        <v>1114.3307520000001</v>
      </c>
      <c r="H2540">
        <v>1114.3307520000001</v>
      </c>
      <c r="I2540">
        <v>1</v>
      </c>
    </row>
    <row r="2541" spans="1:9">
      <c r="A2541" t="s">
        <v>310</v>
      </c>
      <c r="B2541" t="s">
        <v>311</v>
      </c>
      <c r="C2541" t="s">
        <v>269</v>
      </c>
      <c r="D2541" t="s">
        <v>25</v>
      </c>
      <c r="E2541" t="s">
        <v>11</v>
      </c>
      <c r="F2541">
        <v>2048</v>
      </c>
      <c r="G2541">
        <v>1151.3310719999999</v>
      </c>
      <c r="H2541">
        <v>1151.3310719999999</v>
      </c>
      <c r="I2541">
        <v>1</v>
      </c>
    </row>
    <row r="2542" spans="1:9">
      <c r="A2542" t="s">
        <v>310</v>
      </c>
      <c r="B2542" t="s">
        <v>311</v>
      </c>
      <c r="C2542" t="s">
        <v>269</v>
      </c>
      <c r="D2542" t="s">
        <v>25</v>
      </c>
      <c r="E2542" t="s">
        <v>11</v>
      </c>
      <c r="F2542">
        <v>2049</v>
      </c>
      <c r="G2542">
        <v>0</v>
      </c>
      <c r="H2542">
        <v>0</v>
      </c>
      <c r="I2542">
        <v>1</v>
      </c>
    </row>
    <row r="2543" spans="1:9">
      <c r="A2543" t="s">
        <v>310</v>
      </c>
      <c r="B2543" t="s">
        <v>311</v>
      </c>
      <c r="C2543" t="s">
        <v>269</v>
      </c>
      <c r="D2543" t="s">
        <v>25</v>
      </c>
      <c r="E2543" t="s">
        <v>11</v>
      </c>
      <c r="F2543">
        <v>2050</v>
      </c>
      <c r="G2543">
        <v>0</v>
      </c>
      <c r="H2543">
        <v>0</v>
      </c>
      <c r="I2543">
        <v>1</v>
      </c>
    </row>
    <row r="2544" spans="1:9">
      <c r="A2544" t="s">
        <v>310</v>
      </c>
      <c r="B2544" t="s">
        <v>311</v>
      </c>
      <c r="C2544" t="s">
        <v>269</v>
      </c>
      <c r="D2544" t="s">
        <v>26</v>
      </c>
      <c r="E2544" t="s">
        <v>11</v>
      </c>
      <c r="F2544">
        <v>2010</v>
      </c>
      <c r="G2544">
        <v>0</v>
      </c>
      <c r="H2544">
        <v>0</v>
      </c>
      <c r="I2544">
        <v>1</v>
      </c>
    </row>
    <row r="2545" spans="1:9">
      <c r="A2545" t="s">
        <v>310</v>
      </c>
      <c r="B2545" t="s">
        <v>311</v>
      </c>
      <c r="C2545" t="s">
        <v>269</v>
      </c>
      <c r="D2545" t="s">
        <v>26</v>
      </c>
      <c r="E2545" t="s">
        <v>11</v>
      </c>
      <c r="F2545">
        <v>2011</v>
      </c>
      <c r="G2545">
        <v>0</v>
      </c>
      <c r="H2545">
        <v>0</v>
      </c>
      <c r="I2545">
        <v>1</v>
      </c>
    </row>
    <row r="2546" spans="1:9">
      <c r="A2546" t="s">
        <v>310</v>
      </c>
      <c r="B2546" t="s">
        <v>311</v>
      </c>
      <c r="C2546" t="s">
        <v>269</v>
      </c>
      <c r="D2546" t="s">
        <v>26</v>
      </c>
      <c r="E2546" t="s">
        <v>11</v>
      </c>
      <c r="F2546">
        <v>2012</v>
      </c>
      <c r="G2546">
        <v>0</v>
      </c>
      <c r="H2546">
        <v>0</v>
      </c>
      <c r="I2546">
        <v>1</v>
      </c>
    </row>
    <row r="2547" spans="1:9">
      <c r="A2547" t="s">
        <v>310</v>
      </c>
      <c r="B2547" t="s">
        <v>311</v>
      </c>
      <c r="C2547" t="s">
        <v>269</v>
      </c>
      <c r="D2547" t="s">
        <v>26</v>
      </c>
      <c r="E2547" t="s">
        <v>11</v>
      </c>
      <c r="F2547">
        <v>2013</v>
      </c>
      <c r="G2547">
        <v>0</v>
      </c>
      <c r="H2547">
        <v>0</v>
      </c>
      <c r="I2547">
        <v>1</v>
      </c>
    </row>
    <row r="2548" spans="1:9">
      <c r="A2548" t="s">
        <v>310</v>
      </c>
      <c r="B2548" t="s">
        <v>311</v>
      </c>
      <c r="C2548" t="s">
        <v>269</v>
      </c>
      <c r="D2548" t="s">
        <v>26</v>
      </c>
      <c r="E2548" t="s">
        <v>11</v>
      </c>
      <c r="F2548">
        <v>2014</v>
      </c>
      <c r="G2548">
        <v>0</v>
      </c>
      <c r="H2548">
        <v>0</v>
      </c>
      <c r="I2548">
        <v>1</v>
      </c>
    </row>
    <row r="2549" spans="1:9">
      <c r="A2549" t="s">
        <v>310</v>
      </c>
      <c r="B2549" t="s">
        <v>311</v>
      </c>
      <c r="C2549" t="s">
        <v>269</v>
      </c>
      <c r="D2549" t="s">
        <v>26</v>
      </c>
      <c r="E2549" t="s">
        <v>11</v>
      </c>
      <c r="F2549">
        <v>2015</v>
      </c>
      <c r="G2549">
        <v>0</v>
      </c>
      <c r="H2549">
        <v>0</v>
      </c>
      <c r="I2549">
        <v>1</v>
      </c>
    </row>
    <row r="2550" spans="1:9">
      <c r="A2550" t="s">
        <v>310</v>
      </c>
      <c r="B2550" t="s">
        <v>311</v>
      </c>
      <c r="C2550" t="s">
        <v>269</v>
      </c>
      <c r="D2550" t="s">
        <v>26</v>
      </c>
      <c r="E2550" t="s">
        <v>11</v>
      </c>
      <c r="F2550">
        <v>2016</v>
      </c>
      <c r="G2550">
        <v>0</v>
      </c>
      <c r="H2550">
        <v>0</v>
      </c>
      <c r="I2550">
        <v>1</v>
      </c>
    </row>
    <row r="2551" spans="1:9">
      <c r="A2551" t="s">
        <v>310</v>
      </c>
      <c r="B2551" t="s">
        <v>311</v>
      </c>
      <c r="C2551" t="s">
        <v>269</v>
      </c>
      <c r="D2551" t="s">
        <v>26</v>
      </c>
      <c r="E2551" t="s">
        <v>11</v>
      </c>
      <c r="F2551">
        <v>2017</v>
      </c>
      <c r="G2551">
        <v>0</v>
      </c>
      <c r="H2551">
        <v>0</v>
      </c>
      <c r="I2551">
        <v>1</v>
      </c>
    </row>
    <row r="2552" spans="1:9">
      <c r="A2552" t="s">
        <v>310</v>
      </c>
      <c r="B2552" t="s">
        <v>311</v>
      </c>
      <c r="C2552" t="s">
        <v>269</v>
      </c>
      <c r="D2552" t="s">
        <v>26</v>
      </c>
      <c r="E2552" t="s">
        <v>11</v>
      </c>
      <c r="F2552">
        <v>2018</v>
      </c>
      <c r="G2552">
        <v>0</v>
      </c>
      <c r="H2552">
        <v>0</v>
      </c>
      <c r="I2552">
        <v>1</v>
      </c>
    </row>
    <row r="2553" spans="1:9">
      <c r="A2553" t="s">
        <v>310</v>
      </c>
      <c r="B2553" t="s">
        <v>311</v>
      </c>
      <c r="C2553" t="s">
        <v>269</v>
      </c>
      <c r="D2553" t="s">
        <v>26</v>
      </c>
      <c r="E2553" t="s">
        <v>11</v>
      </c>
      <c r="F2553">
        <v>2019</v>
      </c>
      <c r="G2553">
        <v>0</v>
      </c>
      <c r="H2553">
        <v>0</v>
      </c>
      <c r="I2553">
        <v>1</v>
      </c>
    </row>
    <row r="2554" spans="1:9">
      <c r="A2554" t="s">
        <v>310</v>
      </c>
      <c r="B2554" t="s">
        <v>311</v>
      </c>
      <c r="C2554" t="s">
        <v>269</v>
      </c>
      <c r="D2554" t="s">
        <v>26</v>
      </c>
      <c r="E2554" t="s">
        <v>11</v>
      </c>
      <c r="F2554">
        <v>2020</v>
      </c>
      <c r="G2554">
        <v>0</v>
      </c>
      <c r="H2554">
        <v>0</v>
      </c>
      <c r="I2554">
        <v>1</v>
      </c>
    </row>
    <row r="2555" spans="1:9">
      <c r="A2555" t="s">
        <v>310</v>
      </c>
      <c r="B2555" t="s">
        <v>311</v>
      </c>
      <c r="C2555" t="s">
        <v>269</v>
      </c>
      <c r="D2555" t="s">
        <v>26</v>
      </c>
      <c r="E2555" t="s">
        <v>11</v>
      </c>
      <c r="F2555">
        <v>2021</v>
      </c>
      <c r="G2555">
        <v>0</v>
      </c>
      <c r="H2555">
        <v>0</v>
      </c>
      <c r="I2555">
        <v>1</v>
      </c>
    </row>
    <row r="2556" spans="1:9">
      <c r="A2556" t="s">
        <v>310</v>
      </c>
      <c r="B2556" t="s">
        <v>311</v>
      </c>
      <c r="C2556" t="s">
        <v>269</v>
      </c>
      <c r="D2556" t="s">
        <v>26</v>
      </c>
      <c r="E2556" t="s">
        <v>11</v>
      </c>
      <c r="F2556">
        <v>2022</v>
      </c>
      <c r="G2556">
        <v>0</v>
      </c>
      <c r="H2556">
        <v>0</v>
      </c>
      <c r="I2556">
        <v>1</v>
      </c>
    </row>
    <row r="2557" spans="1:9">
      <c r="A2557" t="s">
        <v>310</v>
      </c>
      <c r="B2557" t="s">
        <v>311</v>
      </c>
      <c r="C2557" t="s">
        <v>269</v>
      </c>
      <c r="D2557" t="s">
        <v>26</v>
      </c>
      <c r="E2557" t="s">
        <v>11</v>
      </c>
      <c r="F2557">
        <v>2023</v>
      </c>
      <c r="G2557">
        <v>0</v>
      </c>
      <c r="H2557">
        <v>0</v>
      </c>
      <c r="I2557">
        <v>1</v>
      </c>
    </row>
    <row r="2558" spans="1:9">
      <c r="A2558" t="s">
        <v>310</v>
      </c>
      <c r="B2558" t="s">
        <v>311</v>
      </c>
      <c r="C2558" t="s">
        <v>269</v>
      </c>
      <c r="D2558" t="s">
        <v>26</v>
      </c>
      <c r="E2558" t="s">
        <v>11</v>
      </c>
      <c r="F2558">
        <v>2024</v>
      </c>
      <c r="G2558">
        <v>0</v>
      </c>
      <c r="H2558">
        <v>0</v>
      </c>
      <c r="I2558">
        <v>1</v>
      </c>
    </row>
    <row r="2559" spans="1:9">
      <c r="A2559" t="s">
        <v>310</v>
      </c>
      <c r="B2559" t="s">
        <v>311</v>
      </c>
      <c r="C2559" t="s">
        <v>269</v>
      </c>
      <c r="D2559" t="s">
        <v>26</v>
      </c>
      <c r="E2559" t="s">
        <v>11</v>
      </c>
      <c r="F2559">
        <v>2025</v>
      </c>
      <c r="G2559">
        <v>0</v>
      </c>
      <c r="H2559">
        <v>0</v>
      </c>
      <c r="I2559">
        <v>1</v>
      </c>
    </row>
    <row r="2560" spans="1:9">
      <c r="A2560" t="s">
        <v>310</v>
      </c>
      <c r="B2560" t="s">
        <v>311</v>
      </c>
      <c r="C2560" t="s">
        <v>269</v>
      </c>
      <c r="D2560" t="s">
        <v>26</v>
      </c>
      <c r="E2560" t="s">
        <v>11</v>
      </c>
      <c r="F2560">
        <v>2026</v>
      </c>
      <c r="G2560">
        <v>0</v>
      </c>
      <c r="H2560">
        <v>0</v>
      </c>
      <c r="I2560">
        <v>1</v>
      </c>
    </row>
    <row r="2561" spans="1:9">
      <c r="A2561" t="s">
        <v>310</v>
      </c>
      <c r="B2561" t="s">
        <v>311</v>
      </c>
      <c r="C2561" t="s">
        <v>269</v>
      </c>
      <c r="D2561" t="s">
        <v>26</v>
      </c>
      <c r="E2561" t="s">
        <v>11</v>
      </c>
      <c r="F2561">
        <v>2027</v>
      </c>
      <c r="G2561">
        <v>0</v>
      </c>
      <c r="H2561">
        <v>0</v>
      </c>
      <c r="I2561">
        <v>1</v>
      </c>
    </row>
    <row r="2562" spans="1:9">
      <c r="A2562" t="s">
        <v>310</v>
      </c>
      <c r="B2562" t="s">
        <v>311</v>
      </c>
      <c r="C2562" t="s">
        <v>269</v>
      </c>
      <c r="D2562" t="s">
        <v>26</v>
      </c>
      <c r="E2562" t="s">
        <v>11</v>
      </c>
      <c r="F2562">
        <v>2028</v>
      </c>
      <c r="G2562">
        <v>0</v>
      </c>
      <c r="H2562">
        <v>0</v>
      </c>
      <c r="I2562">
        <v>1</v>
      </c>
    </row>
    <row r="2563" spans="1:9">
      <c r="A2563" t="s">
        <v>310</v>
      </c>
      <c r="B2563" t="s">
        <v>311</v>
      </c>
      <c r="C2563" t="s">
        <v>269</v>
      </c>
      <c r="D2563" t="s">
        <v>26</v>
      </c>
      <c r="E2563" t="s">
        <v>11</v>
      </c>
      <c r="F2563">
        <v>2029</v>
      </c>
      <c r="G2563">
        <v>0</v>
      </c>
      <c r="H2563">
        <v>0</v>
      </c>
      <c r="I2563">
        <v>1</v>
      </c>
    </row>
    <row r="2564" spans="1:9">
      <c r="A2564" t="s">
        <v>310</v>
      </c>
      <c r="B2564" t="s">
        <v>311</v>
      </c>
      <c r="C2564" t="s">
        <v>269</v>
      </c>
      <c r="D2564" t="s">
        <v>26</v>
      </c>
      <c r="E2564" t="s">
        <v>11</v>
      </c>
      <c r="F2564">
        <v>2030</v>
      </c>
      <c r="G2564">
        <v>0</v>
      </c>
      <c r="H2564">
        <v>0</v>
      </c>
      <c r="I2564">
        <v>1</v>
      </c>
    </row>
    <row r="2565" spans="1:9">
      <c r="A2565" t="s">
        <v>310</v>
      </c>
      <c r="B2565" t="s">
        <v>311</v>
      </c>
      <c r="C2565" t="s">
        <v>269</v>
      </c>
      <c r="D2565" t="s">
        <v>26</v>
      </c>
      <c r="E2565" t="s">
        <v>11</v>
      </c>
      <c r="F2565">
        <v>2031</v>
      </c>
      <c r="G2565">
        <v>0</v>
      </c>
      <c r="H2565">
        <v>0</v>
      </c>
      <c r="I2565">
        <v>1</v>
      </c>
    </row>
    <row r="2566" spans="1:9">
      <c r="A2566" t="s">
        <v>310</v>
      </c>
      <c r="B2566" t="s">
        <v>311</v>
      </c>
      <c r="C2566" t="s">
        <v>269</v>
      </c>
      <c r="D2566" t="s">
        <v>26</v>
      </c>
      <c r="E2566" t="s">
        <v>11</v>
      </c>
      <c r="F2566">
        <v>2032</v>
      </c>
      <c r="G2566">
        <v>0</v>
      </c>
      <c r="H2566">
        <v>0</v>
      </c>
      <c r="I2566">
        <v>1</v>
      </c>
    </row>
    <row r="2567" spans="1:9">
      <c r="A2567" t="s">
        <v>310</v>
      </c>
      <c r="B2567" t="s">
        <v>311</v>
      </c>
      <c r="C2567" t="s">
        <v>269</v>
      </c>
      <c r="D2567" t="s">
        <v>26</v>
      </c>
      <c r="E2567" t="s">
        <v>11</v>
      </c>
      <c r="F2567">
        <v>2033</v>
      </c>
      <c r="G2567">
        <v>0</v>
      </c>
      <c r="H2567">
        <v>0</v>
      </c>
      <c r="I2567">
        <v>1</v>
      </c>
    </row>
    <row r="2568" spans="1:9">
      <c r="A2568" t="s">
        <v>310</v>
      </c>
      <c r="B2568" t="s">
        <v>311</v>
      </c>
      <c r="C2568" t="s">
        <v>269</v>
      </c>
      <c r="D2568" t="s">
        <v>26</v>
      </c>
      <c r="E2568" t="s">
        <v>11</v>
      </c>
      <c r="F2568">
        <v>2034</v>
      </c>
      <c r="G2568">
        <v>0</v>
      </c>
      <c r="H2568">
        <v>0</v>
      </c>
      <c r="I2568">
        <v>1</v>
      </c>
    </row>
    <row r="2569" spans="1:9">
      <c r="A2569" t="s">
        <v>310</v>
      </c>
      <c r="B2569" t="s">
        <v>311</v>
      </c>
      <c r="C2569" t="s">
        <v>269</v>
      </c>
      <c r="D2569" t="s">
        <v>26</v>
      </c>
      <c r="E2569" t="s">
        <v>11</v>
      </c>
      <c r="F2569">
        <v>2035</v>
      </c>
      <c r="G2569">
        <v>0</v>
      </c>
      <c r="H2569">
        <v>0</v>
      </c>
      <c r="I2569">
        <v>1</v>
      </c>
    </row>
    <row r="2570" spans="1:9">
      <c r="A2570" t="s">
        <v>310</v>
      </c>
      <c r="B2570" t="s">
        <v>311</v>
      </c>
      <c r="C2570" t="s">
        <v>269</v>
      </c>
      <c r="D2570" t="s">
        <v>26</v>
      </c>
      <c r="E2570" t="s">
        <v>11</v>
      </c>
      <c r="F2570">
        <v>2036</v>
      </c>
      <c r="G2570">
        <v>0</v>
      </c>
      <c r="H2570">
        <v>0</v>
      </c>
      <c r="I2570">
        <v>1</v>
      </c>
    </row>
    <row r="2571" spans="1:9">
      <c r="A2571" t="s">
        <v>310</v>
      </c>
      <c r="B2571" t="s">
        <v>311</v>
      </c>
      <c r="C2571" t="s">
        <v>269</v>
      </c>
      <c r="D2571" t="s">
        <v>26</v>
      </c>
      <c r="E2571" t="s">
        <v>11</v>
      </c>
      <c r="F2571">
        <v>2037</v>
      </c>
      <c r="G2571">
        <v>0</v>
      </c>
      <c r="H2571">
        <v>0</v>
      </c>
      <c r="I2571">
        <v>1</v>
      </c>
    </row>
    <row r="2572" spans="1:9">
      <c r="A2572" t="s">
        <v>310</v>
      </c>
      <c r="B2572" t="s">
        <v>311</v>
      </c>
      <c r="C2572" t="s">
        <v>269</v>
      </c>
      <c r="D2572" t="s">
        <v>26</v>
      </c>
      <c r="E2572" t="s">
        <v>11</v>
      </c>
      <c r="F2572">
        <v>2038</v>
      </c>
      <c r="G2572">
        <v>0</v>
      </c>
      <c r="H2572">
        <v>0</v>
      </c>
      <c r="I2572">
        <v>1</v>
      </c>
    </row>
    <row r="2573" spans="1:9">
      <c r="A2573" t="s">
        <v>310</v>
      </c>
      <c r="B2573" t="s">
        <v>311</v>
      </c>
      <c r="C2573" t="s">
        <v>269</v>
      </c>
      <c r="D2573" t="s">
        <v>26</v>
      </c>
      <c r="E2573" t="s">
        <v>11</v>
      </c>
      <c r="F2573">
        <v>2039</v>
      </c>
      <c r="G2573">
        <v>0</v>
      </c>
      <c r="H2573">
        <v>0</v>
      </c>
      <c r="I2573">
        <v>1</v>
      </c>
    </row>
    <row r="2574" spans="1:9">
      <c r="A2574" t="s">
        <v>310</v>
      </c>
      <c r="B2574" t="s">
        <v>311</v>
      </c>
      <c r="C2574" t="s">
        <v>269</v>
      </c>
      <c r="D2574" t="s">
        <v>26</v>
      </c>
      <c r="E2574" t="s">
        <v>11</v>
      </c>
      <c r="F2574">
        <v>2040</v>
      </c>
      <c r="G2574">
        <v>0</v>
      </c>
      <c r="H2574">
        <v>0</v>
      </c>
      <c r="I2574">
        <v>1</v>
      </c>
    </row>
    <row r="2575" spans="1:9">
      <c r="A2575" t="s">
        <v>310</v>
      </c>
      <c r="B2575" t="s">
        <v>311</v>
      </c>
      <c r="C2575" t="s">
        <v>269</v>
      </c>
      <c r="D2575" t="s">
        <v>26</v>
      </c>
      <c r="E2575" t="s">
        <v>11</v>
      </c>
      <c r="F2575">
        <v>2041</v>
      </c>
      <c r="G2575">
        <v>0</v>
      </c>
      <c r="H2575">
        <v>0</v>
      </c>
      <c r="I2575">
        <v>1</v>
      </c>
    </row>
    <row r="2576" spans="1:9">
      <c r="A2576" t="s">
        <v>310</v>
      </c>
      <c r="B2576" t="s">
        <v>311</v>
      </c>
      <c r="C2576" t="s">
        <v>269</v>
      </c>
      <c r="D2576" t="s">
        <v>26</v>
      </c>
      <c r="E2576" t="s">
        <v>11</v>
      </c>
      <c r="F2576">
        <v>2042</v>
      </c>
      <c r="G2576">
        <v>0</v>
      </c>
      <c r="H2576">
        <v>0</v>
      </c>
      <c r="I2576">
        <v>1</v>
      </c>
    </row>
    <row r="2577" spans="1:9">
      <c r="A2577" t="s">
        <v>310</v>
      </c>
      <c r="B2577" t="s">
        <v>311</v>
      </c>
      <c r="C2577" t="s">
        <v>269</v>
      </c>
      <c r="D2577" t="s">
        <v>26</v>
      </c>
      <c r="E2577" t="s">
        <v>11</v>
      </c>
      <c r="F2577">
        <v>2043</v>
      </c>
      <c r="G2577">
        <v>0</v>
      </c>
      <c r="H2577">
        <v>0</v>
      </c>
      <c r="I2577">
        <v>1</v>
      </c>
    </row>
    <row r="2578" spans="1:9">
      <c r="A2578" t="s">
        <v>310</v>
      </c>
      <c r="B2578" t="s">
        <v>311</v>
      </c>
      <c r="C2578" t="s">
        <v>269</v>
      </c>
      <c r="D2578" t="s">
        <v>26</v>
      </c>
      <c r="E2578" t="s">
        <v>11</v>
      </c>
      <c r="F2578">
        <v>2044</v>
      </c>
      <c r="G2578">
        <v>0</v>
      </c>
      <c r="H2578">
        <v>0</v>
      </c>
      <c r="I2578">
        <v>1</v>
      </c>
    </row>
    <row r="2579" spans="1:9">
      <c r="A2579" t="s">
        <v>310</v>
      </c>
      <c r="B2579" t="s">
        <v>311</v>
      </c>
      <c r="C2579" t="s">
        <v>269</v>
      </c>
      <c r="D2579" t="s">
        <v>26</v>
      </c>
      <c r="E2579" t="s">
        <v>11</v>
      </c>
      <c r="F2579">
        <v>2045</v>
      </c>
      <c r="G2579">
        <v>0</v>
      </c>
      <c r="H2579">
        <v>0</v>
      </c>
      <c r="I2579">
        <v>1</v>
      </c>
    </row>
    <row r="2580" spans="1:9">
      <c r="A2580" t="s">
        <v>310</v>
      </c>
      <c r="B2580" t="s">
        <v>311</v>
      </c>
      <c r="C2580" t="s">
        <v>269</v>
      </c>
      <c r="D2580" t="s">
        <v>26</v>
      </c>
      <c r="E2580" t="s">
        <v>11</v>
      </c>
      <c r="F2580">
        <v>2046</v>
      </c>
      <c r="G2580">
        <v>0</v>
      </c>
      <c r="H2580">
        <v>0</v>
      </c>
      <c r="I2580">
        <v>1</v>
      </c>
    </row>
    <row r="2581" spans="1:9">
      <c r="A2581" t="s">
        <v>310</v>
      </c>
      <c r="B2581" t="s">
        <v>311</v>
      </c>
      <c r="C2581" t="s">
        <v>269</v>
      </c>
      <c r="D2581" t="s">
        <v>26</v>
      </c>
      <c r="E2581" t="s">
        <v>11</v>
      </c>
      <c r="F2581">
        <v>2047</v>
      </c>
      <c r="G2581">
        <v>0</v>
      </c>
      <c r="H2581">
        <v>0</v>
      </c>
      <c r="I2581">
        <v>1</v>
      </c>
    </row>
    <row r="2582" spans="1:9">
      <c r="A2582" t="s">
        <v>310</v>
      </c>
      <c r="B2582" t="s">
        <v>311</v>
      </c>
      <c r="C2582" t="s">
        <v>269</v>
      </c>
      <c r="D2582" t="s">
        <v>26</v>
      </c>
      <c r="E2582" t="s">
        <v>11</v>
      </c>
      <c r="F2582">
        <v>2048</v>
      </c>
      <c r="G2582">
        <v>0</v>
      </c>
      <c r="H2582">
        <v>0</v>
      </c>
      <c r="I2582">
        <v>1</v>
      </c>
    </row>
    <row r="2583" spans="1:9">
      <c r="A2583" t="s">
        <v>310</v>
      </c>
      <c r="B2583" t="s">
        <v>311</v>
      </c>
      <c r="C2583" t="s">
        <v>269</v>
      </c>
      <c r="D2583" t="s">
        <v>26</v>
      </c>
      <c r="E2583" t="s">
        <v>11</v>
      </c>
      <c r="F2583">
        <v>2049</v>
      </c>
      <c r="G2583">
        <v>0</v>
      </c>
      <c r="H2583">
        <v>0</v>
      </c>
      <c r="I2583">
        <v>1</v>
      </c>
    </row>
    <row r="2584" spans="1:9">
      <c r="A2584" t="s">
        <v>310</v>
      </c>
      <c r="B2584" t="s">
        <v>311</v>
      </c>
      <c r="C2584" t="s">
        <v>269</v>
      </c>
      <c r="D2584" t="s">
        <v>26</v>
      </c>
      <c r="E2584" t="s">
        <v>11</v>
      </c>
      <c r="F2584">
        <v>2050</v>
      </c>
      <c r="G2584">
        <v>0</v>
      </c>
      <c r="H2584">
        <v>0</v>
      </c>
      <c r="I2584">
        <v>1</v>
      </c>
    </row>
    <row r="2585" spans="1:9">
      <c r="A2585" t="s">
        <v>310</v>
      </c>
      <c r="B2585" t="s">
        <v>311</v>
      </c>
      <c r="C2585" t="s">
        <v>269</v>
      </c>
      <c r="D2585" t="s">
        <v>307</v>
      </c>
      <c r="E2585" t="s">
        <v>11</v>
      </c>
      <c r="F2585">
        <v>2010</v>
      </c>
      <c r="G2585">
        <v>0</v>
      </c>
      <c r="H2585">
        <v>0</v>
      </c>
      <c r="I2585">
        <v>1</v>
      </c>
    </row>
    <row r="2586" spans="1:9">
      <c r="A2586" t="s">
        <v>310</v>
      </c>
      <c r="B2586" t="s">
        <v>311</v>
      </c>
      <c r="C2586" t="s">
        <v>269</v>
      </c>
      <c r="D2586" t="s">
        <v>307</v>
      </c>
      <c r="E2586" t="s">
        <v>11</v>
      </c>
      <c r="F2586">
        <v>2011</v>
      </c>
      <c r="G2586">
        <v>0</v>
      </c>
      <c r="H2586">
        <v>0</v>
      </c>
      <c r="I2586">
        <v>1</v>
      </c>
    </row>
    <row r="2587" spans="1:9">
      <c r="A2587" t="s">
        <v>310</v>
      </c>
      <c r="B2587" t="s">
        <v>311</v>
      </c>
      <c r="C2587" t="s">
        <v>269</v>
      </c>
      <c r="D2587" t="s">
        <v>307</v>
      </c>
      <c r="E2587" t="s">
        <v>11</v>
      </c>
      <c r="F2587">
        <v>2012</v>
      </c>
      <c r="G2587">
        <v>0</v>
      </c>
      <c r="H2587">
        <v>0</v>
      </c>
      <c r="I2587">
        <v>1</v>
      </c>
    </row>
    <row r="2588" spans="1:9">
      <c r="A2588" t="s">
        <v>310</v>
      </c>
      <c r="B2588" t="s">
        <v>311</v>
      </c>
      <c r="C2588" t="s">
        <v>269</v>
      </c>
      <c r="D2588" t="s">
        <v>307</v>
      </c>
      <c r="E2588" t="s">
        <v>11</v>
      </c>
      <c r="F2588">
        <v>2013</v>
      </c>
      <c r="G2588">
        <v>0</v>
      </c>
      <c r="H2588">
        <v>0</v>
      </c>
      <c r="I2588">
        <v>1</v>
      </c>
    </row>
    <row r="2589" spans="1:9">
      <c r="A2589" t="s">
        <v>310</v>
      </c>
      <c r="B2589" t="s">
        <v>311</v>
      </c>
      <c r="C2589" t="s">
        <v>269</v>
      </c>
      <c r="D2589" t="s">
        <v>307</v>
      </c>
      <c r="E2589" t="s">
        <v>11</v>
      </c>
      <c r="F2589">
        <v>2014</v>
      </c>
      <c r="G2589">
        <v>0</v>
      </c>
      <c r="H2589">
        <v>0</v>
      </c>
      <c r="I2589">
        <v>1</v>
      </c>
    </row>
    <row r="2590" spans="1:9">
      <c r="A2590" t="s">
        <v>310</v>
      </c>
      <c r="B2590" t="s">
        <v>311</v>
      </c>
      <c r="C2590" t="s">
        <v>269</v>
      </c>
      <c r="D2590" t="s">
        <v>307</v>
      </c>
      <c r="E2590" t="s">
        <v>11</v>
      </c>
      <c r="F2590">
        <v>2015</v>
      </c>
      <c r="G2590">
        <v>0</v>
      </c>
      <c r="H2590">
        <v>0</v>
      </c>
      <c r="I2590">
        <v>1</v>
      </c>
    </row>
    <row r="2591" spans="1:9">
      <c r="A2591" t="s">
        <v>310</v>
      </c>
      <c r="B2591" t="s">
        <v>311</v>
      </c>
      <c r="C2591" t="s">
        <v>269</v>
      </c>
      <c r="D2591" t="s">
        <v>307</v>
      </c>
      <c r="E2591" t="s">
        <v>11</v>
      </c>
      <c r="F2591">
        <v>2016</v>
      </c>
      <c r="G2591">
        <v>0</v>
      </c>
      <c r="H2591">
        <v>0</v>
      </c>
      <c r="I2591">
        <v>1</v>
      </c>
    </row>
    <row r="2592" spans="1:9">
      <c r="A2592" t="s">
        <v>310</v>
      </c>
      <c r="B2592" t="s">
        <v>311</v>
      </c>
      <c r="C2592" t="s">
        <v>269</v>
      </c>
      <c r="D2592" t="s">
        <v>307</v>
      </c>
      <c r="E2592" t="s">
        <v>11</v>
      </c>
      <c r="F2592">
        <v>2017</v>
      </c>
      <c r="G2592">
        <v>0</v>
      </c>
      <c r="H2592">
        <v>0</v>
      </c>
      <c r="I2592">
        <v>1</v>
      </c>
    </row>
    <row r="2593" spans="1:9">
      <c r="A2593" t="s">
        <v>310</v>
      </c>
      <c r="B2593" t="s">
        <v>311</v>
      </c>
      <c r="C2593" t="s">
        <v>269</v>
      </c>
      <c r="D2593" t="s">
        <v>307</v>
      </c>
      <c r="E2593" t="s">
        <v>11</v>
      </c>
      <c r="F2593">
        <v>2018</v>
      </c>
      <c r="G2593">
        <v>0</v>
      </c>
      <c r="H2593">
        <v>0</v>
      </c>
      <c r="I2593">
        <v>1</v>
      </c>
    </row>
    <row r="2594" spans="1:9">
      <c r="A2594" t="s">
        <v>310</v>
      </c>
      <c r="B2594" t="s">
        <v>311</v>
      </c>
      <c r="C2594" t="s">
        <v>269</v>
      </c>
      <c r="D2594" t="s">
        <v>307</v>
      </c>
      <c r="E2594" t="s">
        <v>11</v>
      </c>
      <c r="F2594">
        <v>2019</v>
      </c>
      <c r="G2594">
        <v>0</v>
      </c>
      <c r="H2594">
        <v>0</v>
      </c>
      <c r="I2594">
        <v>1</v>
      </c>
    </row>
    <row r="2595" spans="1:9">
      <c r="A2595" t="s">
        <v>310</v>
      </c>
      <c r="B2595" t="s">
        <v>311</v>
      </c>
      <c r="C2595" t="s">
        <v>269</v>
      </c>
      <c r="D2595" t="s">
        <v>307</v>
      </c>
      <c r="E2595" t="s">
        <v>11</v>
      </c>
      <c r="F2595">
        <v>2020</v>
      </c>
      <c r="G2595">
        <v>0</v>
      </c>
      <c r="H2595">
        <v>0</v>
      </c>
      <c r="I2595">
        <v>1</v>
      </c>
    </row>
    <row r="2596" spans="1:9">
      <c r="A2596" t="s">
        <v>310</v>
      </c>
      <c r="B2596" t="s">
        <v>311</v>
      </c>
      <c r="C2596" t="s">
        <v>269</v>
      </c>
      <c r="D2596" t="s">
        <v>307</v>
      </c>
      <c r="E2596" t="s">
        <v>11</v>
      </c>
      <c r="F2596">
        <v>2021</v>
      </c>
      <c r="G2596">
        <v>923.26996799999995</v>
      </c>
      <c r="H2596">
        <v>923.26996799999995</v>
      </c>
      <c r="I2596">
        <v>1</v>
      </c>
    </row>
    <row r="2597" spans="1:9">
      <c r="A2597" t="s">
        <v>310</v>
      </c>
      <c r="B2597" t="s">
        <v>311</v>
      </c>
      <c r="C2597" t="s">
        <v>269</v>
      </c>
      <c r="D2597" t="s">
        <v>307</v>
      </c>
      <c r="E2597" t="s">
        <v>11</v>
      </c>
      <c r="F2597">
        <v>2022</v>
      </c>
      <c r="G2597">
        <v>950.573712</v>
      </c>
      <c r="H2597">
        <v>950.573712</v>
      </c>
      <c r="I2597">
        <v>1</v>
      </c>
    </row>
    <row r="2598" spans="1:9">
      <c r="A2598" t="s">
        <v>310</v>
      </c>
      <c r="B2598" t="s">
        <v>311</v>
      </c>
      <c r="C2598" t="s">
        <v>269</v>
      </c>
      <c r="D2598" t="s">
        <v>307</v>
      </c>
      <c r="E2598" t="s">
        <v>11</v>
      </c>
      <c r="F2598">
        <v>2023</v>
      </c>
      <c r="G2598">
        <v>978.53399999999999</v>
      </c>
      <c r="H2598">
        <v>978.53399999999999</v>
      </c>
      <c r="I2598">
        <v>1</v>
      </c>
    </row>
    <row r="2599" spans="1:9">
      <c r="A2599" t="s">
        <v>310</v>
      </c>
      <c r="B2599" t="s">
        <v>311</v>
      </c>
      <c r="C2599" t="s">
        <v>269</v>
      </c>
      <c r="D2599" t="s">
        <v>307</v>
      </c>
      <c r="E2599" t="s">
        <v>11</v>
      </c>
      <c r="F2599">
        <v>2024</v>
      </c>
      <c r="G2599">
        <v>1007.172672</v>
      </c>
      <c r="H2599">
        <v>1007.172672</v>
      </c>
      <c r="I2599">
        <v>1</v>
      </c>
    </row>
    <row r="2600" spans="1:9">
      <c r="A2600" t="s">
        <v>310</v>
      </c>
      <c r="B2600" t="s">
        <v>311</v>
      </c>
      <c r="C2600" t="s">
        <v>269</v>
      </c>
      <c r="D2600" t="s">
        <v>307</v>
      </c>
      <c r="E2600" t="s">
        <v>11</v>
      </c>
      <c r="F2600">
        <v>2025</v>
      </c>
      <c r="G2600">
        <v>1036.5036</v>
      </c>
      <c r="H2600">
        <v>1036.5036</v>
      </c>
      <c r="I2600">
        <v>1</v>
      </c>
    </row>
    <row r="2601" spans="1:9">
      <c r="A2601" t="s">
        <v>310</v>
      </c>
      <c r="B2601" t="s">
        <v>311</v>
      </c>
      <c r="C2601" t="s">
        <v>269</v>
      </c>
      <c r="D2601" t="s">
        <v>307</v>
      </c>
      <c r="E2601" t="s">
        <v>11</v>
      </c>
      <c r="F2601">
        <v>2026</v>
      </c>
      <c r="G2601">
        <v>1066.5331200000001</v>
      </c>
      <c r="H2601">
        <v>1066.5331200000001</v>
      </c>
      <c r="I2601">
        <v>1</v>
      </c>
    </row>
    <row r="2602" spans="1:9">
      <c r="A2602" t="s">
        <v>310</v>
      </c>
      <c r="B2602" t="s">
        <v>311</v>
      </c>
      <c r="C2602" t="s">
        <v>269</v>
      </c>
      <c r="D2602" t="s">
        <v>307</v>
      </c>
      <c r="E2602" t="s">
        <v>11</v>
      </c>
      <c r="F2602">
        <v>2027</v>
      </c>
      <c r="G2602">
        <v>1097.2494240000001</v>
      </c>
      <c r="H2602">
        <v>1097.2494240000001</v>
      </c>
      <c r="I2602">
        <v>1</v>
      </c>
    </row>
    <row r="2603" spans="1:9">
      <c r="A2603" t="s">
        <v>310</v>
      </c>
      <c r="B2603" t="s">
        <v>311</v>
      </c>
      <c r="C2603" t="s">
        <v>269</v>
      </c>
      <c r="D2603" t="s">
        <v>307</v>
      </c>
      <c r="E2603" t="s">
        <v>11</v>
      </c>
      <c r="F2603">
        <v>2028</v>
      </c>
      <c r="G2603">
        <v>1128.629232</v>
      </c>
      <c r="H2603">
        <v>1128.629232</v>
      </c>
      <c r="I2603">
        <v>1</v>
      </c>
    </row>
    <row r="2604" spans="1:9">
      <c r="A2604" t="s">
        <v>310</v>
      </c>
      <c r="B2604" t="s">
        <v>311</v>
      </c>
      <c r="C2604" t="s">
        <v>269</v>
      </c>
      <c r="D2604" t="s">
        <v>307</v>
      </c>
      <c r="E2604" t="s">
        <v>11</v>
      </c>
      <c r="F2604">
        <v>2029</v>
      </c>
      <c r="G2604">
        <v>1160.638224</v>
      </c>
      <c r="H2604">
        <v>1160.638224</v>
      </c>
      <c r="I2604">
        <v>1</v>
      </c>
    </row>
    <row r="2605" spans="1:9">
      <c r="A2605" t="s">
        <v>310</v>
      </c>
      <c r="B2605" t="s">
        <v>311</v>
      </c>
      <c r="C2605" t="s">
        <v>269</v>
      </c>
      <c r="D2605" t="s">
        <v>307</v>
      </c>
      <c r="E2605" t="s">
        <v>11</v>
      </c>
      <c r="F2605">
        <v>2030</v>
      </c>
      <c r="G2605">
        <v>1193.2500480000001</v>
      </c>
      <c r="H2605">
        <v>1193.2500480000001</v>
      </c>
      <c r="I2605">
        <v>1</v>
      </c>
    </row>
    <row r="2606" spans="1:9">
      <c r="A2606" t="s">
        <v>310</v>
      </c>
      <c r="B2606" t="s">
        <v>311</v>
      </c>
      <c r="C2606" t="s">
        <v>269</v>
      </c>
      <c r="D2606" t="s">
        <v>307</v>
      </c>
      <c r="E2606" t="s">
        <v>11</v>
      </c>
      <c r="F2606">
        <v>2031</v>
      </c>
      <c r="G2606">
        <v>1226.4565439999999</v>
      </c>
      <c r="H2606">
        <v>1226.4565439999999</v>
      </c>
      <c r="I2606">
        <v>1</v>
      </c>
    </row>
    <row r="2607" spans="1:9">
      <c r="A2607" t="s">
        <v>310</v>
      </c>
      <c r="B2607" t="s">
        <v>311</v>
      </c>
      <c r="C2607" t="s">
        <v>269</v>
      </c>
      <c r="D2607" t="s">
        <v>307</v>
      </c>
      <c r="E2607" t="s">
        <v>11</v>
      </c>
      <c r="F2607">
        <v>2032</v>
      </c>
      <c r="G2607">
        <v>1260.2581439999999</v>
      </c>
      <c r="H2607">
        <v>1260.2581439999999</v>
      </c>
      <c r="I2607">
        <v>1</v>
      </c>
    </row>
    <row r="2608" spans="1:9">
      <c r="A2608" t="s">
        <v>310</v>
      </c>
      <c r="B2608" t="s">
        <v>311</v>
      </c>
      <c r="C2608" t="s">
        <v>269</v>
      </c>
      <c r="D2608" t="s">
        <v>307</v>
      </c>
      <c r="E2608" t="s">
        <v>11</v>
      </c>
      <c r="F2608">
        <v>2033</v>
      </c>
      <c r="G2608">
        <v>1294.6488959999999</v>
      </c>
      <c r="H2608">
        <v>1294.6488959999999</v>
      </c>
      <c r="I2608">
        <v>1</v>
      </c>
    </row>
    <row r="2609" spans="1:9">
      <c r="A2609" t="s">
        <v>310</v>
      </c>
      <c r="B2609" t="s">
        <v>311</v>
      </c>
      <c r="C2609" t="s">
        <v>269</v>
      </c>
      <c r="D2609" t="s">
        <v>307</v>
      </c>
      <c r="E2609" t="s">
        <v>11</v>
      </c>
      <c r="F2609">
        <v>2034</v>
      </c>
      <c r="G2609">
        <v>1329.626448</v>
      </c>
      <c r="H2609">
        <v>1329.626448</v>
      </c>
      <c r="I2609">
        <v>1</v>
      </c>
    </row>
    <row r="2610" spans="1:9">
      <c r="A2610" t="s">
        <v>310</v>
      </c>
      <c r="B2610" t="s">
        <v>311</v>
      </c>
      <c r="C2610" t="s">
        <v>269</v>
      </c>
      <c r="D2610" t="s">
        <v>307</v>
      </c>
      <c r="E2610" t="s">
        <v>11</v>
      </c>
      <c r="F2610">
        <v>2035</v>
      </c>
      <c r="G2610">
        <v>1365.187152</v>
      </c>
      <c r="H2610">
        <v>1365.187152</v>
      </c>
      <c r="I2610">
        <v>1</v>
      </c>
    </row>
    <row r="2611" spans="1:9">
      <c r="A2611" t="s">
        <v>310</v>
      </c>
      <c r="B2611" t="s">
        <v>311</v>
      </c>
      <c r="C2611" t="s">
        <v>269</v>
      </c>
      <c r="D2611" t="s">
        <v>307</v>
      </c>
      <c r="E2611" t="s">
        <v>11</v>
      </c>
      <c r="F2611">
        <v>2036</v>
      </c>
      <c r="G2611">
        <v>1401.3253440000001</v>
      </c>
      <c r="H2611">
        <v>1401.3253440000001</v>
      </c>
      <c r="I2611">
        <v>1</v>
      </c>
    </row>
    <row r="2612" spans="1:9">
      <c r="A2612" t="s">
        <v>310</v>
      </c>
      <c r="B2612" t="s">
        <v>311</v>
      </c>
      <c r="C2612" t="s">
        <v>269</v>
      </c>
      <c r="D2612" t="s">
        <v>307</v>
      </c>
      <c r="E2612" t="s">
        <v>11</v>
      </c>
      <c r="F2612">
        <v>2037</v>
      </c>
      <c r="G2612">
        <v>1438.0371359999999</v>
      </c>
      <c r="H2612">
        <v>1438.0371359999999</v>
      </c>
      <c r="I2612">
        <v>1</v>
      </c>
    </row>
    <row r="2613" spans="1:9">
      <c r="A2613" t="s">
        <v>310</v>
      </c>
      <c r="B2613" t="s">
        <v>311</v>
      </c>
      <c r="C2613" t="s">
        <v>269</v>
      </c>
      <c r="D2613" t="s">
        <v>307</v>
      </c>
      <c r="E2613" t="s">
        <v>11</v>
      </c>
      <c r="F2613">
        <v>2038</v>
      </c>
      <c r="G2613">
        <v>1475.328096</v>
      </c>
      <c r="H2613">
        <v>1475.328096</v>
      </c>
      <c r="I2613">
        <v>1</v>
      </c>
    </row>
    <row r="2614" spans="1:9">
      <c r="A2614" t="s">
        <v>310</v>
      </c>
      <c r="B2614" t="s">
        <v>311</v>
      </c>
      <c r="C2614" t="s">
        <v>269</v>
      </c>
      <c r="D2614" t="s">
        <v>307</v>
      </c>
      <c r="E2614" t="s">
        <v>11</v>
      </c>
      <c r="F2614">
        <v>2039</v>
      </c>
      <c r="G2614">
        <v>1513.2066239999999</v>
      </c>
      <c r="H2614">
        <v>1513.2066239999999</v>
      </c>
      <c r="I2614">
        <v>1</v>
      </c>
    </row>
    <row r="2615" spans="1:9">
      <c r="A2615" t="s">
        <v>310</v>
      </c>
      <c r="B2615" t="s">
        <v>311</v>
      </c>
      <c r="C2615" t="s">
        <v>269</v>
      </c>
      <c r="D2615" t="s">
        <v>307</v>
      </c>
      <c r="E2615" t="s">
        <v>11</v>
      </c>
      <c r="F2615">
        <v>2040</v>
      </c>
      <c r="G2615">
        <v>1551.6775680000001</v>
      </c>
      <c r="H2615">
        <v>1551.6775680000001</v>
      </c>
      <c r="I2615">
        <v>1</v>
      </c>
    </row>
    <row r="2616" spans="1:9">
      <c r="A2616" t="s">
        <v>310</v>
      </c>
      <c r="B2616" t="s">
        <v>311</v>
      </c>
      <c r="C2616" t="s">
        <v>269</v>
      </c>
      <c r="D2616" t="s">
        <v>307</v>
      </c>
      <c r="E2616" t="s">
        <v>11</v>
      </c>
      <c r="F2616">
        <v>2041</v>
      </c>
      <c r="G2616">
        <v>1590.7403039999999</v>
      </c>
      <c r="H2616">
        <v>1590.7403039999999</v>
      </c>
      <c r="I2616">
        <v>1</v>
      </c>
    </row>
    <row r="2617" spans="1:9">
      <c r="A2617" t="s">
        <v>310</v>
      </c>
      <c r="B2617" t="s">
        <v>311</v>
      </c>
      <c r="C2617" t="s">
        <v>269</v>
      </c>
      <c r="D2617" t="s">
        <v>307</v>
      </c>
      <c r="E2617" t="s">
        <v>11</v>
      </c>
      <c r="F2617">
        <v>2042</v>
      </c>
      <c r="G2617">
        <v>1630.38912</v>
      </c>
      <c r="H2617">
        <v>1630.38912</v>
      </c>
      <c r="I2617">
        <v>1</v>
      </c>
    </row>
    <row r="2618" spans="1:9">
      <c r="A2618" t="s">
        <v>310</v>
      </c>
      <c r="B2618" t="s">
        <v>311</v>
      </c>
      <c r="C2618" t="s">
        <v>269</v>
      </c>
      <c r="D2618" t="s">
        <v>307</v>
      </c>
      <c r="E2618" t="s">
        <v>11</v>
      </c>
      <c r="F2618">
        <v>2043</v>
      </c>
      <c r="G2618">
        <v>1670.619504</v>
      </c>
      <c r="H2618">
        <v>1670.619504</v>
      </c>
      <c r="I2618">
        <v>1</v>
      </c>
    </row>
    <row r="2619" spans="1:9">
      <c r="A2619" t="s">
        <v>310</v>
      </c>
      <c r="B2619" t="s">
        <v>311</v>
      </c>
      <c r="C2619" t="s">
        <v>269</v>
      </c>
      <c r="D2619" t="s">
        <v>307</v>
      </c>
      <c r="E2619" t="s">
        <v>11</v>
      </c>
      <c r="F2619">
        <v>2044</v>
      </c>
      <c r="G2619">
        <v>1711.425072</v>
      </c>
      <c r="H2619">
        <v>1711.425072</v>
      </c>
      <c r="I2619">
        <v>1</v>
      </c>
    </row>
    <row r="2620" spans="1:9">
      <c r="A2620" t="s">
        <v>310</v>
      </c>
      <c r="B2620" t="s">
        <v>311</v>
      </c>
      <c r="C2620" t="s">
        <v>269</v>
      </c>
      <c r="D2620" t="s">
        <v>307</v>
      </c>
      <c r="E2620" t="s">
        <v>11</v>
      </c>
      <c r="F2620">
        <v>2045</v>
      </c>
      <c r="G2620">
        <v>1752.799536</v>
      </c>
      <c r="H2620">
        <v>1752.799536</v>
      </c>
      <c r="I2620">
        <v>1</v>
      </c>
    </row>
    <row r="2621" spans="1:9">
      <c r="A2621" t="s">
        <v>310</v>
      </c>
      <c r="B2621" t="s">
        <v>311</v>
      </c>
      <c r="C2621" t="s">
        <v>269</v>
      </c>
      <c r="D2621" t="s">
        <v>307</v>
      </c>
      <c r="E2621" t="s">
        <v>11</v>
      </c>
      <c r="F2621">
        <v>2046</v>
      </c>
      <c r="G2621">
        <v>1794.7339199999999</v>
      </c>
      <c r="H2621">
        <v>1794.7339199999999</v>
      </c>
      <c r="I2621">
        <v>1</v>
      </c>
    </row>
    <row r="2622" spans="1:9">
      <c r="A2622" t="s">
        <v>310</v>
      </c>
      <c r="B2622" t="s">
        <v>311</v>
      </c>
      <c r="C2622" t="s">
        <v>269</v>
      </c>
      <c r="D2622" t="s">
        <v>307</v>
      </c>
      <c r="E2622" t="s">
        <v>11</v>
      </c>
      <c r="F2622">
        <v>2047</v>
      </c>
      <c r="G2622">
        <v>1837.2234719999999</v>
      </c>
      <c r="H2622">
        <v>1837.2234719999999</v>
      </c>
      <c r="I2622">
        <v>1</v>
      </c>
    </row>
    <row r="2623" spans="1:9">
      <c r="A2623" t="s">
        <v>310</v>
      </c>
      <c r="B2623" t="s">
        <v>311</v>
      </c>
      <c r="C2623" t="s">
        <v>269</v>
      </c>
      <c r="D2623" t="s">
        <v>307</v>
      </c>
      <c r="E2623" t="s">
        <v>11</v>
      </c>
      <c r="F2623">
        <v>2048</v>
      </c>
      <c r="G2623">
        <v>1880.26944</v>
      </c>
      <c r="H2623">
        <v>1880.26944</v>
      </c>
      <c r="I2623">
        <v>1</v>
      </c>
    </row>
    <row r="2624" spans="1:9">
      <c r="A2624" t="s">
        <v>310</v>
      </c>
      <c r="B2624" t="s">
        <v>311</v>
      </c>
      <c r="C2624" t="s">
        <v>269</v>
      </c>
      <c r="D2624" t="s">
        <v>307</v>
      </c>
      <c r="E2624" t="s">
        <v>11</v>
      </c>
      <c r="F2624">
        <v>2049</v>
      </c>
      <c r="G2624">
        <v>1923.87528</v>
      </c>
      <c r="H2624">
        <v>1923.87528</v>
      </c>
      <c r="I2624">
        <v>1</v>
      </c>
    </row>
    <row r="2625" spans="1:9">
      <c r="A2625" t="s">
        <v>310</v>
      </c>
      <c r="B2625" t="s">
        <v>311</v>
      </c>
      <c r="C2625" t="s">
        <v>269</v>
      </c>
      <c r="D2625" t="s">
        <v>307</v>
      </c>
      <c r="E2625" t="s">
        <v>11</v>
      </c>
      <c r="F2625">
        <v>2050</v>
      </c>
      <c r="G2625">
        <v>1968.039456</v>
      </c>
      <c r="H2625">
        <v>1968.039456</v>
      </c>
      <c r="I2625">
        <v>1</v>
      </c>
    </row>
    <row r="2626" spans="1:9">
      <c r="A2626" t="s">
        <v>310</v>
      </c>
      <c r="B2626" t="s">
        <v>311</v>
      </c>
      <c r="C2626" t="s">
        <v>269</v>
      </c>
      <c r="D2626" t="s">
        <v>25</v>
      </c>
      <c r="E2626" t="s">
        <v>42</v>
      </c>
      <c r="F2626">
        <v>2010</v>
      </c>
      <c r="G2626">
        <v>864320.05290000001</v>
      </c>
      <c r="H2626">
        <v>864320.05290000001</v>
      </c>
      <c r="I2626">
        <v>1</v>
      </c>
    </row>
    <row r="2627" spans="1:9">
      <c r="A2627" t="s">
        <v>310</v>
      </c>
      <c r="B2627" t="s">
        <v>311</v>
      </c>
      <c r="C2627" t="s">
        <v>269</v>
      </c>
      <c r="D2627" t="s">
        <v>25</v>
      </c>
      <c r="E2627" t="s">
        <v>42</v>
      </c>
      <c r="F2627">
        <v>2011</v>
      </c>
      <c r="G2627">
        <v>877051.3371</v>
      </c>
      <c r="H2627">
        <v>877051.3371</v>
      </c>
      <c r="I2627">
        <v>1</v>
      </c>
    </row>
    <row r="2628" spans="1:9">
      <c r="A2628" t="s">
        <v>310</v>
      </c>
      <c r="B2628" t="s">
        <v>311</v>
      </c>
      <c r="C2628" t="s">
        <v>269</v>
      </c>
      <c r="D2628" t="s">
        <v>25</v>
      </c>
      <c r="E2628" t="s">
        <v>42</v>
      </c>
      <c r="F2628">
        <v>2012</v>
      </c>
      <c r="G2628">
        <v>884725.71939999994</v>
      </c>
      <c r="H2628">
        <v>884725.71939999994</v>
      </c>
      <c r="I2628">
        <v>1</v>
      </c>
    </row>
    <row r="2629" spans="1:9">
      <c r="A2629" t="s">
        <v>310</v>
      </c>
      <c r="B2629" t="s">
        <v>311</v>
      </c>
      <c r="C2629" t="s">
        <v>269</v>
      </c>
      <c r="D2629" t="s">
        <v>25</v>
      </c>
      <c r="E2629" t="s">
        <v>42</v>
      </c>
      <c r="F2629">
        <v>2013</v>
      </c>
      <c r="G2629">
        <v>881078.53200000001</v>
      </c>
      <c r="H2629">
        <v>881078.53200000001</v>
      </c>
      <c r="I2629">
        <v>1</v>
      </c>
    </row>
    <row r="2630" spans="1:9">
      <c r="A2630" t="s">
        <v>310</v>
      </c>
      <c r="B2630" t="s">
        <v>311</v>
      </c>
      <c r="C2630" t="s">
        <v>269</v>
      </c>
      <c r="D2630" t="s">
        <v>25</v>
      </c>
      <c r="E2630" t="s">
        <v>42</v>
      </c>
      <c r="F2630">
        <v>2014</v>
      </c>
      <c r="G2630">
        <v>878222.68709999998</v>
      </c>
      <c r="H2630">
        <v>878222.68709999998</v>
      </c>
      <c r="I2630">
        <v>1</v>
      </c>
    </row>
    <row r="2631" spans="1:9">
      <c r="A2631" t="s">
        <v>310</v>
      </c>
      <c r="B2631" t="s">
        <v>311</v>
      </c>
      <c r="C2631" t="s">
        <v>269</v>
      </c>
      <c r="D2631" t="s">
        <v>25</v>
      </c>
      <c r="E2631" t="s">
        <v>42</v>
      </c>
      <c r="F2631">
        <v>2015</v>
      </c>
      <c r="G2631">
        <v>861718.42630000005</v>
      </c>
      <c r="H2631">
        <v>861718.42630000005</v>
      </c>
      <c r="I2631">
        <v>1</v>
      </c>
    </row>
    <row r="2632" spans="1:9">
      <c r="A2632" t="s">
        <v>310</v>
      </c>
      <c r="B2632" t="s">
        <v>311</v>
      </c>
      <c r="C2632" t="s">
        <v>269</v>
      </c>
      <c r="D2632" t="s">
        <v>25</v>
      </c>
      <c r="E2632" t="s">
        <v>42</v>
      </c>
      <c r="F2632">
        <v>2016</v>
      </c>
      <c r="G2632">
        <v>844929.84</v>
      </c>
      <c r="H2632">
        <v>844929.84</v>
      </c>
      <c r="I2632">
        <v>1</v>
      </c>
    </row>
    <row r="2633" spans="1:9">
      <c r="A2633" t="s">
        <v>310</v>
      </c>
      <c r="B2633" t="s">
        <v>311</v>
      </c>
      <c r="C2633" t="s">
        <v>269</v>
      </c>
      <c r="D2633" t="s">
        <v>25</v>
      </c>
      <c r="E2633" t="s">
        <v>42</v>
      </c>
      <c r="F2633">
        <v>2017</v>
      </c>
      <c r="G2633">
        <v>824898.12939999998</v>
      </c>
      <c r="H2633">
        <v>824898.12939999998</v>
      </c>
      <c r="I2633">
        <v>1</v>
      </c>
    </row>
    <row r="2634" spans="1:9">
      <c r="A2634" t="s">
        <v>310</v>
      </c>
      <c r="B2634" t="s">
        <v>311</v>
      </c>
      <c r="C2634" t="s">
        <v>269</v>
      </c>
      <c r="D2634" t="s">
        <v>25</v>
      </c>
      <c r="E2634" t="s">
        <v>42</v>
      </c>
      <c r="F2634">
        <v>2018</v>
      </c>
      <c r="G2634">
        <v>798117.21900000004</v>
      </c>
      <c r="H2634">
        <v>798117.21900000004</v>
      </c>
      <c r="I2634">
        <v>1</v>
      </c>
    </row>
    <row r="2635" spans="1:9">
      <c r="A2635" t="s">
        <v>310</v>
      </c>
      <c r="B2635" t="s">
        <v>311</v>
      </c>
      <c r="C2635" t="s">
        <v>269</v>
      </c>
      <c r="D2635" t="s">
        <v>25</v>
      </c>
      <c r="E2635" t="s">
        <v>42</v>
      </c>
      <c r="F2635">
        <v>2019</v>
      </c>
      <c r="G2635">
        <v>770800.43570000003</v>
      </c>
      <c r="H2635">
        <v>770800.43570000003</v>
      </c>
      <c r="I2635">
        <v>1</v>
      </c>
    </row>
    <row r="2636" spans="1:9">
      <c r="A2636" t="s">
        <v>310</v>
      </c>
      <c r="B2636" t="s">
        <v>311</v>
      </c>
      <c r="C2636" t="s">
        <v>269</v>
      </c>
      <c r="D2636" t="s">
        <v>25</v>
      </c>
      <c r="E2636" t="s">
        <v>42</v>
      </c>
      <c r="F2636">
        <v>2020</v>
      </c>
      <c r="G2636">
        <v>739556.08589999995</v>
      </c>
      <c r="H2636">
        <v>739556.08589999995</v>
      </c>
      <c r="I2636">
        <v>1</v>
      </c>
    </row>
    <row r="2637" spans="1:9">
      <c r="A2637" t="s">
        <v>310</v>
      </c>
      <c r="B2637" t="s">
        <v>311</v>
      </c>
      <c r="C2637" t="s">
        <v>269</v>
      </c>
      <c r="D2637" t="s">
        <v>25</v>
      </c>
      <c r="E2637" t="s">
        <v>42</v>
      </c>
      <c r="F2637">
        <v>2021</v>
      </c>
      <c r="G2637">
        <v>709688.86329999997</v>
      </c>
      <c r="H2637">
        <v>709688.86329999997</v>
      </c>
      <c r="I2637">
        <v>1</v>
      </c>
    </row>
    <row r="2638" spans="1:9">
      <c r="A2638" t="s">
        <v>310</v>
      </c>
      <c r="B2638" t="s">
        <v>311</v>
      </c>
      <c r="C2638" t="s">
        <v>269</v>
      </c>
      <c r="D2638" t="s">
        <v>25</v>
      </c>
      <c r="E2638" t="s">
        <v>42</v>
      </c>
      <c r="F2638">
        <v>2022</v>
      </c>
      <c r="G2638">
        <v>691323.34199999995</v>
      </c>
      <c r="H2638">
        <v>691323.34199999995</v>
      </c>
      <c r="I2638">
        <v>1</v>
      </c>
    </row>
    <row r="2639" spans="1:9">
      <c r="A2639" t="s">
        <v>310</v>
      </c>
      <c r="B2639" t="s">
        <v>311</v>
      </c>
      <c r="C2639" t="s">
        <v>269</v>
      </c>
      <c r="D2639" t="s">
        <v>25</v>
      </c>
      <c r="E2639" t="s">
        <v>42</v>
      </c>
      <c r="F2639">
        <v>2023</v>
      </c>
      <c r="G2639">
        <v>647718.03430000006</v>
      </c>
      <c r="H2639">
        <v>647718.03430000006</v>
      </c>
      <c r="I2639">
        <v>1</v>
      </c>
    </row>
    <row r="2640" spans="1:9">
      <c r="A2640" t="s">
        <v>310</v>
      </c>
      <c r="B2640" t="s">
        <v>311</v>
      </c>
      <c r="C2640" t="s">
        <v>269</v>
      </c>
      <c r="D2640" t="s">
        <v>25</v>
      </c>
      <c r="E2640" t="s">
        <v>42</v>
      </c>
      <c r="F2640">
        <v>2024</v>
      </c>
      <c r="G2640">
        <v>615945.50910000002</v>
      </c>
      <c r="H2640">
        <v>615945.50910000002</v>
      </c>
      <c r="I2640">
        <v>1</v>
      </c>
    </row>
    <row r="2641" spans="1:9">
      <c r="A2641" t="s">
        <v>310</v>
      </c>
      <c r="B2641" t="s">
        <v>311</v>
      </c>
      <c r="C2641" t="s">
        <v>269</v>
      </c>
      <c r="D2641" t="s">
        <v>25</v>
      </c>
      <c r="E2641" t="s">
        <v>42</v>
      </c>
      <c r="F2641">
        <v>2025</v>
      </c>
      <c r="G2641">
        <v>597817.2206</v>
      </c>
      <c r="H2641">
        <v>597817.2206</v>
      </c>
      <c r="I2641">
        <v>1</v>
      </c>
    </row>
    <row r="2642" spans="1:9">
      <c r="A2642" t="s">
        <v>310</v>
      </c>
      <c r="B2642" t="s">
        <v>311</v>
      </c>
      <c r="C2642" t="s">
        <v>269</v>
      </c>
      <c r="D2642" t="s">
        <v>25</v>
      </c>
      <c r="E2642" t="s">
        <v>42</v>
      </c>
      <c r="F2642">
        <v>2026</v>
      </c>
      <c r="G2642">
        <v>563230.53</v>
      </c>
      <c r="H2642">
        <v>563230.53</v>
      </c>
      <c r="I2642">
        <v>1</v>
      </c>
    </row>
    <row r="2643" spans="1:9">
      <c r="A2643" t="s">
        <v>310</v>
      </c>
      <c r="B2643" t="s">
        <v>311</v>
      </c>
      <c r="C2643" t="s">
        <v>269</v>
      </c>
      <c r="D2643" t="s">
        <v>25</v>
      </c>
      <c r="E2643" t="s">
        <v>42</v>
      </c>
      <c r="F2643">
        <v>2027</v>
      </c>
      <c r="G2643">
        <v>529364.58169999998</v>
      </c>
      <c r="H2643">
        <v>529364.58169999998</v>
      </c>
      <c r="I2643">
        <v>1</v>
      </c>
    </row>
    <row r="2644" spans="1:9">
      <c r="A2644" t="s">
        <v>310</v>
      </c>
      <c r="B2644" t="s">
        <v>311</v>
      </c>
      <c r="C2644" t="s">
        <v>269</v>
      </c>
      <c r="D2644" t="s">
        <v>25</v>
      </c>
      <c r="E2644" t="s">
        <v>42</v>
      </c>
      <c r="F2644">
        <v>2028</v>
      </c>
      <c r="G2644">
        <v>506484.81770000001</v>
      </c>
      <c r="H2644">
        <v>506484.81770000001</v>
      </c>
      <c r="I2644">
        <v>1</v>
      </c>
    </row>
    <row r="2645" spans="1:9">
      <c r="A2645" t="s">
        <v>310</v>
      </c>
      <c r="B2645" t="s">
        <v>311</v>
      </c>
      <c r="C2645" t="s">
        <v>269</v>
      </c>
      <c r="D2645" t="s">
        <v>25</v>
      </c>
      <c r="E2645" t="s">
        <v>42</v>
      </c>
      <c r="F2645">
        <v>2029</v>
      </c>
      <c r="G2645">
        <v>480671.60269999999</v>
      </c>
      <c r="H2645">
        <v>480671.60269999999</v>
      </c>
      <c r="I2645">
        <v>1</v>
      </c>
    </row>
    <row r="2646" spans="1:9">
      <c r="A2646" t="s">
        <v>310</v>
      </c>
      <c r="B2646" t="s">
        <v>311</v>
      </c>
      <c r="C2646" t="s">
        <v>269</v>
      </c>
      <c r="D2646" t="s">
        <v>25</v>
      </c>
      <c r="E2646" t="s">
        <v>42</v>
      </c>
      <c r="F2646">
        <v>2030</v>
      </c>
      <c r="G2646">
        <v>446368.71169999999</v>
      </c>
      <c r="H2646">
        <v>446368.71169999999</v>
      </c>
      <c r="I2646">
        <v>1</v>
      </c>
    </row>
    <row r="2647" spans="1:9">
      <c r="A2647" t="s">
        <v>310</v>
      </c>
      <c r="B2647" t="s">
        <v>311</v>
      </c>
      <c r="C2647" t="s">
        <v>269</v>
      </c>
      <c r="D2647" t="s">
        <v>25</v>
      </c>
      <c r="E2647" t="s">
        <v>42</v>
      </c>
      <c r="F2647">
        <v>2031</v>
      </c>
      <c r="G2647">
        <v>425131.86170000001</v>
      </c>
      <c r="H2647">
        <v>425131.86170000001</v>
      </c>
      <c r="I2647">
        <v>1</v>
      </c>
    </row>
    <row r="2648" spans="1:9">
      <c r="A2648" t="s">
        <v>310</v>
      </c>
      <c r="B2648" t="s">
        <v>311</v>
      </c>
      <c r="C2648" t="s">
        <v>269</v>
      </c>
      <c r="D2648" t="s">
        <v>25</v>
      </c>
      <c r="E2648" t="s">
        <v>42</v>
      </c>
      <c r="F2648">
        <v>2032</v>
      </c>
      <c r="G2648">
        <v>389690.70260000002</v>
      </c>
      <c r="H2648">
        <v>389690.70260000002</v>
      </c>
      <c r="I2648">
        <v>1</v>
      </c>
    </row>
    <row r="2649" spans="1:9">
      <c r="A2649" t="s">
        <v>310</v>
      </c>
      <c r="B2649" t="s">
        <v>311</v>
      </c>
      <c r="C2649" t="s">
        <v>269</v>
      </c>
      <c r="D2649" t="s">
        <v>25</v>
      </c>
      <c r="E2649" t="s">
        <v>42</v>
      </c>
      <c r="F2649">
        <v>2033</v>
      </c>
      <c r="G2649">
        <v>368761.05170000001</v>
      </c>
      <c r="H2649">
        <v>368761.05170000001</v>
      </c>
      <c r="I2649">
        <v>1</v>
      </c>
    </row>
    <row r="2650" spans="1:9">
      <c r="A2650" t="s">
        <v>310</v>
      </c>
      <c r="B2650" t="s">
        <v>311</v>
      </c>
      <c r="C2650" t="s">
        <v>269</v>
      </c>
      <c r="D2650" t="s">
        <v>25</v>
      </c>
      <c r="E2650" t="s">
        <v>42</v>
      </c>
      <c r="F2650">
        <v>2034</v>
      </c>
      <c r="G2650">
        <v>345443.81140000001</v>
      </c>
      <c r="H2650">
        <v>345443.81140000001</v>
      </c>
      <c r="I2650">
        <v>1</v>
      </c>
    </row>
    <row r="2651" spans="1:9">
      <c r="A2651" t="s">
        <v>310</v>
      </c>
      <c r="B2651" t="s">
        <v>311</v>
      </c>
      <c r="C2651" t="s">
        <v>269</v>
      </c>
      <c r="D2651" t="s">
        <v>25</v>
      </c>
      <c r="E2651" t="s">
        <v>42</v>
      </c>
      <c r="F2651">
        <v>2035</v>
      </c>
      <c r="G2651">
        <v>319619.391</v>
      </c>
      <c r="H2651">
        <v>319619.391</v>
      </c>
      <c r="I2651">
        <v>1</v>
      </c>
    </row>
    <row r="2652" spans="1:9">
      <c r="A2652" t="s">
        <v>310</v>
      </c>
      <c r="B2652" t="s">
        <v>311</v>
      </c>
      <c r="C2652" t="s">
        <v>269</v>
      </c>
      <c r="D2652" t="s">
        <v>25</v>
      </c>
      <c r="E2652" t="s">
        <v>42</v>
      </c>
      <c r="F2652">
        <v>2036</v>
      </c>
      <c r="G2652">
        <v>291165.95529999997</v>
      </c>
      <c r="H2652">
        <v>291165.95529999997</v>
      </c>
      <c r="I2652">
        <v>1</v>
      </c>
    </row>
    <row r="2653" spans="1:9">
      <c r="A2653" t="s">
        <v>310</v>
      </c>
      <c r="B2653" t="s">
        <v>311</v>
      </c>
      <c r="C2653" t="s">
        <v>269</v>
      </c>
      <c r="D2653" t="s">
        <v>25</v>
      </c>
      <c r="E2653" t="s">
        <v>42</v>
      </c>
      <c r="F2653">
        <v>2037</v>
      </c>
      <c r="G2653">
        <v>281036.21139999997</v>
      </c>
      <c r="H2653">
        <v>281036.21139999997</v>
      </c>
      <c r="I2653">
        <v>1</v>
      </c>
    </row>
    <row r="2654" spans="1:9">
      <c r="A2654" t="s">
        <v>310</v>
      </c>
      <c r="B2654" t="s">
        <v>311</v>
      </c>
      <c r="C2654" t="s">
        <v>269</v>
      </c>
      <c r="D2654" t="s">
        <v>25</v>
      </c>
      <c r="E2654" t="s">
        <v>42</v>
      </c>
      <c r="F2654">
        <v>2038</v>
      </c>
      <c r="G2654">
        <v>247772.7463</v>
      </c>
      <c r="H2654">
        <v>247772.7463</v>
      </c>
      <c r="I2654">
        <v>1</v>
      </c>
    </row>
    <row r="2655" spans="1:9">
      <c r="A2655" t="s">
        <v>310</v>
      </c>
      <c r="B2655" t="s">
        <v>311</v>
      </c>
      <c r="C2655" t="s">
        <v>269</v>
      </c>
      <c r="D2655" t="s">
        <v>25</v>
      </c>
      <c r="E2655" t="s">
        <v>42</v>
      </c>
      <c r="F2655">
        <v>2039</v>
      </c>
      <c r="G2655">
        <v>226670.88860000001</v>
      </c>
      <c r="H2655">
        <v>226670.88860000001</v>
      </c>
      <c r="I2655">
        <v>1</v>
      </c>
    </row>
    <row r="2656" spans="1:9">
      <c r="A2656" t="s">
        <v>310</v>
      </c>
      <c r="B2656" t="s">
        <v>311</v>
      </c>
      <c r="C2656" t="s">
        <v>269</v>
      </c>
      <c r="D2656" t="s">
        <v>25</v>
      </c>
      <c r="E2656" t="s">
        <v>42</v>
      </c>
      <c r="F2656">
        <v>2040</v>
      </c>
      <c r="G2656">
        <v>211430.8401</v>
      </c>
      <c r="H2656">
        <v>211430.8401</v>
      </c>
      <c r="I2656">
        <v>1</v>
      </c>
    </row>
    <row r="2657" spans="1:9">
      <c r="A2657" t="s">
        <v>310</v>
      </c>
      <c r="B2657" t="s">
        <v>311</v>
      </c>
      <c r="C2657" t="s">
        <v>269</v>
      </c>
      <c r="D2657" t="s">
        <v>25</v>
      </c>
      <c r="E2657" t="s">
        <v>42</v>
      </c>
      <c r="F2657">
        <v>2041</v>
      </c>
      <c r="G2657">
        <v>190648.70850000001</v>
      </c>
      <c r="H2657">
        <v>190648.70850000001</v>
      </c>
      <c r="I2657">
        <v>1</v>
      </c>
    </row>
    <row r="2658" spans="1:9">
      <c r="A2658" t="s">
        <v>310</v>
      </c>
      <c r="B2658" t="s">
        <v>311</v>
      </c>
      <c r="C2658" t="s">
        <v>269</v>
      </c>
      <c r="D2658" t="s">
        <v>25</v>
      </c>
      <c r="E2658" t="s">
        <v>42</v>
      </c>
      <c r="F2658">
        <v>2042</v>
      </c>
      <c r="G2658">
        <v>168030.6943</v>
      </c>
      <c r="H2658">
        <v>168030.6943</v>
      </c>
      <c r="I2658">
        <v>1</v>
      </c>
    </row>
    <row r="2659" spans="1:9">
      <c r="A2659" t="s">
        <v>310</v>
      </c>
      <c r="B2659" t="s">
        <v>311</v>
      </c>
      <c r="C2659" t="s">
        <v>269</v>
      </c>
      <c r="D2659" t="s">
        <v>25</v>
      </c>
      <c r="E2659" t="s">
        <v>42</v>
      </c>
      <c r="F2659">
        <v>2043</v>
      </c>
      <c r="G2659">
        <v>156550.79060000001</v>
      </c>
      <c r="H2659">
        <v>156550.79060000001</v>
      </c>
      <c r="I2659">
        <v>1</v>
      </c>
    </row>
    <row r="2660" spans="1:9">
      <c r="A2660" t="s">
        <v>310</v>
      </c>
      <c r="B2660" t="s">
        <v>311</v>
      </c>
      <c r="C2660" t="s">
        <v>269</v>
      </c>
      <c r="D2660" t="s">
        <v>25</v>
      </c>
      <c r="E2660" t="s">
        <v>42</v>
      </c>
      <c r="F2660">
        <v>2044</v>
      </c>
      <c r="G2660">
        <v>134998.74</v>
      </c>
      <c r="H2660">
        <v>134998.74</v>
      </c>
      <c r="I2660">
        <v>1</v>
      </c>
    </row>
    <row r="2661" spans="1:9">
      <c r="A2661" t="s">
        <v>310</v>
      </c>
      <c r="B2661" t="s">
        <v>311</v>
      </c>
      <c r="C2661" t="s">
        <v>269</v>
      </c>
      <c r="D2661" t="s">
        <v>25</v>
      </c>
      <c r="E2661" t="s">
        <v>42</v>
      </c>
      <c r="F2661">
        <v>2045</v>
      </c>
      <c r="G2661">
        <v>121023.36810000001</v>
      </c>
      <c r="H2661">
        <v>121023.36810000001</v>
      </c>
      <c r="I2661">
        <v>1</v>
      </c>
    </row>
    <row r="2662" spans="1:9">
      <c r="A2662" t="s">
        <v>310</v>
      </c>
      <c r="B2662" t="s">
        <v>311</v>
      </c>
      <c r="C2662" t="s">
        <v>269</v>
      </c>
      <c r="D2662" t="s">
        <v>25</v>
      </c>
      <c r="E2662" t="s">
        <v>42</v>
      </c>
      <c r="F2662">
        <v>2046</v>
      </c>
      <c r="G2662">
        <v>105885.73759999999</v>
      </c>
      <c r="H2662">
        <v>105885.73759999999</v>
      </c>
      <c r="I2662">
        <v>1</v>
      </c>
    </row>
    <row r="2663" spans="1:9">
      <c r="A2663" t="s">
        <v>310</v>
      </c>
      <c r="B2663" t="s">
        <v>311</v>
      </c>
      <c r="C2663" t="s">
        <v>269</v>
      </c>
      <c r="D2663" t="s">
        <v>25</v>
      </c>
      <c r="E2663" t="s">
        <v>42</v>
      </c>
      <c r="F2663">
        <v>2047</v>
      </c>
      <c r="G2663">
        <v>99493.817139999999</v>
      </c>
      <c r="H2663">
        <v>99493.817139999999</v>
      </c>
      <c r="I2663">
        <v>1</v>
      </c>
    </row>
    <row r="2664" spans="1:9">
      <c r="A2664" t="s">
        <v>310</v>
      </c>
      <c r="B2664" t="s">
        <v>311</v>
      </c>
      <c r="C2664" t="s">
        <v>269</v>
      </c>
      <c r="D2664" t="s">
        <v>25</v>
      </c>
      <c r="E2664" t="s">
        <v>42</v>
      </c>
      <c r="F2664">
        <v>2048</v>
      </c>
      <c r="G2664">
        <v>82237.933709999998</v>
      </c>
      <c r="H2664">
        <v>82237.933709999998</v>
      </c>
      <c r="I2664">
        <v>1</v>
      </c>
    </row>
    <row r="2665" spans="1:9">
      <c r="A2665" t="s">
        <v>310</v>
      </c>
      <c r="B2665" t="s">
        <v>311</v>
      </c>
      <c r="C2665" t="s">
        <v>269</v>
      </c>
      <c r="D2665" t="s">
        <v>25</v>
      </c>
      <c r="E2665" t="s">
        <v>42</v>
      </c>
      <c r="F2665">
        <v>2049</v>
      </c>
      <c r="G2665">
        <v>63702.609429999997</v>
      </c>
      <c r="H2665">
        <v>63702.609429999997</v>
      </c>
      <c r="I2665">
        <v>1</v>
      </c>
    </row>
    <row r="2666" spans="1:9">
      <c r="A2666" t="s">
        <v>310</v>
      </c>
      <c r="B2666" t="s">
        <v>311</v>
      </c>
      <c r="C2666" t="s">
        <v>269</v>
      </c>
      <c r="D2666" t="s">
        <v>25</v>
      </c>
      <c r="E2666" t="s">
        <v>42</v>
      </c>
      <c r="F2666">
        <v>2050</v>
      </c>
      <c r="G2666">
        <v>65768.862859999994</v>
      </c>
      <c r="H2666">
        <v>65768.862859999994</v>
      </c>
      <c r="I2666">
        <v>1</v>
      </c>
    </row>
    <row r="2667" spans="1:9">
      <c r="A2667" t="s">
        <v>310</v>
      </c>
      <c r="B2667" t="s">
        <v>311</v>
      </c>
      <c r="C2667" t="s">
        <v>269</v>
      </c>
      <c r="D2667" t="s">
        <v>26</v>
      </c>
      <c r="E2667" t="s">
        <v>42</v>
      </c>
      <c r="F2667">
        <v>2010</v>
      </c>
      <c r="G2667">
        <v>71994.565709999995</v>
      </c>
      <c r="H2667">
        <v>71994.565709999995</v>
      </c>
      <c r="I2667">
        <v>1</v>
      </c>
    </row>
    <row r="2668" spans="1:9">
      <c r="A2668" t="s">
        <v>310</v>
      </c>
      <c r="B2668" t="s">
        <v>311</v>
      </c>
      <c r="C2668" t="s">
        <v>269</v>
      </c>
      <c r="D2668" t="s">
        <v>26</v>
      </c>
      <c r="E2668" t="s">
        <v>42</v>
      </c>
      <c r="F2668">
        <v>2011</v>
      </c>
      <c r="G2668">
        <v>73544.262860000003</v>
      </c>
      <c r="H2668">
        <v>73544.262860000003</v>
      </c>
      <c r="I2668">
        <v>1</v>
      </c>
    </row>
    <row r="2669" spans="1:9">
      <c r="A2669" t="s">
        <v>310</v>
      </c>
      <c r="B2669" t="s">
        <v>311</v>
      </c>
      <c r="C2669" t="s">
        <v>269</v>
      </c>
      <c r="D2669" t="s">
        <v>26</v>
      </c>
      <c r="E2669" t="s">
        <v>42</v>
      </c>
      <c r="F2669">
        <v>2012</v>
      </c>
      <c r="G2669">
        <v>75153.154290000006</v>
      </c>
      <c r="H2669">
        <v>75153.154290000006</v>
      </c>
      <c r="I2669">
        <v>1</v>
      </c>
    </row>
    <row r="2670" spans="1:9">
      <c r="A2670" t="s">
        <v>310</v>
      </c>
      <c r="B2670" t="s">
        <v>311</v>
      </c>
      <c r="C2670" t="s">
        <v>269</v>
      </c>
      <c r="D2670" t="s">
        <v>26</v>
      </c>
      <c r="E2670" t="s">
        <v>42</v>
      </c>
      <c r="F2670">
        <v>2013</v>
      </c>
      <c r="G2670">
        <v>76807.637140000006</v>
      </c>
      <c r="H2670">
        <v>76807.637140000006</v>
      </c>
      <c r="I2670">
        <v>1</v>
      </c>
    </row>
    <row r="2671" spans="1:9">
      <c r="A2671" t="s">
        <v>310</v>
      </c>
      <c r="B2671" t="s">
        <v>311</v>
      </c>
      <c r="C2671" t="s">
        <v>269</v>
      </c>
      <c r="D2671" t="s">
        <v>26</v>
      </c>
      <c r="E2671" t="s">
        <v>42</v>
      </c>
      <c r="F2671">
        <v>2014</v>
      </c>
      <c r="G2671">
        <v>78485.691430000006</v>
      </c>
      <c r="H2671">
        <v>78485.691430000006</v>
      </c>
      <c r="I2671">
        <v>1</v>
      </c>
    </row>
    <row r="2672" spans="1:9">
      <c r="A2672" t="s">
        <v>310</v>
      </c>
      <c r="B2672" t="s">
        <v>311</v>
      </c>
      <c r="C2672" t="s">
        <v>269</v>
      </c>
      <c r="D2672" t="s">
        <v>26</v>
      </c>
      <c r="E2672" t="s">
        <v>42</v>
      </c>
      <c r="F2672">
        <v>2015</v>
      </c>
      <c r="G2672">
        <v>80171.58</v>
      </c>
      <c r="H2672">
        <v>80171.58</v>
      </c>
      <c r="I2672">
        <v>1</v>
      </c>
    </row>
    <row r="2673" spans="1:9">
      <c r="A2673" t="s">
        <v>310</v>
      </c>
      <c r="B2673" t="s">
        <v>311</v>
      </c>
      <c r="C2673" t="s">
        <v>269</v>
      </c>
      <c r="D2673" t="s">
        <v>26</v>
      </c>
      <c r="E2673" t="s">
        <v>42</v>
      </c>
      <c r="F2673">
        <v>2016</v>
      </c>
      <c r="G2673">
        <v>77766.793709999998</v>
      </c>
      <c r="H2673">
        <v>77766.793709999998</v>
      </c>
      <c r="I2673">
        <v>1</v>
      </c>
    </row>
    <row r="2674" spans="1:9">
      <c r="A2674" t="s">
        <v>310</v>
      </c>
      <c r="B2674" t="s">
        <v>311</v>
      </c>
      <c r="C2674" t="s">
        <v>269</v>
      </c>
      <c r="D2674" t="s">
        <v>26</v>
      </c>
      <c r="E2674" t="s">
        <v>42</v>
      </c>
      <c r="F2674">
        <v>2017</v>
      </c>
      <c r="G2674">
        <v>79374.201860000001</v>
      </c>
      <c r="H2674">
        <v>79374.201860000001</v>
      </c>
      <c r="I2674">
        <v>1</v>
      </c>
    </row>
    <row r="2675" spans="1:9">
      <c r="A2675" t="s">
        <v>310</v>
      </c>
      <c r="B2675" t="s">
        <v>311</v>
      </c>
      <c r="C2675" t="s">
        <v>269</v>
      </c>
      <c r="D2675" t="s">
        <v>26</v>
      </c>
      <c r="E2675" t="s">
        <v>42</v>
      </c>
      <c r="F2675">
        <v>2018</v>
      </c>
      <c r="G2675">
        <v>80984.793860000005</v>
      </c>
      <c r="H2675">
        <v>80984.793860000005</v>
      </c>
      <c r="I2675">
        <v>1</v>
      </c>
    </row>
    <row r="2676" spans="1:9">
      <c r="A2676" t="s">
        <v>310</v>
      </c>
      <c r="B2676" t="s">
        <v>311</v>
      </c>
      <c r="C2676" t="s">
        <v>269</v>
      </c>
      <c r="D2676" t="s">
        <v>26</v>
      </c>
      <c r="E2676" t="s">
        <v>42</v>
      </c>
      <c r="F2676">
        <v>2019</v>
      </c>
      <c r="G2676">
        <v>82600.190140000006</v>
      </c>
      <c r="H2676">
        <v>82600.190140000006</v>
      </c>
      <c r="I2676">
        <v>1</v>
      </c>
    </row>
    <row r="2677" spans="1:9">
      <c r="A2677" t="s">
        <v>310</v>
      </c>
      <c r="B2677" t="s">
        <v>311</v>
      </c>
      <c r="C2677" t="s">
        <v>269</v>
      </c>
      <c r="D2677" t="s">
        <v>26</v>
      </c>
      <c r="E2677" t="s">
        <v>42</v>
      </c>
      <c r="F2677">
        <v>2020</v>
      </c>
      <c r="G2677">
        <v>84220.691999999995</v>
      </c>
      <c r="H2677">
        <v>84220.691999999995</v>
      </c>
      <c r="I2677">
        <v>1</v>
      </c>
    </row>
    <row r="2678" spans="1:9">
      <c r="A2678" t="s">
        <v>310</v>
      </c>
      <c r="B2678" t="s">
        <v>311</v>
      </c>
      <c r="C2678" t="s">
        <v>269</v>
      </c>
      <c r="D2678" t="s">
        <v>26</v>
      </c>
      <c r="E2678" t="s">
        <v>42</v>
      </c>
      <c r="F2678">
        <v>2021</v>
      </c>
      <c r="G2678">
        <v>81325.457999999999</v>
      </c>
      <c r="H2678">
        <v>81325.457999999999</v>
      </c>
      <c r="I2678">
        <v>1</v>
      </c>
    </row>
    <row r="2679" spans="1:9">
      <c r="A2679" t="s">
        <v>310</v>
      </c>
      <c r="B2679" t="s">
        <v>311</v>
      </c>
      <c r="C2679" t="s">
        <v>269</v>
      </c>
      <c r="D2679" t="s">
        <v>26</v>
      </c>
      <c r="E2679" t="s">
        <v>42</v>
      </c>
      <c r="F2679">
        <v>2022</v>
      </c>
      <c r="G2679">
        <v>82861.673139999999</v>
      </c>
      <c r="H2679">
        <v>82861.673139999999</v>
      </c>
      <c r="I2679">
        <v>1</v>
      </c>
    </row>
    <row r="2680" spans="1:9">
      <c r="A2680" t="s">
        <v>310</v>
      </c>
      <c r="B2680" t="s">
        <v>311</v>
      </c>
      <c r="C2680" t="s">
        <v>269</v>
      </c>
      <c r="D2680" t="s">
        <v>26</v>
      </c>
      <c r="E2680" t="s">
        <v>42</v>
      </c>
      <c r="F2680">
        <v>2023</v>
      </c>
      <c r="G2680">
        <v>84396.114000000001</v>
      </c>
      <c r="H2680">
        <v>84396.114000000001</v>
      </c>
      <c r="I2680">
        <v>1</v>
      </c>
    </row>
    <row r="2681" spans="1:9">
      <c r="A2681" t="s">
        <v>310</v>
      </c>
      <c r="B2681" t="s">
        <v>311</v>
      </c>
      <c r="C2681" t="s">
        <v>269</v>
      </c>
      <c r="D2681" t="s">
        <v>26</v>
      </c>
      <c r="E2681" t="s">
        <v>42</v>
      </c>
      <c r="F2681">
        <v>2024</v>
      </c>
      <c r="G2681">
        <v>81154.740860000005</v>
      </c>
      <c r="H2681">
        <v>81154.740860000005</v>
      </c>
      <c r="I2681">
        <v>1</v>
      </c>
    </row>
    <row r="2682" spans="1:9">
      <c r="A2682" t="s">
        <v>310</v>
      </c>
      <c r="B2682" t="s">
        <v>311</v>
      </c>
      <c r="C2682" t="s">
        <v>269</v>
      </c>
      <c r="D2682" t="s">
        <v>26</v>
      </c>
      <c r="E2682" t="s">
        <v>42</v>
      </c>
      <c r="F2682">
        <v>2025</v>
      </c>
      <c r="G2682">
        <v>82599.28671</v>
      </c>
      <c r="H2682">
        <v>82599.28671</v>
      </c>
      <c r="I2682">
        <v>1</v>
      </c>
    </row>
    <row r="2683" spans="1:9">
      <c r="A2683" t="s">
        <v>310</v>
      </c>
      <c r="B2683" t="s">
        <v>311</v>
      </c>
      <c r="C2683" t="s">
        <v>269</v>
      </c>
      <c r="D2683" t="s">
        <v>26</v>
      </c>
      <c r="E2683" t="s">
        <v>42</v>
      </c>
      <c r="F2683">
        <v>2026</v>
      </c>
      <c r="G2683">
        <v>84039.621429999999</v>
      </c>
      <c r="H2683">
        <v>84039.621429999999</v>
      </c>
      <c r="I2683">
        <v>1</v>
      </c>
    </row>
    <row r="2684" spans="1:9">
      <c r="A2684" t="s">
        <v>310</v>
      </c>
      <c r="B2684" t="s">
        <v>311</v>
      </c>
      <c r="C2684" t="s">
        <v>269</v>
      </c>
      <c r="D2684" t="s">
        <v>26</v>
      </c>
      <c r="E2684" t="s">
        <v>42</v>
      </c>
      <c r="F2684">
        <v>2027</v>
      </c>
      <c r="G2684">
        <v>80445.113140000001</v>
      </c>
      <c r="H2684">
        <v>80445.113140000001</v>
      </c>
      <c r="I2684">
        <v>1</v>
      </c>
    </row>
    <row r="2685" spans="1:9">
      <c r="A2685" t="s">
        <v>310</v>
      </c>
      <c r="B2685" t="s">
        <v>311</v>
      </c>
      <c r="C2685" t="s">
        <v>269</v>
      </c>
      <c r="D2685" t="s">
        <v>26</v>
      </c>
      <c r="E2685" t="s">
        <v>42</v>
      </c>
      <c r="F2685">
        <v>2028</v>
      </c>
      <c r="G2685">
        <v>81784.148570000005</v>
      </c>
      <c r="H2685">
        <v>81784.148570000005</v>
      </c>
      <c r="I2685">
        <v>1</v>
      </c>
    </row>
    <row r="2686" spans="1:9">
      <c r="A2686" t="s">
        <v>310</v>
      </c>
      <c r="B2686" t="s">
        <v>311</v>
      </c>
      <c r="C2686" t="s">
        <v>269</v>
      </c>
      <c r="D2686" t="s">
        <v>26</v>
      </c>
      <c r="E2686" t="s">
        <v>42</v>
      </c>
      <c r="F2686">
        <v>2029</v>
      </c>
      <c r="G2686">
        <v>77914.941430000006</v>
      </c>
      <c r="H2686">
        <v>77914.941430000006</v>
      </c>
      <c r="I2686">
        <v>1</v>
      </c>
    </row>
    <row r="2687" spans="1:9">
      <c r="A2687" t="s">
        <v>310</v>
      </c>
      <c r="B2687" t="s">
        <v>311</v>
      </c>
      <c r="C2687" t="s">
        <v>269</v>
      </c>
      <c r="D2687" t="s">
        <v>26</v>
      </c>
      <c r="E2687" t="s">
        <v>42</v>
      </c>
      <c r="F2687">
        <v>2030</v>
      </c>
      <c r="G2687">
        <v>79141.23</v>
      </c>
      <c r="H2687">
        <v>79141.23</v>
      </c>
      <c r="I2687">
        <v>1</v>
      </c>
    </row>
    <row r="2688" spans="1:9">
      <c r="A2688" t="s">
        <v>310</v>
      </c>
      <c r="B2688" t="s">
        <v>311</v>
      </c>
      <c r="C2688" t="s">
        <v>269</v>
      </c>
      <c r="D2688" t="s">
        <v>26</v>
      </c>
      <c r="E2688" t="s">
        <v>42</v>
      </c>
      <c r="F2688">
        <v>2031</v>
      </c>
      <c r="G2688">
        <v>74993.304000000004</v>
      </c>
      <c r="H2688">
        <v>74993.304000000004</v>
      </c>
      <c r="I2688">
        <v>1</v>
      </c>
    </row>
    <row r="2689" spans="1:9">
      <c r="A2689" t="s">
        <v>310</v>
      </c>
      <c r="B2689" t="s">
        <v>311</v>
      </c>
      <c r="C2689" t="s">
        <v>269</v>
      </c>
      <c r="D2689" t="s">
        <v>26</v>
      </c>
      <c r="E2689" t="s">
        <v>42</v>
      </c>
      <c r="F2689">
        <v>2032</v>
      </c>
      <c r="G2689">
        <v>76104.36</v>
      </c>
      <c r="H2689">
        <v>76104.36</v>
      </c>
      <c r="I2689">
        <v>1</v>
      </c>
    </row>
    <row r="2690" spans="1:9">
      <c r="A2690" t="s">
        <v>310</v>
      </c>
      <c r="B2690" t="s">
        <v>311</v>
      </c>
      <c r="C2690" t="s">
        <v>269</v>
      </c>
      <c r="D2690" t="s">
        <v>26</v>
      </c>
      <c r="E2690" t="s">
        <v>42</v>
      </c>
      <c r="F2690">
        <v>2033</v>
      </c>
      <c r="G2690">
        <v>71683.326000000001</v>
      </c>
      <c r="H2690">
        <v>71683.326000000001</v>
      </c>
      <c r="I2690">
        <v>1</v>
      </c>
    </row>
    <row r="2691" spans="1:9">
      <c r="A2691" t="s">
        <v>310</v>
      </c>
      <c r="B2691" t="s">
        <v>311</v>
      </c>
      <c r="C2691" t="s">
        <v>269</v>
      </c>
      <c r="D2691" t="s">
        <v>26</v>
      </c>
      <c r="E2691" t="s">
        <v>42</v>
      </c>
      <c r="F2691">
        <v>2034</v>
      </c>
      <c r="G2691">
        <v>72681.285860000004</v>
      </c>
      <c r="H2691">
        <v>72681.285860000004</v>
      </c>
      <c r="I2691">
        <v>1</v>
      </c>
    </row>
    <row r="2692" spans="1:9">
      <c r="A2692" t="s">
        <v>310</v>
      </c>
      <c r="B2692" t="s">
        <v>311</v>
      </c>
      <c r="C2692" t="s">
        <v>269</v>
      </c>
      <c r="D2692" t="s">
        <v>26</v>
      </c>
      <c r="E2692" t="s">
        <v>42</v>
      </c>
      <c r="F2692">
        <v>2035</v>
      </c>
      <c r="G2692">
        <v>67995.915429999994</v>
      </c>
      <c r="H2692">
        <v>67995.915429999994</v>
      </c>
      <c r="I2692">
        <v>1</v>
      </c>
    </row>
    <row r="2693" spans="1:9">
      <c r="A2693" t="s">
        <v>310</v>
      </c>
      <c r="B2693" t="s">
        <v>311</v>
      </c>
      <c r="C2693" t="s">
        <v>269</v>
      </c>
      <c r="D2693" t="s">
        <v>26</v>
      </c>
      <c r="E2693" t="s">
        <v>42</v>
      </c>
      <c r="F2693">
        <v>2036</v>
      </c>
      <c r="G2693">
        <v>63145.853569999999</v>
      </c>
      <c r="H2693">
        <v>63145.853569999999</v>
      </c>
      <c r="I2693">
        <v>1</v>
      </c>
    </row>
    <row r="2694" spans="1:9">
      <c r="A2694" t="s">
        <v>310</v>
      </c>
      <c r="B2694" t="s">
        <v>311</v>
      </c>
      <c r="C2694" t="s">
        <v>269</v>
      </c>
      <c r="D2694" t="s">
        <v>26</v>
      </c>
      <c r="E2694" t="s">
        <v>42</v>
      </c>
      <c r="F2694">
        <v>2037</v>
      </c>
      <c r="G2694">
        <v>63950.832000000002</v>
      </c>
      <c r="H2694">
        <v>63950.832000000002</v>
      </c>
      <c r="I2694">
        <v>1</v>
      </c>
    </row>
    <row r="2695" spans="1:9">
      <c r="A2695" t="s">
        <v>310</v>
      </c>
      <c r="B2695" t="s">
        <v>311</v>
      </c>
      <c r="C2695" t="s">
        <v>269</v>
      </c>
      <c r="D2695" t="s">
        <v>26</v>
      </c>
      <c r="E2695" t="s">
        <v>42</v>
      </c>
      <c r="F2695">
        <v>2038</v>
      </c>
      <c r="G2695">
        <v>58851.385710000002</v>
      </c>
      <c r="H2695">
        <v>58851.385710000002</v>
      </c>
      <c r="I2695">
        <v>1</v>
      </c>
    </row>
    <row r="2696" spans="1:9">
      <c r="A2696" t="s">
        <v>310</v>
      </c>
      <c r="B2696" t="s">
        <v>311</v>
      </c>
      <c r="C2696" t="s">
        <v>269</v>
      </c>
      <c r="D2696" t="s">
        <v>26</v>
      </c>
      <c r="E2696" t="s">
        <v>42</v>
      </c>
      <c r="F2696">
        <v>2039</v>
      </c>
      <c r="G2696">
        <v>59550.771430000001</v>
      </c>
      <c r="H2696">
        <v>59550.771430000001</v>
      </c>
      <c r="I2696">
        <v>1</v>
      </c>
    </row>
    <row r="2697" spans="1:9">
      <c r="A2697" t="s">
        <v>310</v>
      </c>
      <c r="B2697" t="s">
        <v>311</v>
      </c>
      <c r="C2697" t="s">
        <v>269</v>
      </c>
      <c r="D2697" t="s">
        <v>26</v>
      </c>
      <c r="E2697" t="s">
        <v>42</v>
      </c>
      <c r="F2697">
        <v>2040</v>
      </c>
      <c r="G2697">
        <v>54211.42929</v>
      </c>
      <c r="H2697">
        <v>54211.42929</v>
      </c>
      <c r="I2697">
        <v>1</v>
      </c>
    </row>
    <row r="2698" spans="1:9">
      <c r="A2698" t="s">
        <v>310</v>
      </c>
      <c r="B2698" t="s">
        <v>311</v>
      </c>
      <c r="C2698" t="s">
        <v>269</v>
      </c>
      <c r="D2698" t="s">
        <v>26</v>
      </c>
      <c r="E2698" t="s">
        <v>42</v>
      </c>
      <c r="F2698">
        <v>2041</v>
      </c>
      <c r="G2698">
        <v>54812.946859999996</v>
      </c>
      <c r="H2698">
        <v>54812.946859999996</v>
      </c>
      <c r="I2698">
        <v>1</v>
      </c>
    </row>
    <row r="2699" spans="1:9">
      <c r="A2699" t="s">
        <v>310</v>
      </c>
      <c r="B2699" t="s">
        <v>311</v>
      </c>
      <c r="C2699" t="s">
        <v>269</v>
      </c>
      <c r="D2699" t="s">
        <v>26</v>
      </c>
      <c r="E2699" t="s">
        <v>42</v>
      </c>
      <c r="F2699">
        <v>2042</v>
      </c>
      <c r="G2699">
        <v>49244.088000000003</v>
      </c>
      <c r="H2699">
        <v>49244.088000000003</v>
      </c>
      <c r="I2699">
        <v>1</v>
      </c>
    </row>
    <row r="2700" spans="1:9">
      <c r="A2700" t="s">
        <v>310</v>
      </c>
      <c r="B2700" t="s">
        <v>311</v>
      </c>
      <c r="C2700" t="s">
        <v>269</v>
      </c>
      <c r="D2700" t="s">
        <v>26</v>
      </c>
      <c r="E2700" t="s">
        <v>42</v>
      </c>
      <c r="F2700">
        <v>2043</v>
      </c>
      <c r="G2700">
        <v>43532.856</v>
      </c>
      <c r="H2700">
        <v>43532.856</v>
      </c>
      <c r="I2700">
        <v>1</v>
      </c>
    </row>
    <row r="2701" spans="1:9">
      <c r="A2701" t="s">
        <v>310</v>
      </c>
      <c r="B2701" t="s">
        <v>311</v>
      </c>
      <c r="C2701" t="s">
        <v>269</v>
      </c>
      <c r="D2701" t="s">
        <v>26</v>
      </c>
      <c r="E2701" t="s">
        <v>42</v>
      </c>
      <c r="F2701">
        <v>2044</v>
      </c>
      <c r="G2701">
        <v>43964.654999999999</v>
      </c>
      <c r="H2701">
        <v>43964.654999999999</v>
      </c>
      <c r="I2701">
        <v>1</v>
      </c>
    </row>
    <row r="2702" spans="1:9">
      <c r="A2702" t="s">
        <v>310</v>
      </c>
      <c r="B2702" t="s">
        <v>311</v>
      </c>
      <c r="C2702" t="s">
        <v>269</v>
      </c>
      <c r="D2702" t="s">
        <v>26</v>
      </c>
      <c r="E2702" t="s">
        <v>42</v>
      </c>
      <c r="F2702">
        <v>2045</v>
      </c>
      <c r="G2702">
        <v>38043.036</v>
      </c>
      <c r="H2702">
        <v>38043.036</v>
      </c>
      <c r="I2702">
        <v>1</v>
      </c>
    </row>
    <row r="2703" spans="1:9">
      <c r="A2703" t="s">
        <v>310</v>
      </c>
      <c r="B2703" t="s">
        <v>311</v>
      </c>
      <c r="C2703" t="s">
        <v>269</v>
      </c>
      <c r="D2703" t="s">
        <v>26</v>
      </c>
      <c r="E2703" t="s">
        <v>42</v>
      </c>
      <c r="F2703">
        <v>2046</v>
      </c>
      <c r="G2703">
        <v>38390.603139999999</v>
      </c>
      <c r="H2703">
        <v>38390.603139999999</v>
      </c>
      <c r="I2703">
        <v>1</v>
      </c>
    </row>
    <row r="2704" spans="1:9">
      <c r="A2704" t="s">
        <v>310</v>
      </c>
      <c r="B2704" t="s">
        <v>311</v>
      </c>
      <c r="C2704" t="s">
        <v>269</v>
      </c>
      <c r="D2704" t="s">
        <v>26</v>
      </c>
      <c r="E2704" t="s">
        <v>42</v>
      </c>
      <c r="F2704">
        <v>2047</v>
      </c>
      <c r="G2704">
        <v>32271.996429999999</v>
      </c>
      <c r="H2704">
        <v>32271.996429999999</v>
      </c>
      <c r="I2704">
        <v>1</v>
      </c>
    </row>
    <row r="2705" spans="1:9">
      <c r="A2705" t="s">
        <v>310</v>
      </c>
      <c r="B2705" t="s">
        <v>311</v>
      </c>
      <c r="C2705" t="s">
        <v>269</v>
      </c>
      <c r="D2705" t="s">
        <v>26</v>
      </c>
      <c r="E2705" t="s">
        <v>42</v>
      </c>
      <c r="F2705">
        <v>2048</v>
      </c>
      <c r="G2705">
        <v>32541.89143</v>
      </c>
      <c r="H2705">
        <v>32541.89143</v>
      </c>
      <c r="I2705">
        <v>1</v>
      </c>
    </row>
    <row r="2706" spans="1:9">
      <c r="A2706" t="s">
        <v>310</v>
      </c>
      <c r="B2706" t="s">
        <v>311</v>
      </c>
      <c r="C2706" t="s">
        <v>269</v>
      </c>
      <c r="D2706" t="s">
        <v>26</v>
      </c>
      <c r="E2706" t="s">
        <v>42</v>
      </c>
      <c r="F2706">
        <v>2049</v>
      </c>
      <c r="G2706">
        <v>32801.781430000003</v>
      </c>
      <c r="H2706">
        <v>32801.781430000003</v>
      </c>
      <c r="I2706">
        <v>1</v>
      </c>
    </row>
    <row r="2707" spans="1:9">
      <c r="A2707" t="s">
        <v>310</v>
      </c>
      <c r="B2707" t="s">
        <v>311</v>
      </c>
      <c r="C2707" t="s">
        <v>269</v>
      </c>
      <c r="D2707" t="s">
        <v>26</v>
      </c>
      <c r="E2707" t="s">
        <v>42</v>
      </c>
      <c r="F2707">
        <v>2050</v>
      </c>
      <c r="G2707">
        <v>26441.21486</v>
      </c>
      <c r="H2707">
        <v>26441.21486</v>
      </c>
      <c r="I2707">
        <v>1</v>
      </c>
    </row>
    <row r="2708" spans="1:9">
      <c r="A2708" t="s">
        <v>310</v>
      </c>
      <c r="B2708" t="s">
        <v>311</v>
      </c>
      <c r="C2708" t="s">
        <v>269</v>
      </c>
      <c r="D2708" t="s">
        <v>307</v>
      </c>
      <c r="E2708" t="s">
        <v>42</v>
      </c>
      <c r="F2708">
        <v>2010</v>
      </c>
      <c r="G2708">
        <v>925973.63489999995</v>
      </c>
      <c r="H2708">
        <v>925973.63489999995</v>
      </c>
      <c r="I2708">
        <v>1</v>
      </c>
    </row>
    <row r="2709" spans="1:9">
      <c r="A2709" t="s">
        <v>310</v>
      </c>
      <c r="B2709" t="s">
        <v>311</v>
      </c>
      <c r="C2709" t="s">
        <v>269</v>
      </c>
      <c r="D2709" t="s">
        <v>307</v>
      </c>
      <c r="E2709" t="s">
        <v>42</v>
      </c>
      <c r="F2709">
        <v>2011</v>
      </c>
      <c r="G2709">
        <v>941473.89599999995</v>
      </c>
      <c r="H2709">
        <v>941473.89599999995</v>
      </c>
      <c r="I2709">
        <v>1</v>
      </c>
    </row>
    <row r="2710" spans="1:9">
      <c r="A2710" t="s">
        <v>310</v>
      </c>
      <c r="B2710" t="s">
        <v>311</v>
      </c>
      <c r="C2710" t="s">
        <v>269</v>
      </c>
      <c r="D2710" t="s">
        <v>307</v>
      </c>
      <c r="E2710" t="s">
        <v>42</v>
      </c>
      <c r="F2710">
        <v>2012</v>
      </c>
      <c r="G2710">
        <v>951295.92299999995</v>
      </c>
      <c r="H2710">
        <v>951295.92299999995</v>
      </c>
      <c r="I2710">
        <v>1</v>
      </c>
    </row>
    <row r="2711" spans="1:9">
      <c r="A2711" t="s">
        <v>310</v>
      </c>
      <c r="B2711" t="s">
        <v>311</v>
      </c>
      <c r="C2711" t="s">
        <v>269</v>
      </c>
      <c r="D2711" t="s">
        <v>307</v>
      </c>
      <c r="E2711" t="s">
        <v>42</v>
      </c>
      <c r="F2711">
        <v>2013</v>
      </c>
      <c r="G2711">
        <v>961146.46290000004</v>
      </c>
      <c r="H2711">
        <v>961146.46290000004</v>
      </c>
      <c r="I2711">
        <v>1</v>
      </c>
    </row>
    <row r="2712" spans="1:9">
      <c r="A2712" t="s">
        <v>310</v>
      </c>
      <c r="B2712" t="s">
        <v>311</v>
      </c>
      <c r="C2712" t="s">
        <v>269</v>
      </c>
      <c r="D2712" t="s">
        <v>307</v>
      </c>
      <c r="E2712" t="s">
        <v>42</v>
      </c>
      <c r="F2712">
        <v>2014</v>
      </c>
      <c r="G2712">
        <v>950647.84629999998</v>
      </c>
      <c r="H2712">
        <v>950647.84629999998</v>
      </c>
      <c r="I2712">
        <v>1</v>
      </c>
    </row>
    <row r="2713" spans="1:9">
      <c r="A2713" t="s">
        <v>310</v>
      </c>
      <c r="B2713" t="s">
        <v>311</v>
      </c>
      <c r="C2713" t="s">
        <v>269</v>
      </c>
      <c r="D2713" t="s">
        <v>307</v>
      </c>
      <c r="E2713" t="s">
        <v>42</v>
      </c>
      <c r="F2713">
        <v>2015</v>
      </c>
      <c r="G2713">
        <v>938434.21369999996</v>
      </c>
      <c r="H2713">
        <v>938434.21369999996</v>
      </c>
      <c r="I2713">
        <v>1</v>
      </c>
    </row>
    <row r="2714" spans="1:9">
      <c r="A2714" t="s">
        <v>310</v>
      </c>
      <c r="B2714" t="s">
        <v>311</v>
      </c>
      <c r="C2714" t="s">
        <v>269</v>
      </c>
      <c r="D2714" t="s">
        <v>307</v>
      </c>
      <c r="E2714" t="s">
        <v>42</v>
      </c>
      <c r="F2714">
        <v>2016</v>
      </c>
      <c r="G2714">
        <v>931488.03859999997</v>
      </c>
      <c r="H2714">
        <v>931488.03859999997</v>
      </c>
      <c r="I2714">
        <v>1</v>
      </c>
    </row>
    <row r="2715" spans="1:9">
      <c r="A2715" t="s">
        <v>310</v>
      </c>
      <c r="B2715" t="s">
        <v>311</v>
      </c>
      <c r="C2715" t="s">
        <v>269</v>
      </c>
      <c r="D2715" t="s">
        <v>307</v>
      </c>
      <c r="E2715" t="s">
        <v>42</v>
      </c>
      <c r="F2715">
        <v>2017</v>
      </c>
      <c r="G2715">
        <v>901104.85290000006</v>
      </c>
      <c r="H2715">
        <v>901104.85290000006</v>
      </c>
      <c r="I2715">
        <v>1</v>
      </c>
    </row>
    <row r="2716" spans="1:9">
      <c r="A2716" t="s">
        <v>310</v>
      </c>
      <c r="B2716" t="s">
        <v>311</v>
      </c>
      <c r="C2716" t="s">
        <v>269</v>
      </c>
      <c r="D2716" t="s">
        <v>307</v>
      </c>
      <c r="E2716" t="s">
        <v>42</v>
      </c>
      <c r="F2716">
        <v>2018</v>
      </c>
      <c r="G2716">
        <v>882974.49690000003</v>
      </c>
      <c r="H2716">
        <v>882974.49690000003</v>
      </c>
      <c r="I2716">
        <v>1</v>
      </c>
    </row>
    <row r="2717" spans="1:9">
      <c r="A2717" t="s">
        <v>310</v>
      </c>
      <c r="B2717" t="s">
        <v>311</v>
      </c>
      <c r="C2717" t="s">
        <v>269</v>
      </c>
      <c r="D2717" t="s">
        <v>307</v>
      </c>
      <c r="E2717" t="s">
        <v>42</v>
      </c>
      <c r="F2717">
        <v>2019</v>
      </c>
      <c r="G2717">
        <v>855047.39569999999</v>
      </c>
      <c r="H2717">
        <v>855047.39569999999</v>
      </c>
      <c r="I2717">
        <v>1</v>
      </c>
    </row>
    <row r="2718" spans="1:9">
      <c r="A2718" t="s">
        <v>310</v>
      </c>
      <c r="B2718" t="s">
        <v>311</v>
      </c>
      <c r="C2718" t="s">
        <v>269</v>
      </c>
      <c r="D2718" t="s">
        <v>307</v>
      </c>
      <c r="E2718" t="s">
        <v>42</v>
      </c>
      <c r="F2718">
        <v>2020</v>
      </c>
      <c r="G2718">
        <v>824556.47959999996</v>
      </c>
      <c r="H2718">
        <v>824556.47959999996</v>
      </c>
      <c r="I2718">
        <v>1</v>
      </c>
    </row>
    <row r="2719" spans="1:9">
      <c r="A2719" t="s">
        <v>310</v>
      </c>
      <c r="B2719" t="s">
        <v>311</v>
      </c>
      <c r="C2719" t="s">
        <v>269</v>
      </c>
      <c r="D2719" t="s">
        <v>307</v>
      </c>
      <c r="E2719" t="s">
        <v>42</v>
      </c>
      <c r="F2719">
        <v>2021</v>
      </c>
      <c r="G2719">
        <v>807861.22199999995</v>
      </c>
      <c r="H2719">
        <v>807861.22199999995</v>
      </c>
      <c r="I2719">
        <v>1</v>
      </c>
    </row>
    <row r="2720" spans="1:9">
      <c r="A2720" t="s">
        <v>310</v>
      </c>
      <c r="B2720" t="s">
        <v>311</v>
      </c>
      <c r="C2720" t="s">
        <v>269</v>
      </c>
      <c r="D2720" t="s">
        <v>307</v>
      </c>
      <c r="E2720" t="s">
        <v>42</v>
      </c>
      <c r="F2720">
        <v>2022</v>
      </c>
      <c r="G2720">
        <v>780828.40630000003</v>
      </c>
      <c r="H2720">
        <v>780828.40630000003</v>
      </c>
      <c r="I2720">
        <v>1</v>
      </c>
    </row>
    <row r="2721" spans="1:9">
      <c r="A2721" t="s">
        <v>310</v>
      </c>
      <c r="B2721" t="s">
        <v>311</v>
      </c>
      <c r="C2721" t="s">
        <v>269</v>
      </c>
      <c r="D2721" t="s">
        <v>307</v>
      </c>
      <c r="E2721" t="s">
        <v>42</v>
      </c>
      <c r="F2721">
        <v>2023</v>
      </c>
      <c r="G2721">
        <v>733900.5</v>
      </c>
      <c r="H2721">
        <v>733900.5</v>
      </c>
      <c r="I2721">
        <v>1</v>
      </c>
    </row>
    <row r="2722" spans="1:9">
      <c r="A2722" t="s">
        <v>310</v>
      </c>
      <c r="B2722" t="s">
        <v>311</v>
      </c>
      <c r="C2722" t="s">
        <v>269</v>
      </c>
      <c r="D2722" t="s">
        <v>307</v>
      </c>
      <c r="E2722" t="s">
        <v>42</v>
      </c>
      <c r="F2722">
        <v>2024</v>
      </c>
      <c r="G2722">
        <v>719409.0514</v>
      </c>
      <c r="H2722">
        <v>719409.0514</v>
      </c>
      <c r="I2722">
        <v>1</v>
      </c>
    </row>
    <row r="2723" spans="1:9">
      <c r="A2723" t="s">
        <v>310</v>
      </c>
      <c r="B2723" t="s">
        <v>311</v>
      </c>
      <c r="C2723" t="s">
        <v>269</v>
      </c>
      <c r="D2723" t="s">
        <v>307</v>
      </c>
      <c r="E2723" t="s">
        <v>42</v>
      </c>
      <c r="F2723">
        <v>2025</v>
      </c>
      <c r="G2723">
        <v>703341.72860000003</v>
      </c>
      <c r="H2723">
        <v>703341.72860000003</v>
      </c>
      <c r="I2723">
        <v>1</v>
      </c>
    </row>
    <row r="2724" spans="1:9">
      <c r="A2724" t="s">
        <v>310</v>
      </c>
      <c r="B2724" t="s">
        <v>311</v>
      </c>
      <c r="C2724" t="s">
        <v>269</v>
      </c>
      <c r="D2724" t="s">
        <v>307</v>
      </c>
      <c r="E2724" t="s">
        <v>42</v>
      </c>
      <c r="F2724">
        <v>2026</v>
      </c>
      <c r="G2724">
        <v>666583.19999999995</v>
      </c>
      <c r="H2724">
        <v>666583.19999999995</v>
      </c>
      <c r="I2724">
        <v>1</v>
      </c>
    </row>
    <row r="2725" spans="1:9">
      <c r="A2725" t="s">
        <v>310</v>
      </c>
      <c r="B2725" t="s">
        <v>311</v>
      </c>
      <c r="C2725" t="s">
        <v>269</v>
      </c>
      <c r="D2725" t="s">
        <v>307</v>
      </c>
      <c r="E2725" t="s">
        <v>42</v>
      </c>
      <c r="F2725">
        <v>2027</v>
      </c>
      <c r="G2725">
        <v>646593.41059999994</v>
      </c>
      <c r="H2725">
        <v>646593.41059999994</v>
      </c>
      <c r="I2725">
        <v>1</v>
      </c>
    </row>
    <row r="2726" spans="1:9">
      <c r="A2726" t="s">
        <v>310</v>
      </c>
      <c r="B2726" t="s">
        <v>311</v>
      </c>
      <c r="C2726" t="s">
        <v>269</v>
      </c>
      <c r="D2726" t="s">
        <v>307</v>
      </c>
      <c r="E2726" t="s">
        <v>42</v>
      </c>
      <c r="F2726">
        <v>2028</v>
      </c>
      <c r="G2726">
        <v>614699.84959999996</v>
      </c>
      <c r="H2726">
        <v>614699.84959999996</v>
      </c>
      <c r="I2726">
        <v>1</v>
      </c>
    </row>
    <row r="2727" spans="1:9">
      <c r="A2727" t="s">
        <v>310</v>
      </c>
      <c r="B2727" t="s">
        <v>311</v>
      </c>
      <c r="C2727" t="s">
        <v>269</v>
      </c>
      <c r="D2727" t="s">
        <v>307</v>
      </c>
      <c r="E2727" t="s">
        <v>42</v>
      </c>
      <c r="F2727">
        <v>2029</v>
      </c>
      <c r="G2727">
        <v>590681.95330000005</v>
      </c>
      <c r="H2727">
        <v>590681.95330000005</v>
      </c>
      <c r="I2727">
        <v>1</v>
      </c>
    </row>
    <row r="2728" spans="1:9">
      <c r="A2728" t="s">
        <v>310</v>
      </c>
      <c r="B2728" t="s">
        <v>311</v>
      </c>
      <c r="C2728" t="s">
        <v>269</v>
      </c>
      <c r="D2728" t="s">
        <v>307</v>
      </c>
      <c r="E2728" t="s">
        <v>42</v>
      </c>
      <c r="F2728">
        <v>2030</v>
      </c>
      <c r="G2728">
        <v>575316.98739999998</v>
      </c>
      <c r="H2728">
        <v>575316.98739999998</v>
      </c>
      <c r="I2728">
        <v>1</v>
      </c>
    </row>
    <row r="2729" spans="1:9">
      <c r="A2729" t="s">
        <v>310</v>
      </c>
      <c r="B2729" t="s">
        <v>311</v>
      </c>
      <c r="C2729" t="s">
        <v>269</v>
      </c>
      <c r="D2729" t="s">
        <v>307</v>
      </c>
      <c r="E2729" t="s">
        <v>42</v>
      </c>
      <c r="F2729">
        <v>2031</v>
      </c>
      <c r="G2729">
        <v>536574.73800000001</v>
      </c>
      <c r="H2729">
        <v>536574.73800000001</v>
      </c>
      <c r="I2729">
        <v>1</v>
      </c>
    </row>
    <row r="2730" spans="1:9">
      <c r="A2730" t="s">
        <v>310</v>
      </c>
      <c r="B2730" t="s">
        <v>311</v>
      </c>
      <c r="C2730" t="s">
        <v>269</v>
      </c>
      <c r="D2730" t="s">
        <v>307</v>
      </c>
      <c r="E2730" t="s">
        <v>42</v>
      </c>
      <c r="F2730">
        <v>2032</v>
      </c>
      <c r="G2730">
        <v>517606.02340000001</v>
      </c>
      <c r="H2730">
        <v>517606.02340000001</v>
      </c>
      <c r="I2730">
        <v>1</v>
      </c>
    </row>
    <row r="2731" spans="1:9">
      <c r="A2731" t="s">
        <v>310</v>
      </c>
      <c r="B2731" t="s">
        <v>311</v>
      </c>
      <c r="C2731" t="s">
        <v>269</v>
      </c>
      <c r="D2731" t="s">
        <v>307</v>
      </c>
      <c r="E2731" t="s">
        <v>42</v>
      </c>
      <c r="F2731">
        <v>2033</v>
      </c>
      <c r="G2731">
        <v>497052.70110000001</v>
      </c>
      <c r="H2731">
        <v>497052.70110000001</v>
      </c>
      <c r="I2731">
        <v>1</v>
      </c>
    </row>
    <row r="2732" spans="1:9">
      <c r="A2732" t="s">
        <v>310</v>
      </c>
      <c r="B2732" t="s">
        <v>311</v>
      </c>
      <c r="C2732" t="s">
        <v>269</v>
      </c>
      <c r="D2732" t="s">
        <v>307</v>
      </c>
      <c r="E2732" t="s">
        <v>42</v>
      </c>
      <c r="F2732">
        <v>2034</v>
      </c>
      <c r="G2732">
        <v>474866.58860000002</v>
      </c>
      <c r="H2732">
        <v>474866.58860000002</v>
      </c>
      <c r="I2732">
        <v>1</v>
      </c>
    </row>
    <row r="2733" spans="1:9">
      <c r="A2733" t="s">
        <v>310</v>
      </c>
      <c r="B2733" t="s">
        <v>311</v>
      </c>
      <c r="C2733" t="s">
        <v>269</v>
      </c>
      <c r="D2733" t="s">
        <v>307</v>
      </c>
      <c r="E2733" t="s">
        <v>42</v>
      </c>
      <c r="F2733">
        <v>2035</v>
      </c>
      <c r="G2733">
        <v>450999.32699999999</v>
      </c>
      <c r="H2733">
        <v>450999.32699999999</v>
      </c>
      <c r="I2733">
        <v>1</v>
      </c>
    </row>
    <row r="2734" spans="1:9">
      <c r="A2734" t="s">
        <v>310</v>
      </c>
      <c r="B2734" t="s">
        <v>311</v>
      </c>
      <c r="C2734" t="s">
        <v>269</v>
      </c>
      <c r="D2734" t="s">
        <v>307</v>
      </c>
      <c r="E2734" t="s">
        <v>42</v>
      </c>
      <c r="F2734">
        <v>2036</v>
      </c>
      <c r="G2734">
        <v>425402.33659999998</v>
      </c>
      <c r="H2734">
        <v>425402.33659999998</v>
      </c>
      <c r="I2734">
        <v>1</v>
      </c>
    </row>
    <row r="2735" spans="1:9">
      <c r="A2735" t="s">
        <v>310</v>
      </c>
      <c r="B2735" t="s">
        <v>311</v>
      </c>
      <c r="C2735" t="s">
        <v>269</v>
      </c>
      <c r="D2735" t="s">
        <v>307</v>
      </c>
      <c r="E2735" t="s">
        <v>42</v>
      </c>
      <c r="F2735">
        <v>2037</v>
      </c>
      <c r="G2735">
        <v>398028.13589999999</v>
      </c>
      <c r="H2735">
        <v>398028.13589999999</v>
      </c>
      <c r="I2735">
        <v>1</v>
      </c>
    </row>
    <row r="2736" spans="1:9">
      <c r="A2736" t="s">
        <v>310</v>
      </c>
      <c r="B2736" t="s">
        <v>311</v>
      </c>
      <c r="C2736" t="s">
        <v>269</v>
      </c>
      <c r="D2736" t="s">
        <v>307</v>
      </c>
      <c r="E2736" t="s">
        <v>42</v>
      </c>
      <c r="F2736">
        <v>2038</v>
      </c>
      <c r="G2736">
        <v>382004.59629999998</v>
      </c>
      <c r="H2736">
        <v>382004.59629999998</v>
      </c>
      <c r="I2736">
        <v>1</v>
      </c>
    </row>
    <row r="2737" spans="1:9">
      <c r="A2737" t="s">
        <v>310</v>
      </c>
      <c r="B2737" t="s">
        <v>311</v>
      </c>
      <c r="C2737" t="s">
        <v>269</v>
      </c>
      <c r="D2737" t="s">
        <v>307</v>
      </c>
      <c r="E2737" t="s">
        <v>42</v>
      </c>
      <c r="F2737">
        <v>2039</v>
      </c>
      <c r="G2737">
        <v>364790.88260000001</v>
      </c>
      <c r="H2737">
        <v>364790.88260000001</v>
      </c>
      <c r="I2737">
        <v>1</v>
      </c>
    </row>
    <row r="2738" spans="1:9">
      <c r="A2738" t="s">
        <v>310</v>
      </c>
      <c r="B2738" t="s">
        <v>311</v>
      </c>
      <c r="C2738" t="s">
        <v>269</v>
      </c>
      <c r="D2738" t="s">
        <v>307</v>
      </c>
      <c r="E2738" t="s">
        <v>42</v>
      </c>
      <c r="F2738">
        <v>2040</v>
      </c>
      <c r="G2738">
        <v>332502.33600000001</v>
      </c>
      <c r="H2738">
        <v>332502.33600000001</v>
      </c>
      <c r="I2738">
        <v>1</v>
      </c>
    </row>
    <row r="2739" spans="1:9">
      <c r="A2739" t="s">
        <v>310</v>
      </c>
      <c r="B2739" t="s">
        <v>311</v>
      </c>
      <c r="C2739" t="s">
        <v>269</v>
      </c>
      <c r="D2739" t="s">
        <v>307</v>
      </c>
      <c r="E2739" t="s">
        <v>42</v>
      </c>
      <c r="F2739">
        <v>2041</v>
      </c>
      <c r="G2739">
        <v>326669.88390000002</v>
      </c>
      <c r="H2739">
        <v>326669.88390000002</v>
      </c>
      <c r="I2739">
        <v>1</v>
      </c>
    </row>
    <row r="2740" spans="1:9">
      <c r="A2740" t="s">
        <v>310</v>
      </c>
      <c r="B2740" t="s">
        <v>311</v>
      </c>
      <c r="C2740" t="s">
        <v>269</v>
      </c>
      <c r="D2740" t="s">
        <v>307</v>
      </c>
      <c r="E2740" t="s">
        <v>42</v>
      </c>
      <c r="F2740">
        <v>2042</v>
      </c>
      <c r="G2740">
        <v>305697.96000000002</v>
      </c>
      <c r="H2740">
        <v>305697.96000000002</v>
      </c>
      <c r="I2740">
        <v>1</v>
      </c>
    </row>
    <row r="2741" spans="1:9">
      <c r="A2741" t="s">
        <v>310</v>
      </c>
      <c r="B2741" t="s">
        <v>311</v>
      </c>
      <c r="C2741" t="s">
        <v>269</v>
      </c>
      <c r="D2741" t="s">
        <v>307</v>
      </c>
      <c r="E2741" t="s">
        <v>42</v>
      </c>
      <c r="F2741">
        <v>2043</v>
      </c>
      <c r="G2741">
        <v>283408.66590000002</v>
      </c>
      <c r="H2741">
        <v>283408.66590000002</v>
      </c>
      <c r="I2741">
        <v>1</v>
      </c>
    </row>
    <row r="2742" spans="1:9">
      <c r="A2742" t="s">
        <v>310</v>
      </c>
      <c r="B2742" t="s">
        <v>311</v>
      </c>
      <c r="C2742" t="s">
        <v>269</v>
      </c>
      <c r="D2742" t="s">
        <v>307</v>
      </c>
      <c r="E2742" t="s">
        <v>42</v>
      </c>
      <c r="F2742">
        <v>2044</v>
      </c>
      <c r="G2742">
        <v>275050.45799999998</v>
      </c>
      <c r="H2742">
        <v>275050.45799999998</v>
      </c>
      <c r="I2742">
        <v>1</v>
      </c>
    </row>
    <row r="2743" spans="1:9">
      <c r="A2743" t="s">
        <v>310</v>
      </c>
      <c r="B2743" t="s">
        <v>311</v>
      </c>
      <c r="C2743" t="s">
        <v>269</v>
      </c>
      <c r="D2743" t="s">
        <v>307</v>
      </c>
      <c r="E2743" t="s">
        <v>42</v>
      </c>
      <c r="F2743">
        <v>2045</v>
      </c>
      <c r="G2743">
        <v>250399.93369999999</v>
      </c>
      <c r="H2743">
        <v>250399.93369999999</v>
      </c>
      <c r="I2743">
        <v>1</v>
      </c>
    </row>
    <row r="2744" spans="1:9">
      <c r="A2744" t="s">
        <v>310</v>
      </c>
      <c r="B2744" t="s">
        <v>311</v>
      </c>
      <c r="C2744" t="s">
        <v>269</v>
      </c>
      <c r="D2744" t="s">
        <v>307</v>
      </c>
      <c r="E2744" t="s">
        <v>42</v>
      </c>
      <c r="F2744">
        <v>2046</v>
      </c>
      <c r="G2744">
        <v>224341.74</v>
      </c>
      <c r="H2744">
        <v>224341.74</v>
      </c>
      <c r="I2744">
        <v>1</v>
      </c>
    </row>
    <row r="2745" spans="1:9">
      <c r="A2745" t="s">
        <v>310</v>
      </c>
      <c r="B2745" t="s">
        <v>311</v>
      </c>
      <c r="C2745" t="s">
        <v>269</v>
      </c>
      <c r="D2745" t="s">
        <v>307</v>
      </c>
      <c r="E2745" t="s">
        <v>42</v>
      </c>
      <c r="F2745">
        <v>2047</v>
      </c>
      <c r="G2745">
        <v>213249.15299999999</v>
      </c>
      <c r="H2745">
        <v>213249.15299999999</v>
      </c>
      <c r="I2745">
        <v>1</v>
      </c>
    </row>
    <row r="2746" spans="1:9">
      <c r="A2746" t="s">
        <v>310</v>
      </c>
      <c r="B2746" t="s">
        <v>311</v>
      </c>
      <c r="C2746" t="s">
        <v>269</v>
      </c>
      <c r="D2746" t="s">
        <v>307</v>
      </c>
      <c r="E2746" t="s">
        <v>42</v>
      </c>
      <c r="F2746">
        <v>2048</v>
      </c>
      <c r="G2746">
        <v>201457.44</v>
      </c>
      <c r="H2746">
        <v>201457.44</v>
      </c>
      <c r="I2746">
        <v>1</v>
      </c>
    </row>
    <row r="2747" spans="1:9">
      <c r="A2747" t="s">
        <v>310</v>
      </c>
      <c r="B2747" t="s">
        <v>311</v>
      </c>
      <c r="C2747" t="s">
        <v>269</v>
      </c>
      <c r="D2747" t="s">
        <v>307</v>
      </c>
      <c r="E2747" t="s">
        <v>42</v>
      </c>
      <c r="F2747">
        <v>2049</v>
      </c>
      <c r="G2747">
        <v>171774.57860000001</v>
      </c>
      <c r="H2747">
        <v>171774.57860000001</v>
      </c>
      <c r="I2747">
        <v>1</v>
      </c>
    </row>
    <row r="2748" spans="1:9">
      <c r="A2748" t="s">
        <v>310</v>
      </c>
      <c r="B2748" t="s">
        <v>311</v>
      </c>
      <c r="C2748" t="s">
        <v>269</v>
      </c>
      <c r="D2748" t="s">
        <v>307</v>
      </c>
      <c r="E2748" t="s">
        <v>42</v>
      </c>
      <c r="F2748">
        <v>2050</v>
      </c>
      <c r="G2748">
        <v>175717.80859999999</v>
      </c>
      <c r="H2748">
        <v>175717.80859999999</v>
      </c>
      <c r="I2748">
        <v>1</v>
      </c>
    </row>
    <row r="2749" spans="1:9">
      <c r="A2749" t="s">
        <v>310</v>
      </c>
      <c r="B2749" t="s">
        <v>311</v>
      </c>
      <c r="C2749" t="s">
        <v>269</v>
      </c>
      <c r="D2749" t="s">
        <v>25</v>
      </c>
      <c r="E2749" t="s">
        <v>107</v>
      </c>
      <c r="F2749">
        <v>2010</v>
      </c>
      <c r="G2749">
        <v>155889.07620000001</v>
      </c>
      <c r="H2749">
        <v>155889.07620000001</v>
      </c>
      <c r="I2749">
        <v>1</v>
      </c>
    </row>
    <row r="2750" spans="1:9">
      <c r="A2750" t="s">
        <v>310</v>
      </c>
      <c r="B2750" t="s">
        <v>311</v>
      </c>
      <c r="C2750" t="s">
        <v>269</v>
      </c>
      <c r="D2750" t="s">
        <v>25</v>
      </c>
      <c r="E2750" t="s">
        <v>107</v>
      </c>
      <c r="F2750">
        <v>2011</v>
      </c>
      <c r="G2750">
        <v>160078.11069999999</v>
      </c>
      <c r="H2750">
        <v>160078.11069999999</v>
      </c>
      <c r="I2750">
        <v>1</v>
      </c>
    </row>
    <row r="2751" spans="1:9">
      <c r="A2751" t="s">
        <v>310</v>
      </c>
      <c r="B2751" t="s">
        <v>311</v>
      </c>
      <c r="C2751" t="s">
        <v>269</v>
      </c>
      <c r="D2751" t="s">
        <v>25</v>
      </c>
      <c r="E2751" t="s">
        <v>107</v>
      </c>
      <c r="F2751">
        <v>2012</v>
      </c>
      <c r="G2751">
        <v>161826.84229999999</v>
      </c>
      <c r="H2751">
        <v>161826.84229999999</v>
      </c>
      <c r="I2751">
        <v>1</v>
      </c>
    </row>
    <row r="2752" spans="1:9">
      <c r="A2752" t="s">
        <v>310</v>
      </c>
      <c r="B2752" t="s">
        <v>311</v>
      </c>
      <c r="C2752" t="s">
        <v>269</v>
      </c>
      <c r="D2752" t="s">
        <v>25</v>
      </c>
      <c r="E2752" t="s">
        <v>107</v>
      </c>
      <c r="F2752">
        <v>2013</v>
      </c>
      <c r="G2752">
        <v>166201.842</v>
      </c>
      <c r="H2752">
        <v>166201.842</v>
      </c>
      <c r="I2752">
        <v>1</v>
      </c>
    </row>
    <row r="2753" spans="1:9">
      <c r="A2753" t="s">
        <v>310</v>
      </c>
      <c r="B2753" t="s">
        <v>311</v>
      </c>
      <c r="C2753" t="s">
        <v>269</v>
      </c>
      <c r="D2753" t="s">
        <v>25</v>
      </c>
      <c r="E2753" t="s">
        <v>107</v>
      </c>
      <c r="F2753">
        <v>2014</v>
      </c>
      <c r="G2753">
        <v>170657.78400000001</v>
      </c>
      <c r="H2753">
        <v>170657.78400000001</v>
      </c>
      <c r="I2753">
        <v>1</v>
      </c>
    </row>
    <row r="2754" spans="1:9">
      <c r="A2754" t="s">
        <v>310</v>
      </c>
      <c r="B2754" t="s">
        <v>311</v>
      </c>
      <c r="C2754" t="s">
        <v>269</v>
      </c>
      <c r="D2754" t="s">
        <v>25</v>
      </c>
      <c r="E2754" t="s">
        <v>107</v>
      </c>
      <c r="F2754">
        <v>2015</v>
      </c>
      <c r="G2754">
        <v>178127.03039999999</v>
      </c>
      <c r="H2754">
        <v>178127.03039999999</v>
      </c>
      <c r="I2754">
        <v>1</v>
      </c>
    </row>
    <row r="2755" spans="1:9">
      <c r="A2755" t="s">
        <v>310</v>
      </c>
      <c r="B2755" t="s">
        <v>311</v>
      </c>
      <c r="C2755" t="s">
        <v>269</v>
      </c>
      <c r="D2755" t="s">
        <v>25</v>
      </c>
      <c r="E2755" t="s">
        <v>107</v>
      </c>
      <c r="F2755">
        <v>2016</v>
      </c>
      <c r="G2755">
        <v>182786.48869999999</v>
      </c>
      <c r="H2755">
        <v>182786.48869999999</v>
      </c>
      <c r="I2755">
        <v>1</v>
      </c>
    </row>
    <row r="2756" spans="1:9">
      <c r="A2756" t="s">
        <v>310</v>
      </c>
      <c r="B2756" t="s">
        <v>311</v>
      </c>
      <c r="C2756" t="s">
        <v>269</v>
      </c>
      <c r="D2756" t="s">
        <v>25</v>
      </c>
      <c r="E2756" t="s">
        <v>107</v>
      </c>
      <c r="F2756">
        <v>2017</v>
      </c>
      <c r="G2756">
        <v>190713.08919999999</v>
      </c>
      <c r="H2756">
        <v>190713.08919999999</v>
      </c>
      <c r="I2756">
        <v>1</v>
      </c>
    </row>
    <row r="2757" spans="1:9">
      <c r="A2757" t="s">
        <v>310</v>
      </c>
      <c r="B2757" t="s">
        <v>311</v>
      </c>
      <c r="C2757" t="s">
        <v>269</v>
      </c>
      <c r="D2757" t="s">
        <v>25</v>
      </c>
      <c r="E2757" t="s">
        <v>107</v>
      </c>
      <c r="F2757">
        <v>2018</v>
      </c>
      <c r="G2757">
        <v>195577.03700000001</v>
      </c>
      <c r="H2757">
        <v>195577.03700000001</v>
      </c>
      <c r="I2757">
        <v>1</v>
      </c>
    </row>
    <row r="2758" spans="1:9">
      <c r="A2758" t="s">
        <v>310</v>
      </c>
      <c r="B2758" t="s">
        <v>311</v>
      </c>
      <c r="C2758" t="s">
        <v>269</v>
      </c>
      <c r="D2758" t="s">
        <v>25</v>
      </c>
      <c r="E2758" t="s">
        <v>107</v>
      </c>
      <c r="F2758">
        <v>2019</v>
      </c>
      <c r="G2758">
        <v>203993.76269999999</v>
      </c>
      <c r="H2758">
        <v>203993.76269999999</v>
      </c>
      <c r="I2758">
        <v>1</v>
      </c>
    </row>
    <row r="2759" spans="1:9">
      <c r="A2759" t="s">
        <v>310</v>
      </c>
      <c r="B2759" t="s">
        <v>311</v>
      </c>
      <c r="C2759" t="s">
        <v>269</v>
      </c>
      <c r="D2759" t="s">
        <v>25</v>
      </c>
      <c r="E2759" t="s">
        <v>107</v>
      </c>
      <c r="F2759">
        <v>2020</v>
      </c>
      <c r="G2759">
        <v>216412.45079999999</v>
      </c>
      <c r="H2759">
        <v>216412.45079999999</v>
      </c>
      <c r="I2759">
        <v>1</v>
      </c>
    </row>
    <row r="2760" spans="1:9">
      <c r="A2760" t="s">
        <v>310</v>
      </c>
      <c r="B2760" t="s">
        <v>311</v>
      </c>
      <c r="C2760" t="s">
        <v>269</v>
      </c>
      <c r="D2760" t="s">
        <v>25</v>
      </c>
      <c r="E2760" t="s">
        <v>107</v>
      </c>
      <c r="F2760">
        <v>2021</v>
      </c>
      <c r="G2760">
        <v>221835.20300000001</v>
      </c>
      <c r="H2760">
        <v>221835.20300000001</v>
      </c>
      <c r="I2760">
        <v>1</v>
      </c>
    </row>
    <row r="2761" spans="1:9">
      <c r="A2761" t="s">
        <v>310</v>
      </c>
      <c r="B2761" t="s">
        <v>311</v>
      </c>
      <c r="C2761" t="s">
        <v>269</v>
      </c>
      <c r="D2761" t="s">
        <v>25</v>
      </c>
      <c r="E2761" t="s">
        <v>107</v>
      </c>
      <c r="F2761">
        <v>2022</v>
      </c>
      <c r="G2761">
        <v>227282.25829999999</v>
      </c>
      <c r="H2761">
        <v>227282.25829999999</v>
      </c>
      <c r="I2761">
        <v>1</v>
      </c>
    </row>
    <row r="2762" spans="1:9">
      <c r="A2762" t="s">
        <v>310</v>
      </c>
      <c r="B2762" t="s">
        <v>311</v>
      </c>
      <c r="C2762" t="s">
        <v>269</v>
      </c>
      <c r="D2762" t="s">
        <v>25</v>
      </c>
      <c r="E2762" t="s">
        <v>107</v>
      </c>
      <c r="F2762">
        <v>2023</v>
      </c>
      <c r="G2762">
        <v>232746.68030000001</v>
      </c>
      <c r="H2762">
        <v>232746.68030000001</v>
      </c>
      <c r="I2762">
        <v>1</v>
      </c>
    </row>
    <row r="2763" spans="1:9">
      <c r="A2763" t="s">
        <v>310</v>
      </c>
      <c r="B2763" t="s">
        <v>311</v>
      </c>
      <c r="C2763" t="s">
        <v>269</v>
      </c>
      <c r="D2763" t="s">
        <v>25</v>
      </c>
      <c r="E2763" t="s">
        <v>107</v>
      </c>
      <c r="F2763">
        <v>2024</v>
      </c>
      <c r="G2763">
        <v>242553.1539</v>
      </c>
      <c r="H2763">
        <v>242553.1539</v>
      </c>
      <c r="I2763">
        <v>1</v>
      </c>
    </row>
    <row r="2764" spans="1:9">
      <c r="A2764" t="s">
        <v>310</v>
      </c>
      <c r="B2764" t="s">
        <v>311</v>
      </c>
      <c r="C2764" t="s">
        <v>269</v>
      </c>
      <c r="D2764" t="s">
        <v>25</v>
      </c>
      <c r="E2764" t="s">
        <v>107</v>
      </c>
      <c r="F2764">
        <v>2025</v>
      </c>
      <c r="G2764">
        <v>248211.36559999999</v>
      </c>
      <c r="H2764">
        <v>248211.36559999999</v>
      </c>
      <c r="I2764">
        <v>1</v>
      </c>
    </row>
    <row r="2765" spans="1:9">
      <c r="A2765" t="s">
        <v>310</v>
      </c>
      <c r="B2765" t="s">
        <v>311</v>
      </c>
      <c r="C2765" t="s">
        <v>269</v>
      </c>
      <c r="D2765" t="s">
        <v>25</v>
      </c>
      <c r="E2765" t="s">
        <v>107</v>
      </c>
      <c r="F2765">
        <v>2026</v>
      </c>
      <c r="G2765">
        <v>253865.8584</v>
      </c>
      <c r="H2765">
        <v>253865.8584</v>
      </c>
      <c r="I2765">
        <v>1</v>
      </c>
    </row>
    <row r="2766" spans="1:9">
      <c r="A2766" t="s">
        <v>310</v>
      </c>
      <c r="B2766" t="s">
        <v>311</v>
      </c>
      <c r="C2766" t="s">
        <v>269</v>
      </c>
      <c r="D2766" t="s">
        <v>25</v>
      </c>
      <c r="E2766" t="s">
        <v>107</v>
      </c>
      <c r="F2766">
        <v>2027</v>
      </c>
      <c r="G2766">
        <v>264396.14779999998</v>
      </c>
      <c r="H2766">
        <v>264396.14779999998</v>
      </c>
      <c r="I2766">
        <v>1</v>
      </c>
    </row>
    <row r="2767" spans="1:9">
      <c r="A2767" t="s">
        <v>310</v>
      </c>
      <c r="B2767" t="s">
        <v>311</v>
      </c>
      <c r="C2767" t="s">
        <v>269</v>
      </c>
      <c r="D2767" t="s">
        <v>25</v>
      </c>
      <c r="E2767" t="s">
        <v>107</v>
      </c>
      <c r="F2767">
        <v>2028</v>
      </c>
      <c r="G2767">
        <v>270191.44329999998</v>
      </c>
      <c r="H2767">
        <v>270191.44329999998</v>
      </c>
      <c r="I2767">
        <v>1</v>
      </c>
    </row>
    <row r="2768" spans="1:9">
      <c r="A2768" t="s">
        <v>310</v>
      </c>
      <c r="B2768" t="s">
        <v>311</v>
      </c>
      <c r="C2768" t="s">
        <v>269</v>
      </c>
      <c r="D2768" t="s">
        <v>25</v>
      </c>
      <c r="E2768" t="s">
        <v>107</v>
      </c>
      <c r="F2768">
        <v>2029</v>
      </c>
      <c r="G2768">
        <v>275929.61969999998</v>
      </c>
      <c r="H2768">
        <v>275929.61969999998</v>
      </c>
      <c r="I2768">
        <v>1</v>
      </c>
    </row>
    <row r="2769" spans="1:9">
      <c r="A2769" t="s">
        <v>310</v>
      </c>
      <c r="B2769" t="s">
        <v>311</v>
      </c>
      <c r="C2769" t="s">
        <v>269</v>
      </c>
      <c r="D2769" t="s">
        <v>25</v>
      </c>
      <c r="E2769" t="s">
        <v>107</v>
      </c>
      <c r="F2769">
        <v>2030</v>
      </c>
      <c r="G2769">
        <v>281588.7439</v>
      </c>
      <c r="H2769">
        <v>281588.7439</v>
      </c>
      <c r="I2769">
        <v>1</v>
      </c>
    </row>
    <row r="2770" spans="1:9">
      <c r="A2770" t="s">
        <v>310</v>
      </c>
      <c r="B2770" t="s">
        <v>311</v>
      </c>
      <c r="C2770" t="s">
        <v>269</v>
      </c>
      <c r="D2770" t="s">
        <v>25</v>
      </c>
      <c r="E2770" t="s">
        <v>107</v>
      </c>
      <c r="F2770">
        <v>2031</v>
      </c>
      <c r="G2770">
        <v>281407.45860000001</v>
      </c>
      <c r="H2770">
        <v>281407.45860000001</v>
      </c>
      <c r="I2770">
        <v>1</v>
      </c>
    </row>
    <row r="2771" spans="1:9">
      <c r="A2771" t="s">
        <v>310</v>
      </c>
      <c r="B2771" t="s">
        <v>311</v>
      </c>
      <c r="C2771" t="s">
        <v>269</v>
      </c>
      <c r="D2771" t="s">
        <v>25</v>
      </c>
      <c r="E2771" t="s">
        <v>107</v>
      </c>
      <c r="F2771">
        <v>2032</v>
      </c>
      <c r="G2771">
        <v>286626.23619999998</v>
      </c>
      <c r="H2771">
        <v>286626.23619999998</v>
      </c>
      <c r="I2771">
        <v>1</v>
      </c>
    </row>
    <row r="2772" spans="1:9">
      <c r="A2772" t="s">
        <v>310</v>
      </c>
      <c r="B2772" t="s">
        <v>311</v>
      </c>
      <c r="C2772" t="s">
        <v>269</v>
      </c>
      <c r="D2772" t="s">
        <v>25</v>
      </c>
      <c r="E2772" t="s">
        <v>107</v>
      </c>
      <c r="F2772">
        <v>2033</v>
      </c>
      <c r="G2772">
        <v>297910.56770000001</v>
      </c>
      <c r="H2772">
        <v>297910.56770000001</v>
      </c>
      <c r="I2772">
        <v>1</v>
      </c>
    </row>
    <row r="2773" spans="1:9">
      <c r="A2773" t="s">
        <v>310</v>
      </c>
      <c r="B2773" t="s">
        <v>311</v>
      </c>
      <c r="C2773" t="s">
        <v>269</v>
      </c>
      <c r="D2773" t="s">
        <v>25</v>
      </c>
      <c r="E2773" t="s">
        <v>107</v>
      </c>
      <c r="F2773">
        <v>2034</v>
      </c>
      <c r="G2773">
        <v>303069.37060000002</v>
      </c>
      <c r="H2773">
        <v>303069.37060000002</v>
      </c>
      <c r="I2773">
        <v>1</v>
      </c>
    </row>
    <row r="2774" spans="1:9">
      <c r="A2774" t="s">
        <v>310</v>
      </c>
      <c r="B2774" t="s">
        <v>311</v>
      </c>
      <c r="C2774" t="s">
        <v>269</v>
      </c>
      <c r="D2774" t="s">
        <v>25</v>
      </c>
      <c r="E2774" t="s">
        <v>107</v>
      </c>
      <c r="F2774">
        <v>2035</v>
      </c>
      <c r="G2774">
        <v>308052.21299999999</v>
      </c>
      <c r="H2774">
        <v>308052.21299999999</v>
      </c>
      <c r="I2774">
        <v>1</v>
      </c>
    </row>
    <row r="2775" spans="1:9">
      <c r="A2775" t="s">
        <v>310</v>
      </c>
      <c r="B2775" t="s">
        <v>311</v>
      </c>
      <c r="C2775" t="s">
        <v>269</v>
      </c>
      <c r="D2775" t="s">
        <v>25</v>
      </c>
      <c r="E2775" t="s">
        <v>107</v>
      </c>
      <c r="F2775">
        <v>2036</v>
      </c>
      <c r="G2775">
        <v>312834.11940000003</v>
      </c>
      <c r="H2775">
        <v>312834.11940000003</v>
      </c>
      <c r="I2775">
        <v>1</v>
      </c>
    </row>
    <row r="2776" spans="1:9">
      <c r="A2776" t="s">
        <v>310</v>
      </c>
      <c r="B2776" t="s">
        <v>311</v>
      </c>
      <c r="C2776" t="s">
        <v>269</v>
      </c>
      <c r="D2776" t="s">
        <v>25</v>
      </c>
      <c r="E2776" t="s">
        <v>107</v>
      </c>
      <c r="F2776">
        <v>2037</v>
      </c>
      <c r="G2776">
        <v>324596.82419999997</v>
      </c>
      <c r="H2776">
        <v>324596.82419999997</v>
      </c>
      <c r="I2776">
        <v>1</v>
      </c>
    </row>
    <row r="2777" spans="1:9">
      <c r="A2777" t="s">
        <v>310</v>
      </c>
      <c r="B2777" t="s">
        <v>311</v>
      </c>
      <c r="C2777" t="s">
        <v>269</v>
      </c>
      <c r="D2777" t="s">
        <v>25</v>
      </c>
      <c r="E2777" t="s">
        <v>107</v>
      </c>
      <c r="F2777">
        <v>2038</v>
      </c>
      <c r="G2777">
        <v>321715.90700000001</v>
      </c>
      <c r="H2777">
        <v>321715.90700000001</v>
      </c>
      <c r="I2777">
        <v>1</v>
      </c>
    </row>
    <row r="2778" spans="1:9">
      <c r="A2778" t="s">
        <v>310</v>
      </c>
      <c r="B2778" t="s">
        <v>311</v>
      </c>
      <c r="C2778" t="s">
        <v>269</v>
      </c>
      <c r="D2778" t="s">
        <v>25</v>
      </c>
      <c r="E2778" t="s">
        <v>107</v>
      </c>
      <c r="F2778">
        <v>2039</v>
      </c>
      <c r="G2778">
        <v>333558.80540000001</v>
      </c>
      <c r="H2778">
        <v>333558.80540000001</v>
      </c>
      <c r="I2778">
        <v>1</v>
      </c>
    </row>
    <row r="2779" spans="1:9">
      <c r="A2779" t="s">
        <v>310</v>
      </c>
      <c r="B2779" t="s">
        <v>311</v>
      </c>
      <c r="C2779" t="s">
        <v>269</v>
      </c>
      <c r="D2779" t="s">
        <v>25</v>
      </c>
      <c r="E2779" t="s">
        <v>107</v>
      </c>
      <c r="F2779">
        <v>2040</v>
      </c>
      <c r="G2779">
        <v>329623.28999999998</v>
      </c>
      <c r="H2779">
        <v>329623.28999999998</v>
      </c>
      <c r="I2779">
        <v>1</v>
      </c>
    </row>
    <row r="2780" spans="1:9">
      <c r="A2780" t="s">
        <v>310</v>
      </c>
      <c r="B2780" t="s">
        <v>311</v>
      </c>
      <c r="C2780" t="s">
        <v>269</v>
      </c>
      <c r="D2780" t="s">
        <v>25</v>
      </c>
      <c r="E2780" t="s">
        <v>107</v>
      </c>
      <c r="F2780">
        <v>2041</v>
      </c>
      <c r="G2780">
        <v>333161.99839999998</v>
      </c>
      <c r="H2780">
        <v>333161.99839999998</v>
      </c>
      <c r="I2780">
        <v>1</v>
      </c>
    </row>
    <row r="2781" spans="1:9">
      <c r="A2781" t="s">
        <v>310</v>
      </c>
      <c r="B2781" t="s">
        <v>311</v>
      </c>
      <c r="C2781" t="s">
        <v>269</v>
      </c>
      <c r="D2781" t="s">
        <v>25</v>
      </c>
      <c r="E2781" t="s">
        <v>107</v>
      </c>
      <c r="F2781">
        <v>2042</v>
      </c>
      <c r="G2781">
        <v>332084.66210000002</v>
      </c>
      <c r="H2781">
        <v>332084.66210000002</v>
      </c>
      <c r="I2781">
        <v>1</v>
      </c>
    </row>
    <row r="2782" spans="1:9">
      <c r="A2782" t="s">
        <v>310</v>
      </c>
      <c r="B2782" t="s">
        <v>311</v>
      </c>
      <c r="C2782" t="s">
        <v>269</v>
      </c>
      <c r="D2782" t="s">
        <v>25</v>
      </c>
      <c r="E2782" t="s">
        <v>107</v>
      </c>
      <c r="F2782">
        <v>2043</v>
      </c>
      <c r="G2782">
        <v>348238.53639999998</v>
      </c>
      <c r="H2782">
        <v>348238.53639999998</v>
      </c>
      <c r="I2782">
        <v>1</v>
      </c>
    </row>
    <row r="2783" spans="1:9">
      <c r="A2783" t="s">
        <v>310</v>
      </c>
      <c r="B2783" t="s">
        <v>311</v>
      </c>
      <c r="C2783" t="s">
        <v>269</v>
      </c>
      <c r="D2783" t="s">
        <v>25</v>
      </c>
      <c r="E2783" t="s">
        <v>107</v>
      </c>
      <c r="F2783">
        <v>2044</v>
      </c>
      <c r="G2783">
        <v>341876.80910000001</v>
      </c>
      <c r="H2783">
        <v>341876.80910000001</v>
      </c>
      <c r="I2783">
        <v>1</v>
      </c>
    </row>
    <row r="2784" spans="1:9">
      <c r="A2784" t="s">
        <v>310</v>
      </c>
      <c r="B2784" t="s">
        <v>311</v>
      </c>
      <c r="C2784" t="s">
        <v>269</v>
      </c>
      <c r="D2784" t="s">
        <v>25</v>
      </c>
      <c r="E2784" t="s">
        <v>107</v>
      </c>
      <c r="F2784">
        <v>2045</v>
      </c>
      <c r="G2784">
        <v>334521.00219999999</v>
      </c>
      <c r="H2784">
        <v>334521.00219999999</v>
      </c>
      <c r="I2784">
        <v>1</v>
      </c>
    </row>
    <row r="2785" spans="1:9">
      <c r="A2785" t="s">
        <v>310</v>
      </c>
      <c r="B2785" t="s">
        <v>311</v>
      </c>
      <c r="C2785" t="s">
        <v>269</v>
      </c>
      <c r="D2785" t="s">
        <v>25</v>
      </c>
      <c r="E2785" t="s">
        <v>107</v>
      </c>
      <c r="F2785">
        <v>2046</v>
      </c>
      <c r="G2785">
        <v>345893.4094</v>
      </c>
      <c r="H2785">
        <v>345893.4094</v>
      </c>
      <c r="I2785">
        <v>1</v>
      </c>
    </row>
    <row r="2786" spans="1:9">
      <c r="A2786" t="s">
        <v>310</v>
      </c>
      <c r="B2786" t="s">
        <v>311</v>
      </c>
      <c r="C2786" t="s">
        <v>269</v>
      </c>
      <c r="D2786" t="s">
        <v>25</v>
      </c>
      <c r="E2786" t="s">
        <v>107</v>
      </c>
      <c r="F2786">
        <v>2047</v>
      </c>
      <c r="G2786">
        <v>347299.75099999999</v>
      </c>
      <c r="H2786">
        <v>347299.75099999999</v>
      </c>
      <c r="I2786">
        <v>1</v>
      </c>
    </row>
    <row r="2787" spans="1:9">
      <c r="A2787" t="s">
        <v>310</v>
      </c>
      <c r="B2787" t="s">
        <v>311</v>
      </c>
      <c r="C2787" t="s">
        <v>269</v>
      </c>
      <c r="D2787" t="s">
        <v>25</v>
      </c>
      <c r="E2787" t="s">
        <v>107</v>
      </c>
      <c r="F2787">
        <v>2048</v>
      </c>
      <c r="G2787">
        <v>348277.64929999999</v>
      </c>
      <c r="H2787">
        <v>348277.64929999999</v>
      </c>
      <c r="I2787">
        <v>1</v>
      </c>
    </row>
    <row r="2788" spans="1:9">
      <c r="A2788" t="s">
        <v>310</v>
      </c>
      <c r="B2788" t="s">
        <v>311</v>
      </c>
      <c r="C2788" t="s">
        <v>269</v>
      </c>
      <c r="D2788" t="s">
        <v>25</v>
      </c>
      <c r="E2788" t="s">
        <v>107</v>
      </c>
      <c r="F2788">
        <v>2049</v>
      </c>
      <c r="G2788">
        <v>359707.40120000002</v>
      </c>
      <c r="H2788">
        <v>359707.40120000002</v>
      </c>
      <c r="I2788">
        <v>1</v>
      </c>
    </row>
    <row r="2789" spans="1:9">
      <c r="A2789" t="s">
        <v>310</v>
      </c>
      <c r="B2789" t="s">
        <v>311</v>
      </c>
      <c r="C2789" t="s">
        <v>269</v>
      </c>
      <c r="D2789" t="s">
        <v>25</v>
      </c>
      <c r="E2789" t="s">
        <v>107</v>
      </c>
      <c r="F2789">
        <v>2050</v>
      </c>
      <c r="G2789">
        <v>348867.27919999999</v>
      </c>
      <c r="H2789">
        <v>348867.27919999999</v>
      </c>
      <c r="I2789">
        <v>1</v>
      </c>
    </row>
    <row r="2790" spans="1:9">
      <c r="A2790" t="s">
        <v>310</v>
      </c>
      <c r="B2790" t="s">
        <v>311</v>
      </c>
      <c r="C2790" t="s">
        <v>269</v>
      </c>
      <c r="D2790" t="s">
        <v>26</v>
      </c>
      <c r="E2790" t="s">
        <v>107</v>
      </c>
      <c r="F2790">
        <v>2010</v>
      </c>
      <c r="G2790">
        <v>3104405.6740000001</v>
      </c>
      <c r="H2790">
        <v>3104405.6740000001</v>
      </c>
      <c r="I2790">
        <v>1</v>
      </c>
    </row>
    <row r="2791" spans="1:9">
      <c r="A2791" t="s">
        <v>310</v>
      </c>
      <c r="B2791" t="s">
        <v>311</v>
      </c>
      <c r="C2791" t="s">
        <v>269</v>
      </c>
      <c r="D2791" t="s">
        <v>26</v>
      </c>
      <c r="E2791" t="s">
        <v>107</v>
      </c>
      <c r="F2791">
        <v>2011</v>
      </c>
      <c r="G2791">
        <v>3156127.5260000001</v>
      </c>
      <c r="H2791">
        <v>3156127.5260000001</v>
      </c>
      <c r="I2791">
        <v>1</v>
      </c>
    </row>
    <row r="2792" spans="1:9">
      <c r="A2792" t="s">
        <v>310</v>
      </c>
      <c r="B2792" t="s">
        <v>311</v>
      </c>
      <c r="C2792" t="s">
        <v>269</v>
      </c>
      <c r="D2792" t="s">
        <v>26</v>
      </c>
      <c r="E2792" t="s">
        <v>107</v>
      </c>
      <c r="F2792">
        <v>2012</v>
      </c>
      <c r="G2792">
        <v>3217456.841</v>
      </c>
      <c r="H2792">
        <v>3217456.841</v>
      </c>
      <c r="I2792">
        <v>1</v>
      </c>
    </row>
    <row r="2793" spans="1:9">
      <c r="A2793" t="s">
        <v>310</v>
      </c>
      <c r="B2793" t="s">
        <v>311</v>
      </c>
      <c r="C2793" t="s">
        <v>269</v>
      </c>
      <c r="D2793" t="s">
        <v>26</v>
      </c>
      <c r="E2793" t="s">
        <v>107</v>
      </c>
      <c r="F2793">
        <v>2013</v>
      </c>
      <c r="G2793">
        <v>3280402.977</v>
      </c>
      <c r="H2793">
        <v>3280402.977</v>
      </c>
      <c r="I2793">
        <v>1</v>
      </c>
    </row>
    <row r="2794" spans="1:9">
      <c r="A2794" t="s">
        <v>310</v>
      </c>
      <c r="B2794" t="s">
        <v>311</v>
      </c>
      <c r="C2794" t="s">
        <v>269</v>
      </c>
      <c r="D2794" t="s">
        <v>26</v>
      </c>
      <c r="E2794" t="s">
        <v>107</v>
      </c>
      <c r="F2794">
        <v>2014</v>
      </c>
      <c r="G2794">
        <v>3344013.693</v>
      </c>
      <c r="H2794">
        <v>3344013.693</v>
      </c>
      <c r="I2794">
        <v>1</v>
      </c>
    </row>
    <row r="2795" spans="1:9">
      <c r="A2795" t="s">
        <v>310</v>
      </c>
      <c r="B2795" t="s">
        <v>311</v>
      </c>
      <c r="C2795" t="s">
        <v>269</v>
      </c>
      <c r="D2795" t="s">
        <v>26</v>
      </c>
      <c r="E2795" t="s">
        <v>107</v>
      </c>
      <c r="F2795">
        <v>2015</v>
      </c>
      <c r="G2795">
        <v>3407612.8360000001</v>
      </c>
      <c r="H2795">
        <v>3407612.8360000001</v>
      </c>
      <c r="I2795">
        <v>1</v>
      </c>
    </row>
    <row r="2796" spans="1:9">
      <c r="A2796" t="s">
        <v>310</v>
      </c>
      <c r="B2796" t="s">
        <v>311</v>
      </c>
      <c r="C2796" t="s">
        <v>269</v>
      </c>
      <c r="D2796" t="s">
        <v>26</v>
      </c>
      <c r="E2796" t="s">
        <v>107</v>
      </c>
      <c r="F2796">
        <v>2016</v>
      </c>
      <c r="G2796">
        <v>3470963.94</v>
      </c>
      <c r="H2796">
        <v>3470963.94</v>
      </c>
      <c r="I2796">
        <v>1</v>
      </c>
    </row>
    <row r="2797" spans="1:9">
      <c r="A2797" t="s">
        <v>310</v>
      </c>
      <c r="B2797" t="s">
        <v>311</v>
      </c>
      <c r="C2797" t="s">
        <v>269</v>
      </c>
      <c r="D2797" t="s">
        <v>26</v>
      </c>
      <c r="E2797" t="s">
        <v>107</v>
      </c>
      <c r="F2797">
        <v>2017</v>
      </c>
      <c r="G2797">
        <v>3525551.3909999998</v>
      </c>
      <c r="H2797">
        <v>3525551.3909999998</v>
      </c>
      <c r="I2797">
        <v>1</v>
      </c>
    </row>
    <row r="2798" spans="1:9">
      <c r="A2798" t="s">
        <v>310</v>
      </c>
      <c r="B2798" t="s">
        <v>311</v>
      </c>
      <c r="C2798" t="s">
        <v>269</v>
      </c>
      <c r="D2798" t="s">
        <v>26</v>
      </c>
      <c r="E2798" t="s">
        <v>107</v>
      </c>
      <c r="F2798">
        <v>2018</v>
      </c>
      <c r="G2798">
        <v>3597088.8020000001</v>
      </c>
      <c r="H2798">
        <v>3597088.8020000001</v>
      </c>
      <c r="I2798">
        <v>1</v>
      </c>
    </row>
    <row r="2799" spans="1:9">
      <c r="A2799" t="s">
        <v>310</v>
      </c>
      <c r="B2799" t="s">
        <v>311</v>
      </c>
      <c r="C2799" t="s">
        <v>269</v>
      </c>
      <c r="D2799" t="s">
        <v>26</v>
      </c>
      <c r="E2799" t="s">
        <v>107</v>
      </c>
      <c r="F2799">
        <v>2019</v>
      </c>
      <c r="G2799">
        <v>3655449.6779999998</v>
      </c>
      <c r="H2799">
        <v>3655449.6779999998</v>
      </c>
      <c r="I2799">
        <v>1</v>
      </c>
    </row>
    <row r="2800" spans="1:9">
      <c r="A2800" t="s">
        <v>310</v>
      </c>
      <c r="B2800" t="s">
        <v>311</v>
      </c>
      <c r="C2800" t="s">
        <v>269</v>
      </c>
      <c r="D2800" t="s">
        <v>26</v>
      </c>
      <c r="E2800" t="s">
        <v>107</v>
      </c>
      <c r="F2800">
        <v>2020</v>
      </c>
      <c r="G2800">
        <v>3718062.8160000001</v>
      </c>
      <c r="H2800">
        <v>3718062.8160000001</v>
      </c>
      <c r="I2800">
        <v>1</v>
      </c>
    </row>
    <row r="2801" spans="1:9">
      <c r="A2801" t="s">
        <v>310</v>
      </c>
      <c r="B2801" t="s">
        <v>311</v>
      </c>
      <c r="C2801" t="s">
        <v>269</v>
      </c>
      <c r="D2801" t="s">
        <v>26</v>
      </c>
      <c r="E2801" t="s">
        <v>107</v>
      </c>
      <c r="F2801">
        <v>2021</v>
      </c>
      <c r="G2801">
        <v>3785067.5389999999</v>
      </c>
      <c r="H2801">
        <v>3785067.5389999999</v>
      </c>
      <c r="I2801">
        <v>1</v>
      </c>
    </row>
    <row r="2802" spans="1:9">
      <c r="A2802" t="s">
        <v>310</v>
      </c>
      <c r="B2802" t="s">
        <v>311</v>
      </c>
      <c r="C2802" t="s">
        <v>269</v>
      </c>
      <c r="D2802" t="s">
        <v>26</v>
      </c>
      <c r="E2802" t="s">
        <v>107</v>
      </c>
      <c r="F2802">
        <v>2022</v>
      </c>
      <c r="G2802">
        <v>3837661.6680000001</v>
      </c>
      <c r="H2802">
        <v>3837661.6680000001</v>
      </c>
      <c r="I2802">
        <v>1</v>
      </c>
    </row>
    <row r="2803" spans="1:9">
      <c r="A2803" t="s">
        <v>310</v>
      </c>
      <c r="B2803" t="s">
        <v>311</v>
      </c>
      <c r="C2803" t="s">
        <v>269</v>
      </c>
      <c r="D2803" t="s">
        <v>26</v>
      </c>
      <c r="E2803" t="s">
        <v>107</v>
      </c>
      <c r="F2803">
        <v>2023</v>
      </c>
      <c r="G2803">
        <v>3894286.7629999998</v>
      </c>
      <c r="H2803">
        <v>3894286.7629999998</v>
      </c>
      <c r="I2803">
        <v>1</v>
      </c>
    </row>
    <row r="2804" spans="1:9">
      <c r="A2804" t="s">
        <v>310</v>
      </c>
      <c r="B2804" t="s">
        <v>311</v>
      </c>
      <c r="C2804" t="s">
        <v>269</v>
      </c>
      <c r="D2804" t="s">
        <v>26</v>
      </c>
      <c r="E2804" t="s">
        <v>107</v>
      </c>
      <c r="F2804">
        <v>2024</v>
      </c>
      <c r="G2804">
        <v>3960096.7510000002</v>
      </c>
      <c r="H2804">
        <v>3960096.7510000002</v>
      </c>
      <c r="I2804">
        <v>1</v>
      </c>
    </row>
    <row r="2805" spans="1:9">
      <c r="A2805" t="s">
        <v>310</v>
      </c>
      <c r="B2805" t="s">
        <v>311</v>
      </c>
      <c r="C2805" t="s">
        <v>269</v>
      </c>
      <c r="D2805" t="s">
        <v>26</v>
      </c>
      <c r="E2805" t="s">
        <v>107</v>
      </c>
      <c r="F2805">
        <v>2025</v>
      </c>
      <c r="G2805">
        <v>4010632.66</v>
      </c>
      <c r="H2805">
        <v>4010632.66</v>
      </c>
      <c r="I2805">
        <v>1</v>
      </c>
    </row>
    <row r="2806" spans="1:9">
      <c r="A2806" t="s">
        <v>310</v>
      </c>
      <c r="B2806" t="s">
        <v>311</v>
      </c>
      <c r="C2806" t="s">
        <v>269</v>
      </c>
      <c r="D2806" t="s">
        <v>26</v>
      </c>
      <c r="E2806" t="s">
        <v>107</v>
      </c>
      <c r="F2806">
        <v>2026</v>
      </c>
      <c r="G2806">
        <v>4075493.202</v>
      </c>
      <c r="H2806">
        <v>4075493.202</v>
      </c>
      <c r="I2806">
        <v>1</v>
      </c>
    </row>
    <row r="2807" spans="1:9">
      <c r="A2807" t="s">
        <v>310</v>
      </c>
      <c r="B2807" t="s">
        <v>311</v>
      </c>
      <c r="C2807" t="s">
        <v>269</v>
      </c>
      <c r="D2807" t="s">
        <v>26</v>
      </c>
      <c r="E2807" t="s">
        <v>107</v>
      </c>
      <c r="F2807">
        <v>2027</v>
      </c>
      <c r="G2807">
        <v>4119192.0180000002</v>
      </c>
      <c r="H2807">
        <v>4119192.0180000002</v>
      </c>
      <c r="I2807">
        <v>1</v>
      </c>
    </row>
    <row r="2808" spans="1:9">
      <c r="A2808" t="s">
        <v>310</v>
      </c>
      <c r="B2808" t="s">
        <v>311</v>
      </c>
      <c r="C2808" t="s">
        <v>269</v>
      </c>
      <c r="D2808" t="s">
        <v>26</v>
      </c>
      <c r="E2808" t="s">
        <v>107</v>
      </c>
      <c r="F2808">
        <v>2028</v>
      </c>
      <c r="G2808">
        <v>4177261.6949999998</v>
      </c>
      <c r="H2808">
        <v>4177261.6949999998</v>
      </c>
      <c r="I2808">
        <v>1</v>
      </c>
    </row>
    <row r="2809" spans="1:9">
      <c r="A2809" t="s">
        <v>310</v>
      </c>
      <c r="B2809" t="s">
        <v>311</v>
      </c>
      <c r="C2809" t="s">
        <v>269</v>
      </c>
      <c r="D2809" t="s">
        <v>26</v>
      </c>
      <c r="E2809" t="s">
        <v>107</v>
      </c>
      <c r="F2809">
        <v>2029</v>
      </c>
      <c r="G2809">
        <v>4234278.835</v>
      </c>
      <c r="H2809">
        <v>4234278.835</v>
      </c>
      <c r="I2809">
        <v>1</v>
      </c>
    </row>
    <row r="2810" spans="1:9">
      <c r="A2810" t="s">
        <v>310</v>
      </c>
      <c r="B2810" t="s">
        <v>311</v>
      </c>
      <c r="C2810" t="s">
        <v>269</v>
      </c>
      <c r="D2810" t="s">
        <v>26</v>
      </c>
      <c r="E2810" t="s">
        <v>107</v>
      </c>
      <c r="F2810">
        <v>2030</v>
      </c>
      <c r="G2810">
        <v>4279254.2410000004</v>
      </c>
      <c r="H2810">
        <v>4279254.2410000004</v>
      </c>
      <c r="I2810">
        <v>1</v>
      </c>
    </row>
    <row r="2811" spans="1:9">
      <c r="A2811" t="s">
        <v>310</v>
      </c>
      <c r="B2811" t="s">
        <v>311</v>
      </c>
      <c r="C2811" t="s">
        <v>269</v>
      </c>
      <c r="D2811" t="s">
        <v>26</v>
      </c>
      <c r="E2811" t="s">
        <v>107</v>
      </c>
      <c r="F2811">
        <v>2031</v>
      </c>
      <c r="G2811">
        <v>4344612.0779999997</v>
      </c>
      <c r="H2811">
        <v>4344612.0779999997</v>
      </c>
      <c r="I2811">
        <v>1</v>
      </c>
    </row>
    <row r="2812" spans="1:9">
      <c r="A2812" t="s">
        <v>310</v>
      </c>
      <c r="B2812" t="s">
        <v>311</v>
      </c>
      <c r="C2812" t="s">
        <v>269</v>
      </c>
      <c r="D2812" t="s">
        <v>26</v>
      </c>
      <c r="E2812" t="s">
        <v>107</v>
      </c>
      <c r="F2812">
        <v>2032</v>
      </c>
      <c r="G2812">
        <v>4375493.3380000005</v>
      </c>
      <c r="H2812">
        <v>4375493.3380000005</v>
      </c>
      <c r="I2812">
        <v>1</v>
      </c>
    </row>
    <row r="2813" spans="1:9">
      <c r="A2813" t="s">
        <v>310</v>
      </c>
      <c r="B2813" t="s">
        <v>311</v>
      </c>
      <c r="C2813" t="s">
        <v>269</v>
      </c>
      <c r="D2813" t="s">
        <v>26</v>
      </c>
      <c r="E2813" t="s">
        <v>107</v>
      </c>
      <c r="F2813">
        <v>2033</v>
      </c>
      <c r="G2813">
        <v>4415692.8820000002</v>
      </c>
      <c r="H2813">
        <v>4415692.8820000002</v>
      </c>
      <c r="I2813">
        <v>1</v>
      </c>
    </row>
    <row r="2814" spans="1:9">
      <c r="A2814" t="s">
        <v>310</v>
      </c>
      <c r="B2814" t="s">
        <v>311</v>
      </c>
      <c r="C2814" t="s">
        <v>269</v>
      </c>
      <c r="D2814" t="s">
        <v>26</v>
      </c>
      <c r="E2814" t="s">
        <v>107</v>
      </c>
      <c r="F2814">
        <v>2034</v>
      </c>
      <c r="G2814">
        <v>4454207.3770000003</v>
      </c>
      <c r="H2814">
        <v>4454207.3770000003</v>
      </c>
      <c r="I2814">
        <v>1</v>
      </c>
    </row>
    <row r="2815" spans="1:9">
      <c r="A2815" t="s">
        <v>310</v>
      </c>
      <c r="B2815" t="s">
        <v>311</v>
      </c>
      <c r="C2815" t="s">
        <v>269</v>
      </c>
      <c r="D2815" t="s">
        <v>26</v>
      </c>
      <c r="E2815" t="s">
        <v>107</v>
      </c>
      <c r="F2815">
        <v>2035</v>
      </c>
      <c r="G2815">
        <v>4491054.6629999997</v>
      </c>
      <c r="H2815">
        <v>4491054.6629999997</v>
      </c>
      <c r="I2815">
        <v>1</v>
      </c>
    </row>
    <row r="2816" spans="1:9">
      <c r="A2816" t="s">
        <v>310</v>
      </c>
      <c r="B2816" t="s">
        <v>311</v>
      </c>
      <c r="C2816" t="s">
        <v>269</v>
      </c>
      <c r="D2816" t="s">
        <v>26</v>
      </c>
      <c r="E2816" t="s">
        <v>107</v>
      </c>
      <c r="F2816">
        <v>2036</v>
      </c>
      <c r="G2816">
        <v>4532188.3969999999</v>
      </c>
      <c r="H2816">
        <v>4532188.3969999999</v>
      </c>
      <c r="I2816">
        <v>1</v>
      </c>
    </row>
    <row r="2817" spans="1:9">
      <c r="A2817" t="s">
        <v>310</v>
      </c>
      <c r="B2817" t="s">
        <v>311</v>
      </c>
      <c r="C2817" t="s">
        <v>269</v>
      </c>
      <c r="D2817" t="s">
        <v>26</v>
      </c>
      <c r="E2817" t="s">
        <v>107</v>
      </c>
      <c r="F2817">
        <v>2037</v>
      </c>
      <c r="G2817">
        <v>4583995.6380000003</v>
      </c>
      <c r="H2817">
        <v>4583995.6380000003</v>
      </c>
      <c r="I2817">
        <v>1</v>
      </c>
    </row>
    <row r="2818" spans="1:9">
      <c r="A2818" t="s">
        <v>310</v>
      </c>
      <c r="B2818" t="s">
        <v>311</v>
      </c>
      <c r="C2818" t="s">
        <v>269</v>
      </c>
      <c r="D2818" t="s">
        <v>26</v>
      </c>
      <c r="E2818" t="s">
        <v>107</v>
      </c>
      <c r="F2818">
        <v>2038</v>
      </c>
      <c r="G2818">
        <v>4604061.6069999998</v>
      </c>
      <c r="H2818">
        <v>4604061.6069999998</v>
      </c>
      <c r="I2818">
        <v>1</v>
      </c>
    </row>
    <row r="2819" spans="1:9">
      <c r="A2819" t="s">
        <v>310</v>
      </c>
      <c r="B2819" t="s">
        <v>311</v>
      </c>
      <c r="C2819" t="s">
        <v>269</v>
      </c>
      <c r="D2819" t="s">
        <v>26</v>
      </c>
      <c r="E2819" t="s">
        <v>107</v>
      </c>
      <c r="F2819">
        <v>2039</v>
      </c>
      <c r="G2819">
        <v>4652662.0710000005</v>
      </c>
      <c r="H2819">
        <v>4652662.0710000005</v>
      </c>
      <c r="I2819">
        <v>1</v>
      </c>
    </row>
    <row r="2820" spans="1:9">
      <c r="A2820" t="s">
        <v>310</v>
      </c>
      <c r="B2820" t="s">
        <v>311</v>
      </c>
      <c r="C2820" t="s">
        <v>269</v>
      </c>
      <c r="D2820" t="s">
        <v>26</v>
      </c>
      <c r="E2820" t="s">
        <v>107</v>
      </c>
      <c r="F2820">
        <v>2040</v>
      </c>
      <c r="G2820">
        <v>4656641.3059999999</v>
      </c>
      <c r="H2820">
        <v>4656641.3059999999</v>
      </c>
      <c r="I2820">
        <v>1</v>
      </c>
    </row>
    <row r="2821" spans="1:9">
      <c r="A2821" t="s">
        <v>310</v>
      </c>
      <c r="B2821" t="s">
        <v>311</v>
      </c>
      <c r="C2821" t="s">
        <v>269</v>
      </c>
      <c r="D2821" t="s">
        <v>26</v>
      </c>
      <c r="E2821" t="s">
        <v>107</v>
      </c>
      <c r="F2821">
        <v>2041</v>
      </c>
      <c r="G2821">
        <v>4708310.3279999997</v>
      </c>
      <c r="H2821">
        <v>4708310.3279999997</v>
      </c>
      <c r="I2821">
        <v>1</v>
      </c>
    </row>
    <row r="2822" spans="1:9">
      <c r="A2822" t="s">
        <v>310</v>
      </c>
      <c r="B2822" t="s">
        <v>311</v>
      </c>
      <c r="C2822" t="s">
        <v>269</v>
      </c>
      <c r="D2822" t="s">
        <v>26</v>
      </c>
      <c r="E2822" t="s">
        <v>107</v>
      </c>
      <c r="F2822">
        <v>2042</v>
      </c>
      <c r="G2822">
        <v>4717624.6670000004</v>
      </c>
      <c r="H2822">
        <v>4717624.6670000004</v>
      </c>
      <c r="I2822">
        <v>1</v>
      </c>
    </row>
    <row r="2823" spans="1:9">
      <c r="A2823" t="s">
        <v>310</v>
      </c>
      <c r="B2823" t="s">
        <v>311</v>
      </c>
      <c r="C2823" t="s">
        <v>269</v>
      </c>
      <c r="D2823" t="s">
        <v>26</v>
      </c>
      <c r="E2823" t="s">
        <v>107</v>
      </c>
      <c r="F2823">
        <v>2043</v>
      </c>
      <c r="G2823">
        <v>4740728.0180000002</v>
      </c>
      <c r="H2823">
        <v>4740728.0180000002</v>
      </c>
      <c r="I2823">
        <v>1</v>
      </c>
    </row>
    <row r="2824" spans="1:9">
      <c r="A2824" t="s">
        <v>310</v>
      </c>
      <c r="B2824" t="s">
        <v>311</v>
      </c>
      <c r="C2824" t="s">
        <v>269</v>
      </c>
      <c r="D2824" t="s">
        <v>26</v>
      </c>
      <c r="E2824" t="s">
        <v>107</v>
      </c>
      <c r="F2824">
        <v>2044</v>
      </c>
      <c r="G2824">
        <v>4732941.66</v>
      </c>
      <c r="H2824">
        <v>4732941.66</v>
      </c>
      <c r="I2824">
        <v>1</v>
      </c>
    </row>
    <row r="2825" spans="1:9">
      <c r="A2825" t="s">
        <v>310</v>
      </c>
      <c r="B2825" t="s">
        <v>311</v>
      </c>
      <c r="C2825" t="s">
        <v>269</v>
      </c>
      <c r="D2825" t="s">
        <v>26</v>
      </c>
      <c r="E2825" t="s">
        <v>107</v>
      </c>
      <c r="F2825">
        <v>2045</v>
      </c>
      <c r="G2825">
        <v>4738978.7240000004</v>
      </c>
      <c r="H2825">
        <v>4738978.7240000004</v>
      </c>
      <c r="I2825">
        <v>1</v>
      </c>
    </row>
    <row r="2826" spans="1:9">
      <c r="A2826" t="s">
        <v>310</v>
      </c>
      <c r="B2826" t="s">
        <v>311</v>
      </c>
      <c r="C2826" t="s">
        <v>269</v>
      </c>
      <c r="D2826" t="s">
        <v>26</v>
      </c>
      <c r="E2826" t="s">
        <v>107</v>
      </c>
      <c r="F2826">
        <v>2046</v>
      </c>
      <c r="G2826">
        <v>4775705.7189999996</v>
      </c>
      <c r="H2826">
        <v>4775705.7189999996</v>
      </c>
      <c r="I2826">
        <v>1</v>
      </c>
    </row>
    <row r="2827" spans="1:9">
      <c r="A2827" t="s">
        <v>310</v>
      </c>
      <c r="B2827" t="s">
        <v>311</v>
      </c>
      <c r="C2827" t="s">
        <v>269</v>
      </c>
      <c r="D2827" t="s">
        <v>26</v>
      </c>
      <c r="E2827" t="s">
        <v>107</v>
      </c>
      <c r="F2827">
        <v>2047</v>
      </c>
      <c r="G2827">
        <v>4774405.21</v>
      </c>
      <c r="H2827">
        <v>4774405.21</v>
      </c>
      <c r="I2827">
        <v>1</v>
      </c>
    </row>
    <row r="2828" spans="1:9">
      <c r="A2828" t="s">
        <v>310</v>
      </c>
      <c r="B2828" t="s">
        <v>311</v>
      </c>
      <c r="C2828" t="s">
        <v>269</v>
      </c>
      <c r="D2828" t="s">
        <v>26</v>
      </c>
      <c r="E2828" t="s">
        <v>107</v>
      </c>
      <c r="F2828">
        <v>2048</v>
      </c>
      <c r="G2828">
        <v>4790947.4239999996</v>
      </c>
      <c r="H2828">
        <v>4790947.4239999996</v>
      </c>
      <c r="I2828">
        <v>1</v>
      </c>
    </row>
    <row r="2829" spans="1:9">
      <c r="A2829" t="s">
        <v>310</v>
      </c>
      <c r="B2829" t="s">
        <v>311</v>
      </c>
      <c r="C2829" t="s">
        <v>269</v>
      </c>
      <c r="D2829" t="s">
        <v>26</v>
      </c>
      <c r="E2829" t="s">
        <v>107</v>
      </c>
      <c r="F2829">
        <v>2049</v>
      </c>
      <c r="G2829">
        <v>4782062.375</v>
      </c>
      <c r="H2829">
        <v>4782062.375</v>
      </c>
      <c r="I2829">
        <v>1</v>
      </c>
    </row>
    <row r="2830" spans="1:9">
      <c r="A2830" t="s">
        <v>310</v>
      </c>
      <c r="B2830" t="s">
        <v>311</v>
      </c>
      <c r="C2830" t="s">
        <v>269</v>
      </c>
      <c r="D2830" t="s">
        <v>26</v>
      </c>
      <c r="E2830" t="s">
        <v>107</v>
      </c>
      <c r="F2830">
        <v>2050</v>
      </c>
      <c r="G2830">
        <v>4811684.142</v>
      </c>
      <c r="H2830">
        <v>4811684.142</v>
      </c>
      <c r="I2830">
        <v>1</v>
      </c>
    </row>
    <row r="2831" spans="1:9">
      <c r="A2831" t="s">
        <v>310</v>
      </c>
      <c r="B2831" t="s">
        <v>311</v>
      </c>
      <c r="C2831" t="s">
        <v>269</v>
      </c>
      <c r="D2831" t="s">
        <v>307</v>
      </c>
      <c r="E2831" t="s">
        <v>107</v>
      </c>
      <c r="F2831">
        <v>2010</v>
      </c>
      <c r="G2831">
        <v>3278579.8119999999</v>
      </c>
      <c r="H2831">
        <v>3278579.8119999999</v>
      </c>
      <c r="I2831">
        <v>1</v>
      </c>
    </row>
    <row r="2832" spans="1:9">
      <c r="A2832" t="s">
        <v>310</v>
      </c>
      <c r="B2832" t="s">
        <v>311</v>
      </c>
      <c r="C2832" t="s">
        <v>269</v>
      </c>
      <c r="D2832" t="s">
        <v>307</v>
      </c>
      <c r="E2832" t="s">
        <v>107</v>
      </c>
      <c r="F2832">
        <v>2011</v>
      </c>
      <c r="G2832">
        <v>3345370.577</v>
      </c>
      <c r="H2832">
        <v>3345370.577</v>
      </c>
      <c r="I2832">
        <v>1</v>
      </c>
    </row>
    <row r="2833" spans="1:9">
      <c r="A2833" t="s">
        <v>310</v>
      </c>
      <c r="B2833" t="s">
        <v>311</v>
      </c>
      <c r="C2833" t="s">
        <v>269</v>
      </c>
      <c r="D2833" t="s">
        <v>307</v>
      </c>
      <c r="E2833" t="s">
        <v>107</v>
      </c>
      <c r="F2833">
        <v>2012</v>
      </c>
      <c r="G2833">
        <v>3402153.4190000002</v>
      </c>
      <c r="H2833">
        <v>3402153.4190000002</v>
      </c>
      <c r="I2833">
        <v>1</v>
      </c>
    </row>
    <row r="2834" spans="1:9">
      <c r="A2834" t="s">
        <v>310</v>
      </c>
      <c r="B2834" t="s">
        <v>311</v>
      </c>
      <c r="C2834" t="s">
        <v>269</v>
      </c>
      <c r="D2834" t="s">
        <v>307</v>
      </c>
      <c r="E2834" t="s">
        <v>107</v>
      </c>
      <c r="F2834">
        <v>2013</v>
      </c>
      <c r="G2834">
        <v>3467054.4479999999</v>
      </c>
      <c r="H2834">
        <v>3467054.4479999999</v>
      </c>
      <c r="I2834">
        <v>1</v>
      </c>
    </row>
    <row r="2835" spans="1:9">
      <c r="A2835" t="s">
        <v>310</v>
      </c>
      <c r="B2835" t="s">
        <v>311</v>
      </c>
      <c r="C2835" t="s">
        <v>269</v>
      </c>
      <c r="D2835" t="s">
        <v>307</v>
      </c>
      <c r="E2835" t="s">
        <v>107</v>
      </c>
      <c r="F2835">
        <v>2014</v>
      </c>
      <c r="G2835">
        <v>3539712.7080000001</v>
      </c>
      <c r="H2835">
        <v>3539712.7080000001</v>
      </c>
      <c r="I2835">
        <v>1</v>
      </c>
    </row>
    <row r="2836" spans="1:9">
      <c r="A2836" t="s">
        <v>310</v>
      </c>
      <c r="B2836" t="s">
        <v>311</v>
      </c>
      <c r="C2836" t="s">
        <v>269</v>
      </c>
      <c r="D2836" t="s">
        <v>307</v>
      </c>
      <c r="E2836" t="s">
        <v>107</v>
      </c>
      <c r="F2836">
        <v>2015</v>
      </c>
      <c r="G2836">
        <v>3605887.4649999999</v>
      </c>
      <c r="H2836">
        <v>3605887.4649999999</v>
      </c>
      <c r="I2836">
        <v>1</v>
      </c>
    </row>
    <row r="2837" spans="1:9">
      <c r="A2837" t="s">
        <v>310</v>
      </c>
      <c r="B2837" t="s">
        <v>311</v>
      </c>
      <c r="C2837" t="s">
        <v>269</v>
      </c>
      <c r="D2837" t="s">
        <v>307</v>
      </c>
      <c r="E2837" t="s">
        <v>107</v>
      </c>
      <c r="F2837">
        <v>2016</v>
      </c>
      <c r="G2837">
        <v>3657406.0120000001</v>
      </c>
      <c r="H2837">
        <v>3657406.0120000001</v>
      </c>
      <c r="I2837">
        <v>1</v>
      </c>
    </row>
    <row r="2838" spans="1:9">
      <c r="A2838" t="s">
        <v>310</v>
      </c>
      <c r="B2838" t="s">
        <v>311</v>
      </c>
      <c r="C2838" t="s">
        <v>269</v>
      </c>
      <c r="D2838" t="s">
        <v>307</v>
      </c>
      <c r="E2838" t="s">
        <v>107</v>
      </c>
      <c r="F2838">
        <v>2017</v>
      </c>
      <c r="G2838">
        <v>3723101.514</v>
      </c>
      <c r="H2838">
        <v>3723101.514</v>
      </c>
      <c r="I2838">
        <v>1</v>
      </c>
    </row>
    <row r="2839" spans="1:9">
      <c r="A2839" t="s">
        <v>310</v>
      </c>
      <c r="B2839" t="s">
        <v>311</v>
      </c>
      <c r="C2839" t="s">
        <v>269</v>
      </c>
      <c r="D2839" t="s">
        <v>307</v>
      </c>
      <c r="E2839" t="s">
        <v>107</v>
      </c>
      <c r="F2839">
        <v>2018</v>
      </c>
      <c r="G2839">
        <v>3812034.8530000001</v>
      </c>
      <c r="H2839">
        <v>3812034.8530000001</v>
      </c>
      <c r="I2839">
        <v>1</v>
      </c>
    </row>
    <row r="2840" spans="1:9">
      <c r="A2840" t="s">
        <v>310</v>
      </c>
      <c r="B2840" t="s">
        <v>311</v>
      </c>
      <c r="C2840" t="s">
        <v>269</v>
      </c>
      <c r="D2840" t="s">
        <v>307</v>
      </c>
      <c r="E2840" t="s">
        <v>107</v>
      </c>
      <c r="F2840">
        <v>2019</v>
      </c>
      <c r="G2840">
        <v>3870514.5449999999</v>
      </c>
      <c r="H2840">
        <v>3870514.5449999999</v>
      </c>
      <c r="I2840">
        <v>1</v>
      </c>
    </row>
    <row r="2841" spans="1:9">
      <c r="A2841" t="s">
        <v>310</v>
      </c>
      <c r="B2841" t="s">
        <v>311</v>
      </c>
      <c r="C2841" t="s">
        <v>269</v>
      </c>
      <c r="D2841" t="s">
        <v>307</v>
      </c>
      <c r="E2841" t="s">
        <v>107</v>
      </c>
      <c r="F2841">
        <v>2020</v>
      </c>
      <c r="G2841">
        <v>3928624.6970000002</v>
      </c>
      <c r="H2841">
        <v>3928624.6970000002</v>
      </c>
      <c r="I2841">
        <v>1</v>
      </c>
    </row>
    <row r="2842" spans="1:9">
      <c r="A2842" t="s">
        <v>310</v>
      </c>
      <c r="B2842" t="s">
        <v>311</v>
      </c>
      <c r="C2842" t="s">
        <v>269</v>
      </c>
      <c r="D2842" t="s">
        <v>307</v>
      </c>
      <c r="E2842" t="s">
        <v>107</v>
      </c>
      <c r="F2842">
        <v>2021</v>
      </c>
      <c r="G2842">
        <v>3994681.395</v>
      </c>
      <c r="H2842">
        <v>3994681.395</v>
      </c>
      <c r="I2842">
        <v>1</v>
      </c>
    </row>
    <row r="2843" spans="1:9">
      <c r="A2843" t="s">
        <v>310</v>
      </c>
      <c r="B2843" t="s">
        <v>311</v>
      </c>
      <c r="C2843" t="s">
        <v>269</v>
      </c>
      <c r="D2843" t="s">
        <v>307</v>
      </c>
      <c r="E2843" t="s">
        <v>107</v>
      </c>
      <c r="F2843">
        <v>2022</v>
      </c>
      <c r="G2843">
        <v>4077961.2239999999</v>
      </c>
      <c r="H2843">
        <v>4077961.2239999999</v>
      </c>
      <c r="I2843">
        <v>1</v>
      </c>
    </row>
    <row r="2844" spans="1:9">
      <c r="A2844" t="s">
        <v>310</v>
      </c>
      <c r="B2844" t="s">
        <v>311</v>
      </c>
      <c r="C2844" t="s">
        <v>269</v>
      </c>
      <c r="D2844" t="s">
        <v>307</v>
      </c>
      <c r="E2844" t="s">
        <v>107</v>
      </c>
      <c r="F2844">
        <v>2023</v>
      </c>
      <c r="G2844">
        <v>4135121.5950000002</v>
      </c>
      <c r="H2844">
        <v>4135121.5950000002</v>
      </c>
      <c r="I2844">
        <v>1</v>
      </c>
    </row>
    <row r="2845" spans="1:9">
      <c r="A2845" t="s">
        <v>310</v>
      </c>
      <c r="B2845" t="s">
        <v>311</v>
      </c>
      <c r="C2845" t="s">
        <v>269</v>
      </c>
      <c r="D2845" t="s">
        <v>307</v>
      </c>
      <c r="E2845" t="s">
        <v>107</v>
      </c>
      <c r="F2845">
        <v>2024</v>
      </c>
      <c r="G2845">
        <v>4173052.1039999998</v>
      </c>
      <c r="H2845">
        <v>4173052.1039999998</v>
      </c>
      <c r="I2845">
        <v>1</v>
      </c>
    </row>
    <row r="2846" spans="1:9">
      <c r="A2846" t="s">
        <v>310</v>
      </c>
      <c r="B2846" t="s">
        <v>311</v>
      </c>
      <c r="C2846" t="s">
        <v>269</v>
      </c>
      <c r="D2846" t="s">
        <v>307</v>
      </c>
      <c r="E2846" t="s">
        <v>107</v>
      </c>
      <c r="F2846">
        <v>2025</v>
      </c>
      <c r="G2846">
        <v>4247073.5010000002</v>
      </c>
      <c r="H2846">
        <v>4247073.5010000002</v>
      </c>
      <c r="I2846">
        <v>1</v>
      </c>
    </row>
    <row r="2847" spans="1:9">
      <c r="A2847" t="s">
        <v>310</v>
      </c>
      <c r="B2847" t="s">
        <v>311</v>
      </c>
      <c r="C2847" t="s">
        <v>269</v>
      </c>
      <c r="D2847" t="s">
        <v>307</v>
      </c>
      <c r="E2847" t="s">
        <v>107</v>
      </c>
      <c r="F2847">
        <v>2026</v>
      </c>
      <c r="G2847">
        <v>4291907.03</v>
      </c>
      <c r="H2847">
        <v>4291907.03</v>
      </c>
      <c r="I2847">
        <v>1</v>
      </c>
    </row>
    <row r="2848" spans="1:9">
      <c r="A2848" t="s">
        <v>310</v>
      </c>
      <c r="B2848" t="s">
        <v>311</v>
      </c>
      <c r="C2848" t="s">
        <v>269</v>
      </c>
      <c r="D2848" t="s">
        <v>307</v>
      </c>
      <c r="E2848" t="s">
        <v>107</v>
      </c>
      <c r="F2848">
        <v>2027</v>
      </c>
      <c r="G2848">
        <v>4375282.0779999997</v>
      </c>
      <c r="H2848">
        <v>4375282.0779999997</v>
      </c>
      <c r="I2848">
        <v>1</v>
      </c>
    </row>
    <row r="2849" spans="1:9">
      <c r="A2849" t="s">
        <v>310</v>
      </c>
      <c r="B2849" t="s">
        <v>311</v>
      </c>
      <c r="C2849" t="s">
        <v>269</v>
      </c>
      <c r="D2849" t="s">
        <v>307</v>
      </c>
      <c r="E2849" t="s">
        <v>107</v>
      </c>
      <c r="F2849">
        <v>2028</v>
      </c>
      <c r="G2849">
        <v>4417642.9189999998</v>
      </c>
      <c r="H2849">
        <v>4417642.9189999998</v>
      </c>
      <c r="I2849">
        <v>1</v>
      </c>
    </row>
    <row r="2850" spans="1:9">
      <c r="A2850" t="s">
        <v>310</v>
      </c>
      <c r="B2850" t="s">
        <v>311</v>
      </c>
      <c r="C2850" t="s">
        <v>269</v>
      </c>
      <c r="D2850" t="s">
        <v>307</v>
      </c>
      <c r="E2850" t="s">
        <v>107</v>
      </c>
      <c r="F2850">
        <v>2029</v>
      </c>
      <c r="G2850">
        <v>4447178.7949999999</v>
      </c>
      <c r="H2850">
        <v>4447178.7949999999</v>
      </c>
      <c r="I2850">
        <v>1</v>
      </c>
    </row>
    <row r="2851" spans="1:9">
      <c r="A2851" t="s">
        <v>310</v>
      </c>
      <c r="B2851" t="s">
        <v>311</v>
      </c>
      <c r="C2851" t="s">
        <v>269</v>
      </c>
      <c r="D2851" t="s">
        <v>307</v>
      </c>
      <c r="E2851" t="s">
        <v>107</v>
      </c>
      <c r="F2851">
        <v>2030</v>
      </c>
      <c r="G2851">
        <v>4495569.5559999999</v>
      </c>
      <c r="H2851">
        <v>4495569.5559999999</v>
      </c>
      <c r="I2851">
        <v>1</v>
      </c>
    </row>
    <row r="2852" spans="1:9">
      <c r="A2852" t="s">
        <v>310</v>
      </c>
      <c r="B2852" t="s">
        <v>311</v>
      </c>
      <c r="C2852" t="s">
        <v>269</v>
      </c>
      <c r="D2852" t="s">
        <v>307</v>
      </c>
      <c r="E2852" t="s">
        <v>107</v>
      </c>
      <c r="F2852">
        <v>2031</v>
      </c>
      <c r="G2852">
        <v>4575704.9560000002</v>
      </c>
      <c r="H2852">
        <v>4575704.9560000002</v>
      </c>
      <c r="I2852">
        <v>1</v>
      </c>
    </row>
    <row r="2853" spans="1:9">
      <c r="A2853" t="s">
        <v>310</v>
      </c>
      <c r="B2853" t="s">
        <v>311</v>
      </c>
      <c r="C2853" t="s">
        <v>269</v>
      </c>
      <c r="D2853" t="s">
        <v>307</v>
      </c>
      <c r="E2853" t="s">
        <v>107</v>
      </c>
      <c r="F2853">
        <v>2032</v>
      </c>
      <c r="G2853">
        <v>4603617.9790000003</v>
      </c>
      <c r="H2853">
        <v>4603617.9790000003</v>
      </c>
      <c r="I2853">
        <v>1</v>
      </c>
    </row>
    <row r="2854" spans="1:9">
      <c r="A2854" t="s">
        <v>310</v>
      </c>
      <c r="B2854" t="s">
        <v>311</v>
      </c>
      <c r="C2854" t="s">
        <v>269</v>
      </c>
      <c r="D2854" t="s">
        <v>307</v>
      </c>
      <c r="E2854" t="s">
        <v>107</v>
      </c>
      <c r="F2854">
        <v>2033</v>
      </c>
      <c r="G2854">
        <v>4652105.0329999998</v>
      </c>
      <c r="H2854">
        <v>4652105.0329999998</v>
      </c>
      <c r="I2854">
        <v>1</v>
      </c>
    </row>
    <row r="2855" spans="1:9">
      <c r="A2855" t="s">
        <v>310</v>
      </c>
      <c r="B2855" t="s">
        <v>311</v>
      </c>
      <c r="C2855" t="s">
        <v>269</v>
      </c>
      <c r="D2855" t="s">
        <v>307</v>
      </c>
      <c r="E2855" t="s">
        <v>107</v>
      </c>
      <c r="F2855">
        <v>2034</v>
      </c>
      <c r="G2855">
        <v>4692473.3389999997</v>
      </c>
      <c r="H2855">
        <v>4692473.3389999997</v>
      </c>
      <c r="I2855">
        <v>1</v>
      </c>
    </row>
    <row r="2856" spans="1:9">
      <c r="A2856" t="s">
        <v>310</v>
      </c>
      <c r="B2856" t="s">
        <v>311</v>
      </c>
      <c r="C2856" t="s">
        <v>269</v>
      </c>
      <c r="D2856" t="s">
        <v>307</v>
      </c>
      <c r="E2856" t="s">
        <v>107</v>
      </c>
      <c r="F2856">
        <v>2035</v>
      </c>
      <c r="G2856">
        <v>4705345.051</v>
      </c>
      <c r="H2856">
        <v>4705345.051</v>
      </c>
      <c r="I2856">
        <v>1</v>
      </c>
    </row>
    <row r="2857" spans="1:9">
      <c r="A2857" t="s">
        <v>310</v>
      </c>
      <c r="B2857" t="s">
        <v>311</v>
      </c>
      <c r="C2857" t="s">
        <v>269</v>
      </c>
      <c r="D2857" t="s">
        <v>307</v>
      </c>
      <c r="E2857" t="s">
        <v>107</v>
      </c>
      <c r="F2857">
        <v>2036</v>
      </c>
      <c r="G2857">
        <v>4765673.9409999996</v>
      </c>
      <c r="H2857">
        <v>4765673.9409999996</v>
      </c>
      <c r="I2857">
        <v>1</v>
      </c>
    </row>
    <row r="2858" spans="1:9">
      <c r="A2858" t="s">
        <v>310</v>
      </c>
      <c r="B2858" t="s">
        <v>311</v>
      </c>
      <c r="C2858" t="s">
        <v>269</v>
      </c>
      <c r="D2858" t="s">
        <v>307</v>
      </c>
      <c r="E2858" t="s">
        <v>107</v>
      </c>
      <c r="F2858">
        <v>2037</v>
      </c>
      <c r="G2858">
        <v>4771886.5630000001</v>
      </c>
      <c r="H2858">
        <v>4771886.5630000001</v>
      </c>
      <c r="I2858">
        <v>1</v>
      </c>
    </row>
    <row r="2859" spans="1:9">
      <c r="A2859" t="s">
        <v>310</v>
      </c>
      <c r="B2859" t="s">
        <v>311</v>
      </c>
      <c r="C2859" t="s">
        <v>269</v>
      </c>
      <c r="D2859" t="s">
        <v>307</v>
      </c>
      <c r="E2859" t="s">
        <v>107</v>
      </c>
      <c r="F2859">
        <v>2038</v>
      </c>
      <c r="G2859">
        <v>4800963.5120000001</v>
      </c>
      <c r="H2859">
        <v>4800963.5120000001</v>
      </c>
      <c r="I2859">
        <v>1</v>
      </c>
    </row>
    <row r="2860" spans="1:9">
      <c r="A2860" t="s">
        <v>310</v>
      </c>
      <c r="B2860" t="s">
        <v>311</v>
      </c>
      <c r="C2860" t="s">
        <v>269</v>
      </c>
      <c r="D2860" t="s">
        <v>307</v>
      </c>
      <c r="E2860" t="s">
        <v>107</v>
      </c>
      <c r="F2860">
        <v>2039</v>
      </c>
      <c r="G2860">
        <v>4841000.1909999996</v>
      </c>
      <c r="H2860">
        <v>4841000.1909999996</v>
      </c>
      <c r="I2860">
        <v>1</v>
      </c>
    </row>
    <row r="2861" spans="1:9">
      <c r="A2861" t="s">
        <v>310</v>
      </c>
      <c r="B2861" t="s">
        <v>311</v>
      </c>
      <c r="C2861" t="s">
        <v>269</v>
      </c>
      <c r="D2861" t="s">
        <v>307</v>
      </c>
      <c r="E2861" t="s">
        <v>107</v>
      </c>
      <c r="F2861">
        <v>2040</v>
      </c>
      <c r="G2861">
        <v>4907180.3090000004</v>
      </c>
      <c r="H2861">
        <v>4907180.3090000004</v>
      </c>
      <c r="I2861">
        <v>1</v>
      </c>
    </row>
    <row r="2862" spans="1:9">
      <c r="A2862" t="s">
        <v>310</v>
      </c>
      <c r="B2862" t="s">
        <v>311</v>
      </c>
      <c r="C2862" t="s">
        <v>269</v>
      </c>
      <c r="D2862" t="s">
        <v>307</v>
      </c>
      <c r="E2862" t="s">
        <v>107</v>
      </c>
      <c r="F2862">
        <v>2041</v>
      </c>
      <c r="G2862">
        <v>4884898.3499999996</v>
      </c>
      <c r="H2862">
        <v>4884898.3499999996</v>
      </c>
      <c r="I2862">
        <v>1</v>
      </c>
    </row>
    <row r="2863" spans="1:9">
      <c r="A2863" t="s">
        <v>310</v>
      </c>
      <c r="B2863" t="s">
        <v>311</v>
      </c>
      <c r="C2863" t="s">
        <v>269</v>
      </c>
      <c r="D2863" t="s">
        <v>307</v>
      </c>
      <c r="E2863" t="s">
        <v>107</v>
      </c>
      <c r="F2863">
        <v>2042</v>
      </c>
      <c r="G2863">
        <v>4902036.6210000003</v>
      </c>
      <c r="H2863">
        <v>4902036.6210000003</v>
      </c>
      <c r="I2863">
        <v>1</v>
      </c>
    </row>
    <row r="2864" spans="1:9">
      <c r="A2864" t="s">
        <v>310</v>
      </c>
      <c r="B2864" t="s">
        <v>311</v>
      </c>
      <c r="C2864" t="s">
        <v>269</v>
      </c>
      <c r="D2864" t="s">
        <v>307</v>
      </c>
      <c r="E2864" t="s">
        <v>107</v>
      </c>
      <c r="F2864">
        <v>2043</v>
      </c>
      <c r="G2864">
        <v>4885169.8660000004</v>
      </c>
      <c r="H2864">
        <v>4885169.8660000004</v>
      </c>
      <c r="I2864">
        <v>1</v>
      </c>
    </row>
    <row r="2865" spans="1:9">
      <c r="A2865" t="s">
        <v>310</v>
      </c>
      <c r="B2865" t="s">
        <v>311</v>
      </c>
      <c r="C2865" t="s">
        <v>269</v>
      </c>
      <c r="D2865" t="s">
        <v>307</v>
      </c>
      <c r="E2865" t="s">
        <v>107</v>
      </c>
      <c r="F2865">
        <v>2044</v>
      </c>
      <c r="G2865">
        <v>4926051.8320000004</v>
      </c>
      <c r="H2865">
        <v>4926051.8320000004</v>
      </c>
      <c r="I2865">
        <v>1</v>
      </c>
    </row>
    <row r="2866" spans="1:9">
      <c r="A2866" t="s">
        <v>310</v>
      </c>
      <c r="B2866" t="s">
        <v>311</v>
      </c>
      <c r="C2866" t="s">
        <v>269</v>
      </c>
      <c r="D2866" t="s">
        <v>307</v>
      </c>
      <c r="E2866" t="s">
        <v>107</v>
      </c>
      <c r="F2866">
        <v>2045</v>
      </c>
      <c r="G2866">
        <v>4948737.3569999998</v>
      </c>
      <c r="H2866">
        <v>4948737.3569999998</v>
      </c>
      <c r="I2866">
        <v>1</v>
      </c>
    </row>
    <row r="2867" spans="1:9">
      <c r="A2867" t="s">
        <v>310</v>
      </c>
      <c r="B2867" t="s">
        <v>311</v>
      </c>
      <c r="C2867" t="s">
        <v>269</v>
      </c>
      <c r="D2867" t="s">
        <v>307</v>
      </c>
      <c r="E2867" t="s">
        <v>107</v>
      </c>
      <c r="F2867">
        <v>2046</v>
      </c>
      <c r="G2867">
        <v>4968421.7350000003</v>
      </c>
      <c r="H2867">
        <v>4968421.7350000003</v>
      </c>
      <c r="I2867">
        <v>1</v>
      </c>
    </row>
    <row r="2868" spans="1:9">
      <c r="A2868" t="s">
        <v>310</v>
      </c>
      <c r="B2868" t="s">
        <v>311</v>
      </c>
      <c r="C2868" t="s">
        <v>269</v>
      </c>
      <c r="D2868" t="s">
        <v>307</v>
      </c>
      <c r="E2868" t="s">
        <v>107</v>
      </c>
      <c r="F2868">
        <v>2047</v>
      </c>
      <c r="G2868">
        <v>4951317.2570000002</v>
      </c>
      <c r="H2868">
        <v>4951317.2570000002</v>
      </c>
      <c r="I2868">
        <v>1</v>
      </c>
    </row>
    <row r="2869" spans="1:9">
      <c r="A2869" t="s">
        <v>310</v>
      </c>
      <c r="B2869" t="s">
        <v>311</v>
      </c>
      <c r="C2869" t="s">
        <v>269</v>
      </c>
      <c r="D2869" t="s">
        <v>307</v>
      </c>
      <c r="E2869" t="s">
        <v>107</v>
      </c>
      <c r="F2869">
        <v>2048</v>
      </c>
      <c r="G2869">
        <v>4981147.125</v>
      </c>
      <c r="H2869">
        <v>4981147.125</v>
      </c>
      <c r="I2869">
        <v>1</v>
      </c>
    </row>
    <row r="2870" spans="1:9">
      <c r="A2870" t="s">
        <v>310</v>
      </c>
      <c r="B2870" t="s">
        <v>311</v>
      </c>
      <c r="C2870" t="s">
        <v>269</v>
      </c>
      <c r="D2870" t="s">
        <v>307</v>
      </c>
      <c r="E2870" t="s">
        <v>107</v>
      </c>
      <c r="F2870">
        <v>2049</v>
      </c>
      <c r="G2870">
        <v>4990853.1220000004</v>
      </c>
      <c r="H2870">
        <v>4990853.1220000004</v>
      </c>
      <c r="I2870">
        <v>1</v>
      </c>
    </row>
    <row r="2871" spans="1:9">
      <c r="A2871" t="s">
        <v>310</v>
      </c>
      <c r="B2871" t="s">
        <v>311</v>
      </c>
      <c r="C2871" t="s">
        <v>269</v>
      </c>
      <c r="D2871" t="s">
        <v>307</v>
      </c>
      <c r="E2871" t="s">
        <v>107</v>
      </c>
      <c r="F2871">
        <v>2050</v>
      </c>
      <c r="G2871">
        <v>4979139.824</v>
      </c>
      <c r="H2871">
        <v>4979139.824</v>
      </c>
      <c r="I2871">
        <v>1</v>
      </c>
    </row>
    <row r="2872" spans="1:9">
      <c r="A2872" t="s">
        <v>310</v>
      </c>
      <c r="B2872" t="s">
        <v>311</v>
      </c>
      <c r="C2872" t="s">
        <v>269</v>
      </c>
      <c r="D2872" t="s">
        <v>25</v>
      </c>
      <c r="E2872" t="s">
        <v>30</v>
      </c>
      <c r="F2872">
        <v>2010</v>
      </c>
      <c r="G2872">
        <v>5415782.7309999997</v>
      </c>
      <c r="H2872">
        <v>5415782.7309999997</v>
      </c>
      <c r="I2872">
        <v>1</v>
      </c>
    </row>
    <row r="2873" spans="1:9">
      <c r="A2873" t="s">
        <v>310</v>
      </c>
      <c r="B2873" t="s">
        <v>311</v>
      </c>
      <c r="C2873" t="s">
        <v>269</v>
      </c>
      <c r="D2873" t="s">
        <v>25</v>
      </c>
      <c r="E2873" t="s">
        <v>30</v>
      </c>
      <c r="F2873">
        <v>2011</v>
      </c>
      <c r="G2873">
        <v>5781230.0640000002</v>
      </c>
      <c r="H2873">
        <v>5781230.0640000002</v>
      </c>
      <c r="I2873">
        <v>1</v>
      </c>
    </row>
    <row r="2874" spans="1:9">
      <c r="A2874" t="s">
        <v>310</v>
      </c>
      <c r="B2874" t="s">
        <v>311</v>
      </c>
      <c r="C2874" t="s">
        <v>269</v>
      </c>
      <c r="D2874" t="s">
        <v>25</v>
      </c>
      <c r="E2874" t="s">
        <v>30</v>
      </c>
      <c r="F2874">
        <v>2012</v>
      </c>
      <c r="G2874">
        <v>6171724.5880000005</v>
      </c>
      <c r="H2874">
        <v>6171724.5880000005</v>
      </c>
      <c r="I2874">
        <v>1</v>
      </c>
    </row>
    <row r="2875" spans="1:9">
      <c r="A2875" t="s">
        <v>310</v>
      </c>
      <c r="B2875" t="s">
        <v>311</v>
      </c>
      <c r="C2875" t="s">
        <v>269</v>
      </c>
      <c r="D2875" t="s">
        <v>25</v>
      </c>
      <c r="E2875" t="s">
        <v>30</v>
      </c>
      <c r="F2875">
        <v>2013</v>
      </c>
      <c r="G2875">
        <v>6620827.4749999996</v>
      </c>
      <c r="H2875">
        <v>6620827.4749999996</v>
      </c>
      <c r="I2875">
        <v>1</v>
      </c>
    </row>
    <row r="2876" spans="1:9">
      <c r="A2876" t="s">
        <v>310</v>
      </c>
      <c r="B2876" t="s">
        <v>311</v>
      </c>
      <c r="C2876" t="s">
        <v>269</v>
      </c>
      <c r="D2876" t="s">
        <v>25</v>
      </c>
      <c r="E2876" t="s">
        <v>30</v>
      </c>
      <c r="F2876">
        <v>2014</v>
      </c>
      <c r="G2876">
        <v>7109448.1380000003</v>
      </c>
      <c r="H2876">
        <v>7109448.1380000003</v>
      </c>
      <c r="I2876">
        <v>1</v>
      </c>
    </row>
    <row r="2877" spans="1:9">
      <c r="A2877" t="s">
        <v>310</v>
      </c>
      <c r="B2877" t="s">
        <v>311</v>
      </c>
      <c r="C2877" t="s">
        <v>269</v>
      </c>
      <c r="D2877" t="s">
        <v>25</v>
      </c>
      <c r="E2877" t="s">
        <v>30</v>
      </c>
      <c r="F2877">
        <v>2015</v>
      </c>
      <c r="G2877">
        <v>7651365.6239999998</v>
      </c>
      <c r="H2877">
        <v>7651365.6239999998</v>
      </c>
      <c r="I2877">
        <v>1</v>
      </c>
    </row>
    <row r="2878" spans="1:9">
      <c r="A2878" t="s">
        <v>310</v>
      </c>
      <c r="B2878" t="s">
        <v>311</v>
      </c>
      <c r="C2878" t="s">
        <v>269</v>
      </c>
      <c r="D2878" t="s">
        <v>25</v>
      </c>
      <c r="E2878" t="s">
        <v>30</v>
      </c>
      <c r="F2878">
        <v>2016</v>
      </c>
      <c r="G2878">
        <v>8212718.0449999999</v>
      </c>
      <c r="H2878">
        <v>8212718.0449999999</v>
      </c>
      <c r="I2878">
        <v>1</v>
      </c>
    </row>
    <row r="2879" spans="1:9">
      <c r="A2879" t="s">
        <v>310</v>
      </c>
      <c r="B2879" t="s">
        <v>311</v>
      </c>
      <c r="C2879" t="s">
        <v>269</v>
      </c>
      <c r="D2879" t="s">
        <v>25</v>
      </c>
      <c r="E2879" t="s">
        <v>30</v>
      </c>
      <c r="F2879">
        <v>2017</v>
      </c>
      <c r="G2879">
        <v>8820113.0529999994</v>
      </c>
      <c r="H2879">
        <v>8820113.0529999994</v>
      </c>
      <c r="I2879">
        <v>1</v>
      </c>
    </row>
    <row r="2880" spans="1:9">
      <c r="A2880" t="s">
        <v>310</v>
      </c>
      <c r="B2880" t="s">
        <v>311</v>
      </c>
      <c r="C2880" t="s">
        <v>269</v>
      </c>
      <c r="D2880" t="s">
        <v>25</v>
      </c>
      <c r="E2880" t="s">
        <v>30</v>
      </c>
      <c r="F2880">
        <v>2018</v>
      </c>
      <c r="G2880">
        <v>9476902.9780000001</v>
      </c>
      <c r="H2880">
        <v>9476902.9780000001</v>
      </c>
      <c r="I2880">
        <v>1</v>
      </c>
    </row>
    <row r="2881" spans="1:9">
      <c r="A2881" t="s">
        <v>310</v>
      </c>
      <c r="B2881" t="s">
        <v>311</v>
      </c>
      <c r="C2881" t="s">
        <v>269</v>
      </c>
      <c r="D2881" t="s">
        <v>25</v>
      </c>
      <c r="E2881" t="s">
        <v>30</v>
      </c>
      <c r="F2881">
        <v>2019</v>
      </c>
      <c r="G2881">
        <v>10114957.18</v>
      </c>
      <c r="H2881">
        <v>10114957.18</v>
      </c>
      <c r="I2881">
        <v>1</v>
      </c>
    </row>
    <row r="2882" spans="1:9">
      <c r="A2882" t="s">
        <v>310</v>
      </c>
      <c r="B2882" t="s">
        <v>311</v>
      </c>
      <c r="C2882" t="s">
        <v>269</v>
      </c>
      <c r="D2882" t="s">
        <v>25</v>
      </c>
      <c r="E2882" t="s">
        <v>30</v>
      </c>
      <c r="F2882">
        <v>2020</v>
      </c>
      <c r="G2882">
        <v>10803949.779999999</v>
      </c>
      <c r="H2882">
        <v>10803949.779999999</v>
      </c>
      <c r="I2882">
        <v>1</v>
      </c>
    </row>
    <row r="2883" spans="1:9">
      <c r="A2883" t="s">
        <v>310</v>
      </c>
      <c r="B2883" t="s">
        <v>311</v>
      </c>
      <c r="C2883" t="s">
        <v>269</v>
      </c>
      <c r="D2883" t="s">
        <v>25</v>
      </c>
      <c r="E2883" t="s">
        <v>30</v>
      </c>
      <c r="F2883">
        <v>2021</v>
      </c>
      <c r="G2883">
        <v>11547252.5</v>
      </c>
      <c r="H2883">
        <v>11547252.5</v>
      </c>
      <c r="I2883">
        <v>1</v>
      </c>
    </row>
    <row r="2884" spans="1:9">
      <c r="A2884" t="s">
        <v>310</v>
      </c>
      <c r="B2884" t="s">
        <v>311</v>
      </c>
      <c r="C2884" t="s">
        <v>269</v>
      </c>
      <c r="D2884" t="s">
        <v>25</v>
      </c>
      <c r="E2884" t="s">
        <v>30</v>
      </c>
      <c r="F2884">
        <v>2022</v>
      </c>
      <c r="G2884">
        <v>12250404.970000001</v>
      </c>
      <c r="H2884">
        <v>12250404.970000001</v>
      </c>
      <c r="I2884">
        <v>1</v>
      </c>
    </row>
    <row r="2885" spans="1:9">
      <c r="A2885" t="s">
        <v>310</v>
      </c>
      <c r="B2885" t="s">
        <v>311</v>
      </c>
      <c r="C2885" t="s">
        <v>269</v>
      </c>
      <c r="D2885" t="s">
        <v>25</v>
      </c>
      <c r="E2885" t="s">
        <v>30</v>
      </c>
      <c r="F2885">
        <v>2023</v>
      </c>
      <c r="G2885">
        <v>13057995.57</v>
      </c>
      <c r="H2885">
        <v>13057995.57</v>
      </c>
      <c r="I2885">
        <v>1</v>
      </c>
    </row>
    <row r="2886" spans="1:9">
      <c r="A2886" t="s">
        <v>310</v>
      </c>
      <c r="B2886" t="s">
        <v>311</v>
      </c>
      <c r="C2886" t="s">
        <v>269</v>
      </c>
      <c r="D2886" t="s">
        <v>25</v>
      </c>
      <c r="E2886" t="s">
        <v>30</v>
      </c>
      <c r="F2886">
        <v>2024</v>
      </c>
      <c r="G2886">
        <v>13803085.73</v>
      </c>
      <c r="H2886">
        <v>13803085.73</v>
      </c>
      <c r="I2886">
        <v>1</v>
      </c>
    </row>
    <row r="2887" spans="1:9">
      <c r="A2887" t="s">
        <v>310</v>
      </c>
      <c r="B2887" t="s">
        <v>311</v>
      </c>
      <c r="C2887" t="s">
        <v>269</v>
      </c>
      <c r="D2887" t="s">
        <v>25</v>
      </c>
      <c r="E2887" t="s">
        <v>30</v>
      </c>
      <c r="F2887">
        <v>2025</v>
      </c>
      <c r="G2887">
        <v>14640367.9</v>
      </c>
      <c r="H2887">
        <v>14640367.9</v>
      </c>
      <c r="I2887">
        <v>1</v>
      </c>
    </row>
    <row r="2888" spans="1:9">
      <c r="A2888" t="s">
        <v>310</v>
      </c>
      <c r="B2888" t="s">
        <v>311</v>
      </c>
      <c r="C2888" t="s">
        <v>269</v>
      </c>
      <c r="D2888" t="s">
        <v>25</v>
      </c>
      <c r="E2888" t="s">
        <v>30</v>
      </c>
      <c r="F2888">
        <v>2026</v>
      </c>
      <c r="G2888">
        <v>15462738.65</v>
      </c>
      <c r="H2888">
        <v>15462738.65</v>
      </c>
      <c r="I2888">
        <v>1</v>
      </c>
    </row>
    <row r="2889" spans="1:9">
      <c r="A2889" t="s">
        <v>310</v>
      </c>
      <c r="B2889" t="s">
        <v>311</v>
      </c>
      <c r="C2889" t="s">
        <v>269</v>
      </c>
      <c r="D2889" t="s">
        <v>25</v>
      </c>
      <c r="E2889" t="s">
        <v>30</v>
      </c>
      <c r="F2889">
        <v>2027</v>
      </c>
      <c r="G2889">
        <v>16324459.130000001</v>
      </c>
      <c r="H2889">
        <v>16324459.130000001</v>
      </c>
      <c r="I2889">
        <v>1</v>
      </c>
    </row>
    <row r="2890" spans="1:9">
      <c r="A2890" t="s">
        <v>310</v>
      </c>
      <c r="B2890" t="s">
        <v>311</v>
      </c>
      <c r="C2890" t="s">
        <v>269</v>
      </c>
      <c r="D2890" t="s">
        <v>25</v>
      </c>
      <c r="E2890" t="s">
        <v>30</v>
      </c>
      <c r="F2890">
        <v>2028</v>
      </c>
      <c r="G2890">
        <v>17184731.93</v>
      </c>
      <c r="H2890">
        <v>17184731.93</v>
      </c>
      <c r="I2890">
        <v>1</v>
      </c>
    </row>
    <row r="2891" spans="1:9">
      <c r="A2891" t="s">
        <v>310</v>
      </c>
      <c r="B2891" t="s">
        <v>311</v>
      </c>
      <c r="C2891" t="s">
        <v>269</v>
      </c>
      <c r="D2891" t="s">
        <v>25</v>
      </c>
      <c r="E2891" t="s">
        <v>30</v>
      </c>
      <c r="F2891">
        <v>2029</v>
      </c>
      <c r="G2891">
        <v>18082555.579999998</v>
      </c>
      <c r="H2891">
        <v>18082555.579999998</v>
      </c>
      <c r="I2891">
        <v>1</v>
      </c>
    </row>
    <row r="2892" spans="1:9">
      <c r="A2892" t="s">
        <v>310</v>
      </c>
      <c r="B2892" t="s">
        <v>311</v>
      </c>
      <c r="C2892" t="s">
        <v>269</v>
      </c>
      <c r="D2892" t="s">
        <v>25</v>
      </c>
      <c r="E2892" t="s">
        <v>30</v>
      </c>
      <c r="F2892">
        <v>2030</v>
      </c>
      <c r="G2892">
        <v>18995946.550000001</v>
      </c>
      <c r="H2892">
        <v>18995946.550000001</v>
      </c>
      <c r="I2892">
        <v>1</v>
      </c>
    </row>
    <row r="2893" spans="1:9">
      <c r="A2893" t="s">
        <v>310</v>
      </c>
      <c r="B2893" t="s">
        <v>311</v>
      </c>
      <c r="C2893" t="s">
        <v>269</v>
      </c>
      <c r="D2893" t="s">
        <v>25</v>
      </c>
      <c r="E2893" t="s">
        <v>30</v>
      </c>
      <c r="F2893">
        <v>2031</v>
      </c>
      <c r="G2893">
        <v>19993503.949999999</v>
      </c>
      <c r="H2893">
        <v>19993503.949999999</v>
      </c>
      <c r="I2893">
        <v>1</v>
      </c>
    </row>
    <row r="2894" spans="1:9">
      <c r="A2894" t="s">
        <v>310</v>
      </c>
      <c r="B2894" t="s">
        <v>311</v>
      </c>
      <c r="C2894" t="s">
        <v>269</v>
      </c>
      <c r="D2894" t="s">
        <v>25</v>
      </c>
      <c r="E2894" t="s">
        <v>30</v>
      </c>
      <c r="F2894">
        <v>2032</v>
      </c>
      <c r="G2894">
        <v>20983971.890000001</v>
      </c>
      <c r="H2894">
        <v>20983971.890000001</v>
      </c>
      <c r="I2894">
        <v>1</v>
      </c>
    </row>
    <row r="2895" spans="1:9">
      <c r="A2895" t="s">
        <v>310</v>
      </c>
      <c r="B2895" t="s">
        <v>311</v>
      </c>
      <c r="C2895" t="s">
        <v>269</v>
      </c>
      <c r="D2895" t="s">
        <v>25</v>
      </c>
      <c r="E2895" t="s">
        <v>30</v>
      </c>
      <c r="F2895">
        <v>2033</v>
      </c>
      <c r="G2895">
        <v>21937050.890000001</v>
      </c>
      <c r="H2895">
        <v>21937050.890000001</v>
      </c>
      <c r="I2895">
        <v>1</v>
      </c>
    </row>
    <row r="2896" spans="1:9">
      <c r="A2896" t="s">
        <v>310</v>
      </c>
      <c r="B2896" t="s">
        <v>311</v>
      </c>
      <c r="C2896" t="s">
        <v>269</v>
      </c>
      <c r="D2896" t="s">
        <v>25</v>
      </c>
      <c r="E2896" t="s">
        <v>30</v>
      </c>
      <c r="F2896">
        <v>2034</v>
      </c>
      <c r="G2896">
        <v>22976410.02</v>
      </c>
      <c r="H2896">
        <v>22976410.02</v>
      </c>
      <c r="I2896">
        <v>1</v>
      </c>
    </row>
    <row r="2897" spans="1:9">
      <c r="A2897" t="s">
        <v>310</v>
      </c>
      <c r="B2897" t="s">
        <v>311</v>
      </c>
      <c r="C2897" t="s">
        <v>269</v>
      </c>
      <c r="D2897" t="s">
        <v>25</v>
      </c>
      <c r="E2897" t="s">
        <v>30</v>
      </c>
      <c r="F2897">
        <v>2035</v>
      </c>
      <c r="G2897">
        <v>23971454.329999998</v>
      </c>
      <c r="H2897">
        <v>23971454.329999998</v>
      </c>
      <c r="I2897">
        <v>1</v>
      </c>
    </row>
    <row r="2898" spans="1:9">
      <c r="A2898" t="s">
        <v>310</v>
      </c>
      <c r="B2898" t="s">
        <v>311</v>
      </c>
      <c r="C2898" t="s">
        <v>269</v>
      </c>
      <c r="D2898" t="s">
        <v>25</v>
      </c>
      <c r="E2898" t="s">
        <v>30</v>
      </c>
      <c r="F2898">
        <v>2036</v>
      </c>
      <c r="G2898">
        <v>25112047.949999999</v>
      </c>
      <c r="H2898">
        <v>25112047.949999999</v>
      </c>
      <c r="I2898">
        <v>1</v>
      </c>
    </row>
    <row r="2899" spans="1:9">
      <c r="A2899" t="s">
        <v>310</v>
      </c>
      <c r="B2899" t="s">
        <v>311</v>
      </c>
      <c r="C2899" t="s">
        <v>269</v>
      </c>
      <c r="D2899" t="s">
        <v>25</v>
      </c>
      <c r="E2899" t="s">
        <v>30</v>
      </c>
      <c r="F2899">
        <v>2037</v>
      </c>
      <c r="G2899">
        <v>26144798.75</v>
      </c>
      <c r="H2899">
        <v>26144798.75</v>
      </c>
      <c r="I2899">
        <v>1</v>
      </c>
    </row>
    <row r="2900" spans="1:9">
      <c r="A2900" t="s">
        <v>310</v>
      </c>
      <c r="B2900" t="s">
        <v>311</v>
      </c>
      <c r="C2900" t="s">
        <v>269</v>
      </c>
      <c r="D2900" t="s">
        <v>25</v>
      </c>
      <c r="E2900" t="s">
        <v>30</v>
      </c>
      <c r="F2900">
        <v>2038</v>
      </c>
      <c r="G2900">
        <v>27301641.670000002</v>
      </c>
      <c r="H2900">
        <v>27301641.670000002</v>
      </c>
      <c r="I2900">
        <v>1</v>
      </c>
    </row>
    <row r="2901" spans="1:9">
      <c r="A2901" t="s">
        <v>310</v>
      </c>
      <c r="B2901" t="s">
        <v>311</v>
      </c>
      <c r="C2901" t="s">
        <v>269</v>
      </c>
      <c r="D2901" t="s">
        <v>25</v>
      </c>
      <c r="E2901" t="s">
        <v>30</v>
      </c>
      <c r="F2901">
        <v>2039</v>
      </c>
      <c r="G2901">
        <v>28433596.260000002</v>
      </c>
      <c r="H2901">
        <v>28433596.260000002</v>
      </c>
      <c r="I2901">
        <v>1</v>
      </c>
    </row>
    <row r="2902" spans="1:9">
      <c r="A2902" t="s">
        <v>310</v>
      </c>
      <c r="B2902" t="s">
        <v>311</v>
      </c>
      <c r="C2902" t="s">
        <v>269</v>
      </c>
      <c r="D2902" t="s">
        <v>25</v>
      </c>
      <c r="E2902" t="s">
        <v>30</v>
      </c>
      <c r="F2902">
        <v>2040</v>
      </c>
      <c r="G2902">
        <v>29666096.100000001</v>
      </c>
      <c r="H2902">
        <v>29666096.100000001</v>
      </c>
      <c r="I2902">
        <v>1</v>
      </c>
    </row>
    <row r="2903" spans="1:9">
      <c r="A2903" t="s">
        <v>310</v>
      </c>
      <c r="B2903" t="s">
        <v>311</v>
      </c>
      <c r="C2903" t="s">
        <v>269</v>
      </c>
      <c r="D2903" t="s">
        <v>25</v>
      </c>
      <c r="E2903" t="s">
        <v>30</v>
      </c>
      <c r="F2903">
        <v>2041</v>
      </c>
      <c r="G2903">
        <v>30734194.350000001</v>
      </c>
      <c r="H2903">
        <v>30734194.350000001</v>
      </c>
      <c r="I2903">
        <v>1</v>
      </c>
    </row>
    <row r="2904" spans="1:9">
      <c r="A2904" t="s">
        <v>310</v>
      </c>
      <c r="B2904" t="s">
        <v>311</v>
      </c>
      <c r="C2904" t="s">
        <v>269</v>
      </c>
      <c r="D2904" t="s">
        <v>25</v>
      </c>
      <c r="E2904" t="s">
        <v>30</v>
      </c>
      <c r="F2904">
        <v>2042</v>
      </c>
      <c r="G2904">
        <v>32004806.34</v>
      </c>
      <c r="H2904">
        <v>32004806.34</v>
      </c>
      <c r="I2904">
        <v>1</v>
      </c>
    </row>
    <row r="2905" spans="1:9">
      <c r="A2905" t="s">
        <v>310</v>
      </c>
      <c r="B2905" t="s">
        <v>311</v>
      </c>
      <c r="C2905" t="s">
        <v>269</v>
      </c>
      <c r="D2905" t="s">
        <v>25</v>
      </c>
      <c r="E2905" t="s">
        <v>30</v>
      </c>
      <c r="F2905">
        <v>2043</v>
      </c>
      <c r="G2905">
        <v>33204422.68</v>
      </c>
      <c r="H2905">
        <v>33204422.68</v>
      </c>
      <c r="I2905">
        <v>1</v>
      </c>
    </row>
    <row r="2906" spans="1:9">
      <c r="A2906" t="s">
        <v>310</v>
      </c>
      <c r="B2906" t="s">
        <v>311</v>
      </c>
      <c r="C2906" t="s">
        <v>269</v>
      </c>
      <c r="D2906" t="s">
        <v>25</v>
      </c>
      <c r="E2906" t="s">
        <v>30</v>
      </c>
      <c r="F2906">
        <v>2044</v>
      </c>
      <c r="G2906">
        <v>34548877.539999999</v>
      </c>
      <c r="H2906">
        <v>34548877.539999999</v>
      </c>
      <c r="I2906">
        <v>1</v>
      </c>
    </row>
    <row r="2907" spans="1:9">
      <c r="A2907" t="s">
        <v>310</v>
      </c>
      <c r="B2907" t="s">
        <v>311</v>
      </c>
      <c r="C2907" t="s">
        <v>269</v>
      </c>
      <c r="D2907" t="s">
        <v>25</v>
      </c>
      <c r="E2907" t="s">
        <v>30</v>
      </c>
      <c r="F2907">
        <v>2045</v>
      </c>
      <c r="G2907">
        <v>35854569.240000002</v>
      </c>
      <c r="H2907">
        <v>35854569.240000002</v>
      </c>
      <c r="I2907">
        <v>1</v>
      </c>
    </row>
    <row r="2908" spans="1:9">
      <c r="A2908" t="s">
        <v>310</v>
      </c>
      <c r="B2908" t="s">
        <v>311</v>
      </c>
      <c r="C2908" t="s">
        <v>269</v>
      </c>
      <c r="D2908" t="s">
        <v>25</v>
      </c>
      <c r="E2908" t="s">
        <v>30</v>
      </c>
      <c r="F2908">
        <v>2046</v>
      </c>
      <c r="G2908">
        <v>37194771.82</v>
      </c>
      <c r="H2908">
        <v>37194771.82</v>
      </c>
      <c r="I2908">
        <v>1</v>
      </c>
    </row>
    <row r="2909" spans="1:9">
      <c r="A2909" t="s">
        <v>310</v>
      </c>
      <c r="B2909" t="s">
        <v>311</v>
      </c>
      <c r="C2909" t="s">
        <v>269</v>
      </c>
      <c r="D2909" t="s">
        <v>25</v>
      </c>
      <c r="E2909" t="s">
        <v>30</v>
      </c>
      <c r="F2909">
        <v>2047</v>
      </c>
      <c r="G2909">
        <v>38444410.939999998</v>
      </c>
      <c r="H2909">
        <v>38444410.939999998</v>
      </c>
      <c r="I2909">
        <v>1</v>
      </c>
    </row>
    <row r="2910" spans="1:9">
      <c r="A2910" t="s">
        <v>310</v>
      </c>
      <c r="B2910" t="s">
        <v>311</v>
      </c>
      <c r="C2910" t="s">
        <v>269</v>
      </c>
      <c r="D2910" t="s">
        <v>25</v>
      </c>
      <c r="E2910" t="s">
        <v>30</v>
      </c>
      <c r="F2910">
        <v>2048</v>
      </c>
      <c r="G2910">
        <v>39893621.640000001</v>
      </c>
      <c r="H2910">
        <v>39893621.640000001</v>
      </c>
      <c r="I2910">
        <v>1</v>
      </c>
    </row>
    <row r="2911" spans="1:9">
      <c r="A2911" t="s">
        <v>310</v>
      </c>
      <c r="B2911" t="s">
        <v>311</v>
      </c>
      <c r="C2911" t="s">
        <v>269</v>
      </c>
      <c r="D2911" t="s">
        <v>25</v>
      </c>
      <c r="E2911" t="s">
        <v>30</v>
      </c>
      <c r="F2911">
        <v>2049</v>
      </c>
      <c r="G2911">
        <v>41381215.079999998</v>
      </c>
      <c r="H2911">
        <v>41381215.079999998</v>
      </c>
      <c r="I2911">
        <v>1</v>
      </c>
    </row>
    <row r="2912" spans="1:9">
      <c r="A2912" t="s">
        <v>310</v>
      </c>
      <c r="B2912" t="s">
        <v>311</v>
      </c>
      <c r="C2912" t="s">
        <v>269</v>
      </c>
      <c r="D2912" t="s">
        <v>25</v>
      </c>
      <c r="E2912" t="s">
        <v>30</v>
      </c>
      <c r="F2912">
        <v>2050</v>
      </c>
      <c r="G2912">
        <v>42723453.310000002</v>
      </c>
      <c r="H2912">
        <v>42723453.310000002</v>
      </c>
      <c r="I2912">
        <v>1</v>
      </c>
    </row>
    <row r="2913" spans="1:9">
      <c r="A2913" t="s">
        <v>310</v>
      </c>
      <c r="B2913" t="s">
        <v>311</v>
      </c>
      <c r="C2913" t="s">
        <v>269</v>
      </c>
      <c r="D2913" t="s">
        <v>26</v>
      </c>
      <c r="E2913" t="s">
        <v>30</v>
      </c>
      <c r="F2913">
        <v>2010</v>
      </c>
      <c r="G2913">
        <v>2010808.22</v>
      </c>
      <c r="H2913">
        <v>2010808.22</v>
      </c>
      <c r="I2913">
        <v>1</v>
      </c>
    </row>
    <row r="2914" spans="1:9">
      <c r="A2914" t="s">
        <v>310</v>
      </c>
      <c r="B2914" t="s">
        <v>311</v>
      </c>
      <c r="C2914" t="s">
        <v>269</v>
      </c>
      <c r="D2914" t="s">
        <v>26</v>
      </c>
      <c r="E2914" t="s">
        <v>30</v>
      </c>
      <c r="F2914">
        <v>2011</v>
      </c>
      <c r="G2914">
        <v>2100424.1469999999</v>
      </c>
      <c r="H2914">
        <v>2100424.1469999999</v>
      </c>
      <c r="I2914">
        <v>1</v>
      </c>
    </row>
    <row r="2915" spans="1:9">
      <c r="A2915" t="s">
        <v>310</v>
      </c>
      <c r="B2915" t="s">
        <v>311</v>
      </c>
      <c r="C2915" t="s">
        <v>269</v>
      </c>
      <c r="D2915" t="s">
        <v>26</v>
      </c>
      <c r="E2915" t="s">
        <v>30</v>
      </c>
      <c r="F2915">
        <v>2012</v>
      </c>
      <c r="G2915">
        <v>2193720.574</v>
      </c>
      <c r="H2915">
        <v>2193720.574</v>
      </c>
      <c r="I2915">
        <v>1</v>
      </c>
    </row>
    <row r="2916" spans="1:9">
      <c r="A2916" t="s">
        <v>310</v>
      </c>
      <c r="B2916" t="s">
        <v>311</v>
      </c>
      <c r="C2916" t="s">
        <v>269</v>
      </c>
      <c r="D2916" t="s">
        <v>26</v>
      </c>
      <c r="E2916" t="s">
        <v>30</v>
      </c>
      <c r="F2916">
        <v>2013</v>
      </c>
      <c r="G2916">
        <v>2274274.1359999999</v>
      </c>
      <c r="H2916">
        <v>2274274.1359999999</v>
      </c>
      <c r="I2916">
        <v>1</v>
      </c>
    </row>
    <row r="2917" spans="1:9">
      <c r="A2917" t="s">
        <v>310</v>
      </c>
      <c r="B2917" t="s">
        <v>311</v>
      </c>
      <c r="C2917" t="s">
        <v>269</v>
      </c>
      <c r="D2917" t="s">
        <v>26</v>
      </c>
      <c r="E2917" t="s">
        <v>30</v>
      </c>
      <c r="F2917">
        <v>2014</v>
      </c>
      <c r="G2917">
        <v>2356925.3139999998</v>
      </c>
      <c r="H2917">
        <v>2356925.3139999998</v>
      </c>
      <c r="I2917">
        <v>1</v>
      </c>
    </row>
    <row r="2918" spans="1:9">
      <c r="A2918" t="s">
        <v>310</v>
      </c>
      <c r="B2918" t="s">
        <v>311</v>
      </c>
      <c r="C2918" t="s">
        <v>269</v>
      </c>
      <c r="D2918" t="s">
        <v>26</v>
      </c>
      <c r="E2918" t="s">
        <v>30</v>
      </c>
      <c r="F2918">
        <v>2015</v>
      </c>
      <c r="G2918">
        <v>2441224.611</v>
      </c>
      <c r="H2918">
        <v>2441224.611</v>
      </c>
      <c r="I2918">
        <v>1</v>
      </c>
    </row>
    <row r="2919" spans="1:9">
      <c r="A2919" t="s">
        <v>310</v>
      </c>
      <c r="B2919" t="s">
        <v>311</v>
      </c>
      <c r="C2919" t="s">
        <v>269</v>
      </c>
      <c r="D2919" t="s">
        <v>26</v>
      </c>
      <c r="E2919" t="s">
        <v>30</v>
      </c>
      <c r="F2919">
        <v>2016</v>
      </c>
      <c r="G2919">
        <v>2509820.9419999998</v>
      </c>
      <c r="H2919">
        <v>2509820.9419999998</v>
      </c>
      <c r="I2919">
        <v>1</v>
      </c>
    </row>
    <row r="2920" spans="1:9">
      <c r="A2920" t="s">
        <v>310</v>
      </c>
      <c r="B2920" t="s">
        <v>311</v>
      </c>
      <c r="C2920" t="s">
        <v>269</v>
      </c>
      <c r="D2920" t="s">
        <v>26</v>
      </c>
      <c r="E2920" t="s">
        <v>30</v>
      </c>
      <c r="F2920">
        <v>2017</v>
      </c>
      <c r="G2920">
        <v>2614335.554</v>
      </c>
      <c r="H2920">
        <v>2614335.554</v>
      </c>
      <c r="I2920">
        <v>1</v>
      </c>
    </row>
    <row r="2921" spans="1:9">
      <c r="A2921" t="s">
        <v>310</v>
      </c>
      <c r="B2921" t="s">
        <v>311</v>
      </c>
      <c r="C2921" t="s">
        <v>269</v>
      </c>
      <c r="D2921" t="s">
        <v>26</v>
      </c>
      <c r="E2921" t="s">
        <v>30</v>
      </c>
      <c r="F2921">
        <v>2018</v>
      </c>
      <c r="G2921">
        <v>2667383.3679999998</v>
      </c>
      <c r="H2921">
        <v>2667383.3679999998</v>
      </c>
      <c r="I2921">
        <v>1</v>
      </c>
    </row>
    <row r="2922" spans="1:9">
      <c r="A2922" t="s">
        <v>310</v>
      </c>
      <c r="B2922" t="s">
        <v>311</v>
      </c>
      <c r="C2922" t="s">
        <v>269</v>
      </c>
      <c r="D2922" t="s">
        <v>26</v>
      </c>
      <c r="E2922" t="s">
        <v>30</v>
      </c>
      <c r="F2922">
        <v>2019</v>
      </c>
      <c r="G2922">
        <v>2793625.378</v>
      </c>
      <c r="H2922">
        <v>2793625.378</v>
      </c>
      <c r="I2922">
        <v>1</v>
      </c>
    </row>
    <row r="2923" spans="1:9">
      <c r="A2923" t="s">
        <v>310</v>
      </c>
      <c r="B2923" t="s">
        <v>311</v>
      </c>
      <c r="C2923" t="s">
        <v>269</v>
      </c>
      <c r="D2923" t="s">
        <v>26</v>
      </c>
      <c r="E2923" t="s">
        <v>30</v>
      </c>
      <c r="F2923">
        <v>2020</v>
      </c>
      <c r="G2923">
        <v>2885666.8679999998</v>
      </c>
      <c r="H2923">
        <v>2885666.8679999998</v>
      </c>
      <c r="I2923">
        <v>1</v>
      </c>
    </row>
    <row r="2924" spans="1:9">
      <c r="A2924" t="s">
        <v>310</v>
      </c>
      <c r="B2924" t="s">
        <v>311</v>
      </c>
      <c r="C2924" t="s">
        <v>269</v>
      </c>
      <c r="D2924" t="s">
        <v>26</v>
      </c>
      <c r="E2924" t="s">
        <v>30</v>
      </c>
      <c r="F2924">
        <v>2021</v>
      </c>
      <c r="G2924">
        <v>2979222.611</v>
      </c>
      <c r="H2924">
        <v>2979222.611</v>
      </c>
      <c r="I2924">
        <v>1</v>
      </c>
    </row>
    <row r="2925" spans="1:9">
      <c r="A2925" t="s">
        <v>310</v>
      </c>
      <c r="B2925" t="s">
        <v>311</v>
      </c>
      <c r="C2925" t="s">
        <v>269</v>
      </c>
      <c r="D2925" t="s">
        <v>26</v>
      </c>
      <c r="E2925" t="s">
        <v>30</v>
      </c>
      <c r="F2925">
        <v>2022</v>
      </c>
      <c r="G2925">
        <v>3054833.6830000002</v>
      </c>
      <c r="H2925">
        <v>3054833.6830000002</v>
      </c>
      <c r="I2925">
        <v>1</v>
      </c>
    </row>
    <row r="2926" spans="1:9">
      <c r="A2926" t="s">
        <v>310</v>
      </c>
      <c r="B2926" t="s">
        <v>311</v>
      </c>
      <c r="C2926" t="s">
        <v>269</v>
      </c>
      <c r="D2926" t="s">
        <v>26</v>
      </c>
      <c r="E2926" t="s">
        <v>30</v>
      </c>
      <c r="F2926">
        <v>2023</v>
      </c>
      <c r="G2926">
        <v>3180326.8960000002</v>
      </c>
      <c r="H2926">
        <v>3180326.8960000002</v>
      </c>
      <c r="I2926">
        <v>1</v>
      </c>
    </row>
    <row r="2927" spans="1:9">
      <c r="A2927" t="s">
        <v>310</v>
      </c>
      <c r="B2927" t="s">
        <v>311</v>
      </c>
      <c r="C2927" t="s">
        <v>269</v>
      </c>
      <c r="D2927" t="s">
        <v>26</v>
      </c>
      <c r="E2927" t="s">
        <v>30</v>
      </c>
      <c r="F2927">
        <v>2024</v>
      </c>
      <c r="G2927">
        <v>3248099.1579999998</v>
      </c>
      <c r="H2927">
        <v>3248099.1579999998</v>
      </c>
      <c r="I2927">
        <v>1</v>
      </c>
    </row>
    <row r="2928" spans="1:9">
      <c r="A2928" t="s">
        <v>310</v>
      </c>
      <c r="B2928" t="s">
        <v>311</v>
      </c>
      <c r="C2928" t="s">
        <v>269</v>
      </c>
      <c r="D2928" t="s">
        <v>26</v>
      </c>
      <c r="E2928" t="s">
        <v>30</v>
      </c>
      <c r="F2928">
        <v>2025</v>
      </c>
      <c r="G2928">
        <v>3367135.6290000002</v>
      </c>
      <c r="H2928">
        <v>3367135.6290000002</v>
      </c>
      <c r="I2928">
        <v>1</v>
      </c>
    </row>
    <row r="2929" spans="1:9">
      <c r="A2929" t="s">
        <v>310</v>
      </c>
      <c r="B2929" t="s">
        <v>311</v>
      </c>
      <c r="C2929" t="s">
        <v>269</v>
      </c>
      <c r="D2929" t="s">
        <v>26</v>
      </c>
      <c r="E2929" t="s">
        <v>30</v>
      </c>
      <c r="F2929">
        <v>2026</v>
      </c>
      <c r="G2929">
        <v>3446613.18</v>
      </c>
      <c r="H2929">
        <v>3446613.18</v>
      </c>
      <c r="I2929">
        <v>1</v>
      </c>
    </row>
    <row r="2930" spans="1:9">
      <c r="A2930" t="s">
        <v>310</v>
      </c>
      <c r="B2930" t="s">
        <v>311</v>
      </c>
      <c r="C2930" t="s">
        <v>269</v>
      </c>
      <c r="D2930" t="s">
        <v>26</v>
      </c>
      <c r="E2930" t="s">
        <v>30</v>
      </c>
      <c r="F2930">
        <v>2027</v>
      </c>
      <c r="G2930">
        <v>3589863.1740000001</v>
      </c>
      <c r="H2930">
        <v>3589863.1740000001</v>
      </c>
      <c r="I2930">
        <v>1</v>
      </c>
    </row>
    <row r="2931" spans="1:9">
      <c r="A2931" t="s">
        <v>310</v>
      </c>
      <c r="B2931" t="s">
        <v>311</v>
      </c>
      <c r="C2931" t="s">
        <v>269</v>
      </c>
      <c r="D2931" t="s">
        <v>26</v>
      </c>
      <c r="E2931" t="s">
        <v>30</v>
      </c>
      <c r="F2931">
        <v>2028</v>
      </c>
      <c r="G2931">
        <v>3671085.969</v>
      </c>
      <c r="H2931">
        <v>3671085.969</v>
      </c>
      <c r="I2931">
        <v>1</v>
      </c>
    </row>
    <row r="2932" spans="1:9">
      <c r="A2932" t="s">
        <v>310</v>
      </c>
      <c r="B2932" t="s">
        <v>311</v>
      </c>
      <c r="C2932" t="s">
        <v>269</v>
      </c>
      <c r="D2932" t="s">
        <v>26</v>
      </c>
      <c r="E2932" t="s">
        <v>30</v>
      </c>
      <c r="F2932">
        <v>2029</v>
      </c>
      <c r="G2932">
        <v>3774199.7629999998</v>
      </c>
      <c r="H2932">
        <v>3774199.7629999998</v>
      </c>
      <c r="I2932">
        <v>1</v>
      </c>
    </row>
    <row r="2933" spans="1:9">
      <c r="A2933" t="s">
        <v>310</v>
      </c>
      <c r="B2933" t="s">
        <v>311</v>
      </c>
      <c r="C2933" t="s">
        <v>269</v>
      </c>
      <c r="D2933" t="s">
        <v>26</v>
      </c>
      <c r="E2933" t="s">
        <v>30</v>
      </c>
      <c r="F2933">
        <v>2030</v>
      </c>
      <c r="G2933">
        <v>3877920.27</v>
      </c>
      <c r="H2933">
        <v>3877920.27</v>
      </c>
      <c r="I2933">
        <v>1</v>
      </c>
    </row>
    <row r="2934" spans="1:9">
      <c r="A2934" t="s">
        <v>310</v>
      </c>
      <c r="B2934" t="s">
        <v>311</v>
      </c>
      <c r="C2934" t="s">
        <v>269</v>
      </c>
      <c r="D2934" t="s">
        <v>26</v>
      </c>
      <c r="E2934" t="s">
        <v>30</v>
      </c>
      <c r="F2934">
        <v>2031</v>
      </c>
      <c r="G2934">
        <v>3914650.469</v>
      </c>
      <c r="H2934">
        <v>3914650.469</v>
      </c>
      <c r="I2934">
        <v>1</v>
      </c>
    </row>
    <row r="2935" spans="1:9">
      <c r="A2935" t="s">
        <v>310</v>
      </c>
      <c r="B2935" t="s">
        <v>311</v>
      </c>
      <c r="C2935" t="s">
        <v>269</v>
      </c>
      <c r="D2935" t="s">
        <v>26</v>
      </c>
      <c r="E2935" t="s">
        <v>30</v>
      </c>
      <c r="F2935">
        <v>2032</v>
      </c>
      <c r="G2935">
        <v>4018310.2080000001</v>
      </c>
      <c r="H2935">
        <v>4018310.2080000001</v>
      </c>
      <c r="I2935">
        <v>1</v>
      </c>
    </row>
    <row r="2936" spans="1:9">
      <c r="A2936" t="s">
        <v>310</v>
      </c>
      <c r="B2936" t="s">
        <v>311</v>
      </c>
      <c r="C2936" t="s">
        <v>269</v>
      </c>
      <c r="D2936" t="s">
        <v>26</v>
      </c>
      <c r="E2936" t="s">
        <v>30</v>
      </c>
      <c r="F2936">
        <v>2033</v>
      </c>
      <c r="G2936">
        <v>4099183.4270000001</v>
      </c>
      <c r="H2936">
        <v>4099183.4270000001</v>
      </c>
      <c r="I2936">
        <v>1</v>
      </c>
    </row>
    <row r="2937" spans="1:9">
      <c r="A2937" t="s">
        <v>310</v>
      </c>
      <c r="B2937" t="s">
        <v>311</v>
      </c>
      <c r="C2937" t="s">
        <v>269</v>
      </c>
      <c r="D2937" t="s">
        <v>26</v>
      </c>
      <c r="E2937" t="s">
        <v>30</v>
      </c>
      <c r="F2937">
        <v>2034</v>
      </c>
      <c r="G2937">
        <v>4203214.67</v>
      </c>
      <c r="H2937">
        <v>4203214.67</v>
      </c>
      <c r="I2937">
        <v>1</v>
      </c>
    </row>
    <row r="2938" spans="1:9">
      <c r="A2938" t="s">
        <v>310</v>
      </c>
      <c r="B2938" t="s">
        <v>311</v>
      </c>
      <c r="C2938" t="s">
        <v>269</v>
      </c>
      <c r="D2938" t="s">
        <v>26</v>
      </c>
      <c r="E2938" t="s">
        <v>30</v>
      </c>
      <c r="F2938">
        <v>2035</v>
      </c>
      <c r="G2938">
        <v>4343239.0980000002</v>
      </c>
      <c r="H2938">
        <v>4343239.0980000002</v>
      </c>
      <c r="I2938">
        <v>1</v>
      </c>
    </row>
    <row r="2939" spans="1:9">
      <c r="A2939" t="s">
        <v>310</v>
      </c>
      <c r="B2939" t="s">
        <v>311</v>
      </c>
      <c r="C2939" t="s">
        <v>269</v>
      </c>
      <c r="D2939" t="s">
        <v>26</v>
      </c>
      <c r="E2939" t="s">
        <v>30</v>
      </c>
      <c r="F2939">
        <v>2036</v>
      </c>
      <c r="G2939">
        <v>4460393.4749999996</v>
      </c>
      <c r="H2939">
        <v>4460393.4749999996</v>
      </c>
      <c r="I2939">
        <v>1</v>
      </c>
    </row>
    <row r="2940" spans="1:9">
      <c r="A2940" t="s">
        <v>310</v>
      </c>
      <c r="B2940" t="s">
        <v>311</v>
      </c>
      <c r="C2940" t="s">
        <v>269</v>
      </c>
      <c r="D2940" t="s">
        <v>26</v>
      </c>
      <c r="E2940" t="s">
        <v>30</v>
      </c>
      <c r="F2940">
        <v>2037</v>
      </c>
      <c r="G2940">
        <v>4492836.6339999996</v>
      </c>
      <c r="H2940">
        <v>4492836.6339999996</v>
      </c>
      <c r="I2940">
        <v>1</v>
      </c>
    </row>
    <row r="2941" spans="1:9">
      <c r="A2941" t="s">
        <v>310</v>
      </c>
      <c r="B2941" t="s">
        <v>311</v>
      </c>
      <c r="C2941" t="s">
        <v>269</v>
      </c>
      <c r="D2941" t="s">
        <v>26</v>
      </c>
      <c r="E2941" t="s">
        <v>30</v>
      </c>
      <c r="F2941">
        <v>2038</v>
      </c>
      <c r="G2941">
        <v>4597470.2520000003</v>
      </c>
      <c r="H2941">
        <v>4597470.2520000003</v>
      </c>
      <c r="I2941">
        <v>1</v>
      </c>
    </row>
    <row r="2942" spans="1:9">
      <c r="A2942" t="s">
        <v>310</v>
      </c>
      <c r="B2942" t="s">
        <v>311</v>
      </c>
      <c r="C2942" t="s">
        <v>269</v>
      </c>
      <c r="D2942" t="s">
        <v>26</v>
      </c>
      <c r="E2942" t="s">
        <v>30</v>
      </c>
      <c r="F2942">
        <v>2039</v>
      </c>
      <c r="G2942">
        <v>4602083.6160000004</v>
      </c>
      <c r="H2942">
        <v>4602083.6160000004</v>
      </c>
      <c r="I2942">
        <v>1</v>
      </c>
    </row>
    <row r="2943" spans="1:9">
      <c r="A2943" t="s">
        <v>310</v>
      </c>
      <c r="B2943" t="s">
        <v>311</v>
      </c>
      <c r="C2943" t="s">
        <v>269</v>
      </c>
      <c r="D2943" t="s">
        <v>26</v>
      </c>
      <c r="E2943" t="s">
        <v>30</v>
      </c>
      <c r="F2943">
        <v>2040</v>
      </c>
      <c r="G2943">
        <v>4756149.3959999997</v>
      </c>
      <c r="H2943">
        <v>4756149.3959999997</v>
      </c>
      <c r="I2943">
        <v>1</v>
      </c>
    </row>
    <row r="2944" spans="1:9">
      <c r="A2944" t="s">
        <v>310</v>
      </c>
      <c r="B2944" t="s">
        <v>311</v>
      </c>
      <c r="C2944" t="s">
        <v>269</v>
      </c>
      <c r="D2944" t="s">
        <v>26</v>
      </c>
      <c r="E2944" t="s">
        <v>30</v>
      </c>
      <c r="F2944">
        <v>2041</v>
      </c>
      <c r="G2944">
        <v>4808922.5379999997</v>
      </c>
      <c r="H2944">
        <v>4808922.5379999997</v>
      </c>
      <c r="I2944">
        <v>1</v>
      </c>
    </row>
    <row r="2945" spans="1:9">
      <c r="A2945" t="s">
        <v>310</v>
      </c>
      <c r="B2945" t="s">
        <v>311</v>
      </c>
      <c r="C2945" t="s">
        <v>269</v>
      </c>
      <c r="D2945" t="s">
        <v>26</v>
      </c>
      <c r="E2945" t="s">
        <v>30</v>
      </c>
      <c r="F2945">
        <v>2042</v>
      </c>
      <c r="G2945">
        <v>4886244.6320000002</v>
      </c>
      <c r="H2945">
        <v>4886244.6320000002</v>
      </c>
      <c r="I2945">
        <v>1</v>
      </c>
    </row>
    <row r="2946" spans="1:9">
      <c r="A2946" t="s">
        <v>310</v>
      </c>
      <c r="B2946" t="s">
        <v>311</v>
      </c>
      <c r="C2946" t="s">
        <v>269</v>
      </c>
      <c r="D2946" t="s">
        <v>26</v>
      </c>
      <c r="E2946" t="s">
        <v>30</v>
      </c>
      <c r="F2946">
        <v>2043</v>
      </c>
      <c r="G2946">
        <v>4936625.87</v>
      </c>
      <c r="H2946">
        <v>4936625.87</v>
      </c>
      <c r="I2946">
        <v>1</v>
      </c>
    </row>
    <row r="2947" spans="1:9">
      <c r="A2947" t="s">
        <v>310</v>
      </c>
      <c r="B2947" t="s">
        <v>311</v>
      </c>
      <c r="C2947" t="s">
        <v>269</v>
      </c>
      <c r="D2947" t="s">
        <v>26</v>
      </c>
      <c r="E2947" t="s">
        <v>30</v>
      </c>
      <c r="F2947">
        <v>2044</v>
      </c>
      <c r="G2947">
        <v>5117485.8420000002</v>
      </c>
      <c r="H2947">
        <v>5117485.8420000002</v>
      </c>
      <c r="I2947">
        <v>1</v>
      </c>
    </row>
    <row r="2948" spans="1:9">
      <c r="A2948" t="s">
        <v>310</v>
      </c>
      <c r="B2948" t="s">
        <v>311</v>
      </c>
      <c r="C2948" t="s">
        <v>269</v>
      </c>
      <c r="D2948" t="s">
        <v>26</v>
      </c>
      <c r="E2948" t="s">
        <v>30</v>
      </c>
      <c r="F2948">
        <v>2045</v>
      </c>
      <c r="G2948">
        <v>5139614.1639999999</v>
      </c>
      <c r="H2948">
        <v>5139614.1639999999</v>
      </c>
      <c r="I2948">
        <v>1</v>
      </c>
    </row>
    <row r="2949" spans="1:9">
      <c r="A2949" t="s">
        <v>310</v>
      </c>
      <c r="B2949" t="s">
        <v>311</v>
      </c>
      <c r="C2949" t="s">
        <v>269</v>
      </c>
      <c r="D2949" t="s">
        <v>26</v>
      </c>
      <c r="E2949" t="s">
        <v>30</v>
      </c>
      <c r="F2949">
        <v>2046</v>
      </c>
      <c r="G2949">
        <v>5294064.1730000004</v>
      </c>
      <c r="H2949">
        <v>5294064.1730000004</v>
      </c>
      <c r="I2949">
        <v>1</v>
      </c>
    </row>
    <row r="2950" spans="1:9">
      <c r="A2950" t="s">
        <v>310</v>
      </c>
      <c r="B2950" t="s">
        <v>311</v>
      </c>
      <c r="C2950" t="s">
        <v>269</v>
      </c>
      <c r="D2950" t="s">
        <v>26</v>
      </c>
      <c r="E2950" t="s">
        <v>30</v>
      </c>
      <c r="F2950">
        <v>2047</v>
      </c>
      <c r="G2950">
        <v>5259044.5379999997</v>
      </c>
      <c r="H2950">
        <v>5259044.5379999997</v>
      </c>
      <c r="I2950">
        <v>1</v>
      </c>
    </row>
    <row r="2951" spans="1:9">
      <c r="A2951" t="s">
        <v>310</v>
      </c>
      <c r="B2951" t="s">
        <v>311</v>
      </c>
      <c r="C2951" t="s">
        <v>269</v>
      </c>
      <c r="D2951" t="s">
        <v>26</v>
      </c>
      <c r="E2951" t="s">
        <v>30</v>
      </c>
      <c r="F2951">
        <v>2048</v>
      </c>
      <c r="G2951">
        <v>5385032.1940000001</v>
      </c>
      <c r="H2951">
        <v>5385032.1940000001</v>
      </c>
      <c r="I2951">
        <v>1</v>
      </c>
    </row>
    <row r="2952" spans="1:9">
      <c r="A2952" t="s">
        <v>310</v>
      </c>
      <c r="B2952" t="s">
        <v>311</v>
      </c>
      <c r="C2952" t="s">
        <v>269</v>
      </c>
      <c r="D2952" t="s">
        <v>26</v>
      </c>
      <c r="E2952" t="s">
        <v>30</v>
      </c>
      <c r="F2952">
        <v>2049</v>
      </c>
      <c r="G2952">
        <v>5455592.2869999995</v>
      </c>
      <c r="H2952">
        <v>5455592.2869999995</v>
      </c>
      <c r="I2952">
        <v>1</v>
      </c>
    </row>
    <row r="2953" spans="1:9">
      <c r="A2953" t="s">
        <v>310</v>
      </c>
      <c r="B2953" t="s">
        <v>311</v>
      </c>
      <c r="C2953" t="s">
        <v>269</v>
      </c>
      <c r="D2953" t="s">
        <v>26</v>
      </c>
      <c r="E2953" t="s">
        <v>30</v>
      </c>
      <c r="F2953">
        <v>2050</v>
      </c>
      <c r="G2953">
        <v>5483246.9309999999</v>
      </c>
      <c r="H2953">
        <v>5483246.9309999999</v>
      </c>
      <c r="I2953">
        <v>1</v>
      </c>
    </row>
    <row r="2954" spans="1:9">
      <c r="A2954" t="s">
        <v>310</v>
      </c>
      <c r="B2954" t="s">
        <v>311</v>
      </c>
      <c r="C2954" t="s">
        <v>269</v>
      </c>
      <c r="D2954" t="s">
        <v>307</v>
      </c>
      <c r="E2954" t="s">
        <v>30</v>
      </c>
      <c r="F2954">
        <v>2010</v>
      </c>
      <c r="G2954">
        <v>7379297.5820000004</v>
      </c>
      <c r="H2954">
        <v>7379297.5820000004</v>
      </c>
      <c r="I2954">
        <v>1</v>
      </c>
    </row>
    <row r="2955" spans="1:9">
      <c r="A2955" t="s">
        <v>310</v>
      </c>
      <c r="B2955" t="s">
        <v>311</v>
      </c>
      <c r="C2955" t="s">
        <v>269</v>
      </c>
      <c r="D2955" t="s">
        <v>307</v>
      </c>
      <c r="E2955" t="s">
        <v>30</v>
      </c>
      <c r="F2955">
        <v>2011</v>
      </c>
      <c r="G2955">
        <v>7844189.324</v>
      </c>
      <c r="H2955">
        <v>7844189.324</v>
      </c>
      <c r="I2955">
        <v>1</v>
      </c>
    </row>
    <row r="2956" spans="1:9">
      <c r="A2956" t="s">
        <v>310</v>
      </c>
      <c r="B2956" t="s">
        <v>311</v>
      </c>
      <c r="C2956" t="s">
        <v>269</v>
      </c>
      <c r="D2956" t="s">
        <v>307</v>
      </c>
      <c r="E2956" t="s">
        <v>30</v>
      </c>
      <c r="F2956">
        <v>2012</v>
      </c>
      <c r="G2956">
        <v>8308404.392</v>
      </c>
      <c r="H2956">
        <v>8308404.392</v>
      </c>
      <c r="I2956">
        <v>1</v>
      </c>
    </row>
    <row r="2957" spans="1:9">
      <c r="A2957" t="s">
        <v>310</v>
      </c>
      <c r="B2957" t="s">
        <v>311</v>
      </c>
      <c r="C2957" t="s">
        <v>269</v>
      </c>
      <c r="D2957" t="s">
        <v>307</v>
      </c>
      <c r="E2957" t="s">
        <v>30</v>
      </c>
      <c r="F2957">
        <v>2013</v>
      </c>
      <c r="G2957">
        <v>8810076.2939999998</v>
      </c>
      <c r="H2957">
        <v>8810076.2939999998</v>
      </c>
      <c r="I2957">
        <v>1</v>
      </c>
    </row>
    <row r="2958" spans="1:9">
      <c r="A2958" t="s">
        <v>310</v>
      </c>
      <c r="B2958" t="s">
        <v>311</v>
      </c>
      <c r="C2958" t="s">
        <v>269</v>
      </c>
      <c r="D2958" t="s">
        <v>307</v>
      </c>
      <c r="E2958" t="s">
        <v>30</v>
      </c>
      <c r="F2958">
        <v>2014</v>
      </c>
      <c r="G2958">
        <v>9391329.5690000001</v>
      </c>
      <c r="H2958">
        <v>9391329.5690000001</v>
      </c>
      <c r="I2958">
        <v>1</v>
      </c>
    </row>
    <row r="2959" spans="1:9">
      <c r="A2959" t="s">
        <v>310</v>
      </c>
      <c r="B2959" t="s">
        <v>311</v>
      </c>
      <c r="C2959" t="s">
        <v>269</v>
      </c>
      <c r="D2959" t="s">
        <v>307</v>
      </c>
      <c r="E2959" t="s">
        <v>30</v>
      </c>
      <c r="F2959">
        <v>2015</v>
      </c>
      <c r="G2959">
        <v>10027445.58</v>
      </c>
      <c r="H2959">
        <v>10027445.58</v>
      </c>
      <c r="I2959">
        <v>1</v>
      </c>
    </row>
    <row r="2960" spans="1:9">
      <c r="A2960" t="s">
        <v>310</v>
      </c>
      <c r="B2960" t="s">
        <v>311</v>
      </c>
      <c r="C2960" t="s">
        <v>269</v>
      </c>
      <c r="D2960" t="s">
        <v>307</v>
      </c>
      <c r="E2960" t="s">
        <v>30</v>
      </c>
      <c r="F2960">
        <v>2016</v>
      </c>
      <c r="G2960">
        <v>10691491.720000001</v>
      </c>
      <c r="H2960">
        <v>10691491.720000001</v>
      </c>
      <c r="I2960">
        <v>1</v>
      </c>
    </row>
    <row r="2961" spans="1:9">
      <c r="A2961" t="s">
        <v>310</v>
      </c>
      <c r="B2961" t="s">
        <v>311</v>
      </c>
      <c r="C2961" t="s">
        <v>269</v>
      </c>
      <c r="D2961" t="s">
        <v>307</v>
      </c>
      <c r="E2961" t="s">
        <v>30</v>
      </c>
      <c r="F2961">
        <v>2017</v>
      </c>
      <c r="G2961">
        <v>11415460.01</v>
      </c>
      <c r="H2961">
        <v>11415460.01</v>
      </c>
      <c r="I2961">
        <v>1</v>
      </c>
    </row>
    <row r="2962" spans="1:9">
      <c r="A2962" t="s">
        <v>310</v>
      </c>
      <c r="B2962" t="s">
        <v>311</v>
      </c>
      <c r="C2962" t="s">
        <v>269</v>
      </c>
      <c r="D2962" t="s">
        <v>307</v>
      </c>
      <c r="E2962" t="s">
        <v>30</v>
      </c>
      <c r="F2962">
        <v>2018</v>
      </c>
      <c r="G2962">
        <v>12108070.789999999</v>
      </c>
      <c r="H2962">
        <v>12108070.789999999</v>
      </c>
      <c r="I2962">
        <v>1</v>
      </c>
    </row>
    <row r="2963" spans="1:9">
      <c r="A2963" t="s">
        <v>310</v>
      </c>
      <c r="B2963" t="s">
        <v>311</v>
      </c>
      <c r="C2963" t="s">
        <v>269</v>
      </c>
      <c r="D2963" t="s">
        <v>307</v>
      </c>
      <c r="E2963" t="s">
        <v>30</v>
      </c>
      <c r="F2963">
        <v>2019</v>
      </c>
      <c r="G2963">
        <v>12879345.73</v>
      </c>
      <c r="H2963">
        <v>12879345.73</v>
      </c>
      <c r="I2963">
        <v>1</v>
      </c>
    </row>
    <row r="2964" spans="1:9">
      <c r="A2964" t="s">
        <v>310</v>
      </c>
      <c r="B2964" t="s">
        <v>311</v>
      </c>
      <c r="C2964" t="s">
        <v>269</v>
      </c>
      <c r="D2964" t="s">
        <v>307</v>
      </c>
      <c r="E2964" t="s">
        <v>30</v>
      </c>
      <c r="F2964">
        <v>2020</v>
      </c>
      <c r="G2964">
        <v>13684435.4</v>
      </c>
      <c r="H2964">
        <v>13684435.4</v>
      </c>
      <c r="I2964">
        <v>1</v>
      </c>
    </row>
    <row r="2965" spans="1:9">
      <c r="A2965" t="s">
        <v>310</v>
      </c>
      <c r="B2965" t="s">
        <v>311</v>
      </c>
      <c r="C2965" t="s">
        <v>269</v>
      </c>
      <c r="D2965" t="s">
        <v>307</v>
      </c>
      <c r="E2965" t="s">
        <v>30</v>
      </c>
      <c r="F2965">
        <v>2021</v>
      </c>
      <c r="G2965">
        <v>14506879.369999999</v>
      </c>
      <c r="H2965">
        <v>14506879.369999999</v>
      </c>
      <c r="I2965">
        <v>1</v>
      </c>
    </row>
    <row r="2966" spans="1:9">
      <c r="A2966" t="s">
        <v>310</v>
      </c>
      <c r="B2966" t="s">
        <v>311</v>
      </c>
      <c r="C2966" t="s">
        <v>269</v>
      </c>
      <c r="D2966" t="s">
        <v>307</v>
      </c>
      <c r="E2966" t="s">
        <v>30</v>
      </c>
      <c r="F2966">
        <v>2022</v>
      </c>
      <c r="G2966">
        <v>15328001.109999999</v>
      </c>
      <c r="H2966">
        <v>15328001.109999999</v>
      </c>
      <c r="I2966">
        <v>1</v>
      </c>
    </row>
    <row r="2967" spans="1:9">
      <c r="A2967" t="s">
        <v>310</v>
      </c>
      <c r="B2967" t="s">
        <v>311</v>
      </c>
      <c r="C2967" t="s">
        <v>269</v>
      </c>
      <c r="D2967" t="s">
        <v>307</v>
      </c>
      <c r="E2967" t="s">
        <v>30</v>
      </c>
      <c r="F2967">
        <v>2023</v>
      </c>
      <c r="G2967">
        <v>16219201.050000001</v>
      </c>
      <c r="H2967">
        <v>16219201.050000001</v>
      </c>
      <c r="I2967">
        <v>1</v>
      </c>
    </row>
    <row r="2968" spans="1:9">
      <c r="A2968" t="s">
        <v>310</v>
      </c>
      <c r="B2968" t="s">
        <v>311</v>
      </c>
      <c r="C2968" t="s">
        <v>269</v>
      </c>
      <c r="D2968" t="s">
        <v>307</v>
      </c>
      <c r="E2968" t="s">
        <v>30</v>
      </c>
      <c r="F2968">
        <v>2024</v>
      </c>
      <c r="G2968">
        <v>17184883.719999999</v>
      </c>
      <c r="H2968">
        <v>17184883.719999999</v>
      </c>
      <c r="I2968">
        <v>1</v>
      </c>
    </row>
    <row r="2969" spans="1:9">
      <c r="A2969" t="s">
        <v>310</v>
      </c>
      <c r="B2969" t="s">
        <v>311</v>
      </c>
      <c r="C2969" t="s">
        <v>269</v>
      </c>
      <c r="D2969" t="s">
        <v>307</v>
      </c>
      <c r="E2969" t="s">
        <v>30</v>
      </c>
      <c r="F2969">
        <v>2025</v>
      </c>
      <c r="G2969">
        <v>17996293.760000002</v>
      </c>
      <c r="H2969">
        <v>17996293.760000002</v>
      </c>
      <c r="I2969">
        <v>1</v>
      </c>
    </row>
    <row r="2970" spans="1:9">
      <c r="A2970" t="s">
        <v>310</v>
      </c>
      <c r="B2970" t="s">
        <v>311</v>
      </c>
      <c r="C2970" t="s">
        <v>269</v>
      </c>
      <c r="D2970" t="s">
        <v>307</v>
      </c>
      <c r="E2970" t="s">
        <v>30</v>
      </c>
      <c r="F2970">
        <v>2026</v>
      </c>
      <c r="G2970">
        <v>19037616.190000001</v>
      </c>
      <c r="H2970">
        <v>19037616.190000001</v>
      </c>
      <c r="I2970">
        <v>1</v>
      </c>
    </row>
    <row r="2971" spans="1:9">
      <c r="A2971" t="s">
        <v>310</v>
      </c>
      <c r="B2971" t="s">
        <v>311</v>
      </c>
      <c r="C2971" t="s">
        <v>269</v>
      </c>
      <c r="D2971" t="s">
        <v>307</v>
      </c>
      <c r="E2971" t="s">
        <v>30</v>
      </c>
      <c r="F2971">
        <v>2027</v>
      </c>
      <c r="G2971">
        <v>19935650.469999999</v>
      </c>
      <c r="H2971">
        <v>19935650.469999999</v>
      </c>
      <c r="I2971">
        <v>1</v>
      </c>
    </row>
    <row r="2972" spans="1:9">
      <c r="A2972" t="s">
        <v>310</v>
      </c>
      <c r="B2972" t="s">
        <v>311</v>
      </c>
      <c r="C2972" t="s">
        <v>269</v>
      </c>
      <c r="D2972" t="s">
        <v>307</v>
      </c>
      <c r="E2972" t="s">
        <v>30</v>
      </c>
      <c r="F2972">
        <v>2028</v>
      </c>
      <c r="G2972">
        <v>21034827.309999999</v>
      </c>
      <c r="H2972">
        <v>21034827.309999999</v>
      </c>
      <c r="I2972">
        <v>1</v>
      </c>
    </row>
    <row r="2973" spans="1:9">
      <c r="A2973" t="s">
        <v>310</v>
      </c>
      <c r="B2973" t="s">
        <v>311</v>
      </c>
      <c r="C2973" t="s">
        <v>269</v>
      </c>
      <c r="D2973" t="s">
        <v>307</v>
      </c>
      <c r="E2973" t="s">
        <v>30</v>
      </c>
      <c r="F2973">
        <v>2029</v>
      </c>
      <c r="G2973">
        <v>22110158.170000002</v>
      </c>
      <c r="H2973">
        <v>22110158.170000002</v>
      </c>
      <c r="I2973">
        <v>1</v>
      </c>
    </row>
    <row r="2974" spans="1:9">
      <c r="A2974" t="s">
        <v>310</v>
      </c>
      <c r="B2974" t="s">
        <v>311</v>
      </c>
      <c r="C2974" t="s">
        <v>269</v>
      </c>
      <c r="D2974" t="s">
        <v>307</v>
      </c>
      <c r="E2974" t="s">
        <v>30</v>
      </c>
      <c r="F2974">
        <v>2030</v>
      </c>
      <c r="G2974">
        <v>23223629.059999999</v>
      </c>
      <c r="H2974">
        <v>23223629.059999999</v>
      </c>
      <c r="I2974">
        <v>1</v>
      </c>
    </row>
    <row r="2975" spans="1:9">
      <c r="A2975" t="s">
        <v>310</v>
      </c>
      <c r="B2975" t="s">
        <v>311</v>
      </c>
      <c r="C2975" t="s">
        <v>269</v>
      </c>
      <c r="D2975" t="s">
        <v>307</v>
      </c>
      <c r="E2975" t="s">
        <v>30</v>
      </c>
      <c r="F2975">
        <v>2031</v>
      </c>
      <c r="G2975">
        <v>24053878.969999999</v>
      </c>
      <c r="H2975">
        <v>24053878.969999999</v>
      </c>
      <c r="I2975">
        <v>1</v>
      </c>
    </row>
    <row r="2976" spans="1:9">
      <c r="A2976" t="s">
        <v>310</v>
      </c>
      <c r="B2976" t="s">
        <v>311</v>
      </c>
      <c r="C2976" t="s">
        <v>269</v>
      </c>
      <c r="D2976" t="s">
        <v>307</v>
      </c>
      <c r="E2976" t="s">
        <v>30</v>
      </c>
      <c r="F2976">
        <v>2032</v>
      </c>
      <c r="G2976">
        <v>25283929.010000002</v>
      </c>
      <c r="H2976">
        <v>25283929.010000002</v>
      </c>
      <c r="I2976">
        <v>1</v>
      </c>
    </row>
    <row r="2977" spans="1:9">
      <c r="A2977" t="s">
        <v>310</v>
      </c>
      <c r="B2977" t="s">
        <v>311</v>
      </c>
      <c r="C2977" t="s">
        <v>269</v>
      </c>
      <c r="D2977" t="s">
        <v>307</v>
      </c>
      <c r="E2977" t="s">
        <v>30</v>
      </c>
      <c r="F2977">
        <v>2033</v>
      </c>
      <c r="G2977">
        <v>26362288.140000001</v>
      </c>
      <c r="H2977">
        <v>26362288.140000001</v>
      </c>
      <c r="I2977">
        <v>1</v>
      </c>
    </row>
    <row r="2978" spans="1:9">
      <c r="A2978" t="s">
        <v>310</v>
      </c>
      <c r="B2978" t="s">
        <v>311</v>
      </c>
      <c r="C2978" t="s">
        <v>269</v>
      </c>
      <c r="D2978" t="s">
        <v>307</v>
      </c>
      <c r="E2978" t="s">
        <v>30</v>
      </c>
      <c r="F2978">
        <v>2034</v>
      </c>
      <c r="G2978">
        <v>27473406.48</v>
      </c>
      <c r="H2978">
        <v>27473406.48</v>
      </c>
      <c r="I2978">
        <v>1</v>
      </c>
    </row>
    <row r="2979" spans="1:9">
      <c r="A2979" t="s">
        <v>310</v>
      </c>
      <c r="B2979" t="s">
        <v>311</v>
      </c>
      <c r="C2979" t="s">
        <v>269</v>
      </c>
      <c r="D2979" t="s">
        <v>307</v>
      </c>
      <c r="E2979" t="s">
        <v>30</v>
      </c>
      <c r="F2979">
        <v>2035</v>
      </c>
      <c r="G2979">
        <v>28771319.23</v>
      </c>
      <c r="H2979">
        <v>28771319.23</v>
      </c>
      <c r="I2979">
        <v>1</v>
      </c>
    </row>
    <row r="2980" spans="1:9">
      <c r="A2980" t="s">
        <v>310</v>
      </c>
      <c r="B2980" t="s">
        <v>311</v>
      </c>
      <c r="C2980" t="s">
        <v>269</v>
      </c>
      <c r="D2980" t="s">
        <v>307</v>
      </c>
      <c r="E2980" t="s">
        <v>30</v>
      </c>
      <c r="F2980">
        <v>2036</v>
      </c>
      <c r="G2980">
        <v>29874504.68</v>
      </c>
      <c r="H2980">
        <v>29874504.68</v>
      </c>
      <c r="I2980">
        <v>1</v>
      </c>
    </row>
    <row r="2981" spans="1:9">
      <c r="A2981" t="s">
        <v>310</v>
      </c>
      <c r="B2981" t="s">
        <v>311</v>
      </c>
      <c r="C2981" t="s">
        <v>269</v>
      </c>
      <c r="D2981" t="s">
        <v>307</v>
      </c>
      <c r="E2981" t="s">
        <v>30</v>
      </c>
      <c r="F2981">
        <v>2037</v>
      </c>
      <c r="G2981">
        <v>31331234.100000001</v>
      </c>
      <c r="H2981">
        <v>31331234.100000001</v>
      </c>
      <c r="I2981">
        <v>1</v>
      </c>
    </row>
    <row r="2982" spans="1:9">
      <c r="A2982" t="s">
        <v>310</v>
      </c>
      <c r="B2982" t="s">
        <v>311</v>
      </c>
      <c r="C2982" t="s">
        <v>269</v>
      </c>
      <c r="D2982" t="s">
        <v>307</v>
      </c>
      <c r="E2982" t="s">
        <v>30</v>
      </c>
      <c r="F2982">
        <v>2038</v>
      </c>
      <c r="G2982">
        <v>32447997.309999999</v>
      </c>
      <c r="H2982">
        <v>32447997.309999999</v>
      </c>
      <c r="I2982">
        <v>1</v>
      </c>
    </row>
    <row r="2983" spans="1:9">
      <c r="A2983" t="s">
        <v>310</v>
      </c>
      <c r="B2983" t="s">
        <v>311</v>
      </c>
      <c r="C2983" t="s">
        <v>269</v>
      </c>
      <c r="D2983" t="s">
        <v>307</v>
      </c>
      <c r="E2983" t="s">
        <v>30</v>
      </c>
      <c r="F2983">
        <v>2039</v>
      </c>
      <c r="G2983">
        <v>33763422.799999997</v>
      </c>
      <c r="H2983">
        <v>33763422.799999997</v>
      </c>
      <c r="I2983">
        <v>1</v>
      </c>
    </row>
    <row r="2984" spans="1:9">
      <c r="A2984" t="s">
        <v>310</v>
      </c>
      <c r="B2984" t="s">
        <v>311</v>
      </c>
      <c r="C2984" t="s">
        <v>269</v>
      </c>
      <c r="D2984" t="s">
        <v>307</v>
      </c>
      <c r="E2984" t="s">
        <v>30</v>
      </c>
      <c r="F2984">
        <v>2040</v>
      </c>
      <c r="G2984">
        <v>34883651.329999998</v>
      </c>
      <c r="H2984">
        <v>34883651.329999998</v>
      </c>
      <c r="I2984">
        <v>1</v>
      </c>
    </row>
    <row r="2985" spans="1:9">
      <c r="A2985" t="s">
        <v>310</v>
      </c>
      <c r="B2985" t="s">
        <v>311</v>
      </c>
      <c r="C2985" t="s">
        <v>269</v>
      </c>
      <c r="D2985" t="s">
        <v>307</v>
      </c>
      <c r="E2985" t="s">
        <v>30</v>
      </c>
      <c r="F2985">
        <v>2041</v>
      </c>
      <c r="G2985">
        <v>36388184.450000003</v>
      </c>
      <c r="H2985">
        <v>36388184.450000003</v>
      </c>
      <c r="I2985">
        <v>1</v>
      </c>
    </row>
    <row r="2986" spans="1:9">
      <c r="A2986" t="s">
        <v>310</v>
      </c>
      <c r="B2986" t="s">
        <v>311</v>
      </c>
      <c r="C2986" t="s">
        <v>269</v>
      </c>
      <c r="D2986" t="s">
        <v>307</v>
      </c>
      <c r="E2986" t="s">
        <v>30</v>
      </c>
      <c r="F2986">
        <v>2042</v>
      </c>
      <c r="G2986">
        <v>37845407.450000003</v>
      </c>
      <c r="H2986">
        <v>37845407.450000003</v>
      </c>
      <c r="I2986">
        <v>1</v>
      </c>
    </row>
    <row r="2987" spans="1:9">
      <c r="A2987" t="s">
        <v>310</v>
      </c>
      <c r="B2987" t="s">
        <v>311</v>
      </c>
      <c r="C2987" t="s">
        <v>269</v>
      </c>
      <c r="D2987" t="s">
        <v>307</v>
      </c>
      <c r="E2987" t="s">
        <v>30</v>
      </c>
      <c r="F2987">
        <v>2043</v>
      </c>
      <c r="G2987">
        <v>39155144.619999997</v>
      </c>
      <c r="H2987">
        <v>39155144.619999997</v>
      </c>
      <c r="I2987">
        <v>1</v>
      </c>
    </row>
    <row r="2988" spans="1:9">
      <c r="A2988" t="s">
        <v>310</v>
      </c>
      <c r="B2988" t="s">
        <v>311</v>
      </c>
      <c r="C2988" t="s">
        <v>269</v>
      </c>
      <c r="D2988" t="s">
        <v>307</v>
      </c>
      <c r="E2988" t="s">
        <v>30</v>
      </c>
      <c r="F2988">
        <v>2044</v>
      </c>
      <c r="G2988">
        <v>40368238.890000001</v>
      </c>
      <c r="H2988">
        <v>40368238.890000001</v>
      </c>
      <c r="I2988">
        <v>1</v>
      </c>
    </row>
    <row r="2989" spans="1:9">
      <c r="A2989" t="s">
        <v>310</v>
      </c>
      <c r="B2989" t="s">
        <v>311</v>
      </c>
      <c r="C2989" t="s">
        <v>269</v>
      </c>
      <c r="D2989" t="s">
        <v>307</v>
      </c>
      <c r="E2989" t="s">
        <v>30</v>
      </c>
      <c r="F2989">
        <v>2045</v>
      </c>
      <c r="G2989">
        <v>42001458.880000003</v>
      </c>
      <c r="H2989">
        <v>42001458.880000003</v>
      </c>
      <c r="I2989">
        <v>1</v>
      </c>
    </row>
    <row r="2990" spans="1:9">
      <c r="A2990" t="s">
        <v>310</v>
      </c>
      <c r="B2990" t="s">
        <v>311</v>
      </c>
      <c r="C2990" t="s">
        <v>269</v>
      </c>
      <c r="D2990" t="s">
        <v>307</v>
      </c>
      <c r="E2990" t="s">
        <v>30</v>
      </c>
      <c r="F2990">
        <v>2046</v>
      </c>
      <c r="G2990">
        <v>43275521.649999999</v>
      </c>
      <c r="H2990">
        <v>43275521.649999999</v>
      </c>
      <c r="I2990">
        <v>1</v>
      </c>
    </row>
    <row r="2991" spans="1:9">
      <c r="A2991" t="s">
        <v>310</v>
      </c>
      <c r="B2991" t="s">
        <v>311</v>
      </c>
      <c r="C2991" t="s">
        <v>269</v>
      </c>
      <c r="D2991" t="s">
        <v>307</v>
      </c>
      <c r="E2991" t="s">
        <v>30</v>
      </c>
      <c r="F2991">
        <v>2047</v>
      </c>
      <c r="G2991">
        <v>44851218.009999998</v>
      </c>
      <c r="H2991">
        <v>44851218.009999998</v>
      </c>
      <c r="I2991">
        <v>1</v>
      </c>
    </row>
    <row r="2992" spans="1:9">
      <c r="A2992" t="s">
        <v>310</v>
      </c>
      <c r="B2992" t="s">
        <v>311</v>
      </c>
      <c r="C2992" t="s">
        <v>269</v>
      </c>
      <c r="D2992" t="s">
        <v>307</v>
      </c>
      <c r="E2992" t="s">
        <v>30</v>
      </c>
      <c r="F2992">
        <v>2048</v>
      </c>
      <c r="G2992">
        <v>46395648.43</v>
      </c>
      <c r="H2992">
        <v>46395648.43</v>
      </c>
      <c r="I2992">
        <v>1</v>
      </c>
    </row>
    <row r="2993" spans="1:9">
      <c r="A2993" t="s">
        <v>310</v>
      </c>
      <c r="B2993" t="s">
        <v>311</v>
      </c>
      <c r="C2993" t="s">
        <v>269</v>
      </c>
      <c r="D2993" t="s">
        <v>307</v>
      </c>
      <c r="E2993" t="s">
        <v>30</v>
      </c>
      <c r="F2993">
        <v>2049</v>
      </c>
      <c r="G2993">
        <v>47543767.859999999</v>
      </c>
      <c r="H2993">
        <v>47543767.859999999</v>
      </c>
      <c r="I2993">
        <v>1</v>
      </c>
    </row>
    <row r="2994" spans="1:9">
      <c r="A2994" t="s">
        <v>310</v>
      </c>
      <c r="B2994" t="s">
        <v>311</v>
      </c>
      <c r="C2994" t="s">
        <v>269</v>
      </c>
      <c r="D2994" t="s">
        <v>307</v>
      </c>
      <c r="E2994" t="s">
        <v>30</v>
      </c>
      <c r="F2994">
        <v>2050</v>
      </c>
      <c r="G2994">
        <v>49151785.409999996</v>
      </c>
      <c r="H2994">
        <v>49151785.409999996</v>
      </c>
      <c r="I2994">
        <v>1</v>
      </c>
    </row>
    <row r="2995" spans="1:9">
      <c r="A2995" t="s">
        <v>310</v>
      </c>
      <c r="B2995" t="s">
        <v>311</v>
      </c>
      <c r="C2995" t="s">
        <v>269</v>
      </c>
      <c r="D2995" t="s">
        <v>25</v>
      </c>
      <c r="E2995" t="s">
        <v>46</v>
      </c>
      <c r="F2995">
        <v>2010</v>
      </c>
      <c r="G2995">
        <v>0</v>
      </c>
      <c r="H2995">
        <v>0</v>
      </c>
      <c r="I2995">
        <v>1</v>
      </c>
    </row>
    <row r="2996" spans="1:9">
      <c r="A2996" t="s">
        <v>310</v>
      </c>
      <c r="B2996" t="s">
        <v>311</v>
      </c>
      <c r="C2996" t="s">
        <v>269</v>
      </c>
      <c r="D2996" t="s">
        <v>25</v>
      </c>
      <c r="E2996" t="s">
        <v>46</v>
      </c>
      <c r="F2996">
        <v>2011</v>
      </c>
      <c r="G2996">
        <v>0</v>
      </c>
      <c r="H2996">
        <v>0</v>
      </c>
      <c r="I2996">
        <v>1</v>
      </c>
    </row>
    <row r="2997" spans="1:9">
      <c r="A2997" t="s">
        <v>310</v>
      </c>
      <c r="B2997" t="s">
        <v>311</v>
      </c>
      <c r="C2997" t="s">
        <v>269</v>
      </c>
      <c r="D2997" t="s">
        <v>25</v>
      </c>
      <c r="E2997" t="s">
        <v>46</v>
      </c>
      <c r="F2997">
        <v>2012</v>
      </c>
      <c r="G2997">
        <v>0</v>
      </c>
      <c r="H2997">
        <v>0</v>
      </c>
      <c r="I2997">
        <v>1</v>
      </c>
    </row>
    <row r="2998" spans="1:9">
      <c r="A2998" t="s">
        <v>310</v>
      </c>
      <c r="B2998" t="s">
        <v>311</v>
      </c>
      <c r="C2998" t="s">
        <v>269</v>
      </c>
      <c r="D2998" t="s">
        <v>25</v>
      </c>
      <c r="E2998" t="s">
        <v>46</v>
      </c>
      <c r="F2998">
        <v>2013</v>
      </c>
      <c r="G2998">
        <v>0</v>
      </c>
      <c r="H2998">
        <v>0</v>
      </c>
      <c r="I2998">
        <v>1</v>
      </c>
    </row>
    <row r="2999" spans="1:9">
      <c r="A2999" t="s">
        <v>310</v>
      </c>
      <c r="B2999" t="s">
        <v>311</v>
      </c>
      <c r="C2999" t="s">
        <v>269</v>
      </c>
      <c r="D2999" t="s">
        <v>25</v>
      </c>
      <c r="E2999" t="s">
        <v>46</v>
      </c>
      <c r="F2999">
        <v>2014</v>
      </c>
      <c r="G2999">
        <v>0</v>
      </c>
      <c r="H2999">
        <v>0</v>
      </c>
      <c r="I2999">
        <v>1</v>
      </c>
    </row>
    <row r="3000" spans="1:9">
      <c r="A3000" t="s">
        <v>310</v>
      </c>
      <c r="B3000" t="s">
        <v>311</v>
      </c>
      <c r="C3000" t="s">
        <v>269</v>
      </c>
      <c r="D3000" t="s">
        <v>25</v>
      </c>
      <c r="E3000" t="s">
        <v>46</v>
      </c>
      <c r="F3000">
        <v>2015</v>
      </c>
      <c r="G3000">
        <v>0</v>
      </c>
      <c r="H3000">
        <v>0</v>
      </c>
      <c r="I3000">
        <v>1</v>
      </c>
    </row>
    <row r="3001" spans="1:9">
      <c r="A3001" t="s">
        <v>310</v>
      </c>
      <c r="B3001" t="s">
        <v>311</v>
      </c>
      <c r="C3001" t="s">
        <v>269</v>
      </c>
      <c r="D3001" t="s">
        <v>25</v>
      </c>
      <c r="E3001" t="s">
        <v>46</v>
      </c>
      <c r="F3001">
        <v>2016</v>
      </c>
      <c r="G3001">
        <v>0</v>
      </c>
      <c r="H3001">
        <v>0</v>
      </c>
      <c r="I3001">
        <v>1</v>
      </c>
    </row>
    <row r="3002" spans="1:9">
      <c r="A3002" t="s">
        <v>310</v>
      </c>
      <c r="B3002" t="s">
        <v>311</v>
      </c>
      <c r="C3002" t="s">
        <v>269</v>
      </c>
      <c r="D3002" t="s">
        <v>25</v>
      </c>
      <c r="E3002" t="s">
        <v>46</v>
      </c>
      <c r="F3002">
        <v>2017</v>
      </c>
      <c r="G3002">
        <v>0</v>
      </c>
      <c r="H3002">
        <v>0</v>
      </c>
      <c r="I3002">
        <v>1</v>
      </c>
    </row>
    <row r="3003" spans="1:9">
      <c r="A3003" t="s">
        <v>310</v>
      </c>
      <c r="B3003" t="s">
        <v>311</v>
      </c>
      <c r="C3003" t="s">
        <v>269</v>
      </c>
      <c r="D3003" t="s">
        <v>25</v>
      </c>
      <c r="E3003" t="s">
        <v>46</v>
      </c>
      <c r="F3003">
        <v>2018</v>
      </c>
      <c r="G3003">
        <v>0</v>
      </c>
      <c r="H3003">
        <v>0</v>
      </c>
      <c r="I3003">
        <v>1</v>
      </c>
    </row>
    <row r="3004" spans="1:9">
      <c r="A3004" t="s">
        <v>310</v>
      </c>
      <c r="B3004" t="s">
        <v>311</v>
      </c>
      <c r="C3004" t="s">
        <v>269</v>
      </c>
      <c r="D3004" t="s">
        <v>25</v>
      </c>
      <c r="E3004" t="s">
        <v>46</v>
      </c>
      <c r="F3004">
        <v>2019</v>
      </c>
      <c r="G3004">
        <v>0</v>
      </c>
      <c r="H3004">
        <v>0</v>
      </c>
      <c r="I3004">
        <v>1</v>
      </c>
    </row>
    <row r="3005" spans="1:9">
      <c r="A3005" t="s">
        <v>310</v>
      </c>
      <c r="B3005" t="s">
        <v>311</v>
      </c>
      <c r="C3005" t="s">
        <v>269</v>
      </c>
      <c r="D3005" t="s">
        <v>25</v>
      </c>
      <c r="E3005" t="s">
        <v>46</v>
      </c>
      <c r="F3005">
        <v>2020</v>
      </c>
      <c r="G3005">
        <v>0</v>
      </c>
      <c r="H3005">
        <v>0</v>
      </c>
      <c r="I3005">
        <v>1</v>
      </c>
    </row>
    <row r="3006" spans="1:9">
      <c r="A3006" t="s">
        <v>310</v>
      </c>
      <c r="B3006" t="s">
        <v>311</v>
      </c>
      <c r="C3006" t="s">
        <v>269</v>
      </c>
      <c r="D3006" t="s">
        <v>25</v>
      </c>
      <c r="E3006" t="s">
        <v>46</v>
      </c>
      <c r="F3006">
        <v>2021</v>
      </c>
      <c r="G3006">
        <v>0</v>
      </c>
      <c r="H3006">
        <v>0</v>
      </c>
      <c r="I3006">
        <v>1</v>
      </c>
    </row>
    <row r="3007" spans="1:9">
      <c r="A3007" t="s">
        <v>310</v>
      </c>
      <c r="B3007" t="s">
        <v>311</v>
      </c>
      <c r="C3007" t="s">
        <v>269</v>
      </c>
      <c r="D3007" t="s">
        <v>25</v>
      </c>
      <c r="E3007" t="s">
        <v>46</v>
      </c>
      <c r="F3007">
        <v>2022</v>
      </c>
      <c r="G3007">
        <v>0</v>
      </c>
      <c r="H3007">
        <v>0</v>
      </c>
      <c r="I3007">
        <v>1</v>
      </c>
    </row>
    <row r="3008" spans="1:9">
      <c r="A3008" t="s">
        <v>310</v>
      </c>
      <c r="B3008" t="s">
        <v>311</v>
      </c>
      <c r="C3008" t="s">
        <v>269</v>
      </c>
      <c r="D3008" t="s">
        <v>25</v>
      </c>
      <c r="E3008" t="s">
        <v>46</v>
      </c>
      <c r="F3008">
        <v>2023</v>
      </c>
      <c r="G3008">
        <v>0</v>
      </c>
      <c r="H3008">
        <v>0</v>
      </c>
      <c r="I3008">
        <v>1</v>
      </c>
    </row>
    <row r="3009" spans="1:9">
      <c r="A3009" t="s">
        <v>310</v>
      </c>
      <c r="B3009" t="s">
        <v>311</v>
      </c>
      <c r="C3009" t="s">
        <v>269</v>
      </c>
      <c r="D3009" t="s">
        <v>25</v>
      </c>
      <c r="E3009" t="s">
        <v>46</v>
      </c>
      <c r="F3009">
        <v>2024</v>
      </c>
      <c r="G3009">
        <v>0</v>
      </c>
      <c r="H3009">
        <v>0</v>
      </c>
      <c r="I3009">
        <v>1</v>
      </c>
    </row>
    <row r="3010" spans="1:9">
      <c r="A3010" t="s">
        <v>310</v>
      </c>
      <c r="B3010" t="s">
        <v>311</v>
      </c>
      <c r="C3010" t="s">
        <v>269</v>
      </c>
      <c r="D3010" t="s">
        <v>25</v>
      </c>
      <c r="E3010" t="s">
        <v>46</v>
      </c>
      <c r="F3010">
        <v>2025</v>
      </c>
      <c r="G3010">
        <v>0</v>
      </c>
      <c r="H3010">
        <v>0</v>
      </c>
      <c r="I3010">
        <v>1</v>
      </c>
    </row>
    <row r="3011" spans="1:9">
      <c r="A3011" t="s">
        <v>310</v>
      </c>
      <c r="B3011" t="s">
        <v>311</v>
      </c>
      <c r="C3011" t="s">
        <v>269</v>
      </c>
      <c r="D3011" t="s">
        <v>25</v>
      </c>
      <c r="E3011" t="s">
        <v>46</v>
      </c>
      <c r="F3011">
        <v>2026</v>
      </c>
      <c r="G3011">
        <v>0</v>
      </c>
      <c r="H3011">
        <v>0</v>
      </c>
      <c r="I3011">
        <v>1</v>
      </c>
    </row>
    <row r="3012" spans="1:9">
      <c r="A3012" t="s">
        <v>310</v>
      </c>
      <c r="B3012" t="s">
        <v>311</v>
      </c>
      <c r="C3012" t="s">
        <v>269</v>
      </c>
      <c r="D3012" t="s">
        <v>25</v>
      </c>
      <c r="E3012" t="s">
        <v>46</v>
      </c>
      <c r="F3012">
        <v>2027</v>
      </c>
      <c r="G3012">
        <v>0</v>
      </c>
      <c r="H3012">
        <v>0</v>
      </c>
      <c r="I3012">
        <v>1</v>
      </c>
    </row>
    <row r="3013" spans="1:9">
      <c r="A3013" t="s">
        <v>310</v>
      </c>
      <c r="B3013" t="s">
        <v>311</v>
      </c>
      <c r="C3013" t="s">
        <v>269</v>
      </c>
      <c r="D3013" t="s">
        <v>25</v>
      </c>
      <c r="E3013" t="s">
        <v>46</v>
      </c>
      <c r="F3013">
        <v>2028</v>
      </c>
      <c r="G3013">
        <v>0</v>
      </c>
      <c r="H3013">
        <v>0</v>
      </c>
      <c r="I3013">
        <v>1</v>
      </c>
    </row>
    <row r="3014" spans="1:9">
      <c r="A3014" t="s">
        <v>310</v>
      </c>
      <c r="B3014" t="s">
        <v>311</v>
      </c>
      <c r="C3014" t="s">
        <v>269</v>
      </c>
      <c r="D3014" t="s">
        <v>25</v>
      </c>
      <c r="E3014" t="s">
        <v>46</v>
      </c>
      <c r="F3014">
        <v>2029</v>
      </c>
      <c r="G3014">
        <v>0</v>
      </c>
      <c r="H3014">
        <v>0</v>
      </c>
      <c r="I3014">
        <v>1</v>
      </c>
    </row>
    <row r="3015" spans="1:9">
      <c r="A3015" t="s">
        <v>310</v>
      </c>
      <c r="B3015" t="s">
        <v>311</v>
      </c>
      <c r="C3015" t="s">
        <v>269</v>
      </c>
      <c r="D3015" t="s">
        <v>25</v>
      </c>
      <c r="E3015" t="s">
        <v>46</v>
      </c>
      <c r="F3015">
        <v>2030</v>
      </c>
      <c r="G3015">
        <v>0</v>
      </c>
      <c r="H3015">
        <v>0</v>
      </c>
      <c r="I3015">
        <v>1</v>
      </c>
    </row>
    <row r="3016" spans="1:9">
      <c r="A3016" t="s">
        <v>310</v>
      </c>
      <c r="B3016" t="s">
        <v>311</v>
      </c>
      <c r="C3016" t="s">
        <v>269</v>
      </c>
      <c r="D3016" t="s">
        <v>25</v>
      </c>
      <c r="E3016" t="s">
        <v>46</v>
      </c>
      <c r="F3016">
        <v>2031</v>
      </c>
      <c r="G3016">
        <v>0</v>
      </c>
      <c r="H3016">
        <v>0</v>
      </c>
      <c r="I3016">
        <v>1</v>
      </c>
    </row>
    <row r="3017" spans="1:9">
      <c r="A3017" t="s">
        <v>310</v>
      </c>
      <c r="B3017" t="s">
        <v>311</v>
      </c>
      <c r="C3017" t="s">
        <v>269</v>
      </c>
      <c r="D3017" t="s">
        <v>25</v>
      </c>
      <c r="E3017" t="s">
        <v>46</v>
      </c>
      <c r="F3017">
        <v>2032</v>
      </c>
      <c r="G3017">
        <v>0</v>
      </c>
      <c r="H3017">
        <v>0</v>
      </c>
      <c r="I3017">
        <v>1</v>
      </c>
    </row>
    <row r="3018" spans="1:9">
      <c r="A3018" t="s">
        <v>310</v>
      </c>
      <c r="B3018" t="s">
        <v>311</v>
      </c>
      <c r="C3018" t="s">
        <v>269</v>
      </c>
      <c r="D3018" t="s">
        <v>25</v>
      </c>
      <c r="E3018" t="s">
        <v>46</v>
      </c>
      <c r="F3018">
        <v>2033</v>
      </c>
      <c r="G3018">
        <v>0</v>
      </c>
      <c r="H3018">
        <v>0</v>
      </c>
      <c r="I3018">
        <v>1</v>
      </c>
    </row>
    <row r="3019" spans="1:9">
      <c r="A3019" t="s">
        <v>310</v>
      </c>
      <c r="B3019" t="s">
        <v>311</v>
      </c>
      <c r="C3019" t="s">
        <v>269</v>
      </c>
      <c r="D3019" t="s">
        <v>25</v>
      </c>
      <c r="E3019" t="s">
        <v>46</v>
      </c>
      <c r="F3019">
        <v>2034</v>
      </c>
      <c r="G3019">
        <v>0</v>
      </c>
      <c r="H3019">
        <v>0</v>
      </c>
      <c r="I3019">
        <v>1</v>
      </c>
    </row>
    <row r="3020" spans="1:9">
      <c r="A3020" t="s">
        <v>310</v>
      </c>
      <c r="B3020" t="s">
        <v>311</v>
      </c>
      <c r="C3020" t="s">
        <v>269</v>
      </c>
      <c r="D3020" t="s">
        <v>25</v>
      </c>
      <c r="E3020" t="s">
        <v>46</v>
      </c>
      <c r="F3020">
        <v>2035</v>
      </c>
      <c r="G3020">
        <v>4669.7638299999999</v>
      </c>
      <c r="H3020">
        <v>4669.7638299999999</v>
      </c>
      <c r="I3020">
        <v>1</v>
      </c>
    </row>
    <row r="3021" spans="1:9">
      <c r="A3021" t="s">
        <v>310</v>
      </c>
      <c r="B3021" t="s">
        <v>311</v>
      </c>
      <c r="C3021" t="s">
        <v>269</v>
      </c>
      <c r="D3021" t="s">
        <v>25</v>
      </c>
      <c r="E3021" t="s">
        <v>46</v>
      </c>
      <c r="F3021">
        <v>2036</v>
      </c>
      <c r="G3021">
        <v>0</v>
      </c>
      <c r="H3021">
        <v>0</v>
      </c>
      <c r="I3021">
        <v>1</v>
      </c>
    </row>
    <row r="3022" spans="1:9">
      <c r="A3022" t="s">
        <v>310</v>
      </c>
      <c r="B3022" t="s">
        <v>311</v>
      </c>
      <c r="C3022" t="s">
        <v>269</v>
      </c>
      <c r="D3022" t="s">
        <v>25</v>
      </c>
      <c r="E3022" t="s">
        <v>46</v>
      </c>
      <c r="F3022">
        <v>2037</v>
      </c>
      <c r="G3022">
        <v>0</v>
      </c>
      <c r="H3022">
        <v>0</v>
      </c>
      <c r="I3022">
        <v>1</v>
      </c>
    </row>
    <row r="3023" spans="1:9">
      <c r="A3023" t="s">
        <v>310</v>
      </c>
      <c r="B3023" t="s">
        <v>311</v>
      </c>
      <c r="C3023" t="s">
        <v>269</v>
      </c>
      <c r="D3023" t="s">
        <v>25</v>
      </c>
      <c r="E3023" t="s">
        <v>46</v>
      </c>
      <c r="F3023">
        <v>2038</v>
      </c>
      <c r="G3023">
        <v>5217.1400450000001</v>
      </c>
      <c r="H3023">
        <v>5217.1400450000001</v>
      </c>
      <c r="I3023">
        <v>1</v>
      </c>
    </row>
    <row r="3024" spans="1:9">
      <c r="A3024" t="s">
        <v>310</v>
      </c>
      <c r="B3024" t="s">
        <v>311</v>
      </c>
      <c r="C3024" t="s">
        <v>269</v>
      </c>
      <c r="D3024" t="s">
        <v>25</v>
      </c>
      <c r="E3024" t="s">
        <v>46</v>
      </c>
      <c r="F3024">
        <v>2039</v>
      </c>
      <c r="G3024">
        <v>0</v>
      </c>
      <c r="H3024">
        <v>0</v>
      </c>
      <c r="I3024">
        <v>1</v>
      </c>
    </row>
    <row r="3025" spans="1:9">
      <c r="A3025" t="s">
        <v>310</v>
      </c>
      <c r="B3025" t="s">
        <v>311</v>
      </c>
      <c r="C3025" t="s">
        <v>269</v>
      </c>
      <c r="D3025" t="s">
        <v>25</v>
      </c>
      <c r="E3025" t="s">
        <v>46</v>
      </c>
      <c r="F3025">
        <v>2040</v>
      </c>
      <c r="G3025">
        <v>5606.1207610000001</v>
      </c>
      <c r="H3025">
        <v>5606.1207610000001</v>
      </c>
      <c r="I3025">
        <v>1</v>
      </c>
    </row>
    <row r="3026" spans="1:9">
      <c r="A3026" t="s">
        <v>310</v>
      </c>
      <c r="B3026" t="s">
        <v>311</v>
      </c>
      <c r="C3026" t="s">
        <v>269</v>
      </c>
      <c r="D3026" t="s">
        <v>25</v>
      </c>
      <c r="E3026" t="s">
        <v>46</v>
      </c>
      <c r="F3026">
        <v>2041</v>
      </c>
      <c r="G3026">
        <v>0</v>
      </c>
      <c r="H3026">
        <v>0</v>
      </c>
      <c r="I3026">
        <v>1</v>
      </c>
    </row>
    <row r="3027" spans="1:9">
      <c r="A3027" t="s">
        <v>310</v>
      </c>
      <c r="B3027" t="s">
        <v>311</v>
      </c>
      <c r="C3027" t="s">
        <v>269</v>
      </c>
      <c r="D3027" t="s">
        <v>25</v>
      </c>
      <c r="E3027" t="s">
        <v>46</v>
      </c>
      <c r="F3027">
        <v>2042</v>
      </c>
      <c r="G3027">
        <v>0</v>
      </c>
      <c r="H3027">
        <v>0</v>
      </c>
      <c r="I3027">
        <v>1</v>
      </c>
    </row>
    <row r="3028" spans="1:9">
      <c r="A3028" t="s">
        <v>310</v>
      </c>
      <c r="B3028" t="s">
        <v>311</v>
      </c>
      <c r="C3028" t="s">
        <v>269</v>
      </c>
      <c r="D3028" t="s">
        <v>25</v>
      </c>
      <c r="E3028" t="s">
        <v>46</v>
      </c>
      <c r="F3028">
        <v>2043</v>
      </c>
      <c r="G3028">
        <v>0</v>
      </c>
      <c r="H3028">
        <v>0</v>
      </c>
      <c r="I3028">
        <v>1</v>
      </c>
    </row>
    <row r="3029" spans="1:9">
      <c r="A3029" t="s">
        <v>310</v>
      </c>
      <c r="B3029" t="s">
        <v>311</v>
      </c>
      <c r="C3029" t="s">
        <v>269</v>
      </c>
      <c r="D3029" t="s">
        <v>25</v>
      </c>
      <c r="E3029" t="s">
        <v>46</v>
      </c>
      <c r="F3029">
        <v>2044</v>
      </c>
      <c r="G3029">
        <v>0</v>
      </c>
      <c r="H3029">
        <v>0</v>
      </c>
      <c r="I3029">
        <v>1</v>
      </c>
    </row>
    <row r="3030" spans="1:9">
      <c r="A3030" t="s">
        <v>310</v>
      </c>
      <c r="B3030" t="s">
        <v>311</v>
      </c>
      <c r="C3030" t="s">
        <v>269</v>
      </c>
      <c r="D3030" t="s">
        <v>25</v>
      </c>
      <c r="E3030" t="s">
        <v>46</v>
      </c>
      <c r="F3030">
        <v>2045</v>
      </c>
      <c r="G3030">
        <v>6664.7484199999999</v>
      </c>
      <c r="H3030">
        <v>6664.7484199999999</v>
      </c>
      <c r="I3030">
        <v>1</v>
      </c>
    </row>
    <row r="3031" spans="1:9">
      <c r="A3031" t="s">
        <v>310</v>
      </c>
      <c r="B3031" t="s">
        <v>311</v>
      </c>
      <c r="C3031" t="s">
        <v>269</v>
      </c>
      <c r="D3031" t="s">
        <v>25</v>
      </c>
      <c r="E3031" t="s">
        <v>46</v>
      </c>
      <c r="F3031">
        <v>2046</v>
      </c>
      <c r="G3031">
        <v>6891.3238300000003</v>
      </c>
      <c r="H3031">
        <v>6891.3238300000003</v>
      </c>
      <c r="I3031">
        <v>1</v>
      </c>
    </row>
    <row r="3032" spans="1:9">
      <c r="A3032" t="s">
        <v>310</v>
      </c>
      <c r="B3032" t="s">
        <v>311</v>
      </c>
      <c r="C3032" t="s">
        <v>269</v>
      </c>
      <c r="D3032" t="s">
        <v>25</v>
      </c>
      <c r="E3032" t="s">
        <v>46</v>
      </c>
      <c r="F3032">
        <v>2047</v>
      </c>
      <c r="G3032">
        <v>7122.8528180000003</v>
      </c>
      <c r="H3032">
        <v>7122.8528180000003</v>
      </c>
      <c r="I3032">
        <v>1</v>
      </c>
    </row>
    <row r="3033" spans="1:9">
      <c r="A3033" t="s">
        <v>310</v>
      </c>
      <c r="B3033" t="s">
        <v>311</v>
      </c>
      <c r="C3033" t="s">
        <v>269</v>
      </c>
      <c r="D3033" t="s">
        <v>25</v>
      </c>
      <c r="E3033" t="s">
        <v>46</v>
      </c>
      <c r="F3033">
        <v>2048</v>
      </c>
      <c r="G3033">
        <v>7359.3605449999995</v>
      </c>
      <c r="H3033">
        <v>7359.3605449999995</v>
      </c>
      <c r="I3033">
        <v>1</v>
      </c>
    </row>
    <row r="3034" spans="1:9">
      <c r="A3034" t="s">
        <v>310</v>
      </c>
      <c r="B3034" t="s">
        <v>311</v>
      </c>
      <c r="C3034" t="s">
        <v>269</v>
      </c>
      <c r="D3034" t="s">
        <v>25</v>
      </c>
      <c r="E3034" t="s">
        <v>46</v>
      </c>
      <c r="F3034">
        <v>2049</v>
      </c>
      <c r="G3034">
        <v>3800.4397669999998</v>
      </c>
      <c r="H3034">
        <v>3800.4397669999998</v>
      </c>
      <c r="I3034">
        <v>1</v>
      </c>
    </row>
    <row r="3035" spans="1:9">
      <c r="A3035" t="s">
        <v>310</v>
      </c>
      <c r="B3035" t="s">
        <v>311</v>
      </c>
      <c r="C3035" t="s">
        <v>269</v>
      </c>
      <c r="D3035" t="s">
        <v>25</v>
      </c>
      <c r="E3035" t="s">
        <v>46</v>
      </c>
      <c r="F3035">
        <v>2050</v>
      </c>
      <c r="G3035">
        <v>7847.4211359999999</v>
      </c>
      <c r="H3035">
        <v>7847.4211359999999</v>
      </c>
      <c r="I3035">
        <v>1</v>
      </c>
    </row>
    <row r="3036" spans="1:9">
      <c r="A3036" t="s">
        <v>310</v>
      </c>
      <c r="B3036" t="s">
        <v>311</v>
      </c>
      <c r="C3036" t="s">
        <v>269</v>
      </c>
      <c r="D3036" t="s">
        <v>26</v>
      </c>
      <c r="E3036" t="s">
        <v>46</v>
      </c>
      <c r="F3036">
        <v>2010</v>
      </c>
      <c r="G3036">
        <v>0</v>
      </c>
      <c r="H3036">
        <v>0</v>
      </c>
      <c r="I3036">
        <v>1</v>
      </c>
    </row>
    <row r="3037" spans="1:9">
      <c r="A3037" t="s">
        <v>310</v>
      </c>
      <c r="B3037" t="s">
        <v>311</v>
      </c>
      <c r="C3037" t="s">
        <v>269</v>
      </c>
      <c r="D3037" t="s">
        <v>26</v>
      </c>
      <c r="E3037" t="s">
        <v>46</v>
      </c>
      <c r="F3037">
        <v>2011</v>
      </c>
      <c r="G3037">
        <v>0</v>
      </c>
      <c r="H3037">
        <v>0</v>
      </c>
      <c r="I3037">
        <v>1</v>
      </c>
    </row>
    <row r="3038" spans="1:9">
      <c r="A3038" t="s">
        <v>310</v>
      </c>
      <c r="B3038" t="s">
        <v>311</v>
      </c>
      <c r="C3038" t="s">
        <v>269</v>
      </c>
      <c r="D3038" t="s">
        <v>26</v>
      </c>
      <c r="E3038" t="s">
        <v>46</v>
      </c>
      <c r="F3038">
        <v>2012</v>
      </c>
      <c r="G3038">
        <v>0</v>
      </c>
      <c r="H3038">
        <v>0</v>
      </c>
      <c r="I3038">
        <v>1</v>
      </c>
    </row>
    <row r="3039" spans="1:9">
      <c r="A3039" t="s">
        <v>310</v>
      </c>
      <c r="B3039" t="s">
        <v>311</v>
      </c>
      <c r="C3039" t="s">
        <v>269</v>
      </c>
      <c r="D3039" t="s">
        <v>26</v>
      </c>
      <c r="E3039" t="s">
        <v>46</v>
      </c>
      <c r="F3039">
        <v>2013</v>
      </c>
      <c r="G3039">
        <v>0</v>
      </c>
      <c r="H3039">
        <v>0</v>
      </c>
      <c r="I3039">
        <v>1</v>
      </c>
    </row>
    <row r="3040" spans="1:9">
      <c r="A3040" t="s">
        <v>310</v>
      </c>
      <c r="B3040" t="s">
        <v>311</v>
      </c>
      <c r="C3040" t="s">
        <v>269</v>
      </c>
      <c r="D3040" t="s">
        <v>26</v>
      </c>
      <c r="E3040" t="s">
        <v>46</v>
      </c>
      <c r="F3040">
        <v>2014</v>
      </c>
      <c r="G3040">
        <v>0</v>
      </c>
      <c r="H3040">
        <v>0</v>
      </c>
      <c r="I3040">
        <v>1</v>
      </c>
    </row>
    <row r="3041" spans="1:9">
      <c r="A3041" t="s">
        <v>310</v>
      </c>
      <c r="B3041" t="s">
        <v>311</v>
      </c>
      <c r="C3041" t="s">
        <v>269</v>
      </c>
      <c r="D3041" t="s">
        <v>26</v>
      </c>
      <c r="E3041" t="s">
        <v>46</v>
      </c>
      <c r="F3041">
        <v>2015</v>
      </c>
      <c r="G3041">
        <v>0</v>
      </c>
      <c r="H3041">
        <v>0</v>
      </c>
      <c r="I3041">
        <v>1</v>
      </c>
    </row>
    <row r="3042" spans="1:9">
      <c r="A3042" t="s">
        <v>310</v>
      </c>
      <c r="B3042" t="s">
        <v>311</v>
      </c>
      <c r="C3042" t="s">
        <v>269</v>
      </c>
      <c r="D3042" t="s">
        <v>26</v>
      </c>
      <c r="E3042" t="s">
        <v>46</v>
      </c>
      <c r="F3042">
        <v>2016</v>
      </c>
      <c r="G3042">
        <v>0</v>
      </c>
      <c r="H3042">
        <v>0</v>
      </c>
      <c r="I3042">
        <v>1</v>
      </c>
    </row>
    <row r="3043" spans="1:9">
      <c r="A3043" t="s">
        <v>310</v>
      </c>
      <c r="B3043" t="s">
        <v>311</v>
      </c>
      <c r="C3043" t="s">
        <v>269</v>
      </c>
      <c r="D3043" t="s">
        <v>26</v>
      </c>
      <c r="E3043" t="s">
        <v>46</v>
      </c>
      <c r="F3043">
        <v>2017</v>
      </c>
      <c r="G3043">
        <v>0</v>
      </c>
      <c r="H3043">
        <v>0</v>
      </c>
      <c r="I3043">
        <v>1</v>
      </c>
    </row>
    <row r="3044" spans="1:9">
      <c r="A3044" t="s">
        <v>310</v>
      </c>
      <c r="B3044" t="s">
        <v>311</v>
      </c>
      <c r="C3044" t="s">
        <v>269</v>
      </c>
      <c r="D3044" t="s">
        <v>26</v>
      </c>
      <c r="E3044" t="s">
        <v>46</v>
      </c>
      <c r="F3044">
        <v>2018</v>
      </c>
      <c r="G3044">
        <v>0</v>
      </c>
      <c r="H3044">
        <v>0</v>
      </c>
      <c r="I3044">
        <v>1</v>
      </c>
    </row>
    <row r="3045" spans="1:9">
      <c r="A3045" t="s">
        <v>310</v>
      </c>
      <c r="B3045" t="s">
        <v>311</v>
      </c>
      <c r="C3045" t="s">
        <v>269</v>
      </c>
      <c r="D3045" t="s">
        <v>26</v>
      </c>
      <c r="E3045" t="s">
        <v>46</v>
      </c>
      <c r="F3045">
        <v>2019</v>
      </c>
      <c r="G3045">
        <v>0</v>
      </c>
      <c r="H3045">
        <v>0</v>
      </c>
      <c r="I3045">
        <v>1</v>
      </c>
    </row>
    <row r="3046" spans="1:9">
      <c r="A3046" t="s">
        <v>310</v>
      </c>
      <c r="B3046" t="s">
        <v>311</v>
      </c>
      <c r="C3046" t="s">
        <v>269</v>
      </c>
      <c r="D3046" t="s">
        <v>26</v>
      </c>
      <c r="E3046" t="s">
        <v>46</v>
      </c>
      <c r="F3046">
        <v>2020</v>
      </c>
      <c r="G3046">
        <v>0</v>
      </c>
      <c r="H3046">
        <v>0</v>
      </c>
      <c r="I3046">
        <v>1</v>
      </c>
    </row>
    <row r="3047" spans="1:9">
      <c r="A3047" t="s">
        <v>310</v>
      </c>
      <c r="B3047" t="s">
        <v>311</v>
      </c>
      <c r="C3047" t="s">
        <v>269</v>
      </c>
      <c r="D3047" t="s">
        <v>26</v>
      </c>
      <c r="E3047" t="s">
        <v>46</v>
      </c>
      <c r="F3047">
        <v>2021</v>
      </c>
      <c r="G3047">
        <v>0</v>
      </c>
      <c r="H3047">
        <v>0</v>
      </c>
      <c r="I3047">
        <v>1</v>
      </c>
    </row>
    <row r="3048" spans="1:9">
      <c r="A3048" t="s">
        <v>310</v>
      </c>
      <c r="B3048" t="s">
        <v>311</v>
      </c>
      <c r="C3048" t="s">
        <v>269</v>
      </c>
      <c r="D3048" t="s">
        <v>26</v>
      </c>
      <c r="E3048" t="s">
        <v>46</v>
      </c>
      <c r="F3048">
        <v>2022</v>
      </c>
      <c r="G3048">
        <v>0</v>
      </c>
      <c r="H3048">
        <v>0</v>
      </c>
      <c r="I3048">
        <v>1</v>
      </c>
    </row>
    <row r="3049" spans="1:9">
      <c r="A3049" t="s">
        <v>310</v>
      </c>
      <c r="B3049" t="s">
        <v>311</v>
      </c>
      <c r="C3049" t="s">
        <v>269</v>
      </c>
      <c r="D3049" t="s">
        <v>26</v>
      </c>
      <c r="E3049" t="s">
        <v>46</v>
      </c>
      <c r="F3049">
        <v>2023</v>
      </c>
      <c r="G3049">
        <v>0</v>
      </c>
      <c r="H3049">
        <v>0</v>
      </c>
      <c r="I3049">
        <v>1</v>
      </c>
    </row>
    <row r="3050" spans="1:9">
      <c r="A3050" t="s">
        <v>310</v>
      </c>
      <c r="B3050" t="s">
        <v>311</v>
      </c>
      <c r="C3050" t="s">
        <v>269</v>
      </c>
      <c r="D3050" t="s">
        <v>26</v>
      </c>
      <c r="E3050" t="s">
        <v>46</v>
      </c>
      <c r="F3050">
        <v>2024</v>
      </c>
      <c r="G3050">
        <v>0</v>
      </c>
      <c r="H3050">
        <v>0</v>
      </c>
      <c r="I3050">
        <v>1</v>
      </c>
    </row>
    <row r="3051" spans="1:9">
      <c r="A3051" t="s">
        <v>310</v>
      </c>
      <c r="B3051" t="s">
        <v>311</v>
      </c>
      <c r="C3051" t="s">
        <v>269</v>
      </c>
      <c r="D3051" t="s">
        <v>26</v>
      </c>
      <c r="E3051" t="s">
        <v>46</v>
      </c>
      <c r="F3051">
        <v>2025</v>
      </c>
      <c r="G3051">
        <v>0</v>
      </c>
      <c r="H3051">
        <v>0</v>
      </c>
      <c r="I3051">
        <v>1</v>
      </c>
    </row>
    <row r="3052" spans="1:9">
      <c r="A3052" t="s">
        <v>310</v>
      </c>
      <c r="B3052" t="s">
        <v>311</v>
      </c>
      <c r="C3052" t="s">
        <v>269</v>
      </c>
      <c r="D3052" t="s">
        <v>26</v>
      </c>
      <c r="E3052" t="s">
        <v>46</v>
      </c>
      <c r="F3052">
        <v>2026</v>
      </c>
      <c r="G3052">
        <v>0</v>
      </c>
      <c r="H3052">
        <v>0</v>
      </c>
      <c r="I3052">
        <v>1</v>
      </c>
    </row>
    <row r="3053" spans="1:9">
      <c r="A3053" t="s">
        <v>310</v>
      </c>
      <c r="B3053" t="s">
        <v>311</v>
      </c>
      <c r="C3053" t="s">
        <v>269</v>
      </c>
      <c r="D3053" t="s">
        <v>26</v>
      </c>
      <c r="E3053" t="s">
        <v>46</v>
      </c>
      <c r="F3053">
        <v>2027</v>
      </c>
      <c r="G3053">
        <v>0</v>
      </c>
      <c r="H3053">
        <v>0</v>
      </c>
      <c r="I3053">
        <v>1</v>
      </c>
    </row>
    <row r="3054" spans="1:9">
      <c r="A3054" t="s">
        <v>310</v>
      </c>
      <c r="B3054" t="s">
        <v>311</v>
      </c>
      <c r="C3054" t="s">
        <v>269</v>
      </c>
      <c r="D3054" t="s">
        <v>26</v>
      </c>
      <c r="E3054" t="s">
        <v>46</v>
      </c>
      <c r="F3054">
        <v>2028</v>
      </c>
      <c r="G3054">
        <v>0</v>
      </c>
      <c r="H3054">
        <v>0</v>
      </c>
      <c r="I3054">
        <v>1</v>
      </c>
    </row>
    <row r="3055" spans="1:9">
      <c r="A3055" t="s">
        <v>310</v>
      </c>
      <c r="B3055" t="s">
        <v>311</v>
      </c>
      <c r="C3055" t="s">
        <v>269</v>
      </c>
      <c r="D3055" t="s">
        <v>26</v>
      </c>
      <c r="E3055" t="s">
        <v>46</v>
      </c>
      <c r="F3055">
        <v>2029</v>
      </c>
      <c r="G3055">
        <v>0</v>
      </c>
      <c r="H3055">
        <v>0</v>
      </c>
      <c r="I3055">
        <v>1</v>
      </c>
    </row>
    <row r="3056" spans="1:9">
      <c r="A3056" t="s">
        <v>310</v>
      </c>
      <c r="B3056" t="s">
        <v>311</v>
      </c>
      <c r="C3056" t="s">
        <v>269</v>
      </c>
      <c r="D3056" t="s">
        <v>26</v>
      </c>
      <c r="E3056" t="s">
        <v>46</v>
      </c>
      <c r="F3056">
        <v>2030</v>
      </c>
      <c r="G3056">
        <v>0</v>
      </c>
      <c r="H3056">
        <v>0</v>
      </c>
      <c r="I3056">
        <v>1</v>
      </c>
    </row>
    <row r="3057" spans="1:9">
      <c r="A3057" t="s">
        <v>310</v>
      </c>
      <c r="B3057" t="s">
        <v>311</v>
      </c>
      <c r="C3057" t="s">
        <v>269</v>
      </c>
      <c r="D3057" t="s">
        <v>26</v>
      </c>
      <c r="E3057" t="s">
        <v>46</v>
      </c>
      <c r="F3057">
        <v>2031</v>
      </c>
      <c r="G3057">
        <v>0</v>
      </c>
      <c r="H3057">
        <v>0</v>
      </c>
      <c r="I3057">
        <v>1</v>
      </c>
    </row>
    <row r="3058" spans="1:9">
      <c r="A3058" t="s">
        <v>310</v>
      </c>
      <c r="B3058" t="s">
        <v>311</v>
      </c>
      <c r="C3058" t="s">
        <v>269</v>
      </c>
      <c r="D3058" t="s">
        <v>26</v>
      </c>
      <c r="E3058" t="s">
        <v>46</v>
      </c>
      <c r="F3058">
        <v>2032</v>
      </c>
      <c r="G3058">
        <v>0</v>
      </c>
      <c r="H3058">
        <v>0</v>
      </c>
      <c r="I3058">
        <v>1</v>
      </c>
    </row>
    <row r="3059" spans="1:9">
      <c r="A3059" t="s">
        <v>310</v>
      </c>
      <c r="B3059" t="s">
        <v>311</v>
      </c>
      <c r="C3059" t="s">
        <v>269</v>
      </c>
      <c r="D3059" t="s">
        <v>26</v>
      </c>
      <c r="E3059" t="s">
        <v>46</v>
      </c>
      <c r="F3059">
        <v>2033</v>
      </c>
      <c r="G3059">
        <v>0</v>
      </c>
      <c r="H3059">
        <v>0</v>
      </c>
      <c r="I3059">
        <v>1</v>
      </c>
    </row>
    <row r="3060" spans="1:9">
      <c r="A3060" t="s">
        <v>310</v>
      </c>
      <c r="B3060" t="s">
        <v>311</v>
      </c>
      <c r="C3060" t="s">
        <v>269</v>
      </c>
      <c r="D3060" t="s">
        <v>26</v>
      </c>
      <c r="E3060" t="s">
        <v>46</v>
      </c>
      <c r="F3060">
        <v>2034</v>
      </c>
      <c r="G3060">
        <v>0</v>
      </c>
      <c r="H3060">
        <v>0</v>
      </c>
      <c r="I3060">
        <v>1</v>
      </c>
    </row>
    <row r="3061" spans="1:9">
      <c r="A3061" t="s">
        <v>310</v>
      </c>
      <c r="B3061" t="s">
        <v>311</v>
      </c>
      <c r="C3061" t="s">
        <v>269</v>
      </c>
      <c r="D3061" t="s">
        <v>26</v>
      </c>
      <c r="E3061" t="s">
        <v>46</v>
      </c>
      <c r="F3061">
        <v>2035</v>
      </c>
      <c r="G3061">
        <v>0</v>
      </c>
      <c r="H3061">
        <v>0</v>
      </c>
      <c r="I3061">
        <v>1</v>
      </c>
    </row>
    <row r="3062" spans="1:9">
      <c r="A3062" t="s">
        <v>310</v>
      </c>
      <c r="B3062" t="s">
        <v>311</v>
      </c>
      <c r="C3062" t="s">
        <v>269</v>
      </c>
      <c r="D3062" t="s">
        <v>26</v>
      </c>
      <c r="E3062" t="s">
        <v>46</v>
      </c>
      <c r="F3062">
        <v>2036</v>
      </c>
      <c r="G3062">
        <v>0</v>
      </c>
      <c r="H3062">
        <v>0</v>
      </c>
      <c r="I3062">
        <v>1</v>
      </c>
    </row>
    <row r="3063" spans="1:9">
      <c r="A3063" t="s">
        <v>310</v>
      </c>
      <c r="B3063" t="s">
        <v>311</v>
      </c>
      <c r="C3063" t="s">
        <v>269</v>
      </c>
      <c r="D3063" t="s">
        <v>26</v>
      </c>
      <c r="E3063" t="s">
        <v>46</v>
      </c>
      <c r="F3063">
        <v>2037</v>
      </c>
      <c r="G3063">
        <v>0</v>
      </c>
      <c r="H3063">
        <v>0</v>
      </c>
      <c r="I3063">
        <v>1</v>
      </c>
    </row>
    <row r="3064" spans="1:9">
      <c r="A3064" t="s">
        <v>310</v>
      </c>
      <c r="B3064" t="s">
        <v>311</v>
      </c>
      <c r="C3064" t="s">
        <v>269</v>
      </c>
      <c r="D3064" t="s">
        <v>26</v>
      </c>
      <c r="E3064" t="s">
        <v>46</v>
      </c>
      <c r="F3064">
        <v>2038</v>
      </c>
      <c r="G3064">
        <v>0</v>
      </c>
      <c r="H3064">
        <v>0</v>
      </c>
      <c r="I3064">
        <v>1</v>
      </c>
    </row>
    <row r="3065" spans="1:9">
      <c r="A3065" t="s">
        <v>310</v>
      </c>
      <c r="B3065" t="s">
        <v>311</v>
      </c>
      <c r="C3065" t="s">
        <v>269</v>
      </c>
      <c r="D3065" t="s">
        <v>26</v>
      </c>
      <c r="E3065" t="s">
        <v>46</v>
      </c>
      <c r="F3065">
        <v>2039</v>
      </c>
      <c r="G3065">
        <v>0</v>
      </c>
      <c r="H3065">
        <v>0</v>
      </c>
      <c r="I3065">
        <v>1</v>
      </c>
    </row>
    <row r="3066" spans="1:9">
      <c r="A3066" t="s">
        <v>310</v>
      </c>
      <c r="B3066" t="s">
        <v>311</v>
      </c>
      <c r="C3066" t="s">
        <v>269</v>
      </c>
      <c r="D3066" t="s">
        <v>26</v>
      </c>
      <c r="E3066" t="s">
        <v>46</v>
      </c>
      <c r="F3066">
        <v>2040</v>
      </c>
      <c r="G3066">
        <v>0</v>
      </c>
      <c r="H3066">
        <v>0</v>
      </c>
      <c r="I3066">
        <v>1</v>
      </c>
    </row>
    <row r="3067" spans="1:9">
      <c r="A3067" t="s">
        <v>310</v>
      </c>
      <c r="B3067" t="s">
        <v>311</v>
      </c>
      <c r="C3067" t="s">
        <v>269</v>
      </c>
      <c r="D3067" t="s">
        <v>26</v>
      </c>
      <c r="E3067" t="s">
        <v>46</v>
      </c>
      <c r="F3067">
        <v>2041</v>
      </c>
      <c r="G3067">
        <v>0</v>
      </c>
      <c r="H3067">
        <v>0</v>
      </c>
      <c r="I3067">
        <v>1</v>
      </c>
    </row>
    <row r="3068" spans="1:9">
      <c r="A3068" t="s">
        <v>310</v>
      </c>
      <c r="B3068" t="s">
        <v>311</v>
      </c>
      <c r="C3068" t="s">
        <v>269</v>
      </c>
      <c r="D3068" t="s">
        <v>26</v>
      </c>
      <c r="E3068" t="s">
        <v>46</v>
      </c>
      <c r="F3068">
        <v>2042</v>
      </c>
      <c r="G3068">
        <v>0</v>
      </c>
      <c r="H3068">
        <v>0</v>
      </c>
      <c r="I3068">
        <v>1</v>
      </c>
    </row>
    <row r="3069" spans="1:9">
      <c r="A3069" t="s">
        <v>310</v>
      </c>
      <c r="B3069" t="s">
        <v>311</v>
      </c>
      <c r="C3069" t="s">
        <v>269</v>
      </c>
      <c r="D3069" t="s">
        <v>26</v>
      </c>
      <c r="E3069" t="s">
        <v>46</v>
      </c>
      <c r="F3069">
        <v>2043</v>
      </c>
      <c r="G3069">
        <v>0</v>
      </c>
      <c r="H3069">
        <v>0</v>
      </c>
      <c r="I3069">
        <v>1</v>
      </c>
    </row>
    <row r="3070" spans="1:9">
      <c r="A3070" t="s">
        <v>310</v>
      </c>
      <c r="B3070" t="s">
        <v>311</v>
      </c>
      <c r="C3070" t="s">
        <v>269</v>
      </c>
      <c r="D3070" t="s">
        <v>26</v>
      </c>
      <c r="E3070" t="s">
        <v>46</v>
      </c>
      <c r="F3070">
        <v>2044</v>
      </c>
      <c r="G3070">
        <v>0</v>
      </c>
      <c r="H3070">
        <v>0</v>
      </c>
      <c r="I3070">
        <v>1</v>
      </c>
    </row>
    <row r="3071" spans="1:9">
      <c r="A3071" t="s">
        <v>310</v>
      </c>
      <c r="B3071" t="s">
        <v>311</v>
      </c>
      <c r="C3071" t="s">
        <v>269</v>
      </c>
      <c r="D3071" t="s">
        <v>26</v>
      </c>
      <c r="E3071" t="s">
        <v>46</v>
      </c>
      <c r="F3071">
        <v>2045</v>
      </c>
      <c r="G3071">
        <v>0</v>
      </c>
      <c r="H3071">
        <v>0</v>
      </c>
      <c r="I3071">
        <v>1</v>
      </c>
    </row>
    <row r="3072" spans="1:9">
      <c r="A3072" t="s">
        <v>310</v>
      </c>
      <c r="B3072" t="s">
        <v>311</v>
      </c>
      <c r="C3072" t="s">
        <v>269</v>
      </c>
      <c r="D3072" t="s">
        <v>26</v>
      </c>
      <c r="E3072" t="s">
        <v>46</v>
      </c>
      <c r="F3072">
        <v>2046</v>
      </c>
      <c r="G3072">
        <v>0</v>
      </c>
      <c r="H3072">
        <v>0</v>
      </c>
      <c r="I3072">
        <v>1</v>
      </c>
    </row>
    <row r="3073" spans="1:9">
      <c r="A3073" t="s">
        <v>310</v>
      </c>
      <c r="B3073" t="s">
        <v>311</v>
      </c>
      <c r="C3073" t="s">
        <v>269</v>
      </c>
      <c r="D3073" t="s">
        <v>26</v>
      </c>
      <c r="E3073" t="s">
        <v>46</v>
      </c>
      <c r="F3073">
        <v>2047</v>
      </c>
      <c r="G3073">
        <v>0</v>
      </c>
      <c r="H3073">
        <v>0</v>
      </c>
      <c r="I3073">
        <v>1</v>
      </c>
    </row>
    <row r="3074" spans="1:9">
      <c r="A3074" t="s">
        <v>310</v>
      </c>
      <c r="B3074" t="s">
        <v>311</v>
      </c>
      <c r="C3074" t="s">
        <v>269</v>
      </c>
      <c r="D3074" t="s">
        <v>26</v>
      </c>
      <c r="E3074" t="s">
        <v>46</v>
      </c>
      <c r="F3074">
        <v>2048</v>
      </c>
      <c r="G3074">
        <v>0</v>
      </c>
      <c r="H3074">
        <v>0</v>
      </c>
      <c r="I3074">
        <v>1</v>
      </c>
    </row>
    <row r="3075" spans="1:9">
      <c r="A3075" t="s">
        <v>310</v>
      </c>
      <c r="B3075" t="s">
        <v>311</v>
      </c>
      <c r="C3075" t="s">
        <v>269</v>
      </c>
      <c r="D3075" t="s">
        <v>26</v>
      </c>
      <c r="E3075" t="s">
        <v>46</v>
      </c>
      <c r="F3075">
        <v>2049</v>
      </c>
      <c r="G3075">
        <v>0</v>
      </c>
      <c r="H3075">
        <v>0</v>
      </c>
      <c r="I3075">
        <v>1</v>
      </c>
    </row>
    <row r="3076" spans="1:9">
      <c r="A3076" t="s">
        <v>310</v>
      </c>
      <c r="B3076" t="s">
        <v>311</v>
      </c>
      <c r="C3076" t="s">
        <v>269</v>
      </c>
      <c r="D3076" t="s">
        <v>26</v>
      </c>
      <c r="E3076" t="s">
        <v>46</v>
      </c>
      <c r="F3076">
        <v>2050</v>
      </c>
      <c r="G3076">
        <v>0</v>
      </c>
      <c r="H3076">
        <v>0</v>
      </c>
      <c r="I3076">
        <v>1</v>
      </c>
    </row>
    <row r="3077" spans="1:9">
      <c r="A3077" t="s">
        <v>310</v>
      </c>
      <c r="B3077" t="s">
        <v>311</v>
      </c>
      <c r="C3077" t="s">
        <v>269</v>
      </c>
      <c r="D3077" t="s">
        <v>307</v>
      </c>
      <c r="E3077" t="s">
        <v>46</v>
      </c>
      <c r="F3077">
        <v>2010</v>
      </c>
      <c r="G3077">
        <v>0</v>
      </c>
      <c r="H3077">
        <v>0</v>
      </c>
      <c r="I3077">
        <v>1</v>
      </c>
    </row>
    <row r="3078" spans="1:9">
      <c r="A3078" t="s">
        <v>310</v>
      </c>
      <c r="B3078" t="s">
        <v>311</v>
      </c>
      <c r="C3078" t="s">
        <v>269</v>
      </c>
      <c r="D3078" t="s">
        <v>307</v>
      </c>
      <c r="E3078" t="s">
        <v>46</v>
      </c>
      <c r="F3078">
        <v>2011</v>
      </c>
      <c r="G3078">
        <v>0</v>
      </c>
      <c r="H3078">
        <v>0</v>
      </c>
      <c r="I3078">
        <v>1</v>
      </c>
    </row>
    <row r="3079" spans="1:9">
      <c r="A3079" t="s">
        <v>310</v>
      </c>
      <c r="B3079" t="s">
        <v>311</v>
      </c>
      <c r="C3079" t="s">
        <v>269</v>
      </c>
      <c r="D3079" t="s">
        <v>307</v>
      </c>
      <c r="E3079" t="s">
        <v>46</v>
      </c>
      <c r="F3079">
        <v>2012</v>
      </c>
      <c r="G3079">
        <v>0</v>
      </c>
      <c r="H3079">
        <v>0</v>
      </c>
      <c r="I3079">
        <v>1</v>
      </c>
    </row>
    <row r="3080" spans="1:9">
      <c r="A3080" t="s">
        <v>310</v>
      </c>
      <c r="B3080" t="s">
        <v>311</v>
      </c>
      <c r="C3080" t="s">
        <v>269</v>
      </c>
      <c r="D3080" t="s">
        <v>307</v>
      </c>
      <c r="E3080" t="s">
        <v>46</v>
      </c>
      <c r="F3080">
        <v>2013</v>
      </c>
      <c r="G3080">
        <v>0</v>
      </c>
      <c r="H3080">
        <v>0</v>
      </c>
      <c r="I3080">
        <v>1</v>
      </c>
    </row>
    <row r="3081" spans="1:9">
      <c r="A3081" t="s">
        <v>310</v>
      </c>
      <c r="B3081" t="s">
        <v>311</v>
      </c>
      <c r="C3081" t="s">
        <v>269</v>
      </c>
      <c r="D3081" t="s">
        <v>307</v>
      </c>
      <c r="E3081" t="s">
        <v>46</v>
      </c>
      <c r="F3081">
        <v>2014</v>
      </c>
      <c r="G3081">
        <v>0</v>
      </c>
      <c r="H3081">
        <v>0</v>
      </c>
      <c r="I3081">
        <v>1</v>
      </c>
    </row>
    <row r="3082" spans="1:9">
      <c r="A3082" t="s">
        <v>310</v>
      </c>
      <c r="B3082" t="s">
        <v>311</v>
      </c>
      <c r="C3082" t="s">
        <v>269</v>
      </c>
      <c r="D3082" t="s">
        <v>307</v>
      </c>
      <c r="E3082" t="s">
        <v>46</v>
      </c>
      <c r="F3082">
        <v>2015</v>
      </c>
      <c r="G3082">
        <v>0</v>
      </c>
      <c r="H3082">
        <v>0</v>
      </c>
      <c r="I3082">
        <v>1</v>
      </c>
    </row>
    <row r="3083" spans="1:9">
      <c r="A3083" t="s">
        <v>310</v>
      </c>
      <c r="B3083" t="s">
        <v>311</v>
      </c>
      <c r="C3083" t="s">
        <v>269</v>
      </c>
      <c r="D3083" t="s">
        <v>307</v>
      </c>
      <c r="E3083" t="s">
        <v>46</v>
      </c>
      <c r="F3083">
        <v>2016</v>
      </c>
      <c r="G3083">
        <v>0</v>
      </c>
      <c r="H3083">
        <v>0</v>
      </c>
      <c r="I3083">
        <v>1</v>
      </c>
    </row>
    <row r="3084" spans="1:9">
      <c r="A3084" t="s">
        <v>310</v>
      </c>
      <c r="B3084" t="s">
        <v>311</v>
      </c>
      <c r="C3084" t="s">
        <v>269</v>
      </c>
      <c r="D3084" t="s">
        <v>307</v>
      </c>
      <c r="E3084" t="s">
        <v>46</v>
      </c>
      <c r="F3084">
        <v>2017</v>
      </c>
      <c r="G3084">
        <v>0</v>
      </c>
      <c r="H3084">
        <v>0</v>
      </c>
      <c r="I3084">
        <v>1</v>
      </c>
    </row>
    <row r="3085" spans="1:9">
      <c r="A3085" t="s">
        <v>310</v>
      </c>
      <c r="B3085" t="s">
        <v>311</v>
      </c>
      <c r="C3085" t="s">
        <v>269</v>
      </c>
      <c r="D3085" t="s">
        <v>307</v>
      </c>
      <c r="E3085" t="s">
        <v>46</v>
      </c>
      <c r="F3085">
        <v>2018</v>
      </c>
      <c r="G3085">
        <v>0</v>
      </c>
      <c r="H3085">
        <v>0</v>
      </c>
      <c r="I3085">
        <v>1</v>
      </c>
    </row>
    <row r="3086" spans="1:9">
      <c r="A3086" t="s">
        <v>310</v>
      </c>
      <c r="B3086" t="s">
        <v>311</v>
      </c>
      <c r="C3086" t="s">
        <v>269</v>
      </c>
      <c r="D3086" t="s">
        <v>307</v>
      </c>
      <c r="E3086" t="s">
        <v>46</v>
      </c>
      <c r="F3086">
        <v>2019</v>
      </c>
      <c r="G3086">
        <v>0</v>
      </c>
      <c r="H3086">
        <v>0</v>
      </c>
      <c r="I3086">
        <v>1</v>
      </c>
    </row>
    <row r="3087" spans="1:9">
      <c r="A3087" t="s">
        <v>310</v>
      </c>
      <c r="B3087" t="s">
        <v>311</v>
      </c>
      <c r="C3087" t="s">
        <v>269</v>
      </c>
      <c r="D3087" t="s">
        <v>307</v>
      </c>
      <c r="E3087" t="s">
        <v>46</v>
      </c>
      <c r="F3087">
        <v>2020</v>
      </c>
      <c r="G3087">
        <v>0</v>
      </c>
      <c r="H3087">
        <v>0</v>
      </c>
      <c r="I3087">
        <v>1</v>
      </c>
    </row>
    <row r="3088" spans="1:9">
      <c r="A3088" t="s">
        <v>310</v>
      </c>
      <c r="B3088" t="s">
        <v>311</v>
      </c>
      <c r="C3088" t="s">
        <v>269</v>
      </c>
      <c r="D3088" t="s">
        <v>307</v>
      </c>
      <c r="E3088" t="s">
        <v>46</v>
      </c>
      <c r="F3088">
        <v>2021</v>
      </c>
      <c r="G3088">
        <v>0</v>
      </c>
      <c r="H3088">
        <v>0</v>
      </c>
      <c r="I3088">
        <v>1</v>
      </c>
    </row>
    <row r="3089" spans="1:9">
      <c r="A3089" t="s">
        <v>310</v>
      </c>
      <c r="B3089" t="s">
        <v>311</v>
      </c>
      <c r="C3089" t="s">
        <v>269</v>
      </c>
      <c r="D3089" t="s">
        <v>307</v>
      </c>
      <c r="E3089" t="s">
        <v>46</v>
      </c>
      <c r="F3089">
        <v>2022</v>
      </c>
      <c r="G3089">
        <v>0</v>
      </c>
      <c r="H3089">
        <v>0</v>
      </c>
      <c r="I3089">
        <v>1</v>
      </c>
    </row>
    <row r="3090" spans="1:9">
      <c r="A3090" t="s">
        <v>310</v>
      </c>
      <c r="B3090" t="s">
        <v>311</v>
      </c>
      <c r="C3090" t="s">
        <v>269</v>
      </c>
      <c r="D3090" t="s">
        <v>307</v>
      </c>
      <c r="E3090" t="s">
        <v>46</v>
      </c>
      <c r="F3090">
        <v>2023</v>
      </c>
      <c r="G3090">
        <v>0</v>
      </c>
      <c r="H3090">
        <v>0</v>
      </c>
      <c r="I3090">
        <v>1</v>
      </c>
    </row>
    <row r="3091" spans="1:9">
      <c r="A3091" t="s">
        <v>310</v>
      </c>
      <c r="B3091" t="s">
        <v>311</v>
      </c>
      <c r="C3091" t="s">
        <v>269</v>
      </c>
      <c r="D3091" t="s">
        <v>307</v>
      </c>
      <c r="E3091" t="s">
        <v>46</v>
      </c>
      <c r="F3091">
        <v>2024</v>
      </c>
      <c r="G3091">
        <v>0</v>
      </c>
      <c r="H3091">
        <v>0</v>
      </c>
      <c r="I3091">
        <v>1</v>
      </c>
    </row>
    <row r="3092" spans="1:9">
      <c r="A3092" t="s">
        <v>310</v>
      </c>
      <c r="B3092" t="s">
        <v>311</v>
      </c>
      <c r="C3092" t="s">
        <v>269</v>
      </c>
      <c r="D3092" t="s">
        <v>307</v>
      </c>
      <c r="E3092" t="s">
        <v>46</v>
      </c>
      <c r="F3092">
        <v>2025</v>
      </c>
      <c r="G3092">
        <v>0</v>
      </c>
      <c r="H3092">
        <v>0</v>
      </c>
      <c r="I3092">
        <v>1</v>
      </c>
    </row>
    <row r="3093" spans="1:9">
      <c r="A3093" t="s">
        <v>310</v>
      </c>
      <c r="B3093" t="s">
        <v>311</v>
      </c>
      <c r="C3093" t="s">
        <v>269</v>
      </c>
      <c r="D3093" t="s">
        <v>307</v>
      </c>
      <c r="E3093" t="s">
        <v>46</v>
      </c>
      <c r="F3093">
        <v>2026</v>
      </c>
      <c r="G3093">
        <v>0</v>
      </c>
      <c r="H3093">
        <v>0</v>
      </c>
      <c r="I3093">
        <v>1</v>
      </c>
    </row>
    <row r="3094" spans="1:9">
      <c r="A3094" t="s">
        <v>310</v>
      </c>
      <c r="B3094" t="s">
        <v>311</v>
      </c>
      <c r="C3094" t="s">
        <v>269</v>
      </c>
      <c r="D3094" t="s">
        <v>307</v>
      </c>
      <c r="E3094" t="s">
        <v>46</v>
      </c>
      <c r="F3094">
        <v>2027</v>
      </c>
      <c r="G3094">
        <v>0</v>
      </c>
      <c r="H3094">
        <v>0</v>
      </c>
      <c r="I3094">
        <v>1</v>
      </c>
    </row>
    <row r="3095" spans="1:9">
      <c r="A3095" t="s">
        <v>310</v>
      </c>
      <c r="B3095" t="s">
        <v>311</v>
      </c>
      <c r="C3095" t="s">
        <v>269</v>
      </c>
      <c r="D3095" t="s">
        <v>307</v>
      </c>
      <c r="E3095" t="s">
        <v>46</v>
      </c>
      <c r="F3095">
        <v>2028</v>
      </c>
      <c r="G3095">
        <v>0</v>
      </c>
      <c r="H3095">
        <v>0</v>
      </c>
      <c r="I3095">
        <v>1</v>
      </c>
    </row>
    <row r="3096" spans="1:9">
      <c r="A3096" t="s">
        <v>310</v>
      </c>
      <c r="B3096" t="s">
        <v>311</v>
      </c>
      <c r="C3096" t="s">
        <v>269</v>
      </c>
      <c r="D3096" t="s">
        <v>307</v>
      </c>
      <c r="E3096" t="s">
        <v>46</v>
      </c>
      <c r="F3096">
        <v>2029</v>
      </c>
      <c r="G3096">
        <v>0</v>
      </c>
      <c r="H3096">
        <v>0</v>
      </c>
      <c r="I3096">
        <v>1</v>
      </c>
    </row>
    <row r="3097" spans="1:9">
      <c r="A3097" t="s">
        <v>310</v>
      </c>
      <c r="B3097" t="s">
        <v>311</v>
      </c>
      <c r="C3097" t="s">
        <v>269</v>
      </c>
      <c r="D3097" t="s">
        <v>307</v>
      </c>
      <c r="E3097" t="s">
        <v>46</v>
      </c>
      <c r="F3097">
        <v>2030</v>
      </c>
      <c r="G3097">
        <v>0</v>
      </c>
      <c r="H3097">
        <v>0</v>
      </c>
      <c r="I3097">
        <v>1</v>
      </c>
    </row>
    <row r="3098" spans="1:9">
      <c r="A3098" t="s">
        <v>310</v>
      </c>
      <c r="B3098" t="s">
        <v>311</v>
      </c>
      <c r="C3098" t="s">
        <v>269</v>
      </c>
      <c r="D3098" t="s">
        <v>307</v>
      </c>
      <c r="E3098" t="s">
        <v>46</v>
      </c>
      <c r="F3098">
        <v>2031</v>
      </c>
      <c r="G3098">
        <v>0</v>
      </c>
      <c r="H3098">
        <v>0</v>
      </c>
      <c r="I3098">
        <v>1</v>
      </c>
    </row>
    <row r="3099" spans="1:9">
      <c r="A3099" t="s">
        <v>310</v>
      </c>
      <c r="B3099" t="s">
        <v>311</v>
      </c>
      <c r="C3099" t="s">
        <v>269</v>
      </c>
      <c r="D3099" t="s">
        <v>307</v>
      </c>
      <c r="E3099" t="s">
        <v>46</v>
      </c>
      <c r="F3099">
        <v>2032</v>
      </c>
      <c r="G3099">
        <v>0</v>
      </c>
      <c r="H3099">
        <v>0</v>
      </c>
      <c r="I3099">
        <v>1</v>
      </c>
    </row>
    <row r="3100" spans="1:9">
      <c r="A3100" t="s">
        <v>310</v>
      </c>
      <c r="B3100" t="s">
        <v>311</v>
      </c>
      <c r="C3100" t="s">
        <v>269</v>
      </c>
      <c r="D3100" t="s">
        <v>307</v>
      </c>
      <c r="E3100" t="s">
        <v>46</v>
      </c>
      <c r="F3100">
        <v>2033</v>
      </c>
      <c r="G3100">
        <v>0</v>
      </c>
      <c r="H3100">
        <v>0</v>
      </c>
      <c r="I3100">
        <v>1</v>
      </c>
    </row>
    <row r="3101" spans="1:9">
      <c r="A3101" t="s">
        <v>310</v>
      </c>
      <c r="B3101" t="s">
        <v>311</v>
      </c>
      <c r="C3101" t="s">
        <v>269</v>
      </c>
      <c r="D3101" t="s">
        <v>307</v>
      </c>
      <c r="E3101" t="s">
        <v>46</v>
      </c>
      <c r="F3101">
        <v>2034</v>
      </c>
      <c r="G3101">
        <v>0</v>
      </c>
      <c r="H3101">
        <v>0</v>
      </c>
      <c r="I3101">
        <v>1</v>
      </c>
    </row>
    <row r="3102" spans="1:9">
      <c r="A3102" t="s">
        <v>310</v>
      </c>
      <c r="B3102" t="s">
        <v>311</v>
      </c>
      <c r="C3102" t="s">
        <v>269</v>
      </c>
      <c r="D3102" t="s">
        <v>307</v>
      </c>
      <c r="E3102" t="s">
        <v>46</v>
      </c>
      <c r="F3102">
        <v>2035</v>
      </c>
      <c r="G3102">
        <v>0</v>
      </c>
      <c r="H3102">
        <v>0</v>
      </c>
      <c r="I3102">
        <v>1</v>
      </c>
    </row>
    <row r="3103" spans="1:9">
      <c r="A3103" t="s">
        <v>310</v>
      </c>
      <c r="B3103" t="s">
        <v>311</v>
      </c>
      <c r="C3103" t="s">
        <v>269</v>
      </c>
      <c r="D3103" t="s">
        <v>307</v>
      </c>
      <c r="E3103" t="s">
        <v>46</v>
      </c>
      <c r="F3103">
        <v>2036</v>
      </c>
      <c r="G3103">
        <v>0</v>
      </c>
      <c r="H3103">
        <v>0</v>
      </c>
      <c r="I3103">
        <v>1</v>
      </c>
    </row>
    <row r="3104" spans="1:9">
      <c r="A3104" t="s">
        <v>310</v>
      </c>
      <c r="B3104" t="s">
        <v>311</v>
      </c>
      <c r="C3104" t="s">
        <v>269</v>
      </c>
      <c r="D3104" t="s">
        <v>307</v>
      </c>
      <c r="E3104" t="s">
        <v>46</v>
      </c>
      <c r="F3104">
        <v>2037</v>
      </c>
      <c r="G3104">
        <v>0</v>
      </c>
      <c r="H3104">
        <v>0</v>
      </c>
      <c r="I3104">
        <v>1</v>
      </c>
    </row>
    <row r="3105" spans="1:9">
      <c r="A3105" t="s">
        <v>310</v>
      </c>
      <c r="B3105" t="s">
        <v>311</v>
      </c>
      <c r="C3105" t="s">
        <v>269</v>
      </c>
      <c r="D3105" t="s">
        <v>307</v>
      </c>
      <c r="E3105" t="s">
        <v>46</v>
      </c>
      <c r="F3105">
        <v>2038</v>
      </c>
      <c r="G3105">
        <v>0</v>
      </c>
      <c r="H3105">
        <v>0</v>
      </c>
      <c r="I3105">
        <v>1</v>
      </c>
    </row>
    <row r="3106" spans="1:9">
      <c r="A3106" t="s">
        <v>310</v>
      </c>
      <c r="B3106" t="s">
        <v>311</v>
      </c>
      <c r="C3106" t="s">
        <v>269</v>
      </c>
      <c r="D3106" t="s">
        <v>307</v>
      </c>
      <c r="E3106" t="s">
        <v>46</v>
      </c>
      <c r="F3106">
        <v>2039</v>
      </c>
      <c r="G3106">
        <v>0</v>
      </c>
      <c r="H3106">
        <v>0</v>
      </c>
      <c r="I3106">
        <v>1</v>
      </c>
    </row>
    <row r="3107" spans="1:9">
      <c r="A3107" t="s">
        <v>310</v>
      </c>
      <c r="B3107" t="s">
        <v>311</v>
      </c>
      <c r="C3107" t="s">
        <v>269</v>
      </c>
      <c r="D3107" t="s">
        <v>307</v>
      </c>
      <c r="E3107" t="s">
        <v>46</v>
      </c>
      <c r="F3107">
        <v>2040</v>
      </c>
      <c r="G3107">
        <v>0</v>
      </c>
      <c r="H3107">
        <v>0</v>
      </c>
      <c r="I3107">
        <v>1</v>
      </c>
    </row>
    <row r="3108" spans="1:9">
      <c r="A3108" t="s">
        <v>310</v>
      </c>
      <c r="B3108" t="s">
        <v>311</v>
      </c>
      <c r="C3108" t="s">
        <v>269</v>
      </c>
      <c r="D3108" t="s">
        <v>307</v>
      </c>
      <c r="E3108" t="s">
        <v>46</v>
      </c>
      <c r="F3108">
        <v>2041</v>
      </c>
      <c r="G3108">
        <v>0</v>
      </c>
      <c r="H3108">
        <v>0</v>
      </c>
      <c r="I3108">
        <v>1</v>
      </c>
    </row>
    <row r="3109" spans="1:9">
      <c r="A3109" t="s">
        <v>310</v>
      </c>
      <c r="B3109" t="s">
        <v>311</v>
      </c>
      <c r="C3109" t="s">
        <v>269</v>
      </c>
      <c r="D3109" t="s">
        <v>307</v>
      </c>
      <c r="E3109" t="s">
        <v>46</v>
      </c>
      <c r="F3109">
        <v>2042</v>
      </c>
      <c r="G3109">
        <v>0</v>
      </c>
      <c r="H3109">
        <v>0</v>
      </c>
      <c r="I3109">
        <v>1</v>
      </c>
    </row>
    <row r="3110" spans="1:9">
      <c r="A3110" t="s">
        <v>310</v>
      </c>
      <c r="B3110" t="s">
        <v>311</v>
      </c>
      <c r="C3110" t="s">
        <v>269</v>
      </c>
      <c r="D3110" t="s">
        <v>307</v>
      </c>
      <c r="E3110" t="s">
        <v>46</v>
      </c>
      <c r="F3110">
        <v>2043</v>
      </c>
      <c r="G3110">
        <v>10678.675810000001</v>
      </c>
      <c r="H3110">
        <v>10678.675810000001</v>
      </c>
      <c r="I3110">
        <v>1</v>
      </c>
    </row>
    <row r="3111" spans="1:9">
      <c r="A3111" t="s">
        <v>310</v>
      </c>
      <c r="B3111" t="s">
        <v>311</v>
      </c>
      <c r="C3111" t="s">
        <v>269</v>
      </c>
      <c r="D3111" t="s">
        <v>307</v>
      </c>
      <c r="E3111" t="s">
        <v>46</v>
      </c>
      <c r="F3111">
        <v>2044</v>
      </c>
      <c r="G3111">
        <v>10939.50685</v>
      </c>
      <c r="H3111">
        <v>10939.50685</v>
      </c>
      <c r="I3111">
        <v>1</v>
      </c>
    </row>
    <row r="3112" spans="1:9">
      <c r="A3112" t="s">
        <v>310</v>
      </c>
      <c r="B3112" t="s">
        <v>311</v>
      </c>
      <c r="C3112" t="s">
        <v>269</v>
      </c>
      <c r="D3112" t="s">
        <v>307</v>
      </c>
      <c r="E3112" t="s">
        <v>46</v>
      </c>
      <c r="F3112">
        <v>2045</v>
      </c>
      <c r="G3112">
        <v>11203.97431</v>
      </c>
      <c r="H3112">
        <v>11203.97431</v>
      </c>
      <c r="I3112">
        <v>1</v>
      </c>
    </row>
    <row r="3113" spans="1:9">
      <c r="A3113" t="s">
        <v>310</v>
      </c>
      <c r="B3113" t="s">
        <v>311</v>
      </c>
      <c r="C3113" t="s">
        <v>269</v>
      </c>
      <c r="D3113" t="s">
        <v>307</v>
      </c>
      <c r="E3113" t="s">
        <v>46</v>
      </c>
      <c r="F3113">
        <v>2046</v>
      </c>
      <c r="G3113">
        <v>11472.0208</v>
      </c>
      <c r="H3113">
        <v>11472.0208</v>
      </c>
      <c r="I3113">
        <v>1</v>
      </c>
    </row>
    <row r="3114" spans="1:9">
      <c r="A3114" t="s">
        <v>310</v>
      </c>
      <c r="B3114" t="s">
        <v>311</v>
      </c>
      <c r="C3114" t="s">
        <v>269</v>
      </c>
      <c r="D3114" t="s">
        <v>307</v>
      </c>
      <c r="E3114" t="s">
        <v>46</v>
      </c>
      <c r="F3114">
        <v>2047</v>
      </c>
      <c r="G3114">
        <v>11743.61594</v>
      </c>
      <c r="H3114">
        <v>11743.61594</v>
      </c>
      <c r="I3114">
        <v>1</v>
      </c>
    </row>
    <row r="3115" spans="1:9">
      <c r="A3115" t="s">
        <v>310</v>
      </c>
      <c r="B3115" t="s">
        <v>311</v>
      </c>
      <c r="C3115" t="s">
        <v>269</v>
      </c>
      <c r="D3115" t="s">
        <v>307</v>
      </c>
      <c r="E3115" t="s">
        <v>46</v>
      </c>
      <c r="F3115">
        <v>2048</v>
      </c>
      <c r="G3115">
        <v>12018.76773</v>
      </c>
      <c r="H3115">
        <v>12018.76773</v>
      </c>
      <c r="I3115">
        <v>1</v>
      </c>
    </row>
    <row r="3116" spans="1:9">
      <c r="A3116" t="s">
        <v>310</v>
      </c>
      <c r="B3116" t="s">
        <v>311</v>
      </c>
      <c r="C3116" t="s">
        <v>269</v>
      </c>
      <c r="D3116" t="s">
        <v>307</v>
      </c>
      <c r="E3116" t="s">
        <v>46</v>
      </c>
      <c r="F3116">
        <v>2049</v>
      </c>
      <c r="G3116">
        <v>12297.498240000001</v>
      </c>
      <c r="H3116">
        <v>12297.498240000001</v>
      </c>
      <c r="I3116">
        <v>1</v>
      </c>
    </row>
    <row r="3117" spans="1:9">
      <c r="A3117" t="s">
        <v>310</v>
      </c>
      <c r="B3117" t="s">
        <v>311</v>
      </c>
      <c r="C3117" t="s">
        <v>269</v>
      </c>
      <c r="D3117" t="s">
        <v>307</v>
      </c>
      <c r="E3117" t="s">
        <v>46</v>
      </c>
      <c r="F3117">
        <v>2050</v>
      </c>
      <c r="G3117">
        <v>12579.79766</v>
      </c>
      <c r="H3117">
        <v>12579.79766</v>
      </c>
      <c r="I3117">
        <v>1</v>
      </c>
    </row>
  </sheetData>
  <autoFilter ref="A1:L3117" xr:uid="{3B6A52B4-58BC-FF46-A6F1-252FA1A0023C}"/>
  <phoneticPr fontId="10"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0A1CE-EE24-A24F-9F91-7912A2A0EAA3}">
  <dimension ref="A1:AM73"/>
  <sheetViews>
    <sheetView zoomScaleNormal="100" workbookViewId="0">
      <pane xSplit="4" ySplit="1" topLeftCell="Y28" activePane="bottomRight" state="frozen"/>
      <selection pane="topRight" activeCell="E1" sqref="E1"/>
      <selection pane="bottomLeft" activeCell="A2" sqref="A2"/>
      <selection pane="bottomRight" activeCell="P4" activeCellId="1" sqref="P8:P11 P4:P6"/>
    </sheetView>
  </sheetViews>
  <sheetFormatPr baseColWidth="10" defaultRowHeight="16"/>
  <cols>
    <col min="3" max="3" width="8.33203125" bestFit="1" customWidth="1"/>
    <col min="4" max="4" width="11" bestFit="1" customWidth="1"/>
    <col min="5" max="5" width="7.6640625" bestFit="1" customWidth="1"/>
    <col min="6" max="6" width="6.6640625" bestFit="1" customWidth="1"/>
    <col min="7" max="10" width="5.6640625" bestFit="1" customWidth="1"/>
    <col min="11" max="11" width="6" bestFit="1" customWidth="1"/>
    <col min="12" max="25" width="5.6640625" bestFit="1" customWidth="1"/>
    <col min="26" max="26" width="6.83203125" bestFit="1" customWidth="1"/>
    <col min="27" max="36" width="5.6640625" bestFit="1" customWidth="1"/>
  </cols>
  <sheetData>
    <row r="1" spans="1:39">
      <c r="A1" s="1"/>
      <c r="B1" s="2" t="s">
        <v>1</v>
      </c>
      <c r="C1" s="2" t="s">
        <v>2</v>
      </c>
      <c r="D1" s="7" t="s">
        <v>3</v>
      </c>
      <c r="E1" s="8">
        <v>2019</v>
      </c>
      <c r="F1" s="9">
        <v>2020</v>
      </c>
      <c r="G1" s="2">
        <v>2021</v>
      </c>
      <c r="H1" s="2">
        <v>2022</v>
      </c>
      <c r="I1" s="7">
        <v>2023</v>
      </c>
      <c r="J1" s="8">
        <v>2024</v>
      </c>
      <c r="K1" s="9">
        <v>2025</v>
      </c>
      <c r="L1" s="2">
        <v>2026</v>
      </c>
      <c r="M1" s="2">
        <v>2027</v>
      </c>
      <c r="N1" s="2">
        <v>2028</v>
      </c>
      <c r="O1" s="7">
        <v>2029</v>
      </c>
      <c r="P1" s="8">
        <v>2030</v>
      </c>
      <c r="Q1" s="9">
        <v>2031</v>
      </c>
      <c r="R1" s="2">
        <v>2032</v>
      </c>
      <c r="S1" s="2">
        <v>2033</v>
      </c>
      <c r="T1" s="2">
        <v>2034</v>
      </c>
      <c r="U1" s="2">
        <v>2035</v>
      </c>
      <c r="V1" s="2">
        <v>2036</v>
      </c>
      <c r="W1" s="2">
        <v>2037</v>
      </c>
      <c r="X1" s="2">
        <v>2038</v>
      </c>
      <c r="Y1" s="2">
        <v>2039</v>
      </c>
      <c r="Z1" s="2">
        <v>2040</v>
      </c>
      <c r="AA1" s="2">
        <v>2041</v>
      </c>
      <c r="AB1" s="2">
        <v>2042</v>
      </c>
      <c r="AC1" s="2">
        <v>2043</v>
      </c>
      <c r="AD1" s="2">
        <v>2044</v>
      </c>
      <c r="AE1" s="2">
        <v>2045</v>
      </c>
      <c r="AF1" s="2">
        <v>2046</v>
      </c>
      <c r="AG1" s="2">
        <v>2047</v>
      </c>
      <c r="AH1" s="2">
        <v>2048</v>
      </c>
      <c r="AI1" s="7">
        <v>2049</v>
      </c>
      <c r="AJ1" s="8">
        <v>2050</v>
      </c>
      <c r="AK1" s="25" t="s">
        <v>71</v>
      </c>
      <c r="AL1" s="25" t="s">
        <v>72</v>
      </c>
      <c r="AM1" s="25" t="s">
        <v>50</v>
      </c>
    </row>
    <row r="2" spans="1:39">
      <c r="A2" s="3" t="s">
        <v>4</v>
      </c>
      <c r="B2" s="3" t="s">
        <v>36</v>
      </c>
      <c r="C2" s="4" t="s">
        <v>52</v>
      </c>
      <c r="D2" s="42" t="s">
        <v>7</v>
      </c>
      <c r="E2" s="53">
        <f>SUM(E13,E24)</f>
        <v>3.7285178301464557</v>
      </c>
      <c r="F2" s="50">
        <f t="shared" ref="F2:AJ2" si="0">SUM(F13,F24)</f>
        <v>3.7834131726613331</v>
      </c>
      <c r="G2" s="30">
        <f t="shared" si="0"/>
        <v>3.8357729630827251</v>
      </c>
      <c r="H2" s="30">
        <f t="shared" si="0"/>
        <v>3.8853779140912073</v>
      </c>
      <c r="I2" s="47">
        <f t="shared" si="0"/>
        <v>3.9320664711062197</v>
      </c>
      <c r="J2" s="53">
        <f t="shared" si="0"/>
        <v>3.9757081901605842</v>
      </c>
      <c r="K2" s="50">
        <f t="shared" si="0"/>
        <v>3.9835432738148047</v>
      </c>
      <c r="L2" s="30">
        <f t="shared" si="0"/>
        <v>3.8304852393169595</v>
      </c>
      <c r="M2" s="30">
        <f t="shared" si="0"/>
        <v>3.6632090514936189</v>
      </c>
      <c r="N2" s="30">
        <f t="shared" si="0"/>
        <v>3.4810927613192586</v>
      </c>
      <c r="O2" s="47">
        <f t="shared" si="0"/>
        <v>3.2835350991030978</v>
      </c>
      <c r="P2" s="53">
        <f t="shared" si="0"/>
        <v>3.070039252555687</v>
      </c>
      <c r="Q2" s="50">
        <f t="shared" si="0"/>
        <v>2.8402369227449635</v>
      </c>
      <c r="R2" s="30">
        <f t="shared" si="0"/>
        <v>2.5938411840452122</v>
      </c>
      <c r="S2" s="30">
        <f t="shared" si="0"/>
        <v>2.3305871726707412</v>
      </c>
      <c r="T2" s="30">
        <f t="shared" si="0"/>
        <v>2.0502543071954431</v>
      </c>
      <c r="U2" s="30">
        <f t="shared" si="0"/>
        <v>1.7529164225919465</v>
      </c>
      <c r="V2" s="30">
        <f t="shared" si="0"/>
        <v>1.4382461407974498</v>
      </c>
      <c r="W2" s="30">
        <f t="shared" si="0"/>
        <v>1.1059180338222068</v>
      </c>
      <c r="X2" s="30">
        <f t="shared" si="0"/>
        <v>0.75562889762212659</v>
      </c>
      <c r="Y2" s="30">
        <f t="shared" si="0"/>
        <v>0.38708461615439499</v>
      </c>
      <c r="Z2" s="30">
        <f t="shared" si="0"/>
        <v>0</v>
      </c>
      <c r="AA2" s="30">
        <f t="shared" si="0"/>
        <v>0</v>
      </c>
      <c r="AB2" s="30">
        <f t="shared" si="0"/>
        <v>0</v>
      </c>
      <c r="AC2" s="30">
        <f t="shared" si="0"/>
        <v>0</v>
      </c>
      <c r="AD2" s="30">
        <f t="shared" si="0"/>
        <v>0</v>
      </c>
      <c r="AE2" s="30">
        <f t="shared" si="0"/>
        <v>0</v>
      </c>
      <c r="AF2" s="30">
        <f t="shared" si="0"/>
        <v>0</v>
      </c>
      <c r="AG2" s="30">
        <f t="shared" si="0"/>
        <v>0</v>
      </c>
      <c r="AH2" s="30">
        <f t="shared" si="0"/>
        <v>0</v>
      </c>
      <c r="AI2" s="47">
        <f t="shared" si="0"/>
        <v>0</v>
      </c>
      <c r="AJ2" s="53">
        <f t="shared" si="0"/>
        <v>0</v>
      </c>
      <c r="AK2" s="18">
        <f>P2-K2</f>
        <v>-0.91350402125911767</v>
      </c>
      <c r="AL2" s="18">
        <f>Z2-P2</f>
        <v>-3.070039252555687</v>
      </c>
    </row>
    <row r="3" spans="1:39">
      <c r="A3" s="3" t="s">
        <v>4</v>
      </c>
      <c r="B3" s="3" t="s">
        <v>8</v>
      </c>
      <c r="C3" s="4" t="s">
        <v>52</v>
      </c>
      <c r="D3" s="42" t="s">
        <v>7</v>
      </c>
      <c r="E3" s="51">
        <f t="shared" ref="E3:AJ10" si="1">SUM(E14,E25)</f>
        <v>2.1088385700234125</v>
      </c>
      <c r="F3" s="48">
        <f t="shared" si="1"/>
        <v>2.2929296694817261</v>
      </c>
      <c r="G3" s="5">
        <f t="shared" si="1"/>
        <v>2.4877994651493185</v>
      </c>
      <c r="H3" s="5">
        <f t="shared" si="1"/>
        <v>2.6938849161826788</v>
      </c>
      <c r="I3" s="45">
        <f t="shared" si="1"/>
        <v>2.9116091841554765</v>
      </c>
      <c r="J3" s="51">
        <f t="shared" si="1"/>
        <v>3.1413991186575663</v>
      </c>
      <c r="K3" s="48">
        <f t="shared" si="1"/>
        <v>3.3986545445357565</v>
      </c>
      <c r="L3" s="5">
        <f t="shared" si="1"/>
        <v>3.3161324398736158</v>
      </c>
      <c r="M3" s="5">
        <f t="shared" si="1"/>
        <v>3.2179505971564883</v>
      </c>
      <c r="N3" s="5">
        <f t="shared" si="1"/>
        <v>3.1029858098587333</v>
      </c>
      <c r="O3" s="45">
        <f t="shared" si="1"/>
        <v>2.970086341822276</v>
      </c>
      <c r="P3" s="51">
        <f t="shared" si="1"/>
        <v>2.818113949954606</v>
      </c>
      <c r="Q3" s="48">
        <f t="shared" si="1"/>
        <v>2.6459484636963522</v>
      </c>
      <c r="R3" s="5">
        <f t="shared" si="1"/>
        <v>2.452474682726264</v>
      </c>
      <c r="S3" s="5">
        <f t="shared" si="1"/>
        <v>2.2365473580026283</v>
      </c>
      <c r="T3" s="5">
        <f t="shared" si="1"/>
        <v>1.996988638932611</v>
      </c>
      <c r="U3" s="5">
        <f t="shared" si="1"/>
        <v>1.7331313797385817</v>
      </c>
      <c r="V3" s="5">
        <f t="shared" si="1"/>
        <v>1.443566127007978</v>
      </c>
      <c r="W3" s="5">
        <f t="shared" si="1"/>
        <v>1.1269190022804563</v>
      </c>
      <c r="X3" s="5">
        <f t="shared" si="1"/>
        <v>0.78177249187171138</v>
      </c>
      <c r="Y3" s="5">
        <f t="shared" si="1"/>
        <v>0.40664817442800738</v>
      </c>
      <c r="Z3" s="5">
        <f t="shared" si="1"/>
        <v>0</v>
      </c>
      <c r="AA3" s="5">
        <f t="shared" si="1"/>
        <v>0</v>
      </c>
      <c r="AB3" s="5">
        <f t="shared" si="1"/>
        <v>0</v>
      </c>
      <c r="AC3" s="5">
        <f t="shared" si="1"/>
        <v>0</v>
      </c>
      <c r="AD3" s="5">
        <f t="shared" si="1"/>
        <v>0</v>
      </c>
      <c r="AE3" s="5">
        <f t="shared" si="1"/>
        <v>0</v>
      </c>
      <c r="AF3" s="5">
        <f t="shared" si="1"/>
        <v>0</v>
      </c>
      <c r="AG3" s="5">
        <f t="shared" si="1"/>
        <v>0</v>
      </c>
      <c r="AH3" s="5">
        <f t="shared" si="1"/>
        <v>0</v>
      </c>
      <c r="AI3" s="45">
        <f t="shared" si="1"/>
        <v>0</v>
      </c>
      <c r="AJ3" s="51">
        <f t="shared" si="1"/>
        <v>0</v>
      </c>
      <c r="AK3" s="18">
        <f t="shared" ref="AK3:AK34" si="2">P3-K3</f>
        <v>-0.58054059458115059</v>
      </c>
      <c r="AL3" s="18">
        <f t="shared" ref="AL3:AL34" si="3">Z3-P3</f>
        <v>-2.818113949954606</v>
      </c>
    </row>
    <row r="4" spans="1:39">
      <c r="A4" s="3" t="s">
        <v>4</v>
      </c>
      <c r="B4" t="s">
        <v>37</v>
      </c>
      <c r="C4" s="4" t="s">
        <v>52</v>
      </c>
      <c r="D4" s="42" t="s">
        <v>7</v>
      </c>
      <c r="E4" s="51">
        <f t="shared" si="1"/>
        <v>2.3312068893739438E-2</v>
      </c>
      <c r="F4" s="48">
        <f t="shared" si="1"/>
        <v>2.9080603982685211E-2</v>
      </c>
      <c r="G4" s="5">
        <f t="shared" si="1"/>
        <v>3.5395322491310346E-2</v>
      </c>
      <c r="H4" s="5">
        <f t="shared" si="1"/>
        <v>4.2291911249137865E-2</v>
      </c>
      <c r="I4" s="45">
        <f t="shared" si="1"/>
        <v>4.9806635397922655E-2</v>
      </c>
      <c r="J4" s="51">
        <f t="shared" si="1"/>
        <v>5.7976430438690094E-2</v>
      </c>
      <c r="K4" s="48">
        <f t="shared" si="1"/>
        <v>6.6398669584329814E-2</v>
      </c>
      <c r="L4" s="5">
        <f t="shared" si="1"/>
        <v>0.1151843509771892</v>
      </c>
      <c r="M4" s="5">
        <f t="shared" si="1"/>
        <v>0.16624620504038795</v>
      </c>
      <c r="N4" s="5">
        <f t="shared" si="1"/>
        <v>0.2195840771991252</v>
      </c>
      <c r="O4" s="45">
        <f t="shared" si="1"/>
        <v>0.27517872075609817</v>
      </c>
      <c r="P4" s="51">
        <f t="shared" si="1"/>
        <v>0.33299487123427396</v>
      </c>
      <c r="Q4" s="48">
        <f t="shared" si="1"/>
        <v>0.39298886669300648</v>
      </c>
      <c r="R4" s="5">
        <f t="shared" si="1"/>
        <v>0.45511255144233953</v>
      </c>
      <c r="S4" s="5">
        <f t="shared" si="1"/>
        <v>0.51930953747709374</v>
      </c>
      <c r="T4" s="5">
        <f t="shared" si="1"/>
        <v>0.58552227609067331</v>
      </c>
      <c r="U4" s="5">
        <f t="shared" si="1"/>
        <v>0.65377424690901809</v>
      </c>
      <c r="V4" s="5">
        <f t="shared" si="1"/>
        <v>0.72402134286889053</v>
      </c>
      <c r="W4" s="5">
        <f t="shared" si="1"/>
        <v>0.79620443650857675</v>
      </c>
      <c r="X4" s="5">
        <f t="shared" si="1"/>
        <v>0.87026071983593933</v>
      </c>
      <c r="Y4" s="5">
        <f t="shared" si="1"/>
        <v>0.94611938882871449</v>
      </c>
      <c r="Z4" s="5">
        <f t="shared" si="1"/>
        <v>1.023702963007519</v>
      </c>
      <c r="AA4" s="5">
        <f t="shared" si="1"/>
        <v>1.0427694587169813</v>
      </c>
      <c r="AB4" s="5">
        <f t="shared" si="1"/>
        <v>1.0616883272727273</v>
      </c>
      <c r="AC4" s="5">
        <f t="shared" si="1"/>
        <v>1.0804327324714831</v>
      </c>
      <c r="AD4" s="5">
        <f t="shared" si="1"/>
        <v>1.0989738088549617</v>
      </c>
      <c r="AE4" s="5">
        <f t="shared" si="1"/>
        <v>1.1172857501915709</v>
      </c>
      <c r="AF4" s="5">
        <f t="shared" si="1"/>
        <v>1.1353433993846154</v>
      </c>
      <c r="AG4" s="5">
        <f t="shared" si="1"/>
        <v>1.1531258736679537</v>
      </c>
      <c r="AH4" s="5">
        <f t="shared" si="1"/>
        <v>1.1706155510077518</v>
      </c>
      <c r="AI4" s="45">
        <f t="shared" si="1"/>
        <v>1.1877970751750973</v>
      </c>
      <c r="AJ4" s="51">
        <f t="shared" si="1"/>
        <v>1.2046530225000001</v>
      </c>
      <c r="AK4" s="18">
        <f t="shared" si="2"/>
        <v>0.26659620164994413</v>
      </c>
      <c r="AL4" s="18">
        <f t="shared" si="3"/>
        <v>0.69070809177324499</v>
      </c>
    </row>
    <row r="5" spans="1:39">
      <c r="A5" s="3" t="s">
        <v>4</v>
      </c>
      <c r="B5" t="s">
        <v>10</v>
      </c>
      <c r="C5" s="4" t="s">
        <v>52</v>
      </c>
      <c r="D5" s="42" t="s">
        <v>7</v>
      </c>
      <c r="E5" s="51">
        <f t="shared" si="1"/>
        <v>7.770689631246116E-3</v>
      </c>
      <c r="F5" s="48">
        <f t="shared" si="1"/>
        <v>9.6935346608943047E-3</v>
      </c>
      <c r="G5" s="5">
        <f t="shared" si="1"/>
        <v>1.1798440830436579E-2</v>
      </c>
      <c r="H5" s="5">
        <f t="shared" si="1"/>
        <v>1.4097303749711985E-2</v>
      </c>
      <c r="I5" s="45">
        <f t="shared" si="1"/>
        <v>1.6602211799307105E-2</v>
      </c>
      <c r="J5" s="51">
        <f t="shared" si="1"/>
        <v>1.9325476812896463E-2</v>
      </c>
      <c r="K5" s="48">
        <f t="shared" si="1"/>
        <v>2.2132889861443031E-2</v>
      </c>
      <c r="L5" s="5">
        <f t="shared" si="1"/>
        <v>0.1446471473298809</v>
      </c>
      <c r="M5" s="5">
        <f t="shared" si="1"/>
        <v>0.27477152464380344</v>
      </c>
      <c r="N5" s="5">
        <f t="shared" si="1"/>
        <v>0.41270966674456172</v>
      </c>
      <c r="O5" s="45">
        <f t="shared" si="1"/>
        <v>0.55863206124168663</v>
      </c>
      <c r="P5" s="51">
        <f t="shared" si="1"/>
        <v>0.71268127475925058</v>
      </c>
      <c r="Q5" s="48">
        <f t="shared" si="1"/>
        <v>0.87498698730574953</v>
      </c>
      <c r="R5" s="5">
        <f t="shared" si="1"/>
        <v>1.0456737992561242</v>
      </c>
      <c r="S5" s="5">
        <f t="shared" si="1"/>
        <v>1.2248517211012371</v>
      </c>
      <c r="T5" s="5">
        <f t="shared" si="1"/>
        <v>1.4126236230106164</v>
      </c>
      <c r="U5" s="5">
        <f t="shared" si="1"/>
        <v>1.6093578492445908</v>
      </c>
      <c r="V5" s="5">
        <f t="shared" si="1"/>
        <v>1.8152346041377343</v>
      </c>
      <c r="W5" s="5">
        <f t="shared" si="1"/>
        <v>2.0304275266042429</v>
      </c>
      <c r="X5" s="5">
        <f t="shared" si="1"/>
        <v>2.2551188078605193</v>
      </c>
      <c r="Y5" s="5">
        <f t="shared" si="1"/>
        <v>2.4894907862823201</v>
      </c>
      <c r="Z5" s="5">
        <f t="shared" si="1"/>
        <v>2.7337269135505431</v>
      </c>
      <c r="AA5" s="5">
        <f t="shared" si="1"/>
        <v>2.8041792318914567</v>
      </c>
      <c r="AB5" s="5">
        <f t="shared" si="1"/>
        <v>2.8755983999999999</v>
      </c>
      <c r="AC5" s="5">
        <f t="shared" si="1"/>
        <v>2.947973286449602</v>
      </c>
      <c r="AD5" s="5">
        <f t="shared" si="1"/>
        <v>3.0212902824877208</v>
      </c>
      <c r="AE5" s="5">
        <f t="shared" si="1"/>
        <v>3.0955423339012844</v>
      </c>
      <c r="AF5" s="5">
        <f t="shared" si="1"/>
        <v>3.170724054827839</v>
      </c>
      <c r="AG5" s="5">
        <f t="shared" si="1"/>
        <v>3.2468381180084043</v>
      </c>
      <c r="AH5" s="5">
        <f t="shared" si="1"/>
        <v>3.3238950970542636</v>
      </c>
      <c r="AI5" s="45">
        <f t="shared" si="1"/>
        <v>3.4019097851922311</v>
      </c>
      <c r="AJ5" s="51">
        <f t="shared" si="1"/>
        <v>3.4808946058333334</v>
      </c>
      <c r="AK5" s="18">
        <f t="shared" si="2"/>
        <v>0.69054838489780757</v>
      </c>
      <c r="AL5" s="18">
        <f t="shared" si="3"/>
        <v>2.0210456387912927</v>
      </c>
    </row>
    <row r="6" spans="1:39">
      <c r="A6" s="3" t="s">
        <v>4</v>
      </c>
      <c r="B6" t="s">
        <v>11</v>
      </c>
      <c r="C6" s="4" t="s">
        <v>52</v>
      </c>
      <c r="D6" s="42" t="s">
        <v>7</v>
      </c>
      <c r="E6" s="51">
        <f t="shared" si="1"/>
        <v>9.5067704564651967E-3</v>
      </c>
      <c r="F6" s="48">
        <f t="shared" si="1"/>
        <v>1.1199661424402516E-2</v>
      </c>
      <c r="G6" s="5">
        <f t="shared" si="1"/>
        <v>1.3045276255485622E-2</v>
      </c>
      <c r="H6" s="5">
        <f t="shared" si="1"/>
        <v>1.5053400709490558E-2</v>
      </c>
      <c r="I6" s="45">
        <f t="shared" si="1"/>
        <v>1.7233932924158667E-2</v>
      </c>
      <c r="J6" s="51">
        <f t="shared" si="1"/>
        <v>1.9596933370353117E-2</v>
      </c>
      <c r="K6" s="48">
        <f t="shared" si="1"/>
        <v>1.9816342213693487E-2</v>
      </c>
      <c r="L6" s="5">
        <f t="shared" si="1"/>
        <v>0.18113031011132313</v>
      </c>
      <c r="M6" s="5">
        <f t="shared" si="1"/>
        <v>0.35493365558285206</v>
      </c>
      <c r="N6" s="5">
        <f t="shared" si="1"/>
        <v>0.54177254105632977</v>
      </c>
      <c r="O6" s="45">
        <f t="shared" si="1"/>
        <v>0.74217164960650051</v>
      </c>
      <c r="P6" s="51">
        <f t="shared" si="1"/>
        <v>0.95663895939330135</v>
      </c>
      <c r="Q6" s="48">
        <f t="shared" si="1"/>
        <v>1.1856784596936054</v>
      </c>
      <c r="R6" s="5">
        <f t="shared" si="1"/>
        <v>1.4297969495751652</v>
      </c>
      <c r="S6" s="5">
        <f t="shared" si="1"/>
        <v>1.6894888016196346</v>
      </c>
      <c r="T6" s="5">
        <f t="shared" si="1"/>
        <v>1.9652263546768456</v>
      </c>
      <c r="U6" s="5">
        <f t="shared" si="1"/>
        <v>2.2580011591521294</v>
      </c>
      <c r="V6" s="5">
        <f t="shared" si="1"/>
        <v>2.568448233990726</v>
      </c>
      <c r="W6" s="5">
        <f t="shared" si="1"/>
        <v>2.8972543459993938</v>
      </c>
      <c r="X6" s="5">
        <f t="shared" si="1"/>
        <v>3.2451451398636233</v>
      </c>
      <c r="Y6" s="5">
        <f t="shared" si="1"/>
        <v>3.6128767140818803</v>
      </c>
      <c r="Z6" s="5">
        <f t="shared" si="1"/>
        <v>4.0012319320969087</v>
      </c>
      <c r="AA6" s="5">
        <f t="shared" si="1"/>
        <v>4.1379168309959713</v>
      </c>
      <c r="AB6" s="5">
        <f t="shared" si="1"/>
        <v>4.2783554181818175</v>
      </c>
      <c r="AC6" s="5">
        <f t="shared" si="1"/>
        <v>4.4226354062940132</v>
      </c>
      <c r="AD6" s="5">
        <f t="shared" si="1"/>
        <v>4.5708459362707847</v>
      </c>
      <c r="AE6" s="5">
        <f t="shared" si="1"/>
        <v>4.723082967951318</v>
      </c>
      <c r="AF6" s="5">
        <f t="shared" si="1"/>
        <v>4.8794447911794876</v>
      </c>
      <c r="AG6" s="5">
        <f t="shared" si="1"/>
        <v>5.0400357251759162</v>
      </c>
      <c r="AH6" s="5">
        <f t="shared" si="1"/>
        <v>5.2049702672868214</v>
      </c>
      <c r="AI6" s="45">
        <f t="shared" si="1"/>
        <v>5.3743659448617311</v>
      </c>
      <c r="AJ6" s="51">
        <f t="shared" si="1"/>
        <v>5.5483422308333337</v>
      </c>
      <c r="AK6" s="18">
        <f t="shared" si="2"/>
        <v>0.93682261717960791</v>
      </c>
      <c r="AL6" s="18">
        <f t="shared" si="3"/>
        <v>3.0445929727036072</v>
      </c>
    </row>
    <row r="7" spans="1:39">
      <c r="A7" s="3" t="s">
        <v>4</v>
      </c>
      <c r="B7" s="3" t="s">
        <v>12</v>
      </c>
      <c r="C7" s="4" t="s">
        <v>52</v>
      </c>
      <c r="D7" s="42" t="s">
        <v>7</v>
      </c>
      <c r="E7" s="51">
        <f t="shared" si="1"/>
        <v>9.954608939374244E-4</v>
      </c>
      <c r="F7" s="48">
        <f t="shared" si="1"/>
        <v>8.2475377777780539E-4</v>
      </c>
      <c r="G7" s="5">
        <f t="shared" si="1"/>
        <v>6.3226094402344985E-4</v>
      </c>
      <c r="H7" s="5">
        <f t="shared" si="1"/>
        <v>4.1637606011816098E-4</v>
      </c>
      <c r="I7" s="45">
        <f t="shared" si="1"/>
        <v>1.7541959637013671E-4</v>
      </c>
      <c r="J7" s="51">
        <f t="shared" si="1"/>
        <v>0</v>
      </c>
      <c r="K7" s="48">
        <f t="shared" si="1"/>
        <v>0</v>
      </c>
      <c r="L7" s="5">
        <f t="shared" si="1"/>
        <v>0</v>
      </c>
      <c r="M7" s="5">
        <f t="shared" si="1"/>
        <v>0</v>
      </c>
      <c r="N7" s="5">
        <f t="shared" si="1"/>
        <v>0</v>
      </c>
      <c r="O7" s="45">
        <f t="shared" si="1"/>
        <v>0</v>
      </c>
      <c r="P7" s="51">
        <f t="shared" si="1"/>
        <v>0</v>
      </c>
      <c r="Q7" s="48">
        <f t="shared" si="1"/>
        <v>0</v>
      </c>
      <c r="R7" s="5">
        <f t="shared" si="1"/>
        <v>0</v>
      </c>
      <c r="S7" s="5">
        <f t="shared" si="1"/>
        <v>0</v>
      </c>
      <c r="T7" s="5">
        <f t="shared" si="1"/>
        <v>0</v>
      </c>
      <c r="U7" s="5">
        <f t="shared" si="1"/>
        <v>0</v>
      </c>
      <c r="V7" s="5">
        <f t="shared" si="1"/>
        <v>0</v>
      </c>
      <c r="W7" s="5">
        <f t="shared" si="1"/>
        <v>0</v>
      </c>
      <c r="X7" s="5">
        <f t="shared" si="1"/>
        <v>0</v>
      </c>
      <c r="Y7" s="5">
        <f t="shared" si="1"/>
        <v>0</v>
      </c>
      <c r="Z7" s="5">
        <f t="shared" si="1"/>
        <v>0</v>
      </c>
      <c r="AA7" s="5">
        <f t="shared" si="1"/>
        <v>0</v>
      </c>
      <c r="AB7" s="5">
        <f t="shared" si="1"/>
        <v>0</v>
      </c>
      <c r="AC7" s="5">
        <f t="shared" si="1"/>
        <v>0</v>
      </c>
      <c r="AD7" s="5">
        <f t="shared" si="1"/>
        <v>0</v>
      </c>
      <c r="AE7" s="5">
        <f t="shared" si="1"/>
        <v>0</v>
      </c>
      <c r="AF7" s="5">
        <f t="shared" si="1"/>
        <v>0</v>
      </c>
      <c r="AG7" s="5">
        <f t="shared" si="1"/>
        <v>0</v>
      </c>
      <c r="AH7" s="5">
        <f t="shared" si="1"/>
        <v>0</v>
      </c>
      <c r="AI7" s="45">
        <f t="shared" si="1"/>
        <v>0</v>
      </c>
      <c r="AJ7" s="51">
        <f t="shared" si="1"/>
        <v>0</v>
      </c>
      <c r="AK7" s="18">
        <f t="shared" si="2"/>
        <v>0</v>
      </c>
      <c r="AL7" s="18">
        <f t="shared" si="3"/>
        <v>0</v>
      </c>
    </row>
    <row r="8" spans="1:39">
      <c r="A8" s="3" t="s">
        <v>4</v>
      </c>
      <c r="B8" s="3" t="s">
        <v>13</v>
      </c>
      <c r="C8" s="4" t="s">
        <v>52</v>
      </c>
      <c r="D8" s="42" t="s">
        <v>7</v>
      </c>
      <c r="E8" s="51">
        <f t="shared" si="1"/>
        <v>0.20993068331003542</v>
      </c>
      <c r="F8" s="48">
        <f t="shared" si="1"/>
        <v>0.21038723342389162</v>
      </c>
      <c r="G8" s="5">
        <f t="shared" si="1"/>
        <v>0.21024394464764948</v>
      </c>
      <c r="H8" s="5">
        <f t="shared" si="1"/>
        <v>0.20944250194174102</v>
      </c>
      <c r="I8" s="45">
        <f t="shared" si="1"/>
        <v>0.20791844387894642</v>
      </c>
      <c r="J8" s="51">
        <f t="shared" si="1"/>
        <v>0.20560374861577735</v>
      </c>
      <c r="K8" s="48">
        <f t="shared" si="1"/>
        <v>0.20784425085136823</v>
      </c>
      <c r="L8" s="5">
        <f t="shared" si="1"/>
        <v>0.29792898426014142</v>
      </c>
      <c r="M8" s="5">
        <f t="shared" si="1"/>
        <v>0.39425962762850081</v>
      </c>
      <c r="N8" s="5">
        <f t="shared" si="1"/>
        <v>0.49707193990695886</v>
      </c>
      <c r="O8" s="45">
        <f t="shared" si="1"/>
        <v>0.60658618914418805</v>
      </c>
      <c r="P8" s="51">
        <f t="shared" si="1"/>
        <v>0.72301178397394683</v>
      </c>
      <c r="Q8" s="48">
        <f t="shared" si="1"/>
        <v>0.84655473176873342</v>
      </c>
      <c r="R8" s="5">
        <f t="shared" si="1"/>
        <v>0.9774214603715734</v>
      </c>
      <c r="S8" s="5">
        <f t="shared" si="1"/>
        <v>1.1158083027950574</v>
      </c>
      <c r="T8" s="5">
        <f t="shared" si="1"/>
        <v>1.2618956592051618</v>
      </c>
      <c r="U8" s="5">
        <f t="shared" si="1"/>
        <v>1.4161978483520468</v>
      </c>
      <c r="V8" s="5">
        <f t="shared" si="1"/>
        <v>1.5789725692279823</v>
      </c>
      <c r="W8" s="5">
        <f t="shared" si="1"/>
        <v>1.7505093133682057</v>
      </c>
      <c r="X8" s="5">
        <f t="shared" si="1"/>
        <v>1.9311158898754415</v>
      </c>
      <c r="Y8" s="5">
        <f t="shared" si="1"/>
        <v>2.1211123551641133</v>
      </c>
      <c r="Z8" s="5">
        <f t="shared" si="1"/>
        <v>2.3208284305430245</v>
      </c>
      <c r="AA8" s="5">
        <f t="shared" si="1"/>
        <v>2.3995749776688573</v>
      </c>
      <c r="AB8" s="5">
        <f t="shared" si="1"/>
        <v>2.4804615272727273</v>
      </c>
      <c r="AC8" s="5">
        <f t="shared" si="1"/>
        <v>2.5635372988057048</v>
      </c>
      <c r="AD8" s="5">
        <f t="shared" si="1"/>
        <v>2.6488522596792707</v>
      </c>
      <c r="AE8" s="5">
        <f t="shared" si="1"/>
        <v>2.7364603766508901</v>
      </c>
      <c r="AF8" s="5">
        <f t="shared" si="1"/>
        <v>2.8264169697289381</v>
      </c>
      <c r="AG8" s="5">
        <f t="shared" si="1"/>
        <v>2.9187809479549092</v>
      </c>
      <c r="AH8" s="5">
        <f t="shared" si="1"/>
        <v>3.0136171460465118</v>
      </c>
      <c r="AI8" s="45">
        <f t="shared" si="1"/>
        <v>3.1109922063134299</v>
      </c>
      <c r="AJ8" s="51">
        <f t="shared" si="1"/>
        <v>3.2109738133333336</v>
      </c>
      <c r="AK8" s="18">
        <f t="shared" si="2"/>
        <v>0.51516753312257857</v>
      </c>
      <c r="AL8" s="18">
        <f t="shared" si="3"/>
        <v>1.5978166465690777</v>
      </c>
    </row>
    <row r="9" spans="1:39">
      <c r="A9" s="3" t="s">
        <v>4</v>
      </c>
      <c r="B9" t="s">
        <v>14</v>
      </c>
      <c r="C9" s="4" t="s">
        <v>52</v>
      </c>
      <c r="D9" s="42" t="s">
        <v>7</v>
      </c>
      <c r="E9" s="51">
        <f t="shared" si="1"/>
        <v>0</v>
      </c>
      <c r="F9" s="48">
        <f t="shared" si="1"/>
        <v>0</v>
      </c>
      <c r="G9" s="5">
        <f t="shared" si="1"/>
        <v>0</v>
      </c>
      <c r="H9" s="5">
        <f t="shared" si="1"/>
        <v>0</v>
      </c>
      <c r="I9" s="45">
        <f t="shared" si="1"/>
        <v>0</v>
      </c>
      <c r="J9" s="51">
        <f t="shared" si="1"/>
        <v>0</v>
      </c>
      <c r="K9" s="48">
        <f t="shared" si="1"/>
        <v>0</v>
      </c>
      <c r="L9" s="5">
        <f t="shared" si="1"/>
        <v>0.12658162218850391</v>
      </c>
      <c r="M9" s="5">
        <f t="shared" si="1"/>
        <v>0.26411674793410955</v>
      </c>
      <c r="N9" s="5">
        <f t="shared" si="1"/>
        <v>0.41316306142417902</v>
      </c>
      <c r="O9" s="45">
        <f t="shared" si="1"/>
        <v>0.57427157705085596</v>
      </c>
      <c r="P9" s="51">
        <f t="shared" si="1"/>
        <v>0.74798931490206888</v>
      </c>
      <c r="Q9" s="48">
        <f t="shared" si="1"/>
        <v>0.93486606855981103</v>
      </c>
      <c r="R9" s="5">
        <f t="shared" si="1"/>
        <v>1.1354581735055349</v>
      </c>
      <c r="S9" s="5">
        <f t="shared" si="1"/>
        <v>1.3503154468019118</v>
      </c>
      <c r="T9" s="5">
        <f t="shared" si="1"/>
        <v>1.579964930985631</v>
      </c>
      <c r="U9" s="5">
        <f t="shared" si="1"/>
        <v>1.8254149611829706</v>
      </c>
      <c r="V9" s="5">
        <f t="shared" si="1"/>
        <v>2.0873483997254865</v>
      </c>
      <c r="W9" s="5">
        <f t="shared" si="1"/>
        <v>2.3665157441728928</v>
      </c>
      <c r="X9" s="5">
        <f t="shared" si="1"/>
        <v>2.6637106237945347</v>
      </c>
      <c r="Y9" s="5">
        <f t="shared" si="1"/>
        <v>2.9797644578315596</v>
      </c>
      <c r="Z9" s="5">
        <f t="shared" si="1"/>
        <v>3.3155413565918437</v>
      </c>
      <c r="AA9" s="5">
        <f t="shared" si="1"/>
        <v>3.4424308000534469</v>
      </c>
      <c r="AB9" s="5">
        <f t="shared" si="1"/>
        <v>3.5733801156744702</v>
      </c>
      <c r="AC9" s="5">
        <f t="shared" si="1"/>
        <v>3.7085042109004416</v>
      </c>
      <c r="AD9" s="5">
        <f t="shared" si="1"/>
        <v>3.8479212287327966</v>
      </c>
      <c r="AE9" s="5">
        <f t="shared" si="1"/>
        <v>3.9917538359994853</v>
      </c>
      <c r="AF9" s="5">
        <f t="shared" si="1"/>
        <v>4.1401265848155155</v>
      </c>
      <c r="AG9" s="5">
        <f t="shared" si="1"/>
        <v>4.2931666825714663</v>
      </c>
      <c r="AH9" s="5">
        <f t="shared" si="1"/>
        <v>4.451009207835674</v>
      </c>
      <c r="AI9" s="45">
        <f t="shared" si="1"/>
        <v>4.6137904726297663</v>
      </c>
      <c r="AJ9" s="51">
        <f t="shared" si="1"/>
        <v>4.781650599299045</v>
      </c>
      <c r="AK9" s="18">
        <f t="shared" si="2"/>
        <v>0.74798931490206888</v>
      </c>
      <c r="AL9" s="18">
        <f t="shared" si="3"/>
        <v>2.5675520416897748</v>
      </c>
    </row>
    <row r="10" spans="1:39">
      <c r="A10" s="3" t="s">
        <v>4</v>
      </c>
      <c r="B10" t="s">
        <v>15</v>
      </c>
      <c r="C10" s="4" t="s">
        <v>52</v>
      </c>
      <c r="D10" s="42" t="s">
        <v>7</v>
      </c>
      <c r="E10" s="51">
        <f t="shared" si="1"/>
        <v>0</v>
      </c>
      <c r="F10" s="48">
        <f t="shared" si="1"/>
        <v>0</v>
      </c>
      <c r="G10" s="5">
        <f t="shared" si="1"/>
        <v>0</v>
      </c>
      <c r="H10" s="5">
        <f t="shared" si="1"/>
        <v>0</v>
      </c>
      <c r="I10" s="45">
        <f t="shared" si="1"/>
        <v>0</v>
      </c>
      <c r="J10" s="51">
        <f t="shared" si="1"/>
        <v>0</v>
      </c>
      <c r="K10" s="48">
        <f t="shared" si="1"/>
        <v>0</v>
      </c>
      <c r="L10" s="5">
        <f t="shared" si="1"/>
        <v>4.1143038792673975E-2</v>
      </c>
      <c r="M10" s="5">
        <f t="shared" si="1"/>
        <v>8.6210966831425193E-2</v>
      </c>
      <c r="N10" s="5">
        <f t="shared" si="1"/>
        <v>0.13542620344082376</v>
      </c>
      <c r="O10" s="45">
        <f t="shared" si="1"/>
        <v>0.18901229875550146</v>
      </c>
      <c r="P10" s="51">
        <f t="shared" si="1"/>
        <v>0.24719449739130425</v>
      </c>
      <c r="Q10" s="48">
        <f t="shared" si="1"/>
        <v>0.3102008777696969</v>
      </c>
      <c r="R10" s="5">
        <f t="shared" si="1"/>
        <v>0.37826305673965932</v>
      </c>
      <c r="S10" s="5">
        <f t="shared" si="1"/>
        <v>0.45161152453235637</v>
      </c>
      <c r="T10" s="5">
        <f t="shared" si="1"/>
        <v>0.53046744470588225</v>
      </c>
      <c r="U10" s="5">
        <f t="shared" si="1"/>
        <v>0.61523417919854972</v>
      </c>
      <c r="V10" s="5">
        <f t="shared" si="1"/>
        <v>0.70619255581486717</v>
      </c>
      <c r="W10" s="5">
        <f t="shared" si="1"/>
        <v>0.80365446457049183</v>
      </c>
      <c r="X10" s="5">
        <f t="shared" si="1"/>
        <v>0.90794992747912584</v>
      </c>
      <c r="Y10" s="5">
        <f t="shared" si="1"/>
        <v>1.0194257487371554</v>
      </c>
      <c r="Z10" s="132">
        <f t="shared" si="1"/>
        <v>1.1384431093734335</v>
      </c>
      <c r="AA10" s="5">
        <f t="shared" si="1"/>
        <v>1.1862874340063598</v>
      </c>
      <c r="AB10" s="5">
        <f t="shared" si="1"/>
        <v>1.2358236</v>
      </c>
      <c r="AC10" s="5">
        <f t="shared" si="1"/>
        <v>1.2871043079445825</v>
      </c>
      <c r="AD10" s="5">
        <f t="shared" si="1"/>
        <v>1.340184013080064</v>
      </c>
      <c r="AE10" s="5">
        <f t="shared" si="1"/>
        <v>1.3951183706107728</v>
      </c>
      <c r="AF10" s="5">
        <f t="shared" si="1"/>
        <v>1.4519636688351649</v>
      </c>
      <c r="AG10" s="5">
        <f t="shared" si="1"/>
        <v>1.5107763735144442</v>
      </c>
      <c r="AH10" s="5">
        <f t="shared" si="1"/>
        <v>1.5716154765891472</v>
      </c>
      <c r="AI10" s="45">
        <f t="shared" si="1"/>
        <v>1.6345399928673681</v>
      </c>
      <c r="AJ10" s="51">
        <f t="shared" ref="AJ10" si="4">SUM(AJ21,AJ32)</f>
        <v>1.6996109349999999</v>
      </c>
      <c r="AK10" s="18">
        <f t="shared" si="2"/>
        <v>0.24719449739130425</v>
      </c>
      <c r="AL10" s="18">
        <f t="shared" si="3"/>
        <v>0.89124861198212924</v>
      </c>
    </row>
    <row r="11" spans="1:39">
      <c r="A11" s="3" t="s">
        <v>4</v>
      </c>
      <c r="B11" t="s">
        <v>16</v>
      </c>
      <c r="C11" s="4" t="s">
        <v>52</v>
      </c>
      <c r="D11" s="42" t="s">
        <v>7</v>
      </c>
      <c r="E11" s="51">
        <f t="shared" ref="E11:AJ12" si="5">SUM(E22,E33)</f>
        <v>0</v>
      </c>
      <c r="F11" s="48">
        <f t="shared" si="5"/>
        <v>0</v>
      </c>
      <c r="G11" s="5">
        <f t="shared" si="5"/>
        <v>0</v>
      </c>
      <c r="H11" s="5">
        <f t="shared" si="5"/>
        <v>0</v>
      </c>
      <c r="I11" s="45">
        <f t="shared" si="5"/>
        <v>0</v>
      </c>
      <c r="J11" s="51">
        <f t="shared" si="5"/>
        <v>0</v>
      </c>
      <c r="K11" s="48">
        <f t="shared" si="5"/>
        <v>0</v>
      </c>
      <c r="L11" s="5">
        <f t="shared" si="5"/>
        <v>1.0092204299154006E-2</v>
      </c>
      <c r="M11" s="5">
        <f t="shared" si="5"/>
        <v>2.0711450572094305E-2</v>
      </c>
      <c r="N11" s="5">
        <f t="shared" si="5"/>
        <v>3.1863122990419823E-2</v>
      </c>
      <c r="O11" s="45">
        <f t="shared" si="5"/>
        <v>4.3548941563048796E-2</v>
      </c>
      <c r="P11" s="51">
        <f t="shared" si="5"/>
        <v>5.5767465972613076E-2</v>
      </c>
      <c r="Q11" s="48">
        <f t="shared" si="5"/>
        <v>6.8515642123132936E-2</v>
      </c>
      <c r="R11" s="5">
        <f t="shared" si="5"/>
        <v>8.1789596590442909E-2</v>
      </c>
      <c r="S11" s="5">
        <f t="shared" si="5"/>
        <v>9.558399418897226E-2</v>
      </c>
      <c r="T11" s="5">
        <f t="shared" si="5"/>
        <v>0.1098935111596378</v>
      </c>
      <c r="U11" s="5">
        <f t="shared" si="5"/>
        <v>0.12472673254605522</v>
      </c>
      <c r="V11" s="5">
        <f t="shared" si="5"/>
        <v>0.14008219471532671</v>
      </c>
      <c r="W11" s="5">
        <f t="shared" si="5"/>
        <v>0.15595520562764659</v>
      </c>
      <c r="X11" s="5">
        <f t="shared" si="5"/>
        <v>0.17234060662258069</v>
      </c>
      <c r="Y11" s="5">
        <f t="shared" si="5"/>
        <v>0.18923197959266785</v>
      </c>
      <c r="Z11" s="5">
        <f t="shared" si="5"/>
        <v>0.20662195078257645</v>
      </c>
      <c r="AA11" s="5">
        <f t="shared" si="5"/>
        <v>0.21047029027209282</v>
      </c>
      <c r="AB11" s="5">
        <f t="shared" si="5"/>
        <v>0.21428883302213336</v>
      </c>
      <c r="AC11" s="5">
        <f t="shared" si="5"/>
        <v>0.21807216247255085</v>
      </c>
      <c r="AD11" s="5">
        <f t="shared" si="5"/>
        <v>0.22181445248283677</v>
      </c>
      <c r="AE11" s="5">
        <f t="shared" si="5"/>
        <v>0.22551049438005896</v>
      </c>
      <c r="AF11" s="5">
        <f t="shared" si="5"/>
        <v>0.22915521051124288</v>
      </c>
      <c r="AG11" s="5">
        <f t="shared" si="5"/>
        <v>0.23274438594487631</v>
      </c>
      <c r="AH11" s="5">
        <f t="shared" si="5"/>
        <v>0.23627446388847251</v>
      </c>
      <c r="AI11" s="45">
        <f t="shared" si="5"/>
        <v>0.23974234487461832</v>
      </c>
      <c r="AJ11" s="51">
        <f t="shared" si="5"/>
        <v>0.24314451214814817</v>
      </c>
      <c r="AK11" s="18">
        <f t="shared" si="2"/>
        <v>5.5767465972613076E-2</v>
      </c>
      <c r="AL11" s="18">
        <f t="shared" si="3"/>
        <v>0.15085448480996339</v>
      </c>
    </row>
    <row r="12" spans="1:39" ht="17" thickBot="1">
      <c r="A12" s="31" t="s">
        <v>4</v>
      </c>
      <c r="B12" s="31" t="s">
        <v>17</v>
      </c>
      <c r="C12" s="32" t="s">
        <v>52</v>
      </c>
      <c r="D12" s="43" t="s">
        <v>7</v>
      </c>
      <c r="E12" s="52">
        <f t="shared" si="5"/>
        <v>3.1547589143878986E-2</v>
      </c>
      <c r="F12" s="49">
        <f t="shared" si="5"/>
        <v>3.1053525876202141E-2</v>
      </c>
      <c r="G12" s="33">
        <f t="shared" si="5"/>
        <v>3.046268014638449E-2</v>
      </c>
      <c r="H12" s="33">
        <f t="shared" si="5"/>
        <v>2.9769669181311246E-2</v>
      </c>
      <c r="I12" s="46">
        <f t="shared" si="5"/>
        <v>2.8969585180030479E-2</v>
      </c>
      <c r="J12" s="52">
        <f t="shared" si="5"/>
        <v>2.8279007666991058E-2</v>
      </c>
      <c r="K12" s="49">
        <f t="shared" si="5"/>
        <v>2.7923854056341006E-2</v>
      </c>
      <c r="L12" s="33">
        <f t="shared" si="5"/>
        <v>2.6754088189808067E-2</v>
      </c>
      <c r="M12" s="33">
        <f t="shared" si="5"/>
        <v>2.5491768070799982E-2</v>
      </c>
      <c r="N12" s="33">
        <f t="shared" si="5"/>
        <v>2.4133728150657899E-2</v>
      </c>
      <c r="O12" s="46">
        <f t="shared" si="5"/>
        <v>2.2677040888542561E-2</v>
      </c>
      <c r="P12" s="52">
        <f t="shared" si="5"/>
        <v>2.1119663377610055E-2</v>
      </c>
      <c r="Q12" s="49">
        <f t="shared" si="5"/>
        <v>1.9460638104643178E-2</v>
      </c>
      <c r="R12" s="33">
        <f t="shared" si="5"/>
        <v>1.7699707861200179E-2</v>
      </c>
      <c r="S12" s="33">
        <f t="shared" si="5"/>
        <v>1.5836868576126092E-2</v>
      </c>
      <c r="T12" s="33">
        <f t="shared" si="5"/>
        <v>1.3872568426753613E-2</v>
      </c>
      <c r="U12" s="33">
        <f t="shared" si="5"/>
        <v>1.1808796399568861E-2</v>
      </c>
      <c r="V12" s="33">
        <f t="shared" si="5"/>
        <v>9.6455351650806542E-3</v>
      </c>
      <c r="W12" s="33">
        <f t="shared" si="5"/>
        <v>7.3827127237128202E-3</v>
      </c>
      <c r="X12" s="33">
        <f t="shared" si="5"/>
        <v>5.0205390084902381E-3</v>
      </c>
      <c r="Y12" s="33">
        <f t="shared" si="5"/>
        <v>2.5594260275840219E-3</v>
      </c>
      <c r="Z12" s="33">
        <f t="shared" si="5"/>
        <v>0</v>
      </c>
      <c r="AA12" s="33">
        <f t="shared" si="5"/>
        <v>0</v>
      </c>
      <c r="AB12" s="33">
        <f t="shared" si="5"/>
        <v>0</v>
      </c>
      <c r="AC12" s="33">
        <f t="shared" si="5"/>
        <v>0</v>
      </c>
      <c r="AD12" s="33">
        <f t="shared" si="5"/>
        <v>0</v>
      </c>
      <c r="AE12" s="33">
        <f t="shared" si="5"/>
        <v>0</v>
      </c>
      <c r="AF12" s="33">
        <f t="shared" si="5"/>
        <v>0</v>
      </c>
      <c r="AG12" s="33">
        <f t="shared" si="5"/>
        <v>0</v>
      </c>
      <c r="AH12" s="33">
        <f t="shared" si="5"/>
        <v>0</v>
      </c>
      <c r="AI12" s="46">
        <f t="shared" si="5"/>
        <v>0</v>
      </c>
      <c r="AJ12" s="52">
        <f t="shared" si="5"/>
        <v>0</v>
      </c>
      <c r="AK12" s="18">
        <f t="shared" si="2"/>
        <v>-6.8041906787309515E-3</v>
      </c>
      <c r="AL12" s="18">
        <f t="shared" si="3"/>
        <v>-2.1119663377610055E-2</v>
      </c>
    </row>
    <row r="13" spans="1:39">
      <c r="A13" s="28" t="s">
        <v>18</v>
      </c>
      <c r="B13" s="28" t="s">
        <v>36</v>
      </c>
      <c r="C13" s="29" t="s">
        <v>52</v>
      </c>
      <c r="D13" s="44" t="s">
        <v>7</v>
      </c>
      <c r="E13" s="53">
        <f>E49*E$72</f>
        <v>3.1676154590574406</v>
      </c>
      <c r="F13" s="50">
        <f t="shared" ref="F13:AJ21" si="6">F49*F$72</f>
        <v>3.2161972570119772</v>
      </c>
      <c r="G13" s="30">
        <f t="shared" si="6"/>
        <v>3.2634318835439697</v>
      </c>
      <c r="H13" s="30">
        <f t="shared" si="6"/>
        <v>3.3092357965942818</v>
      </c>
      <c r="I13" s="47">
        <f t="shared" si="6"/>
        <v>3.3536003701557577</v>
      </c>
      <c r="J13" s="53">
        <f t="shared" si="6"/>
        <v>3.3965576311488563</v>
      </c>
      <c r="K13" s="50">
        <f t="shared" si="6"/>
        <v>3.3975399239417565</v>
      </c>
      <c r="L13" s="30">
        <f t="shared" si="6"/>
        <v>3.2552126425718164</v>
      </c>
      <c r="M13" s="30">
        <f t="shared" si="6"/>
        <v>3.1016241374725007</v>
      </c>
      <c r="N13" s="30">
        <f t="shared" si="6"/>
        <v>2.9363892512823671</v>
      </c>
      <c r="O13" s="47">
        <f t="shared" si="6"/>
        <v>2.7591517854315377</v>
      </c>
      <c r="P13" s="53">
        <f t="shared" si="6"/>
        <v>2.569663176181316</v>
      </c>
      <c r="Q13" s="50">
        <f t="shared" si="6"/>
        <v>2.3678069213691915</v>
      </c>
      <c r="R13" s="30">
        <f t="shared" si="6"/>
        <v>2.1535517260332355</v>
      </c>
      <c r="S13" s="30">
        <f t="shared" si="6"/>
        <v>1.9268970948295205</v>
      </c>
      <c r="T13" s="30">
        <f t="shared" si="6"/>
        <v>1.6878975582099593</v>
      </c>
      <c r="U13" s="30">
        <f t="shared" si="6"/>
        <v>1.4367951193371933</v>
      </c>
      <c r="V13" s="30">
        <f t="shared" si="6"/>
        <v>1.173587669704351</v>
      </c>
      <c r="W13" s="30">
        <f t="shared" si="6"/>
        <v>0.89826644900799957</v>
      </c>
      <c r="X13" s="30">
        <f t="shared" si="6"/>
        <v>0.6108570001345881</v>
      </c>
      <c r="Y13" s="30">
        <f t="shared" si="6"/>
        <v>0.31140945277636872</v>
      </c>
      <c r="Z13" s="30">
        <f t="shared" si="6"/>
        <v>0</v>
      </c>
      <c r="AA13" s="30">
        <f t="shared" si="6"/>
        <v>0</v>
      </c>
      <c r="AB13" s="30">
        <f t="shared" si="6"/>
        <v>0</v>
      </c>
      <c r="AC13" s="30">
        <f t="shared" si="6"/>
        <v>0</v>
      </c>
      <c r="AD13" s="30">
        <f t="shared" si="6"/>
        <v>0</v>
      </c>
      <c r="AE13" s="30">
        <f t="shared" si="6"/>
        <v>0</v>
      </c>
      <c r="AF13" s="30">
        <f t="shared" si="6"/>
        <v>0</v>
      </c>
      <c r="AG13" s="30">
        <f t="shared" si="6"/>
        <v>0</v>
      </c>
      <c r="AH13" s="30">
        <f t="shared" si="6"/>
        <v>0</v>
      </c>
      <c r="AI13" s="47">
        <f t="shared" si="6"/>
        <v>0</v>
      </c>
      <c r="AJ13" s="53">
        <f t="shared" si="6"/>
        <v>0</v>
      </c>
      <c r="AK13" s="18">
        <f t="shared" si="2"/>
        <v>-0.82787674776044051</v>
      </c>
      <c r="AL13" s="18">
        <f t="shared" si="3"/>
        <v>-2.569663176181316</v>
      </c>
    </row>
    <row r="14" spans="1:39">
      <c r="A14" s="3" t="s">
        <v>18</v>
      </c>
      <c r="B14" s="3" t="s">
        <v>8</v>
      </c>
      <c r="C14" s="4" t="s">
        <v>52</v>
      </c>
      <c r="D14" s="42" t="s">
        <v>7</v>
      </c>
      <c r="E14" s="51">
        <f t="shared" ref="E14:E23" si="7">E50*E$72</f>
        <v>0.42962641086650982</v>
      </c>
      <c r="F14" s="48">
        <f t="shared" si="6"/>
        <v>0.48799432286332645</v>
      </c>
      <c r="G14" s="5">
        <f t="shared" si="6"/>
        <v>0.54914420727532054</v>
      </c>
      <c r="H14" s="5">
        <f t="shared" si="6"/>
        <v>0.6131176158509668</v>
      </c>
      <c r="I14" s="45">
        <f t="shared" si="6"/>
        <v>0.67996867082602908</v>
      </c>
      <c r="J14" s="51">
        <f t="shared" si="6"/>
        <v>0.7497630504609738</v>
      </c>
      <c r="K14" s="48">
        <f t="shared" si="6"/>
        <v>0.86035509828189161</v>
      </c>
      <c r="L14" s="5">
        <f t="shared" si="6"/>
        <v>0.82431372573220196</v>
      </c>
      <c r="M14" s="5">
        <f t="shared" si="6"/>
        <v>0.78542068654566499</v>
      </c>
      <c r="N14" s="5">
        <f t="shared" si="6"/>
        <v>0.74357844776991633</v>
      </c>
      <c r="O14" s="45">
        <f t="shared" si="6"/>
        <v>0.69869680965382586</v>
      </c>
      <c r="P14" s="51">
        <f t="shared" si="6"/>
        <v>0.6507128286898487</v>
      </c>
      <c r="Q14" s="48">
        <f t="shared" si="6"/>
        <v>0.59959700317036124</v>
      </c>
      <c r="R14" s="5">
        <f t="shared" si="6"/>
        <v>0.54534140830841471</v>
      </c>
      <c r="S14" s="5">
        <f t="shared" si="6"/>
        <v>0.48794591866864062</v>
      </c>
      <c r="T14" s="5">
        <f t="shared" si="6"/>
        <v>0.42742434293419335</v>
      </c>
      <c r="U14" s="5">
        <f t="shared" si="6"/>
        <v>0.36383796328554469</v>
      </c>
      <c r="V14" s="5">
        <f t="shared" si="6"/>
        <v>0.29718624578794273</v>
      </c>
      <c r="W14" s="5">
        <f t="shared" si="6"/>
        <v>0.22746697207989947</v>
      </c>
      <c r="X14" s="5">
        <f t="shared" si="6"/>
        <v>0.15468661035695441</v>
      </c>
      <c r="Y14" s="5">
        <f t="shared" si="6"/>
        <v>7.885785490299238E-2</v>
      </c>
      <c r="Z14" s="5">
        <f t="shared" si="6"/>
        <v>0</v>
      </c>
      <c r="AA14" s="5">
        <f t="shared" si="6"/>
        <v>0</v>
      </c>
      <c r="AB14" s="5">
        <f t="shared" si="6"/>
        <v>0</v>
      </c>
      <c r="AC14" s="5">
        <f t="shared" si="6"/>
        <v>0</v>
      </c>
      <c r="AD14" s="5">
        <f t="shared" si="6"/>
        <v>0</v>
      </c>
      <c r="AE14" s="5">
        <f t="shared" si="6"/>
        <v>0</v>
      </c>
      <c r="AF14" s="5">
        <f t="shared" si="6"/>
        <v>0</v>
      </c>
      <c r="AG14" s="5">
        <f t="shared" si="6"/>
        <v>0</v>
      </c>
      <c r="AH14" s="5">
        <f t="shared" si="6"/>
        <v>0</v>
      </c>
      <c r="AI14" s="45">
        <f t="shared" si="6"/>
        <v>0</v>
      </c>
      <c r="AJ14" s="51">
        <f t="shared" si="6"/>
        <v>0</v>
      </c>
      <c r="AK14" s="18">
        <f t="shared" si="2"/>
        <v>-0.20964226959204291</v>
      </c>
      <c r="AL14" s="18">
        <f t="shared" si="3"/>
        <v>-0.6507128286898487</v>
      </c>
    </row>
    <row r="15" spans="1:39">
      <c r="A15" s="3" t="s">
        <v>18</v>
      </c>
      <c r="B15" t="s">
        <v>37</v>
      </c>
      <c r="C15" s="4" t="s">
        <v>52</v>
      </c>
      <c r="D15" s="42" t="s">
        <v>7</v>
      </c>
      <c r="E15" s="51">
        <f t="shared" si="7"/>
        <v>0</v>
      </c>
      <c r="F15" s="48">
        <f t="shared" si="6"/>
        <v>0</v>
      </c>
      <c r="G15" s="5">
        <f t="shared" si="6"/>
        <v>0</v>
      </c>
      <c r="H15" s="5">
        <f t="shared" si="6"/>
        <v>0</v>
      </c>
      <c r="I15" s="45">
        <f t="shared" si="6"/>
        <v>0</v>
      </c>
      <c r="J15" s="51">
        <f t="shared" si="6"/>
        <v>0</v>
      </c>
      <c r="K15" s="48">
        <f t="shared" si="6"/>
        <v>0</v>
      </c>
      <c r="L15" s="5">
        <f t="shared" si="6"/>
        <v>5.0001557942857155E-2</v>
      </c>
      <c r="M15" s="5">
        <f t="shared" si="6"/>
        <v>0.10261433133572281</v>
      </c>
      <c r="N15" s="5">
        <f t="shared" si="6"/>
        <v>0.15786499591366909</v>
      </c>
      <c r="O15" s="45">
        <f t="shared" si="6"/>
        <v>0.21576207341516246</v>
      </c>
      <c r="P15" s="51">
        <f t="shared" si="6"/>
        <v>0.27629842782608699</v>
      </c>
      <c r="Q15" s="48">
        <f t="shared" si="6"/>
        <v>0.33945892770909097</v>
      </c>
      <c r="R15" s="5">
        <f t="shared" si="6"/>
        <v>0.40522438228710467</v>
      </c>
      <c r="S15" s="5">
        <f t="shared" si="6"/>
        <v>0.4735683585250306</v>
      </c>
      <c r="T15" s="5">
        <f t="shared" si="6"/>
        <v>0.54446448000000003</v>
      </c>
      <c r="U15" s="5">
        <f t="shared" si="6"/>
        <v>0.61795528108241082</v>
      </c>
      <c r="V15" s="5">
        <f t="shared" si="6"/>
        <v>0.69403351024197535</v>
      </c>
      <c r="W15" s="5">
        <f t="shared" si="6"/>
        <v>0.77267592089219339</v>
      </c>
      <c r="X15" s="5">
        <f t="shared" si="6"/>
        <v>0.85385695458706479</v>
      </c>
      <c r="Y15" s="5">
        <f t="shared" si="6"/>
        <v>0.93754481298377035</v>
      </c>
      <c r="Z15" s="5">
        <f t="shared" si="6"/>
        <v>1.023702963007519</v>
      </c>
      <c r="AA15" s="5">
        <f t="shared" si="6"/>
        <v>1.0427694587169813</v>
      </c>
      <c r="AB15" s="5">
        <f t="shared" si="6"/>
        <v>1.0616883272727273</v>
      </c>
      <c r="AC15" s="5">
        <f t="shared" si="6"/>
        <v>1.0804327324714831</v>
      </c>
      <c r="AD15" s="5">
        <f t="shared" si="6"/>
        <v>1.0989738088549617</v>
      </c>
      <c r="AE15" s="5">
        <f t="shared" si="6"/>
        <v>1.1172857501915709</v>
      </c>
      <c r="AF15" s="5">
        <f t="shared" si="6"/>
        <v>1.1353433993846154</v>
      </c>
      <c r="AG15" s="5">
        <f t="shared" si="6"/>
        <v>1.1531258736679537</v>
      </c>
      <c r="AH15" s="5">
        <f t="shared" si="6"/>
        <v>1.1706155510077518</v>
      </c>
      <c r="AI15" s="45">
        <f t="shared" si="6"/>
        <v>1.1877970751750973</v>
      </c>
      <c r="AJ15" s="51">
        <f t="shared" si="6"/>
        <v>1.2046530225000001</v>
      </c>
      <c r="AK15" s="18">
        <f t="shared" si="2"/>
        <v>0.27629842782608699</v>
      </c>
      <c r="AL15" s="18">
        <f t="shared" si="3"/>
        <v>0.74740453518143202</v>
      </c>
    </row>
    <row r="16" spans="1:39">
      <c r="A16" s="3" t="s">
        <v>18</v>
      </c>
      <c r="B16" t="s">
        <v>10</v>
      </c>
      <c r="C16" s="4" t="s">
        <v>52</v>
      </c>
      <c r="D16" s="42" t="s">
        <v>7</v>
      </c>
      <c r="E16" s="51">
        <f t="shared" si="7"/>
        <v>0</v>
      </c>
      <c r="F16" s="48">
        <f t="shared" si="6"/>
        <v>0</v>
      </c>
      <c r="G16" s="5">
        <f t="shared" si="6"/>
        <v>0</v>
      </c>
      <c r="H16" s="5">
        <f t="shared" si="6"/>
        <v>0</v>
      </c>
      <c r="I16" s="45">
        <f t="shared" si="6"/>
        <v>0</v>
      </c>
      <c r="J16" s="51">
        <f t="shared" si="6"/>
        <v>0</v>
      </c>
      <c r="K16" s="48">
        <f t="shared" si="6"/>
        <v>0</v>
      </c>
      <c r="L16" s="5">
        <f t="shared" si="6"/>
        <v>9.7061847771428594E-2</v>
      </c>
      <c r="M16" s="5">
        <f t="shared" si="6"/>
        <v>0.19919252553405017</v>
      </c>
      <c r="N16" s="5">
        <f t="shared" si="6"/>
        <v>0.30644381559712236</v>
      </c>
      <c r="O16" s="45">
        <f t="shared" si="6"/>
        <v>0.41883226015884478</v>
      </c>
      <c r="P16" s="51">
        <f t="shared" si="6"/>
        <v>0.53634400695652185</v>
      </c>
      <c r="Q16" s="48">
        <f t="shared" si="6"/>
        <v>0.65894968320000014</v>
      </c>
      <c r="R16" s="5">
        <f t="shared" si="6"/>
        <v>0.78661203620437958</v>
      </c>
      <c r="S16" s="5">
        <f t="shared" si="6"/>
        <v>0.9192797547838828</v>
      </c>
      <c r="T16" s="5">
        <f t="shared" si="6"/>
        <v>1.0569016376470588</v>
      </c>
      <c r="U16" s="5">
        <f t="shared" si="6"/>
        <v>1.1995602515129149</v>
      </c>
      <c r="V16" s="5">
        <f t="shared" si="6"/>
        <v>1.3472415198814813</v>
      </c>
      <c r="W16" s="5">
        <f t="shared" si="6"/>
        <v>1.4999003170260221</v>
      </c>
      <c r="X16" s="5">
        <f t="shared" si="6"/>
        <v>1.6574870294925372</v>
      </c>
      <c r="Y16" s="5">
        <f t="shared" si="6"/>
        <v>1.8199399310861424</v>
      </c>
      <c r="Z16" s="5">
        <f t="shared" si="6"/>
        <v>1.9871881046616542</v>
      </c>
      <c r="AA16" s="5">
        <f t="shared" si="6"/>
        <v>2.0241995375094342</v>
      </c>
      <c r="AB16" s="5">
        <f t="shared" si="6"/>
        <v>2.0609243999999998</v>
      </c>
      <c r="AC16" s="5">
        <f t="shared" si="6"/>
        <v>2.0973105983269966</v>
      </c>
      <c r="AD16" s="5">
        <f t="shared" si="6"/>
        <v>2.1333020995419845</v>
      </c>
      <c r="AE16" s="5">
        <f t="shared" si="6"/>
        <v>2.1688488091954023</v>
      </c>
      <c r="AF16" s="5">
        <f t="shared" si="6"/>
        <v>2.2039018929230769</v>
      </c>
      <c r="AG16" s="5">
        <f t="shared" si="6"/>
        <v>2.2384208135907335</v>
      </c>
      <c r="AH16" s="5">
        <f t="shared" si="6"/>
        <v>2.27237136372093</v>
      </c>
      <c r="AI16" s="45">
        <f t="shared" si="6"/>
        <v>2.3057237341634242</v>
      </c>
      <c r="AJ16" s="51">
        <f t="shared" si="6"/>
        <v>2.3384441025</v>
      </c>
      <c r="AK16" s="18">
        <f t="shared" si="2"/>
        <v>0.53634400695652185</v>
      </c>
      <c r="AL16" s="18">
        <f t="shared" si="3"/>
        <v>1.4508440977051325</v>
      </c>
    </row>
    <row r="17" spans="1:38">
      <c r="A17" s="3" t="s">
        <v>18</v>
      </c>
      <c r="B17" t="s">
        <v>11</v>
      </c>
      <c r="C17" s="4" t="s">
        <v>52</v>
      </c>
      <c r="D17" s="42" t="s">
        <v>7</v>
      </c>
      <c r="E17" s="51">
        <f t="shared" si="7"/>
        <v>5.4310502519482246E-4</v>
      </c>
      <c r="F17" s="48">
        <f t="shared" si="6"/>
        <v>5.3870920104837994E-4</v>
      </c>
      <c r="G17" s="5">
        <f t="shared" si="6"/>
        <v>5.3335377741821398E-4</v>
      </c>
      <c r="H17" s="5">
        <f t="shared" si="6"/>
        <v>5.2701143381793348E-4</v>
      </c>
      <c r="I17" s="45">
        <f t="shared" si="6"/>
        <v>5.1966710234152536E-4</v>
      </c>
      <c r="J17" s="51">
        <f t="shared" si="6"/>
        <v>5.1131120027582497E-4</v>
      </c>
      <c r="K17" s="48">
        <f t="shared" si="6"/>
        <v>5.0488968714912006E-4</v>
      </c>
      <c r="L17" s="5">
        <f t="shared" si="6"/>
        <v>7.9897978299823424E-2</v>
      </c>
      <c r="M17" s="5">
        <f t="shared" si="6"/>
        <v>0.16343661798233913</v>
      </c>
      <c r="N17" s="5">
        <f t="shared" si="6"/>
        <v>0.25116311884252107</v>
      </c>
      <c r="O17" s="45">
        <f t="shared" si="6"/>
        <v>0.3430909624734621</v>
      </c>
      <c r="P17" s="51">
        <f t="shared" si="6"/>
        <v>0.43920877826799654</v>
      </c>
      <c r="Q17" s="48">
        <f t="shared" si="6"/>
        <v>0.53949251663052711</v>
      </c>
      <c r="R17" s="5">
        <f t="shared" si="6"/>
        <v>0.6439116934410184</v>
      </c>
      <c r="S17" s="5">
        <f t="shared" si="6"/>
        <v>0.75242432674658755</v>
      </c>
      <c r="T17" s="5">
        <f t="shared" si="6"/>
        <v>0.86498853268497178</v>
      </c>
      <c r="U17" s="5">
        <f t="shared" si="6"/>
        <v>0.98167190180720676</v>
      </c>
      <c r="V17" s="5">
        <f t="shared" si="6"/>
        <v>1.1024629166636195</v>
      </c>
      <c r="W17" s="5">
        <f t="shared" si="6"/>
        <v>1.2273246549032422</v>
      </c>
      <c r="X17" s="5">
        <f t="shared" si="6"/>
        <v>1.3562165274958624</v>
      </c>
      <c r="Y17" s="5">
        <f t="shared" si="6"/>
        <v>1.4890880386406176</v>
      </c>
      <c r="Z17" s="5">
        <f t="shared" si="6"/>
        <v>1.6258811765413534</v>
      </c>
      <c r="AA17" s="5">
        <f t="shared" si="6"/>
        <v>1.6561632579622643</v>
      </c>
      <c r="AB17" s="5">
        <f t="shared" si="6"/>
        <v>1.6862108727272727</v>
      </c>
      <c r="AC17" s="5">
        <f t="shared" si="6"/>
        <v>1.7159813986311789</v>
      </c>
      <c r="AD17" s="5">
        <f t="shared" si="6"/>
        <v>1.745428990534351</v>
      </c>
      <c r="AE17" s="5">
        <f t="shared" si="6"/>
        <v>1.7745126620689657</v>
      </c>
      <c r="AF17" s="5">
        <f t="shared" si="6"/>
        <v>1.803192457846154</v>
      </c>
      <c r="AG17" s="5">
        <f t="shared" si="6"/>
        <v>1.8314352111196912</v>
      </c>
      <c r="AH17" s="5">
        <f t="shared" si="6"/>
        <v>1.8592129339534882</v>
      </c>
      <c r="AI17" s="45">
        <f t="shared" si="6"/>
        <v>1.8865012370428016</v>
      </c>
      <c r="AJ17" s="51">
        <f t="shared" si="6"/>
        <v>1.9132724475</v>
      </c>
      <c r="AK17" s="18">
        <f t="shared" si="2"/>
        <v>0.43870388858084741</v>
      </c>
      <c r="AL17" s="18">
        <f t="shared" si="3"/>
        <v>1.1866723982733569</v>
      </c>
    </row>
    <row r="18" spans="1:38">
      <c r="A18" s="3" t="s">
        <v>18</v>
      </c>
      <c r="B18" s="3" t="s">
        <v>12</v>
      </c>
      <c r="C18" s="4" t="s">
        <v>52</v>
      </c>
      <c r="D18" s="42" t="s">
        <v>7</v>
      </c>
      <c r="E18" s="51">
        <f t="shared" si="7"/>
        <v>0</v>
      </c>
      <c r="F18" s="48">
        <f t="shared" si="6"/>
        <v>0</v>
      </c>
      <c r="G18" s="5">
        <f t="shared" si="6"/>
        <v>0</v>
      </c>
      <c r="H18" s="5">
        <f t="shared" si="6"/>
        <v>0</v>
      </c>
      <c r="I18" s="45">
        <f t="shared" si="6"/>
        <v>0</v>
      </c>
      <c r="J18" s="51">
        <f t="shared" si="6"/>
        <v>0</v>
      </c>
      <c r="K18" s="48">
        <f t="shared" si="6"/>
        <v>0</v>
      </c>
      <c r="L18" s="5">
        <f t="shared" si="6"/>
        <v>0</v>
      </c>
      <c r="M18" s="5">
        <f t="shared" si="6"/>
        <v>0</v>
      </c>
      <c r="N18" s="5">
        <f t="shared" si="6"/>
        <v>0</v>
      </c>
      <c r="O18" s="45">
        <f t="shared" si="6"/>
        <v>0</v>
      </c>
      <c r="P18" s="51">
        <f t="shared" si="6"/>
        <v>0</v>
      </c>
      <c r="Q18" s="48">
        <f t="shared" si="6"/>
        <v>0</v>
      </c>
      <c r="R18" s="5">
        <f t="shared" si="6"/>
        <v>0</v>
      </c>
      <c r="S18" s="5">
        <f t="shared" si="6"/>
        <v>0</v>
      </c>
      <c r="T18" s="5">
        <f t="shared" si="6"/>
        <v>0</v>
      </c>
      <c r="U18" s="5">
        <f t="shared" si="6"/>
        <v>0</v>
      </c>
      <c r="V18" s="5">
        <f t="shared" si="6"/>
        <v>0</v>
      </c>
      <c r="W18" s="5">
        <f t="shared" si="6"/>
        <v>0</v>
      </c>
      <c r="X18" s="5">
        <f t="shared" si="6"/>
        <v>0</v>
      </c>
      <c r="Y18" s="5">
        <f t="shared" si="6"/>
        <v>0</v>
      </c>
      <c r="Z18" s="5">
        <f t="shared" si="6"/>
        <v>0</v>
      </c>
      <c r="AA18" s="5">
        <f t="shared" si="6"/>
        <v>0</v>
      </c>
      <c r="AB18" s="5">
        <f t="shared" si="6"/>
        <v>0</v>
      </c>
      <c r="AC18" s="5">
        <f t="shared" si="6"/>
        <v>0</v>
      </c>
      <c r="AD18" s="5">
        <f t="shared" si="6"/>
        <v>0</v>
      </c>
      <c r="AE18" s="5">
        <f t="shared" si="6"/>
        <v>0</v>
      </c>
      <c r="AF18" s="5">
        <f t="shared" si="6"/>
        <v>0</v>
      </c>
      <c r="AG18" s="5">
        <f t="shared" si="6"/>
        <v>0</v>
      </c>
      <c r="AH18" s="5">
        <f t="shared" si="6"/>
        <v>0</v>
      </c>
      <c r="AI18" s="45">
        <f t="shared" si="6"/>
        <v>0</v>
      </c>
      <c r="AJ18" s="51">
        <f t="shared" si="6"/>
        <v>0</v>
      </c>
      <c r="AK18" s="18">
        <f t="shared" si="2"/>
        <v>0</v>
      </c>
      <c r="AL18" s="18">
        <f t="shared" si="3"/>
        <v>0</v>
      </c>
    </row>
    <row r="19" spans="1:38">
      <c r="A19" s="3" t="s">
        <v>18</v>
      </c>
      <c r="B19" s="3" t="s">
        <v>13</v>
      </c>
      <c r="C19" s="4" t="s">
        <v>52</v>
      </c>
      <c r="D19" s="42" t="s">
        <v>7</v>
      </c>
      <c r="E19" s="51">
        <f t="shared" si="7"/>
        <v>1.1155684376987626E-2</v>
      </c>
      <c r="F19" s="48">
        <f t="shared" si="6"/>
        <v>1.0596359934954702E-2</v>
      </c>
      <c r="G19" s="5">
        <f t="shared" si="6"/>
        <v>9.990469461493583E-3</v>
      </c>
      <c r="H19" s="5">
        <f t="shared" si="6"/>
        <v>9.3369727469992288E-3</v>
      </c>
      <c r="I19" s="45">
        <f t="shared" si="6"/>
        <v>8.6350594300806677E-3</v>
      </c>
      <c r="J19" s="51">
        <f t="shared" si="6"/>
        <v>7.8839770854197602E-3</v>
      </c>
      <c r="K19" s="48">
        <f t="shared" si="6"/>
        <v>7.7849628993089271E-3</v>
      </c>
      <c r="L19" s="5">
        <f t="shared" si="6"/>
        <v>5.4519130701405696E-2</v>
      </c>
      <c r="M19" s="5">
        <f t="shared" si="6"/>
        <v>0.10368510960723025</v>
      </c>
      <c r="N19" s="5">
        <f t="shared" si="6"/>
        <v>0.15530712365953764</v>
      </c>
      <c r="O19" s="45">
        <f t="shared" si="6"/>
        <v>0.20939237714144107</v>
      </c>
      <c r="P19" s="51">
        <f t="shared" si="6"/>
        <v>0.2659335842571216</v>
      </c>
      <c r="Q19" s="48">
        <f t="shared" si="6"/>
        <v>0.32491623670621167</v>
      </c>
      <c r="R19" s="5">
        <f t="shared" si="6"/>
        <v>0.38632220087307972</v>
      </c>
      <c r="S19" s="5">
        <f t="shared" si="6"/>
        <v>0.45012659747203798</v>
      </c>
      <c r="T19" s="5">
        <f t="shared" si="6"/>
        <v>0.51630472658301241</v>
      </c>
      <c r="U19" s="5">
        <f t="shared" si="6"/>
        <v>0.58489717506925709</v>
      </c>
      <c r="V19" s="5">
        <f t="shared" si="6"/>
        <v>0.65589711312975618</v>
      </c>
      <c r="W19" s="5">
        <f t="shared" si="6"/>
        <v>0.72928264155132771</v>
      </c>
      <c r="X19" s="5">
        <f t="shared" si="6"/>
        <v>0.80502976385373815</v>
      </c>
      <c r="Y19" s="5">
        <f t="shared" si="6"/>
        <v>0.88310866704973701</v>
      </c>
      <c r="Z19" s="5">
        <f t="shared" si="6"/>
        <v>0.96348514165413535</v>
      </c>
      <c r="AA19" s="5">
        <f t="shared" si="6"/>
        <v>0.98143007879245292</v>
      </c>
      <c r="AB19" s="5">
        <f t="shared" si="6"/>
        <v>0.99923607272727266</v>
      </c>
      <c r="AC19" s="5">
        <f t="shared" si="6"/>
        <v>1.0168778658555133</v>
      </c>
      <c r="AD19" s="5">
        <f t="shared" si="6"/>
        <v>1.0343282906870228</v>
      </c>
      <c r="AE19" s="5">
        <f t="shared" si="6"/>
        <v>1.0515630590038314</v>
      </c>
      <c r="AF19" s="5">
        <f t="shared" si="6"/>
        <v>1.0685584935384616</v>
      </c>
      <c r="AG19" s="5">
        <f t="shared" si="6"/>
        <v>1.08529493992278</v>
      </c>
      <c r="AH19" s="5">
        <f t="shared" si="6"/>
        <v>1.1017558127131781</v>
      </c>
      <c r="AI19" s="45">
        <f t="shared" si="6"/>
        <v>1.1179266589883268</v>
      </c>
      <c r="AJ19" s="51">
        <f t="shared" si="6"/>
        <v>1.13379108</v>
      </c>
      <c r="AK19" s="18">
        <f t="shared" si="2"/>
        <v>0.25814862135781269</v>
      </c>
      <c r="AL19" s="18">
        <f t="shared" si="3"/>
        <v>0.69755155739701369</v>
      </c>
    </row>
    <row r="20" spans="1:38">
      <c r="A20" s="3" t="s">
        <v>18</v>
      </c>
      <c r="B20" t="s">
        <v>14</v>
      </c>
      <c r="C20" s="4" t="s">
        <v>52</v>
      </c>
      <c r="D20" s="42" t="s">
        <v>7</v>
      </c>
      <c r="E20" s="51">
        <f t="shared" si="7"/>
        <v>0</v>
      </c>
      <c r="F20" s="48">
        <f t="shared" si="6"/>
        <v>0</v>
      </c>
      <c r="G20" s="5">
        <f t="shared" si="6"/>
        <v>0</v>
      </c>
      <c r="H20" s="5">
        <f t="shared" si="6"/>
        <v>0</v>
      </c>
      <c r="I20" s="45">
        <f t="shared" si="6"/>
        <v>0</v>
      </c>
      <c r="J20" s="51">
        <f t="shared" si="6"/>
        <v>0</v>
      </c>
      <c r="K20" s="48">
        <f t="shared" si="6"/>
        <v>0</v>
      </c>
      <c r="L20" s="5">
        <f t="shared" si="6"/>
        <v>4.0368817196616023E-2</v>
      </c>
      <c r="M20" s="5">
        <f t="shared" si="6"/>
        <v>8.2845802288377221E-2</v>
      </c>
      <c r="N20" s="5">
        <f t="shared" si="6"/>
        <v>0.12745249196167929</v>
      </c>
      <c r="O20" s="45">
        <f t="shared" si="6"/>
        <v>0.17419576625219518</v>
      </c>
      <c r="P20" s="51">
        <f t="shared" si="6"/>
        <v>0.2230698638904523</v>
      </c>
      <c r="Q20" s="48">
        <f t="shared" si="6"/>
        <v>0.27406256849253174</v>
      </c>
      <c r="R20" s="5">
        <f t="shared" si="6"/>
        <v>0.32715838636177164</v>
      </c>
      <c r="S20" s="5">
        <f t="shared" si="6"/>
        <v>0.38233597675588904</v>
      </c>
      <c r="T20" s="5">
        <f t="shared" si="6"/>
        <v>0.43957404463855121</v>
      </c>
      <c r="U20" s="5">
        <f t="shared" si="6"/>
        <v>0.49890693018422089</v>
      </c>
      <c r="V20" s="5">
        <f t="shared" si="6"/>
        <v>0.56032877886130683</v>
      </c>
      <c r="W20" s="5">
        <f t="shared" si="6"/>
        <v>0.62382082251058635</v>
      </c>
      <c r="X20" s="5">
        <f t="shared" si="6"/>
        <v>0.68936242649032275</v>
      </c>
      <c r="Y20" s="5">
        <f t="shared" si="6"/>
        <v>0.75692791837067142</v>
      </c>
      <c r="Z20" s="5">
        <f t="shared" si="6"/>
        <v>0.82648780313030579</v>
      </c>
      <c r="AA20" s="5">
        <f t="shared" si="6"/>
        <v>0.8418811610883713</v>
      </c>
      <c r="AB20" s="5">
        <f t="shared" si="6"/>
        <v>0.85715533208853345</v>
      </c>
      <c r="AC20" s="5">
        <f t="shared" si="6"/>
        <v>0.87228864989020338</v>
      </c>
      <c r="AD20" s="5">
        <f t="shared" si="6"/>
        <v>0.88725780993134706</v>
      </c>
      <c r="AE20" s="5">
        <f t="shared" si="6"/>
        <v>0.90204197752023585</v>
      </c>
      <c r="AF20" s="5">
        <f t="shared" si="6"/>
        <v>0.91662084204497152</v>
      </c>
      <c r="AG20" s="5">
        <f t="shared" si="6"/>
        <v>0.93097754377950526</v>
      </c>
      <c r="AH20" s="5">
        <f t="shared" si="6"/>
        <v>0.94509785555389003</v>
      </c>
      <c r="AI20" s="45">
        <f t="shared" si="6"/>
        <v>0.95896937949847327</v>
      </c>
      <c r="AJ20" s="51">
        <f t="shared" si="6"/>
        <v>0.97257804859259267</v>
      </c>
      <c r="AK20" s="18">
        <f t="shared" si="2"/>
        <v>0.2230698638904523</v>
      </c>
      <c r="AL20" s="18">
        <f t="shared" si="3"/>
        <v>0.60341793923985354</v>
      </c>
    </row>
    <row r="21" spans="1:38">
      <c r="A21" s="3" t="s">
        <v>18</v>
      </c>
      <c r="B21" t="s">
        <v>15</v>
      </c>
      <c r="C21" s="4" t="s">
        <v>52</v>
      </c>
      <c r="D21" s="42" t="s">
        <v>7</v>
      </c>
      <c r="E21" s="51">
        <f t="shared" si="7"/>
        <v>0</v>
      </c>
      <c r="F21" s="48">
        <f t="shared" si="6"/>
        <v>0</v>
      </c>
      <c r="G21" s="5">
        <f t="shared" si="6"/>
        <v>0</v>
      </c>
      <c r="H21" s="5">
        <f t="shared" si="6"/>
        <v>0</v>
      </c>
      <c r="I21" s="45">
        <f t="shared" si="6"/>
        <v>0</v>
      </c>
      <c r="J21" s="51">
        <f t="shared" si="6"/>
        <v>0</v>
      </c>
      <c r="K21" s="48">
        <f t="shared" si="6"/>
        <v>0</v>
      </c>
      <c r="L21" s="5">
        <f t="shared" si="6"/>
        <v>5.8825362285714299E-3</v>
      </c>
      <c r="M21" s="5">
        <f t="shared" ref="F21:AJ23" si="8">M57*M$72</f>
        <v>1.2072274274790918E-2</v>
      </c>
      <c r="N21" s="5">
        <f t="shared" si="8"/>
        <v>1.8572352460431655E-2</v>
      </c>
      <c r="O21" s="45">
        <f t="shared" si="8"/>
        <v>2.5383773342960287E-2</v>
      </c>
      <c r="P21" s="51">
        <f t="shared" si="8"/>
        <v>3.250569739130435E-2</v>
      </c>
      <c r="Q21" s="48">
        <f t="shared" si="8"/>
        <v>3.9936344436363638E-2</v>
      </c>
      <c r="R21" s="5">
        <f t="shared" si="8"/>
        <v>4.7673456739659371E-2</v>
      </c>
      <c r="S21" s="5">
        <f t="shared" si="8"/>
        <v>5.5713924532356539E-2</v>
      </c>
      <c r="T21" s="5">
        <f t="shared" si="8"/>
        <v>6.405464470588236E-2</v>
      </c>
      <c r="U21" s="5">
        <f t="shared" si="8"/>
        <v>7.2700621303813051E-2</v>
      </c>
      <c r="V21" s="5">
        <f t="shared" si="8"/>
        <v>8.1651001204938289E-2</v>
      </c>
      <c r="W21" s="5">
        <f t="shared" si="8"/>
        <v>9.0903049516728646E-2</v>
      </c>
      <c r="X21" s="5">
        <f t="shared" si="8"/>
        <v>0.1004537593631841</v>
      </c>
      <c r="Y21" s="5">
        <f t="shared" si="8"/>
        <v>0.11029938976279652</v>
      </c>
      <c r="Z21" s="5">
        <f t="shared" si="8"/>
        <v>0.12043564270676692</v>
      </c>
      <c r="AA21" s="5">
        <f t="shared" si="8"/>
        <v>0.12267875984905662</v>
      </c>
      <c r="AB21" s="5">
        <f t="shared" si="8"/>
        <v>0.12490450909090908</v>
      </c>
      <c r="AC21" s="5">
        <f t="shared" si="8"/>
        <v>0.12710973323193916</v>
      </c>
      <c r="AD21" s="5">
        <f t="shared" si="8"/>
        <v>0.12929103633587785</v>
      </c>
      <c r="AE21" s="5">
        <f t="shared" si="8"/>
        <v>0.13144538237547893</v>
      </c>
      <c r="AF21" s="5">
        <f t="shared" si="8"/>
        <v>0.13356981169230769</v>
      </c>
      <c r="AG21" s="5">
        <f t="shared" si="8"/>
        <v>0.1356618674903475</v>
      </c>
      <c r="AH21" s="5">
        <f t="shared" si="8"/>
        <v>0.13771947658914727</v>
      </c>
      <c r="AI21" s="45">
        <f t="shared" si="8"/>
        <v>0.13974083237354085</v>
      </c>
      <c r="AJ21" s="51">
        <f t="shared" si="8"/>
        <v>0.14172388499999999</v>
      </c>
      <c r="AK21" s="18">
        <f t="shared" si="2"/>
        <v>3.250569739130435E-2</v>
      </c>
      <c r="AL21" s="18">
        <f t="shared" si="3"/>
        <v>8.7929945315462568E-2</v>
      </c>
    </row>
    <row r="22" spans="1:38">
      <c r="A22" s="3" t="s">
        <v>18</v>
      </c>
      <c r="B22" t="s">
        <v>16</v>
      </c>
      <c r="C22" s="4" t="s">
        <v>52</v>
      </c>
      <c r="D22" s="42" t="s">
        <v>7</v>
      </c>
      <c r="E22" s="51">
        <f t="shared" si="7"/>
        <v>0</v>
      </c>
      <c r="F22" s="48">
        <f t="shared" si="8"/>
        <v>0</v>
      </c>
      <c r="G22" s="5">
        <f t="shared" si="8"/>
        <v>0</v>
      </c>
      <c r="H22" s="5">
        <f t="shared" si="8"/>
        <v>0</v>
      </c>
      <c r="I22" s="45">
        <f t="shared" si="8"/>
        <v>0</v>
      </c>
      <c r="J22" s="51">
        <f t="shared" si="8"/>
        <v>0</v>
      </c>
      <c r="K22" s="48">
        <f t="shared" si="8"/>
        <v>0</v>
      </c>
      <c r="L22" s="5">
        <f t="shared" si="8"/>
        <v>1.0092204299154006E-2</v>
      </c>
      <c r="M22" s="5">
        <f t="shared" si="8"/>
        <v>2.0711450572094305E-2</v>
      </c>
      <c r="N22" s="5">
        <f t="shared" si="8"/>
        <v>3.1863122990419823E-2</v>
      </c>
      <c r="O22" s="45">
        <f t="shared" si="8"/>
        <v>4.3548941563048796E-2</v>
      </c>
      <c r="P22" s="51">
        <f t="shared" si="8"/>
        <v>5.5767465972613076E-2</v>
      </c>
      <c r="Q22" s="48">
        <f t="shared" si="8"/>
        <v>6.8515642123132936E-2</v>
      </c>
      <c r="R22" s="5">
        <f t="shared" si="8"/>
        <v>8.1789596590442909E-2</v>
      </c>
      <c r="S22" s="5">
        <f t="shared" si="8"/>
        <v>9.558399418897226E-2</v>
      </c>
      <c r="T22" s="5">
        <f t="shared" si="8"/>
        <v>0.1098935111596378</v>
      </c>
      <c r="U22" s="5">
        <f t="shared" si="8"/>
        <v>0.12472673254605522</v>
      </c>
      <c r="V22" s="5">
        <f t="shared" si="8"/>
        <v>0.14008219471532671</v>
      </c>
      <c r="W22" s="5">
        <f t="shared" si="8"/>
        <v>0.15595520562764659</v>
      </c>
      <c r="X22" s="5">
        <f t="shared" si="8"/>
        <v>0.17234060662258069</v>
      </c>
      <c r="Y22" s="5">
        <f t="shared" si="8"/>
        <v>0.18923197959266785</v>
      </c>
      <c r="Z22" s="5">
        <f t="shared" si="8"/>
        <v>0.20662195078257645</v>
      </c>
      <c r="AA22" s="5">
        <f t="shared" si="8"/>
        <v>0.21047029027209282</v>
      </c>
      <c r="AB22" s="5">
        <f t="shared" si="8"/>
        <v>0.21428883302213336</v>
      </c>
      <c r="AC22" s="5">
        <f t="shared" si="8"/>
        <v>0.21807216247255085</v>
      </c>
      <c r="AD22" s="5">
        <f t="shared" si="8"/>
        <v>0.22181445248283677</v>
      </c>
      <c r="AE22" s="5">
        <f t="shared" si="8"/>
        <v>0.22551049438005896</v>
      </c>
      <c r="AF22" s="5">
        <f t="shared" si="8"/>
        <v>0.22915521051124288</v>
      </c>
      <c r="AG22" s="5">
        <f t="shared" si="8"/>
        <v>0.23274438594487631</v>
      </c>
      <c r="AH22" s="5">
        <f t="shared" si="8"/>
        <v>0.23627446388847251</v>
      </c>
      <c r="AI22" s="45">
        <f t="shared" si="8"/>
        <v>0.23974234487461832</v>
      </c>
      <c r="AJ22" s="51">
        <f t="shared" si="8"/>
        <v>0.24314451214814817</v>
      </c>
      <c r="AK22" s="18">
        <f t="shared" si="2"/>
        <v>5.5767465972613076E-2</v>
      </c>
      <c r="AL22" s="18">
        <f t="shared" si="3"/>
        <v>0.15085448480996339</v>
      </c>
    </row>
    <row r="23" spans="1:38" ht="17" thickBot="1">
      <c r="A23" s="31" t="s">
        <v>18</v>
      </c>
      <c r="B23" s="31" t="s">
        <v>17</v>
      </c>
      <c r="C23" s="32" t="s">
        <v>52</v>
      </c>
      <c r="D23" s="43" t="s">
        <v>7</v>
      </c>
      <c r="E23" s="52">
        <f t="shared" si="7"/>
        <v>2.899219276479191E-2</v>
      </c>
      <c r="F23" s="49">
        <f t="shared" si="8"/>
        <v>2.8933787785422979E-2</v>
      </c>
      <c r="G23" s="33">
        <f t="shared" si="8"/>
        <v>2.8834248957153141E-2</v>
      </c>
      <c r="H23" s="33">
        <f t="shared" si="8"/>
        <v>2.8692297861609775E-2</v>
      </c>
      <c r="I23" s="46">
        <f t="shared" si="8"/>
        <v>2.8507318353395535E-2</v>
      </c>
      <c r="J23" s="52">
        <f t="shared" si="8"/>
        <v>2.8279007666991058E-2</v>
      </c>
      <c r="K23" s="49">
        <f t="shared" si="8"/>
        <v>2.7923854056341006E-2</v>
      </c>
      <c r="L23" s="33">
        <f t="shared" si="8"/>
        <v>2.6754088189808067E-2</v>
      </c>
      <c r="M23" s="33">
        <f t="shared" si="8"/>
        <v>2.5491768070799982E-2</v>
      </c>
      <c r="N23" s="33">
        <f t="shared" si="8"/>
        <v>2.4133728150657899E-2</v>
      </c>
      <c r="O23" s="46">
        <f t="shared" si="8"/>
        <v>2.2677040888542561E-2</v>
      </c>
      <c r="P23" s="52">
        <f t="shared" si="8"/>
        <v>2.1119663377610055E-2</v>
      </c>
      <c r="Q23" s="49">
        <f t="shared" si="8"/>
        <v>1.9460638104643178E-2</v>
      </c>
      <c r="R23" s="33">
        <f t="shared" si="8"/>
        <v>1.7699707861200179E-2</v>
      </c>
      <c r="S23" s="33">
        <f t="shared" si="8"/>
        <v>1.5836868576126092E-2</v>
      </c>
      <c r="T23" s="33">
        <f t="shared" si="8"/>
        <v>1.3872568426753613E-2</v>
      </c>
      <c r="U23" s="33">
        <f t="shared" si="8"/>
        <v>1.1808796399568861E-2</v>
      </c>
      <c r="V23" s="33">
        <f t="shared" si="8"/>
        <v>9.6455351650806542E-3</v>
      </c>
      <c r="W23" s="33">
        <f t="shared" si="8"/>
        <v>7.3827127237128202E-3</v>
      </c>
      <c r="X23" s="33">
        <f t="shared" si="8"/>
        <v>5.0205390084902381E-3</v>
      </c>
      <c r="Y23" s="33">
        <f t="shared" si="8"/>
        <v>2.5594260275840219E-3</v>
      </c>
      <c r="Z23" s="33">
        <f t="shared" si="8"/>
        <v>0</v>
      </c>
      <c r="AA23" s="33">
        <f t="shared" si="8"/>
        <v>0</v>
      </c>
      <c r="AB23" s="33">
        <f t="shared" si="8"/>
        <v>0</v>
      </c>
      <c r="AC23" s="33">
        <f t="shared" si="8"/>
        <v>0</v>
      </c>
      <c r="AD23" s="33">
        <f t="shared" si="8"/>
        <v>0</v>
      </c>
      <c r="AE23" s="33">
        <f t="shared" si="8"/>
        <v>0</v>
      </c>
      <c r="AF23" s="33">
        <f t="shared" si="8"/>
        <v>0</v>
      </c>
      <c r="AG23" s="33">
        <f t="shared" si="8"/>
        <v>0</v>
      </c>
      <c r="AH23" s="33">
        <f t="shared" si="8"/>
        <v>0</v>
      </c>
      <c r="AI23" s="46">
        <f t="shared" si="8"/>
        <v>0</v>
      </c>
      <c r="AJ23" s="52">
        <f t="shared" si="8"/>
        <v>0</v>
      </c>
      <c r="AK23" s="18">
        <f t="shared" si="2"/>
        <v>-6.8041906787309515E-3</v>
      </c>
      <c r="AL23" s="18">
        <f t="shared" si="3"/>
        <v>-2.1119663377610055E-2</v>
      </c>
    </row>
    <row r="24" spans="1:38">
      <c r="A24" s="86" t="s">
        <v>19</v>
      </c>
      <c r="B24" s="87" t="s">
        <v>36</v>
      </c>
      <c r="C24" s="88" t="s">
        <v>52</v>
      </c>
      <c r="D24" s="89" t="s">
        <v>7</v>
      </c>
      <c r="E24" s="53">
        <f>E60*E$73</f>
        <v>0.56090237108901497</v>
      </c>
      <c r="F24" s="50">
        <f t="shared" ref="F24:AJ24" si="9">F60*F$73</f>
        <v>0.56721591564935581</v>
      </c>
      <c r="G24" s="30">
        <f t="shared" si="9"/>
        <v>0.57234107953875513</v>
      </c>
      <c r="H24" s="30">
        <f t="shared" si="9"/>
        <v>0.57614211749692534</v>
      </c>
      <c r="I24" s="47">
        <f t="shared" si="9"/>
        <v>0.57846610095046191</v>
      </c>
      <c r="J24" s="53">
        <f t="shared" si="9"/>
        <v>0.57915055901172763</v>
      </c>
      <c r="K24" s="50">
        <f t="shared" si="9"/>
        <v>0.58600334987304825</v>
      </c>
      <c r="L24" s="30">
        <f t="shared" si="9"/>
        <v>0.57527259674514319</v>
      </c>
      <c r="M24" s="30">
        <f t="shared" si="9"/>
        <v>0.56158491402111821</v>
      </c>
      <c r="N24" s="30">
        <f t="shared" si="9"/>
        <v>0.54470351003689155</v>
      </c>
      <c r="O24" s="47">
        <f t="shared" si="9"/>
        <v>0.52438331367155988</v>
      </c>
      <c r="P24" s="53">
        <f t="shared" si="9"/>
        <v>0.50037607637437109</v>
      </c>
      <c r="Q24" s="50">
        <f t="shared" si="9"/>
        <v>0.47243000137577207</v>
      </c>
      <c r="R24" s="30">
        <f t="shared" si="9"/>
        <v>0.4402894580119765</v>
      </c>
      <c r="S24" s="30">
        <f t="shared" si="9"/>
        <v>0.40369007784122057</v>
      </c>
      <c r="T24" s="30">
        <f t="shared" si="9"/>
        <v>0.36235674898548398</v>
      </c>
      <c r="U24" s="30">
        <f t="shared" si="9"/>
        <v>0.31612130325475313</v>
      </c>
      <c r="V24" s="30">
        <f t="shared" si="9"/>
        <v>0.26465847109309881</v>
      </c>
      <c r="W24" s="30">
        <f t="shared" si="9"/>
        <v>0.20765158481420729</v>
      </c>
      <c r="X24" s="30">
        <f t="shared" si="9"/>
        <v>0.14477189748753849</v>
      </c>
      <c r="Y24" s="30">
        <f t="shared" si="9"/>
        <v>7.5675163378026253E-2</v>
      </c>
      <c r="Z24" s="30">
        <f t="shared" si="9"/>
        <v>0</v>
      </c>
      <c r="AA24" s="30">
        <f t="shared" si="9"/>
        <v>0</v>
      </c>
      <c r="AB24" s="30">
        <f t="shared" si="9"/>
        <v>0</v>
      </c>
      <c r="AC24" s="30">
        <f t="shared" si="9"/>
        <v>0</v>
      </c>
      <c r="AD24" s="30">
        <f t="shared" si="9"/>
        <v>0</v>
      </c>
      <c r="AE24" s="30">
        <f t="shared" si="9"/>
        <v>0</v>
      </c>
      <c r="AF24" s="30">
        <f t="shared" si="9"/>
        <v>0</v>
      </c>
      <c r="AG24" s="30">
        <f t="shared" si="9"/>
        <v>0</v>
      </c>
      <c r="AH24" s="30">
        <f t="shared" si="9"/>
        <v>0</v>
      </c>
      <c r="AI24" s="47">
        <f t="shared" si="9"/>
        <v>0</v>
      </c>
      <c r="AJ24" s="53">
        <f t="shared" si="9"/>
        <v>0</v>
      </c>
      <c r="AK24" s="18">
        <f t="shared" si="2"/>
        <v>-8.5627273498677159E-2</v>
      </c>
      <c r="AL24" s="18">
        <f t="shared" si="3"/>
        <v>-0.50037607637437109</v>
      </c>
    </row>
    <row r="25" spans="1:38">
      <c r="A25" s="90" t="s">
        <v>19</v>
      </c>
      <c r="B25" s="3" t="s">
        <v>8</v>
      </c>
      <c r="C25" s="4" t="s">
        <v>52</v>
      </c>
      <c r="D25" s="91" t="s">
        <v>7</v>
      </c>
      <c r="E25" s="51">
        <f t="shared" ref="E25:AJ25" si="10">E61*E$73</f>
        <v>1.6792121591569027</v>
      </c>
      <c r="F25" s="48">
        <f t="shared" si="10"/>
        <v>1.8049353466183995</v>
      </c>
      <c r="G25" s="5">
        <f t="shared" si="10"/>
        <v>1.938655257873998</v>
      </c>
      <c r="H25" s="5">
        <f t="shared" si="10"/>
        <v>2.0807673003317122</v>
      </c>
      <c r="I25" s="45">
        <f t="shared" si="10"/>
        <v>2.2316405133294475</v>
      </c>
      <c r="J25" s="51">
        <f t="shared" si="10"/>
        <v>2.3916360681965925</v>
      </c>
      <c r="K25" s="48">
        <f t="shared" si="10"/>
        <v>2.5382994462538648</v>
      </c>
      <c r="L25" s="5">
        <f t="shared" si="10"/>
        <v>2.4918187141414139</v>
      </c>
      <c r="M25" s="5">
        <f t="shared" si="10"/>
        <v>2.4325299106108234</v>
      </c>
      <c r="N25" s="5">
        <f t="shared" si="10"/>
        <v>2.3594073620888172</v>
      </c>
      <c r="O25" s="45">
        <f t="shared" si="10"/>
        <v>2.2713895321684503</v>
      </c>
      <c r="P25" s="51">
        <f t="shared" si="10"/>
        <v>2.1674011212647573</v>
      </c>
      <c r="Q25" s="48">
        <f t="shared" si="10"/>
        <v>2.0463514605259912</v>
      </c>
      <c r="R25" s="5">
        <f t="shared" si="10"/>
        <v>1.9071332744178493</v>
      </c>
      <c r="S25" s="5">
        <f t="shared" si="10"/>
        <v>1.7486014393339877</v>
      </c>
      <c r="T25" s="5">
        <f t="shared" si="10"/>
        <v>1.5695642959984177</v>
      </c>
      <c r="U25" s="5">
        <f t="shared" si="10"/>
        <v>1.369293416453037</v>
      </c>
      <c r="V25" s="5">
        <f t="shared" si="10"/>
        <v>1.1463798812200354</v>
      </c>
      <c r="W25" s="5">
        <f t="shared" si="10"/>
        <v>0.89945203020055686</v>
      </c>
      <c r="X25" s="5">
        <f t="shared" si="10"/>
        <v>0.62708588151475697</v>
      </c>
      <c r="Y25" s="5">
        <f t="shared" si="10"/>
        <v>0.32779031952501497</v>
      </c>
      <c r="Z25" s="5">
        <f t="shared" si="10"/>
        <v>0</v>
      </c>
      <c r="AA25" s="5">
        <f t="shared" si="10"/>
        <v>0</v>
      </c>
      <c r="AB25" s="5">
        <f t="shared" si="10"/>
        <v>0</v>
      </c>
      <c r="AC25" s="5">
        <f t="shared" si="10"/>
        <v>0</v>
      </c>
      <c r="AD25" s="5">
        <f t="shared" si="10"/>
        <v>0</v>
      </c>
      <c r="AE25" s="5">
        <f t="shared" si="10"/>
        <v>0</v>
      </c>
      <c r="AF25" s="5">
        <f t="shared" si="10"/>
        <v>0</v>
      </c>
      <c r="AG25" s="5">
        <f t="shared" si="10"/>
        <v>0</v>
      </c>
      <c r="AH25" s="5">
        <f t="shared" si="10"/>
        <v>0</v>
      </c>
      <c r="AI25" s="45">
        <f t="shared" si="10"/>
        <v>0</v>
      </c>
      <c r="AJ25" s="51">
        <f t="shared" si="10"/>
        <v>0</v>
      </c>
      <c r="AK25" s="18">
        <f t="shared" si="2"/>
        <v>-0.37089832498910758</v>
      </c>
      <c r="AL25" s="18">
        <f t="shared" si="3"/>
        <v>-2.1674011212647573</v>
      </c>
    </row>
    <row r="26" spans="1:38">
      <c r="A26" s="90" t="s">
        <v>19</v>
      </c>
      <c r="B26" t="s">
        <v>37</v>
      </c>
      <c r="C26" s="4" t="s">
        <v>52</v>
      </c>
      <c r="D26" s="91" t="s">
        <v>7</v>
      </c>
      <c r="E26" s="51">
        <f t="shared" ref="E26:AJ26" si="11">E62*E$73</f>
        <v>2.3312068893739438E-2</v>
      </c>
      <c r="F26" s="48">
        <f t="shared" si="11"/>
        <v>2.9080603982685211E-2</v>
      </c>
      <c r="G26" s="5">
        <f t="shared" si="11"/>
        <v>3.5395322491310346E-2</v>
      </c>
      <c r="H26" s="5">
        <f t="shared" si="11"/>
        <v>4.2291911249137865E-2</v>
      </c>
      <c r="I26" s="45">
        <f t="shared" si="11"/>
        <v>4.9806635397922655E-2</v>
      </c>
      <c r="J26" s="51">
        <f t="shared" si="11"/>
        <v>5.7976430438690094E-2</v>
      </c>
      <c r="K26" s="48">
        <f t="shared" si="11"/>
        <v>6.6398669584329814E-2</v>
      </c>
      <c r="L26" s="5">
        <f t="shared" si="11"/>
        <v>6.518279303433204E-2</v>
      </c>
      <c r="M26" s="5">
        <f t="shared" si="11"/>
        <v>6.3631873704665123E-2</v>
      </c>
      <c r="N26" s="5">
        <f t="shared" si="11"/>
        <v>6.1719081285456119E-2</v>
      </c>
      <c r="O26" s="45">
        <f t="shared" si="11"/>
        <v>5.9416647340935741E-2</v>
      </c>
      <c r="P26" s="51">
        <f t="shared" si="11"/>
        <v>5.6696443408186949E-2</v>
      </c>
      <c r="Q26" s="48">
        <f t="shared" si="11"/>
        <v>5.3529938983915532E-2</v>
      </c>
      <c r="R26" s="5">
        <f t="shared" si="11"/>
        <v>4.9888169155234842E-2</v>
      </c>
      <c r="S26" s="5">
        <f t="shared" si="11"/>
        <v>4.5741178952063193E-2</v>
      </c>
      <c r="T26" s="5">
        <f t="shared" si="11"/>
        <v>4.1057796090673303E-2</v>
      </c>
      <c r="U26" s="5">
        <f t="shared" si="11"/>
        <v>3.5818965826607263E-2</v>
      </c>
      <c r="V26" s="5">
        <f t="shared" si="11"/>
        <v>2.9987832626915182E-2</v>
      </c>
      <c r="W26" s="5">
        <f t="shared" si="11"/>
        <v>2.3528515616383406E-2</v>
      </c>
      <c r="X26" s="5">
        <f t="shared" si="11"/>
        <v>1.6403765248874502E-2</v>
      </c>
      <c r="Y26" s="5">
        <f t="shared" si="11"/>
        <v>8.5745758449440931E-3</v>
      </c>
      <c r="Z26" s="5">
        <f t="shared" si="11"/>
        <v>0</v>
      </c>
      <c r="AA26" s="5">
        <f t="shared" si="11"/>
        <v>0</v>
      </c>
      <c r="AB26" s="5">
        <f t="shared" si="11"/>
        <v>0</v>
      </c>
      <c r="AC26" s="5">
        <f t="shared" si="11"/>
        <v>0</v>
      </c>
      <c r="AD26" s="5">
        <f t="shared" si="11"/>
        <v>0</v>
      </c>
      <c r="AE26" s="5">
        <f t="shared" si="11"/>
        <v>0</v>
      </c>
      <c r="AF26" s="5">
        <f t="shared" si="11"/>
        <v>0</v>
      </c>
      <c r="AG26" s="5">
        <f t="shared" si="11"/>
        <v>0</v>
      </c>
      <c r="AH26" s="5">
        <f t="shared" si="11"/>
        <v>0</v>
      </c>
      <c r="AI26" s="45">
        <f t="shared" si="11"/>
        <v>0</v>
      </c>
      <c r="AJ26" s="51">
        <f t="shared" si="11"/>
        <v>0</v>
      </c>
      <c r="AK26" s="18">
        <f t="shared" si="2"/>
        <v>-9.7022261761428655E-3</v>
      </c>
      <c r="AL26" s="18">
        <f t="shared" si="3"/>
        <v>-5.6696443408186949E-2</v>
      </c>
    </row>
    <row r="27" spans="1:38">
      <c r="A27" s="90" t="s">
        <v>19</v>
      </c>
      <c r="B27" t="s">
        <v>10</v>
      </c>
      <c r="C27" s="4" t="s">
        <v>52</v>
      </c>
      <c r="D27" s="91" t="s">
        <v>7</v>
      </c>
      <c r="E27" s="51">
        <f t="shared" ref="E27:AJ27" si="12">E63*E$73</f>
        <v>7.770689631246116E-3</v>
      </c>
      <c r="F27" s="48">
        <f t="shared" si="12"/>
        <v>9.6935346608943047E-3</v>
      </c>
      <c r="G27" s="5">
        <f t="shared" si="12"/>
        <v>1.1798440830436579E-2</v>
      </c>
      <c r="H27" s="5">
        <f t="shared" si="12"/>
        <v>1.4097303749711985E-2</v>
      </c>
      <c r="I27" s="45">
        <f t="shared" si="12"/>
        <v>1.6602211799307105E-2</v>
      </c>
      <c r="J27" s="51">
        <f t="shared" si="12"/>
        <v>1.9325476812896463E-2</v>
      </c>
      <c r="K27" s="48">
        <f t="shared" si="12"/>
        <v>2.2132889861443031E-2</v>
      </c>
      <c r="L27" s="5">
        <f t="shared" si="12"/>
        <v>4.758529955845231E-2</v>
      </c>
      <c r="M27" s="5">
        <f t="shared" si="12"/>
        <v>7.557899910975327E-2</v>
      </c>
      <c r="N27" s="5">
        <f t="shared" si="12"/>
        <v>0.10626585114743936</v>
      </c>
      <c r="O27" s="45">
        <f t="shared" si="12"/>
        <v>0.1397998010828419</v>
      </c>
      <c r="P27" s="51">
        <f t="shared" si="12"/>
        <v>0.17633726780272871</v>
      </c>
      <c r="Q27" s="48">
        <f t="shared" si="12"/>
        <v>0.21603730410574939</v>
      </c>
      <c r="R27" s="5">
        <f t="shared" si="12"/>
        <v>0.25906176305174472</v>
      </c>
      <c r="S27" s="5">
        <f t="shared" si="12"/>
        <v>0.30557196631735417</v>
      </c>
      <c r="T27" s="5">
        <f t="shared" si="12"/>
        <v>0.35572198536355754</v>
      </c>
      <c r="U27" s="5">
        <f t="shared" si="12"/>
        <v>0.4097975977316759</v>
      </c>
      <c r="V27" s="5">
        <f t="shared" si="12"/>
        <v>0.46799308425625291</v>
      </c>
      <c r="W27" s="5">
        <f t="shared" si="12"/>
        <v>0.53052720957822086</v>
      </c>
      <c r="X27" s="5">
        <f t="shared" si="12"/>
        <v>0.5976317783679822</v>
      </c>
      <c r="Y27" s="5">
        <f t="shared" si="12"/>
        <v>0.66955085519617796</v>
      </c>
      <c r="Z27" s="5">
        <f t="shared" si="12"/>
        <v>0.74653880888888891</v>
      </c>
      <c r="AA27" s="5">
        <f t="shared" si="12"/>
        <v>0.77997969438202241</v>
      </c>
      <c r="AB27" s="5">
        <f t="shared" si="12"/>
        <v>0.81467400000000001</v>
      </c>
      <c r="AC27" s="5">
        <f t="shared" si="12"/>
        <v>0.85066268812260526</v>
      </c>
      <c r="AD27" s="5">
        <f t="shared" si="12"/>
        <v>0.88798818294573645</v>
      </c>
      <c r="AE27" s="5">
        <f t="shared" si="12"/>
        <v>0.92669352470588229</v>
      </c>
      <c r="AF27" s="5">
        <f t="shared" si="12"/>
        <v>0.966822161904762</v>
      </c>
      <c r="AG27" s="5">
        <f t="shared" si="12"/>
        <v>1.008417304417671</v>
      </c>
      <c r="AH27" s="5">
        <f t="shared" si="12"/>
        <v>1.0515237333333334</v>
      </c>
      <c r="AI27" s="45">
        <f t="shared" si="12"/>
        <v>1.0961860510288066</v>
      </c>
      <c r="AJ27" s="51">
        <f t="shared" si="12"/>
        <v>1.1424505033333334</v>
      </c>
      <c r="AK27" s="18">
        <f t="shared" si="2"/>
        <v>0.15420437794128566</v>
      </c>
      <c r="AL27" s="18">
        <f t="shared" si="3"/>
        <v>0.57020154108616017</v>
      </c>
    </row>
    <row r="28" spans="1:38">
      <c r="A28" s="90" t="s">
        <v>19</v>
      </c>
      <c r="B28" t="s">
        <v>11</v>
      </c>
      <c r="C28" s="4" t="s">
        <v>52</v>
      </c>
      <c r="D28" s="91" t="s">
        <v>7</v>
      </c>
      <c r="E28" s="51">
        <f t="shared" ref="E28:AJ28" si="13">E64*E$73</f>
        <v>8.9636654312703744E-3</v>
      </c>
      <c r="F28" s="48">
        <f t="shared" si="13"/>
        <v>1.0660952223354137E-2</v>
      </c>
      <c r="G28" s="5">
        <f t="shared" si="13"/>
        <v>1.2511922478067409E-2</v>
      </c>
      <c r="H28" s="5">
        <f t="shared" si="13"/>
        <v>1.4526389275672624E-2</v>
      </c>
      <c r="I28" s="45">
        <f t="shared" si="13"/>
        <v>1.6714265821817141E-2</v>
      </c>
      <c r="J28" s="51">
        <f t="shared" si="13"/>
        <v>1.9085622170077293E-2</v>
      </c>
      <c r="K28" s="48">
        <f t="shared" si="13"/>
        <v>1.9311452526544367E-2</v>
      </c>
      <c r="L28" s="5">
        <f t="shared" si="13"/>
        <v>0.1012323318114997</v>
      </c>
      <c r="M28" s="5">
        <f t="shared" si="13"/>
        <v>0.1914970376005129</v>
      </c>
      <c r="N28" s="5">
        <f t="shared" si="13"/>
        <v>0.2906094222138087</v>
      </c>
      <c r="O28" s="45">
        <f t="shared" si="13"/>
        <v>0.39908068713303846</v>
      </c>
      <c r="P28" s="51">
        <f t="shared" si="13"/>
        <v>0.51743018112530481</v>
      </c>
      <c r="Q28" s="48">
        <f t="shared" si="13"/>
        <v>0.64618594306307831</v>
      </c>
      <c r="R28" s="5">
        <f t="shared" si="13"/>
        <v>0.78588525613414673</v>
      </c>
      <c r="S28" s="5">
        <f t="shared" si="13"/>
        <v>0.93706447487304689</v>
      </c>
      <c r="T28" s="5">
        <f t="shared" si="13"/>
        <v>1.1002378219918738</v>
      </c>
      <c r="U28" s="5">
        <f t="shared" si="13"/>
        <v>1.2763292573449225</v>
      </c>
      <c r="V28" s="5">
        <f t="shared" si="13"/>
        <v>1.4659853173271065</v>
      </c>
      <c r="W28" s="5">
        <f t="shared" si="13"/>
        <v>1.6699296910961516</v>
      </c>
      <c r="X28" s="5">
        <f t="shared" si="13"/>
        <v>1.8889286123677609</v>
      </c>
      <c r="Y28" s="5">
        <f t="shared" si="13"/>
        <v>2.1237886754412627</v>
      </c>
      <c r="Z28" s="5">
        <f t="shared" si="13"/>
        <v>2.3753507555555551</v>
      </c>
      <c r="AA28" s="5">
        <f t="shared" si="13"/>
        <v>2.4817535730337075</v>
      </c>
      <c r="AB28" s="5">
        <f t="shared" si="13"/>
        <v>2.5921445454545453</v>
      </c>
      <c r="AC28" s="5">
        <f t="shared" si="13"/>
        <v>2.7066540076628347</v>
      </c>
      <c r="AD28" s="5">
        <f t="shared" si="13"/>
        <v>2.8254169457364338</v>
      </c>
      <c r="AE28" s="5">
        <f t="shared" si="13"/>
        <v>2.9485703058823525</v>
      </c>
      <c r="AF28" s="5">
        <f t="shared" si="13"/>
        <v>3.0762523333333336</v>
      </c>
      <c r="AG28" s="5">
        <f t="shared" si="13"/>
        <v>3.2086005140562253</v>
      </c>
      <c r="AH28" s="5">
        <f t="shared" si="13"/>
        <v>3.3457573333333337</v>
      </c>
      <c r="AI28" s="45">
        <f t="shared" si="13"/>
        <v>3.4878647078189298</v>
      </c>
      <c r="AJ28" s="51">
        <f t="shared" si="13"/>
        <v>3.6350697833333334</v>
      </c>
      <c r="AK28" s="18">
        <f t="shared" si="2"/>
        <v>0.49811872859876044</v>
      </c>
      <c r="AL28" s="18">
        <f t="shared" si="3"/>
        <v>1.8579205744302503</v>
      </c>
    </row>
    <row r="29" spans="1:38">
      <c r="A29" s="90" t="s">
        <v>19</v>
      </c>
      <c r="B29" s="3" t="s">
        <v>12</v>
      </c>
      <c r="C29" s="4" t="s">
        <v>52</v>
      </c>
      <c r="D29" s="91" t="s">
        <v>7</v>
      </c>
      <c r="E29" s="51">
        <f t="shared" ref="E29:AJ29" si="14">E65*E$73</f>
        <v>9.954608939374244E-4</v>
      </c>
      <c r="F29" s="48">
        <f t="shared" si="14"/>
        <v>8.2475377777780539E-4</v>
      </c>
      <c r="G29" s="5">
        <f t="shared" si="14"/>
        <v>6.3226094402344985E-4</v>
      </c>
      <c r="H29" s="5">
        <f t="shared" si="14"/>
        <v>4.1637606011816098E-4</v>
      </c>
      <c r="I29" s="45">
        <f t="shared" si="14"/>
        <v>1.7541959637013671E-4</v>
      </c>
      <c r="J29" s="51">
        <f t="shared" si="14"/>
        <v>0</v>
      </c>
      <c r="K29" s="48">
        <f t="shared" si="14"/>
        <v>0</v>
      </c>
      <c r="L29" s="5">
        <f t="shared" si="14"/>
        <v>0</v>
      </c>
      <c r="M29" s="5">
        <f t="shared" si="14"/>
        <v>0</v>
      </c>
      <c r="N29" s="5">
        <f t="shared" si="14"/>
        <v>0</v>
      </c>
      <c r="O29" s="45">
        <f t="shared" si="14"/>
        <v>0</v>
      </c>
      <c r="P29" s="51">
        <f t="shared" si="14"/>
        <v>0</v>
      </c>
      <c r="Q29" s="48">
        <f t="shared" si="14"/>
        <v>0</v>
      </c>
      <c r="R29" s="5">
        <f t="shared" si="14"/>
        <v>0</v>
      </c>
      <c r="S29" s="5">
        <f t="shared" si="14"/>
        <v>0</v>
      </c>
      <c r="T29" s="5">
        <f t="shared" si="14"/>
        <v>0</v>
      </c>
      <c r="U29" s="5">
        <f t="shared" si="14"/>
        <v>0</v>
      </c>
      <c r="V29" s="5">
        <f t="shared" si="14"/>
        <v>0</v>
      </c>
      <c r="W29" s="5">
        <f t="shared" si="14"/>
        <v>0</v>
      </c>
      <c r="X29" s="5">
        <f t="shared" si="14"/>
        <v>0</v>
      </c>
      <c r="Y29" s="5">
        <f t="shared" si="14"/>
        <v>0</v>
      </c>
      <c r="Z29" s="5">
        <f t="shared" si="14"/>
        <v>0</v>
      </c>
      <c r="AA29" s="5">
        <f t="shared" si="14"/>
        <v>0</v>
      </c>
      <c r="AB29" s="5">
        <f t="shared" si="14"/>
        <v>0</v>
      </c>
      <c r="AC29" s="5">
        <f t="shared" si="14"/>
        <v>0</v>
      </c>
      <c r="AD29" s="5">
        <f t="shared" si="14"/>
        <v>0</v>
      </c>
      <c r="AE29" s="5">
        <f t="shared" si="14"/>
        <v>0</v>
      </c>
      <c r="AF29" s="5">
        <f t="shared" si="14"/>
        <v>0</v>
      </c>
      <c r="AG29" s="5">
        <f t="shared" si="14"/>
        <v>0</v>
      </c>
      <c r="AH29" s="5">
        <f t="shared" si="14"/>
        <v>0</v>
      </c>
      <c r="AI29" s="45">
        <f t="shared" si="14"/>
        <v>0</v>
      </c>
      <c r="AJ29" s="51">
        <f t="shared" si="14"/>
        <v>0</v>
      </c>
      <c r="AK29" s="18">
        <f t="shared" si="2"/>
        <v>0</v>
      </c>
      <c r="AL29" s="18">
        <f t="shared" si="3"/>
        <v>0</v>
      </c>
    </row>
    <row r="30" spans="1:38">
      <c r="A30" s="90" t="s">
        <v>19</v>
      </c>
      <c r="B30" s="3" t="s">
        <v>13</v>
      </c>
      <c r="C30" s="4" t="s">
        <v>52</v>
      </c>
      <c r="D30" s="91" t="s">
        <v>7</v>
      </c>
      <c r="E30" s="51">
        <f t="shared" ref="E30:AJ30" si="15">E66*E$73</f>
        <v>0.19877499893304779</v>
      </c>
      <c r="F30" s="48">
        <f t="shared" si="15"/>
        <v>0.19979087348893693</v>
      </c>
      <c r="G30" s="5">
        <f t="shared" si="15"/>
        <v>0.20025347518615588</v>
      </c>
      <c r="H30" s="5">
        <f t="shared" si="15"/>
        <v>0.20010552919474178</v>
      </c>
      <c r="I30" s="45">
        <f t="shared" si="15"/>
        <v>0.19928338444886576</v>
      </c>
      <c r="J30" s="51">
        <f t="shared" si="15"/>
        <v>0.19771977153035758</v>
      </c>
      <c r="K30" s="48">
        <f t="shared" si="15"/>
        <v>0.20005928795205929</v>
      </c>
      <c r="L30" s="5">
        <f t="shared" si="15"/>
        <v>0.24340985355873571</v>
      </c>
      <c r="M30" s="5">
        <f t="shared" si="15"/>
        <v>0.29057451802127054</v>
      </c>
      <c r="N30" s="5">
        <f t="shared" si="15"/>
        <v>0.34176481624742122</v>
      </c>
      <c r="O30" s="45">
        <f t="shared" si="15"/>
        <v>0.39719381200274695</v>
      </c>
      <c r="P30" s="51">
        <f t="shared" si="15"/>
        <v>0.45707819971682523</v>
      </c>
      <c r="Q30" s="48">
        <f t="shared" si="15"/>
        <v>0.5216384950625218</v>
      </c>
      <c r="R30" s="5">
        <f t="shared" si="15"/>
        <v>0.59109925949849373</v>
      </c>
      <c r="S30" s="5">
        <f t="shared" si="15"/>
        <v>0.6656817053230194</v>
      </c>
      <c r="T30" s="5">
        <f t="shared" si="15"/>
        <v>0.74559093262214937</v>
      </c>
      <c r="U30" s="5">
        <f t="shared" si="15"/>
        <v>0.83130067328278956</v>
      </c>
      <c r="V30" s="5">
        <f t="shared" si="15"/>
        <v>0.92307545609822617</v>
      </c>
      <c r="W30" s="5">
        <f t="shared" si="15"/>
        <v>1.0212266718168781</v>
      </c>
      <c r="X30" s="5">
        <f t="shared" si="15"/>
        <v>1.1260861260217032</v>
      </c>
      <c r="Y30" s="5">
        <f t="shared" si="15"/>
        <v>1.2380036881143761</v>
      </c>
      <c r="Z30" s="5">
        <f t="shared" si="15"/>
        <v>1.357343288888889</v>
      </c>
      <c r="AA30" s="5">
        <f t="shared" si="15"/>
        <v>1.4181448988764045</v>
      </c>
      <c r="AB30" s="5">
        <f t="shared" si="15"/>
        <v>1.4812254545454546</v>
      </c>
      <c r="AC30" s="5">
        <f t="shared" si="15"/>
        <v>1.5466594329501915</v>
      </c>
      <c r="AD30" s="5">
        <f t="shared" si="15"/>
        <v>1.6145239689922481</v>
      </c>
      <c r="AE30" s="5">
        <f t="shared" si="15"/>
        <v>1.6848973176470587</v>
      </c>
      <c r="AF30" s="5">
        <f t="shared" si="15"/>
        <v>1.7578584761904765</v>
      </c>
      <c r="AG30" s="5">
        <f t="shared" si="15"/>
        <v>1.8334860080321289</v>
      </c>
      <c r="AH30" s="5">
        <f t="shared" si="15"/>
        <v>1.9118613333333336</v>
      </c>
      <c r="AI30" s="45">
        <f t="shared" si="15"/>
        <v>1.9930655473251031</v>
      </c>
      <c r="AJ30" s="51">
        <f t="shared" si="15"/>
        <v>2.0771827333333337</v>
      </c>
      <c r="AK30" s="18">
        <f t="shared" si="2"/>
        <v>0.25701891176476593</v>
      </c>
      <c r="AL30" s="18">
        <f t="shared" si="3"/>
        <v>0.90026508917206383</v>
      </c>
    </row>
    <row r="31" spans="1:38">
      <c r="A31" s="90" t="s">
        <v>19</v>
      </c>
      <c r="B31" t="s">
        <v>14</v>
      </c>
      <c r="C31" s="4" t="s">
        <v>52</v>
      </c>
      <c r="D31" s="91" t="s">
        <v>7</v>
      </c>
      <c r="E31" s="51">
        <f t="shared" ref="E31:AJ31" si="16">E67*E$73</f>
        <v>0</v>
      </c>
      <c r="F31" s="48">
        <f t="shared" si="16"/>
        <v>0</v>
      </c>
      <c r="G31" s="5">
        <f t="shared" si="16"/>
        <v>0</v>
      </c>
      <c r="H31" s="5">
        <f t="shared" si="16"/>
        <v>0</v>
      </c>
      <c r="I31" s="45">
        <f t="shared" si="16"/>
        <v>0</v>
      </c>
      <c r="J31" s="51">
        <f t="shared" si="16"/>
        <v>0</v>
      </c>
      <c r="K31" s="48">
        <f t="shared" si="16"/>
        <v>0</v>
      </c>
      <c r="L31" s="5">
        <f t="shared" si="16"/>
        <v>8.6212804991887881E-2</v>
      </c>
      <c r="M31" s="5">
        <f t="shared" si="16"/>
        <v>0.18127094564573235</v>
      </c>
      <c r="N31" s="5">
        <f t="shared" si="16"/>
        <v>0.28571056946249973</v>
      </c>
      <c r="O31" s="45">
        <f t="shared" si="16"/>
        <v>0.40007581079866072</v>
      </c>
      <c r="P31" s="51">
        <f t="shared" si="16"/>
        <v>0.52491945101161663</v>
      </c>
      <c r="Q31" s="48">
        <f t="shared" si="16"/>
        <v>0.66080350006727928</v>
      </c>
      <c r="R31" s="5">
        <f t="shared" si="16"/>
        <v>0.80829978714376327</v>
      </c>
      <c r="S31" s="5">
        <f t="shared" si="16"/>
        <v>0.96797947004602281</v>
      </c>
      <c r="T31" s="5">
        <f t="shared" si="16"/>
        <v>1.1403908863470797</v>
      </c>
      <c r="U31" s="5">
        <f t="shared" si="16"/>
        <v>1.3265080309987498</v>
      </c>
      <c r="V31" s="5">
        <f t="shared" si="16"/>
        <v>1.5270196208641795</v>
      </c>
      <c r="W31" s="5">
        <f t="shared" si="16"/>
        <v>1.7426949216623062</v>
      </c>
      <c r="X31" s="5">
        <f t="shared" si="16"/>
        <v>1.9743481973042118</v>
      </c>
      <c r="Y31" s="5">
        <f t="shared" si="16"/>
        <v>2.222836539460888</v>
      </c>
      <c r="Z31" s="5">
        <f t="shared" si="16"/>
        <v>2.4890535534615381</v>
      </c>
      <c r="AA31" s="5">
        <f t="shared" si="16"/>
        <v>2.6005496389650755</v>
      </c>
      <c r="AB31" s="5">
        <f t="shared" si="16"/>
        <v>2.7162247835859366</v>
      </c>
      <c r="AC31" s="5">
        <f t="shared" si="16"/>
        <v>2.8362155610102384</v>
      </c>
      <c r="AD31" s="5">
        <f t="shared" si="16"/>
        <v>2.9606634188014498</v>
      </c>
      <c r="AE31" s="5">
        <f t="shared" si="16"/>
        <v>3.0897118584792493</v>
      </c>
      <c r="AF31" s="5">
        <f t="shared" si="16"/>
        <v>3.2235057427705436</v>
      </c>
      <c r="AG31" s="5">
        <f t="shared" si="16"/>
        <v>3.3621891387919609</v>
      </c>
      <c r="AH31" s="5">
        <f t="shared" si="16"/>
        <v>3.505911352281784</v>
      </c>
      <c r="AI31" s="45">
        <f t="shared" si="16"/>
        <v>3.654821093131293</v>
      </c>
      <c r="AJ31" s="51">
        <f t="shared" si="16"/>
        <v>3.809072550706452</v>
      </c>
      <c r="AK31" s="18">
        <f t="shared" si="2"/>
        <v>0.52491945101161663</v>
      </c>
      <c r="AL31" s="18">
        <f t="shared" si="3"/>
        <v>1.9641341024499215</v>
      </c>
    </row>
    <row r="32" spans="1:38">
      <c r="A32" s="90" t="s">
        <v>19</v>
      </c>
      <c r="B32" t="s">
        <v>15</v>
      </c>
      <c r="C32" s="4" t="s">
        <v>52</v>
      </c>
      <c r="D32" s="91" t="s">
        <v>7</v>
      </c>
      <c r="E32" s="51">
        <f t="shared" ref="E32:AJ32" si="17">E68*E$73</f>
        <v>0</v>
      </c>
      <c r="F32" s="48">
        <f t="shared" si="17"/>
        <v>0</v>
      </c>
      <c r="G32" s="5">
        <f t="shared" si="17"/>
        <v>0</v>
      </c>
      <c r="H32" s="5">
        <f t="shared" si="17"/>
        <v>0</v>
      </c>
      <c r="I32" s="45">
        <f t="shared" si="17"/>
        <v>0</v>
      </c>
      <c r="J32" s="51">
        <f t="shared" si="17"/>
        <v>0</v>
      </c>
      <c r="K32" s="48">
        <f t="shared" si="17"/>
        <v>0</v>
      </c>
      <c r="L32" s="5">
        <f t="shared" si="17"/>
        <v>3.5260502564102549E-2</v>
      </c>
      <c r="M32" s="5">
        <f t="shared" si="17"/>
        <v>7.4138692556634272E-2</v>
      </c>
      <c r="N32" s="5">
        <f t="shared" si="17"/>
        <v>0.1168538509803921</v>
      </c>
      <c r="O32" s="45">
        <f t="shared" si="17"/>
        <v>0.16362852541254116</v>
      </c>
      <c r="P32" s="51">
        <f t="shared" si="17"/>
        <v>0.2146887999999999</v>
      </c>
      <c r="Q32" s="48">
        <f t="shared" si="17"/>
        <v>0.27026453333333328</v>
      </c>
      <c r="R32" s="5">
        <f t="shared" si="17"/>
        <v>0.33058959999999993</v>
      </c>
      <c r="S32" s="5">
        <f t="shared" si="17"/>
        <v>0.39589759999999985</v>
      </c>
      <c r="T32" s="5">
        <f t="shared" si="17"/>
        <v>0.46641279999999985</v>
      </c>
      <c r="U32" s="5">
        <f t="shared" si="17"/>
        <v>0.54253355789473667</v>
      </c>
      <c r="V32" s="5">
        <f t="shared" si="17"/>
        <v>0.62454155460992888</v>
      </c>
      <c r="W32" s="5">
        <f t="shared" si="17"/>
        <v>0.71275141505376316</v>
      </c>
      <c r="X32" s="5">
        <f t="shared" si="17"/>
        <v>0.80749616811594171</v>
      </c>
      <c r="Y32" s="5">
        <f t="shared" si="17"/>
        <v>0.90912635897435878</v>
      </c>
      <c r="Z32" s="5">
        <f t="shared" si="17"/>
        <v>1.0180074666666665</v>
      </c>
      <c r="AA32" s="5">
        <f t="shared" si="17"/>
        <v>1.0636086741573032</v>
      </c>
      <c r="AB32" s="5">
        <f t="shared" si="17"/>
        <v>1.1109190909090909</v>
      </c>
      <c r="AC32" s="5">
        <f t="shared" si="17"/>
        <v>1.1599945747126434</v>
      </c>
      <c r="AD32" s="5">
        <f t="shared" si="17"/>
        <v>1.2108929767441861</v>
      </c>
      <c r="AE32" s="5">
        <f t="shared" si="17"/>
        <v>1.2636729882352939</v>
      </c>
      <c r="AF32" s="5">
        <f t="shared" si="17"/>
        <v>1.3183938571428573</v>
      </c>
      <c r="AG32" s="5">
        <f t="shared" si="17"/>
        <v>1.3751145060240966</v>
      </c>
      <c r="AH32" s="5">
        <f t="shared" si="17"/>
        <v>1.4338960000000001</v>
      </c>
      <c r="AI32" s="45">
        <f t="shared" si="17"/>
        <v>1.4947991604938271</v>
      </c>
      <c r="AJ32" s="51">
        <f t="shared" si="17"/>
        <v>1.5578870499999999</v>
      </c>
      <c r="AK32" s="18">
        <f t="shared" si="2"/>
        <v>0.2146887999999999</v>
      </c>
      <c r="AL32" s="18">
        <f t="shared" si="3"/>
        <v>0.80331866666666663</v>
      </c>
    </row>
    <row r="33" spans="1:38">
      <c r="A33" s="90" t="s">
        <v>19</v>
      </c>
      <c r="B33" t="s">
        <v>16</v>
      </c>
      <c r="C33" s="4" t="s">
        <v>52</v>
      </c>
      <c r="D33" s="91" t="s">
        <v>7</v>
      </c>
      <c r="E33" s="51">
        <f t="shared" ref="E33:AJ33" si="18">E69*E$73</f>
        <v>0</v>
      </c>
      <c r="F33" s="48">
        <f t="shared" si="18"/>
        <v>0</v>
      </c>
      <c r="G33" s="5">
        <f t="shared" si="18"/>
        <v>0</v>
      </c>
      <c r="H33" s="5">
        <f t="shared" si="18"/>
        <v>0</v>
      </c>
      <c r="I33" s="45">
        <f t="shared" si="18"/>
        <v>0</v>
      </c>
      <c r="J33" s="51">
        <f t="shared" si="18"/>
        <v>0</v>
      </c>
      <c r="K33" s="48">
        <f t="shared" si="18"/>
        <v>0</v>
      </c>
      <c r="L33" s="5">
        <f t="shared" si="18"/>
        <v>0</v>
      </c>
      <c r="M33" s="5">
        <f t="shared" si="18"/>
        <v>0</v>
      </c>
      <c r="N33" s="5">
        <f t="shared" si="18"/>
        <v>0</v>
      </c>
      <c r="O33" s="45">
        <f t="shared" si="18"/>
        <v>0</v>
      </c>
      <c r="P33" s="51">
        <f t="shared" si="18"/>
        <v>0</v>
      </c>
      <c r="Q33" s="48">
        <f t="shared" si="18"/>
        <v>0</v>
      </c>
      <c r="R33" s="5">
        <f t="shared" si="18"/>
        <v>0</v>
      </c>
      <c r="S33" s="5">
        <f t="shared" si="18"/>
        <v>0</v>
      </c>
      <c r="T33" s="5">
        <f t="shared" si="18"/>
        <v>0</v>
      </c>
      <c r="U33" s="5">
        <f t="shared" si="18"/>
        <v>0</v>
      </c>
      <c r="V33" s="5">
        <f t="shared" si="18"/>
        <v>0</v>
      </c>
      <c r="W33" s="5">
        <f t="shared" si="18"/>
        <v>0</v>
      </c>
      <c r="X33" s="5">
        <f t="shared" si="18"/>
        <v>0</v>
      </c>
      <c r="Y33" s="5">
        <f t="shared" si="18"/>
        <v>0</v>
      </c>
      <c r="Z33" s="5">
        <f t="shared" si="18"/>
        <v>0</v>
      </c>
      <c r="AA33" s="5">
        <f t="shared" si="18"/>
        <v>0</v>
      </c>
      <c r="AB33" s="5">
        <f t="shared" si="18"/>
        <v>0</v>
      </c>
      <c r="AC33" s="5">
        <f t="shared" si="18"/>
        <v>0</v>
      </c>
      <c r="AD33" s="5">
        <f t="shared" si="18"/>
        <v>0</v>
      </c>
      <c r="AE33" s="5">
        <f t="shared" si="18"/>
        <v>0</v>
      </c>
      <c r="AF33" s="5">
        <f t="shared" si="18"/>
        <v>0</v>
      </c>
      <c r="AG33" s="5">
        <f t="shared" si="18"/>
        <v>0</v>
      </c>
      <c r="AH33" s="5">
        <f t="shared" si="18"/>
        <v>0</v>
      </c>
      <c r="AI33" s="45">
        <f t="shared" si="18"/>
        <v>0</v>
      </c>
      <c r="AJ33" s="51">
        <f t="shared" si="18"/>
        <v>0</v>
      </c>
      <c r="AK33" s="18">
        <f t="shared" si="2"/>
        <v>0</v>
      </c>
      <c r="AL33" s="18">
        <f t="shared" si="3"/>
        <v>0</v>
      </c>
    </row>
    <row r="34" spans="1:38" ht="17" thickBot="1">
      <c r="A34" s="92" t="s">
        <v>19</v>
      </c>
      <c r="B34" s="31" t="s">
        <v>17</v>
      </c>
      <c r="C34" s="32" t="s">
        <v>52</v>
      </c>
      <c r="D34" s="93" t="s">
        <v>7</v>
      </c>
      <c r="E34" s="52">
        <f t="shared" ref="E34:AJ34" si="19">E70*E$73</f>
        <v>2.5553963790870739E-3</v>
      </c>
      <c r="F34" s="49">
        <f t="shared" si="19"/>
        <v>2.1197380907791628E-3</v>
      </c>
      <c r="G34" s="33">
        <f t="shared" si="19"/>
        <v>1.628431189231349E-3</v>
      </c>
      <c r="H34" s="33">
        <f t="shared" si="19"/>
        <v>1.0773713197014714E-3</v>
      </c>
      <c r="I34" s="46">
        <f t="shared" si="19"/>
        <v>4.6226682663494319E-4</v>
      </c>
      <c r="J34" s="52">
        <f t="shared" si="19"/>
        <v>0</v>
      </c>
      <c r="K34" s="49">
        <f t="shared" si="19"/>
        <v>0</v>
      </c>
      <c r="L34" s="33">
        <f t="shared" si="19"/>
        <v>0</v>
      </c>
      <c r="M34" s="33">
        <f t="shared" si="19"/>
        <v>0</v>
      </c>
      <c r="N34" s="33">
        <f t="shared" si="19"/>
        <v>0</v>
      </c>
      <c r="O34" s="46">
        <f t="shared" si="19"/>
        <v>0</v>
      </c>
      <c r="P34" s="52">
        <f t="shared" si="19"/>
        <v>0</v>
      </c>
      <c r="Q34" s="49">
        <f t="shared" si="19"/>
        <v>0</v>
      </c>
      <c r="R34" s="33">
        <f t="shared" si="19"/>
        <v>0</v>
      </c>
      <c r="S34" s="33">
        <f t="shared" si="19"/>
        <v>0</v>
      </c>
      <c r="T34" s="33">
        <f t="shared" si="19"/>
        <v>0</v>
      </c>
      <c r="U34" s="33">
        <f t="shared" si="19"/>
        <v>0</v>
      </c>
      <c r="V34" s="33">
        <f t="shared" si="19"/>
        <v>0</v>
      </c>
      <c r="W34" s="33">
        <f t="shared" si="19"/>
        <v>0</v>
      </c>
      <c r="X34" s="33">
        <f t="shared" si="19"/>
        <v>0</v>
      </c>
      <c r="Y34" s="33">
        <f t="shared" si="19"/>
        <v>0</v>
      </c>
      <c r="Z34" s="33">
        <f t="shared" si="19"/>
        <v>0</v>
      </c>
      <c r="AA34" s="33">
        <f t="shared" si="19"/>
        <v>0</v>
      </c>
      <c r="AB34" s="33">
        <f t="shared" si="19"/>
        <v>0</v>
      </c>
      <c r="AC34" s="33">
        <f t="shared" si="19"/>
        <v>0</v>
      </c>
      <c r="AD34" s="33">
        <f t="shared" si="19"/>
        <v>0</v>
      </c>
      <c r="AE34" s="33">
        <f t="shared" si="19"/>
        <v>0</v>
      </c>
      <c r="AF34" s="33">
        <f t="shared" si="19"/>
        <v>0</v>
      </c>
      <c r="AG34" s="33">
        <f t="shared" si="19"/>
        <v>0</v>
      </c>
      <c r="AH34" s="33">
        <f t="shared" si="19"/>
        <v>0</v>
      </c>
      <c r="AI34" s="46">
        <f t="shared" si="19"/>
        <v>0</v>
      </c>
      <c r="AJ34" s="52">
        <f t="shared" si="19"/>
        <v>0</v>
      </c>
      <c r="AK34" s="18">
        <f t="shared" si="2"/>
        <v>0</v>
      </c>
      <c r="AL34" s="18">
        <f t="shared" si="3"/>
        <v>0</v>
      </c>
    </row>
    <row r="35" spans="1:38">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row>
    <row r="36" spans="1:38" ht="17" thickBo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row>
    <row r="37" spans="1:38">
      <c r="A37" s="2" t="s">
        <v>20</v>
      </c>
      <c r="B37" s="2" t="s">
        <v>1</v>
      </c>
      <c r="C37" s="2" t="s">
        <v>2</v>
      </c>
      <c r="D37" s="7" t="s">
        <v>3</v>
      </c>
      <c r="E37" s="56">
        <v>2019</v>
      </c>
      <c r="F37" s="8">
        <v>2020</v>
      </c>
      <c r="G37" s="8">
        <v>2021</v>
      </c>
      <c r="H37" s="56">
        <v>2022</v>
      </c>
      <c r="I37" s="56">
        <v>2023</v>
      </c>
      <c r="J37" s="8">
        <v>2024</v>
      </c>
      <c r="K37" s="9">
        <v>2025</v>
      </c>
      <c r="L37" s="2">
        <v>2026</v>
      </c>
      <c r="M37" s="2">
        <v>2027</v>
      </c>
      <c r="N37" s="2">
        <v>2028</v>
      </c>
      <c r="O37" s="7">
        <v>2029</v>
      </c>
      <c r="P37" s="8">
        <v>2030</v>
      </c>
      <c r="Q37" s="9">
        <v>2031</v>
      </c>
      <c r="R37" s="2">
        <v>2032</v>
      </c>
      <c r="S37" s="2">
        <v>2033</v>
      </c>
      <c r="T37" s="2">
        <v>2034</v>
      </c>
      <c r="U37" s="2">
        <v>2035</v>
      </c>
      <c r="V37" s="2">
        <v>2036</v>
      </c>
      <c r="W37" s="2">
        <v>2037</v>
      </c>
      <c r="X37" s="2">
        <v>2038</v>
      </c>
      <c r="Y37" s="2">
        <v>2039</v>
      </c>
      <c r="Z37" s="8">
        <v>2040</v>
      </c>
      <c r="AA37" s="2">
        <v>2041</v>
      </c>
      <c r="AB37" s="2">
        <v>2042</v>
      </c>
      <c r="AC37" s="2">
        <v>2043</v>
      </c>
      <c r="AD37" s="2">
        <v>2044</v>
      </c>
      <c r="AE37" s="2">
        <v>2045</v>
      </c>
      <c r="AF37" s="2">
        <v>2046</v>
      </c>
      <c r="AG37" s="2">
        <v>2047</v>
      </c>
      <c r="AH37" s="2">
        <v>2048</v>
      </c>
      <c r="AI37" s="7">
        <v>2049</v>
      </c>
      <c r="AJ37" s="8">
        <v>2050</v>
      </c>
    </row>
    <row r="38" spans="1:38">
      <c r="A38" s="4" t="s">
        <v>4</v>
      </c>
      <c r="B38" s="4" t="s">
        <v>36</v>
      </c>
      <c r="C38" s="4" t="s">
        <v>52</v>
      </c>
      <c r="D38" s="10" t="s">
        <v>35</v>
      </c>
      <c r="E38" s="57">
        <f>BAU_Scenario!N38</f>
        <v>0.62311749589296817</v>
      </c>
      <c r="F38" s="11">
        <f>BAU_Scenario!O38</f>
        <v>0.60950734625769798</v>
      </c>
      <c r="G38" s="11">
        <f>BAU_Scenario!P38</f>
        <v>0.59590295806012827</v>
      </c>
      <c r="H38" s="57">
        <f>BAU_Scenario!Q38</f>
        <v>0.58230737328025906</v>
      </c>
      <c r="I38" s="57">
        <f>BAU_Scenario!R38</f>
        <v>0.56872946302376448</v>
      </c>
      <c r="J38" s="11">
        <f>BAU_Scenario!S38</f>
        <v>0.55518012722891297</v>
      </c>
      <c r="K38" s="12">
        <f>BAU_Scenario!T38</f>
        <v>0.53709652637830096</v>
      </c>
      <c r="L38" s="13">
        <f t="shared" ref="L38:AJ38" si="20">(L49*L$72+L60*L$73)/L$71</f>
        <v>0.48255331260026724</v>
      </c>
      <c r="M38" s="13">
        <f t="shared" si="20"/>
        <v>0.44488612785654597</v>
      </c>
      <c r="N38" s="13">
        <f t="shared" si="20"/>
        <v>0.40770724998790681</v>
      </c>
      <c r="O38" s="14">
        <f t="shared" si="20"/>
        <v>0.37101376162529487</v>
      </c>
      <c r="P38" s="11">
        <f t="shared" si="20"/>
        <v>0.33480511741054636</v>
      </c>
      <c r="Q38" s="12">
        <f t="shared" si="20"/>
        <v>0.29908400944509034</v>
      </c>
      <c r="R38" s="13">
        <f t="shared" si="20"/>
        <v>0.26385436715664878</v>
      </c>
      <c r="S38" s="13">
        <f t="shared" si="20"/>
        <v>0.22912013245467089</v>
      </c>
      <c r="T38" s="13">
        <f t="shared" si="20"/>
        <v>0.19488643465971889</v>
      </c>
      <c r="U38" s="13">
        <f t="shared" si="20"/>
        <v>0.16114500912146779</v>
      </c>
      <c r="V38" s="13">
        <f t="shared" si="20"/>
        <v>0.12790362815099521</v>
      </c>
      <c r="W38" s="13">
        <f t="shared" si="20"/>
        <v>9.5165186687768619E-2</v>
      </c>
      <c r="X38" s="13">
        <f t="shared" si="20"/>
        <v>6.2932793105054577E-2</v>
      </c>
      <c r="Y38" s="13">
        <f t="shared" si="20"/>
        <v>3.1209817400452894E-2</v>
      </c>
      <c r="Z38" s="11">
        <f t="shared" ref="Z38:Z48" si="21">(Z49*Z$72+Z60*Z$73)/Z$71</f>
        <v>0</v>
      </c>
      <c r="AA38" s="13">
        <f t="shared" si="20"/>
        <v>0</v>
      </c>
      <c r="AB38" s="13">
        <f t="shared" si="20"/>
        <v>0</v>
      </c>
      <c r="AC38" s="13">
        <f t="shared" si="20"/>
        <v>0</v>
      </c>
      <c r="AD38" s="13">
        <f t="shared" si="20"/>
        <v>0</v>
      </c>
      <c r="AE38" s="13">
        <f t="shared" si="20"/>
        <v>0</v>
      </c>
      <c r="AF38" s="13">
        <f t="shared" si="20"/>
        <v>0</v>
      </c>
      <c r="AG38" s="13">
        <f t="shared" si="20"/>
        <v>0</v>
      </c>
      <c r="AH38" s="13">
        <f t="shared" si="20"/>
        <v>0</v>
      </c>
      <c r="AI38" s="14">
        <f t="shared" si="20"/>
        <v>0</v>
      </c>
      <c r="AJ38" s="11">
        <f t="shared" si="20"/>
        <v>0</v>
      </c>
    </row>
    <row r="39" spans="1:38">
      <c r="A39" s="4" t="s">
        <v>4</v>
      </c>
      <c r="B39" s="4" t="s">
        <v>8</v>
      </c>
      <c r="C39" s="4" t="s">
        <v>52</v>
      </c>
      <c r="D39" s="10" t="s">
        <v>35</v>
      </c>
      <c r="E39" s="57">
        <f>BAU_Scenario!N39</f>
        <v>0.3359175564603239</v>
      </c>
      <c r="F39" s="11">
        <f>BAU_Scenario!O39</f>
        <v>0.35107208032327203</v>
      </c>
      <c r="G39" s="11">
        <f>BAU_Scenario!P39</f>
        <v>0.3662484092514644</v>
      </c>
      <c r="H39" s="57">
        <f>BAU_Scenario!Q39</f>
        <v>0.38144401742155087</v>
      </c>
      <c r="I39" s="57">
        <f>BAU_Scenario!R39</f>
        <v>0.39665106139970824</v>
      </c>
      <c r="J39" s="11">
        <f>BAU_Scenario!S39</f>
        <v>0.41185968732539707</v>
      </c>
      <c r="K39" s="12">
        <f>BAU_Scenario!T39</f>
        <v>0.42943653354001826</v>
      </c>
      <c r="L39" s="13">
        <f t="shared" ref="L39:AJ48" si="22">(L50*L$72+L61*L$73)/L$71</f>
        <v>0.41775665324520728</v>
      </c>
      <c r="M39" s="13">
        <f t="shared" si="22"/>
        <v>0.39081077838538525</v>
      </c>
      <c r="N39" s="13">
        <f t="shared" si="22"/>
        <v>0.36342318290005948</v>
      </c>
      <c r="O39" s="14">
        <f t="shared" si="22"/>
        <v>0.33559650583067963</v>
      </c>
      <c r="P39" s="60">
        <f t="shared" si="22"/>
        <v>0.30733124050625998</v>
      </c>
      <c r="Q39" s="61">
        <f t="shared" si="22"/>
        <v>0.27862495166162643</v>
      </c>
      <c r="R39" s="62">
        <f t="shared" si="22"/>
        <v>0.24947408475073474</v>
      </c>
      <c r="S39" s="62">
        <f t="shared" si="22"/>
        <v>0.21987507393661529</v>
      </c>
      <c r="T39" s="62">
        <f t="shared" si="22"/>
        <v>0.18982327925451911</v>
      </c>
      <c r="U39" s="62">
        <f t="shared" si="22"/>
        <v>0.15932617687711023</v>
      </c>
      <c r="V39" s="62">
        <f t="shared" si="22"/>
        <v>0.12837673600001925</v>
      </c>
      <c r="W39" s="62">
        <f t="shared" si="22"/>
        <v>9.6972337871519515E-2</v>
      </c>
      <c r="X39" s="62">
        <f t="shared" si="22"/>
        <v>6.511017066844467E-2</v>
      </c>
      <c r="Y39" s="62">
        <f t="shared" si="22"/>
        <v>3.2787185903206888E-2</v>
      </c>
      <c r="Z39" s="60">
        <f t="shared" si="21"/>
        <v>0</v>
      </c>
      <c r="AA39" s="62">
        <f t="shared" si="22"/>
        <v>0</v>
      </c>
      <c r="AB39" s="62">
        <f t="shared" si="22"/>
        <v>0</v>
      </c>
      <c r="AC39" s="62">
        <f t="shared" si="22"/>
        <v>0</v>
      </c>
      <c r="AD39" s="62">
        <f t="shared" si="22"/>
        <v>0</v>
      </c>
      <c r="AE39" s="62">
        <f t="shared" si="22"/>
        <v>0</v>
      </c>
      <c r="AF39" s="62">
        <f t="shared" si="22"/>
        <v>0</v>
      </c>
      <c r="AG39" s="62">
        <f t="shared" si="22"/>
        <v>0</v>
      </c>
      <c r="AH39" s="62">
        <f t="shared" si="22"/>
        <v>0</v>
      </c>
      <c r="AI39" s="63">
        <f t="shared" si="22"/>
        <v>0</v>
      </c>
      <c r="AJ39" s="60">
        <f t="shared" si="22"/>
        <v>0</v>
      </c>
    </row>
    <row r="40" spans="1:38">
      <c r="A40" s="4" t="s">
        <v>4</v>
      </c>
      <c r="B40" s="4" t="s">
        <v>37</v>
      </c>
      <c r="C40" s="4" t="s">
        <v>52</v>
      </c>
      <c r="D40" s="10" t="s">
        <v>35</v>
      </c>
      <c r="E40" s="57">
        <f>BAU_Scenario!N40</f>
        <v>3.6557947205304981E-3</v>
      </c>
      <c r="F40" s="11">
        <f>BAU_Scenario!O40</f>
        <v>4.3749598201202004E-3</v>
      </c>
      <c r="G40" s="11">
        <f>BAU_Scenario!P40</f>
        <v>5.1099284670255299E-3</v>
      </c>
      <c r="H40" s="57">
        <f>BAU_Scenario!Q40</f>
        <v>5.8607515740387176E-3</v>
      </c>
      <c r="I40" s="57">
        <f>BAU_Scenario!R40</f>
        <v>6.6272955019108072E-3</v>
      </c>
      <c r="J40" s="11">
        <f>BAU_Scenario!S40</f>
        <v>7.4092680796475708E-3</v>
      </c>
      <c r="K40" s="12">
        <f>BAU_Scenario!T40</f>
        <v>8.1523031501541752E-3</v>
      </c>
      <c r="L40" s="13">
        <f t="shared" si="22"/>
        <v>1.451058721052944E-2</v>
      </c>
      <c r="M40" s="13">
        <f t="shared" si="22"/>
        <v>2.0190120026348821E-2</v>
      </c>
      <c r="N40" s="13">
        <f t="shared" si="22"/>
        <v>2.5717792197545216E-2</v>
      </c>
      <c r="O40" s="14">
        <f t="shared" si="22"/>
        <v>3.1093041257528816E-2</v>
      </c>
      <c r="P40" s="64">
        <f t="shared" si="22"/>
        <v>3.6314971174355885E-2</v>
      </c>
      <c r="Q40" s="61">
        <f t="shared" si="22"/>
        <v>4.1382704723179391E-2</v>
      </c>
      <c r="R40" s="62">
        <f t="shared" si="22"/>
        <v>4.6295600125598566E-2</v>
      </c>
      <c r="S40" s="62">
        <f t="shared" si="22"/>
        <v>5.1053344584993714E-2</v>
      </c>
      <c r="T40" s="62">
        <f t="shared" si="22"/>
        <v>5.5656680442362882E-2</v>
      </c>
      <c r="U40" s="62">
        <f t="shared" si="22"/>
        <v>6.0101243632457522E-2</v>
      </c>
      <c r="V40" s="62">
        <f t="shared" si="22"/>
        <v>6.4387418804642882E-2</v>
      </c>
      <c r="W40" s="62">
        <f t="shared" si="22"/>
        <v>6.8514068425209948E-2</v>
      </c>
      <c r="X40" s="62">
        <f t="shared" si="22"/>
        <v>7.24799408826729E-2</v>
      </c>
      <c r="Y40" s="62">
        <f t="shared" si="22"/>
        <v>7.6283613794133481E-2</v>
      </c>
      <c r="Z40" s="64">
        <f t="shared" si="21"/>
        <v>7.9923728501899022E-2</v>
      </c>
      <c r="AA40" s="62">
        <f t="shared" si="22"/>
        <v>7.8850364593807828E-2</v>
      </c>
      <c r="AB40" s="62">
        <f t="shared" si="22"/>
        <v>7.7771657394192312E-2</v>
      </c>
      <c r="AC40" s="62">
        <f t="shared" si="22"/>
        <v>7.6687437736884634E-2</v>
      </c>
      <c r="AD40" s="62">
        <f t="shared" si="22"/>
        <v>7.5597498222173307E-2</v>
      </c>
      <c r="AE40" s="62">
        <f t="shared" si="22"/>
        <v>7.450183039718182E-2</v>
      </c>
      <c r="AF40" s="62">
        <f t="shared" si="22"/>
        <v>7.3400525589993035E-2</v>
      </c>
      <c r="AG40" s="62">
        <f t="shared" si="22"/>
        <v>7.2293920625001076E-2</v>
      </c>
      <c r="AH40" s="62">
        <f t="shared" si="22"/>
        <v>7.1182461818371109E-2</v>
      </c>
      <c r="AI40" s="63">
        <f t="shared" si="22"/>
        <v>7.0066729333240041E-2</v>
      </c>
      <c r="AJ40" s="64">
        <f t="shared" si="22"/>
        <v>6.8947205926474381E-2</v>
      </c>
    </row>
    <row r="41" spans="1:38">
      <c r="A41" s="4" t="s">
        <v>4</v>
      </c>
      <c r="B41" s="4" t="s">
        <v>10</v>
      </c>
      <c r="C41" s="4" t="s">
        <v>52</v>
      </c>
      <c r="D41" s="10" t="s">
        <v>35</v>
      </c>
      <c r="E41" s="57">
        <f>BAU_Scenario!N41</f>
        <v>1.2185982401767758E-3</v>
      </c>
      <c r="F41" s="11">
        <f>BAU_Scenario!O41</f>
        <v>1.4583199400399515E-3</v>
      </c>
      <c r="G41" s="11">
        <f>BAU_Scenario!P41</f>
        <v>1.7033094890084809E-3</v>
      </c>
      <c r="H41" s="57">
        <f>BAU_Scenario!Q41</f>
        <v>1.9535838580128175E-3</v>
      </c>
      <c r="I41" s="57">
        <f>BAU_Scenario!R41</f>
        <v>2.2090985006368762E-3</v>
      </c>
      <c r="J41" s="11">
        <f>BAU_Scenario!S41</f>
        <v>2.46975602654916E-3</v>
      </c>
      <c r="K41" s="12">
        <f>BAU_Scenario!T41</f>
        <v>2.7174343833846959E-3</v>
      </c>
      <c r="L41" s="13">
        <f t="shared" si="22"/>
        <v>1.8222224011143675E-2</v>
      </c>
      <c r="M41" s="13">
        <f t="shared" si="22"/>
        <v>3.3370205720085463E-2</v>
      </c>
      <c r="N41" s="13">
        <f t="shared" si="22"/>
        <v>4.8336753660101275E-2</v>
      </c>
      <c r="O41" s="14">
        <f t="shared" si="22"/>
        <v>6.3121049768094045E-2</v>
      </c>
      <c r="P41" s="64">
        <f t="shared" si="22"/>
        <v>7.7721917618296207E-2</v>
      </c>
      <c r="Q41" s="61">
        <f t="shared" si="22"/>
        <v>9.2138305181515515E-2</v>
      </c>
      <c r="R41" s="62">
        <f t="shared" si="22"/>
        <v>0.10636950336516982</v>
      </c>
      <c r="S41" s="62">
        <f t="shared" si="22"/>
        <v>0.12041522920356981</v>
      </c>
      <c r="T41" s="62">
        <f t="shared" si="22"/>
        <v>0.1342766019017515</v>
      </c>
      <c r="U41" s="62">
        <f t="shared" si="22"/>
        <v>0.1479477184158916</v>
      </c>
      <c r="V41" s="62">
        <f t="shared" si="22"/>
        <v>0.1614293167410969</v>
      </c>
      <c r="W41" s="62">
        <f t="shared" si="22"/>
        <v>0.17472001424686154</v>
      </c>
      <c r="X41" s="62">
        <f t="shared" si="22"/>
        <v>0.18781828726907016</v>
      </c>
      <c r="Y41" s="62">
        <f t="shared" si="22"/>
        <v>0.20072239923115565</v>
      </c>
      <c r="Z41" s="64">
        <f t="shared" si="21"/>
        <v>0.21343070747304577</v>
      </c>
      <c r="AA41" s="62">
        <f t="shared" si="22"/>
        <v>0.21204164829786895</v>
      </c>
      <c r="AB41" s="62">
        <f t="shared" si="22"/>
        <v>0.2106456742748371</v>
      </c>
      <c r="AC41" s="62">
        <f t="shared" si="22"/>
        <v>0.20924256648302716</v>
      </c>
      <c r="AD41" s="62">
        <f t="shared" si="22"/>
        <v>0.2078320565228125</v>
      </c>
      <c r="AE41" s="62">
        <f t="shared" si="22"/>
        <v>0.20641413345517645</v>
      </c>
      <c r="AF41" s="62">
        <f t="shared" si="22"/>
        <v>0.20498891546940276</v>
      </c>
      <c r="AG41" s="62">
        <f t="shared" si="22"/>
        <v>0.20355683845588374</v>
      </c>
      <c r="AH41" s="62">
        <f t="shared" si="22"/>
        <v>0.20211848000024496</v>
      </c>
      <c r="AI41" s="63">
        <f t="shared" si="22"/>
        <v>0.20067459090184006</v>
      </c>
      <c r="AJ41" s="64">
        <f t="shared" si="22"/>
        <v>0.19922579590484918</v>
      </c>
      <c r="AK41" s="22"/>
      <c r="AL41" s="22"/>
    </row>
    <row r="42" spans="1:38">
      <c r="A42" s="4" t="s">
        <v>4</v>
      </c>
      <c r="B42" s="4" t="s">
        <v>11</v>
      </c>
      <c r="C42" s="4" t="s">
        <v>52</v>
      </c>
      <c r="D42" s="10" t="s">
        <v>35</v>
      </c>
      <c r="E42" s="57">
        <f>BAU_Scenario!N42</f>
        <v>1.4974360835339011E-3</v>
      </c>
      <c r="F42" s="11">
        <f>BAU_Scenario!O42</f>
        <v>1.6916592018668142E-3</v>
      </c>
      <c r="G42" s="11">
        <f>BAU_Scenario!P42</f>
        <v>1.8901993127219754E-3</v>
      </c>
      <c r="H42" s="57">
        <f>BAU_Scenario!Q42</f>
        <v>2.0930660600521826E-3</v>
      </c>
      <c r="I42" s="57">
        <f>BAU_Scenario!R42</f>
        <v>2.3002103592131844E-3</v>
      </c>
      <c r="J42" s="11">
        <f>BAU_Scenario!S42</f>
        <v>2.5115368774612195E-3</v>
      </c>
      <c r="K42" s="12">
        <f>BAU_Scenario!T42</f>
        <v>2.4401467427102343E-3</v>
      </c>
      <c r="L42" s="13">
        <f t="shared" si="22"/>
        <v>2.2818266014808727E-2</v>
      </c>
      <c r="M42" s="13">
        <f t="shared" si="22"/>
        <v>4.3105664311961812E-2</v>
      </c>
      <c r="N42" s="13">
        <f t="shared" si="22"/>
        <v>6.3452659259021313E-2</v>
      </c>
      <c r="O42" s="14">
        <f t="shared" si="22"/>
        <v>8.3859586446136031E-2</v>
      </c>
      <c r="P42" s="83">
        <f t="shared" si="22"/>
        <v>0.10432688078908121</v>
      </c>
      <c r="Q42" s="61">
        <f t="shared" si="22"/>
        <v>0.12485488967417561</v>
      </c>
      <c r="R42" s="62">
        <f t="shared" si="22"/>
        <v>0.14544381961902192</v>
      </c>
      <c r="S42" s="62">
        <f t="shared" si="22"/>
        <v>0.16609372202292716</v>
      </c>
      <c r="T42" s="62">
        <f t="shared" si="22"/>
        <v>0.18680412289253492</v>
      </c>
      <c r="U42" s="62">
        <f t="shared" si="22"/>
        <v>0.20757727675905135</v>
      </c>
      <c r="V42" s="62">
        <f t="shared" si="22"/>
        <v>0.22841281372274874</v>
      </c>
      <c r="W42" s="62">
        <f t="shared" si="22"/>
        <v>0.24931119873871876</v>
      </c>
      <c r="X42" s="62">
        <f t="shared" si="22"/>
        <v>0.270272945258692</v>
      </c>
      <c r="Y42" s="62">
        <f t="shared" si="22"/>
        <v>0.29129864073923489</v>
      </c>
      <c r="Z42" s="83">
        <f t="shared" si="21"/>
        <v>0.31238883364616515</v>
      </c>
      <c r="AA42" s="62">
        <f t="shared" si="22"/>
        <v>0.31289394607350218</v>
      </c>
      <c r="AB42" s="62">
        <f t="shared" si="22"/>
        <v>0.31340157299096827</v>
      </c>
      <c r="AC42" s="62">
        <f t="shared" si="22"/>
        <v>0.31391179400617186</v>
      </c>
      <c r="AD42" s="62">
        <f t="shared" si="22"/>
        <v>0.31442470671897726</v>
      </c>
      <c r="AE42" s="62">
        <f t="shared" si="22"/>
        <v>0.31494031510720855</v>
      </c>
      <c r="AF42" s="62">
        <f t="shared" si="22"/>
        <v>0.31545857619294443</v>
      </c>
      <c r="AG42" s="62">
        <f t="shared" si="22"/>
        <v>0.31597933147058777</v>
      </c>
      <c r="AH42" s="62">
        <f t="shared" si="22"/>
        <v>0.3165023709090018</v>
      </c>
      <c r="AI42" s="63">
        <f t="shared" si="22"/>
        <v>0.31702742149023994</v>
      </c>
      <c r="AJ42" s="83">
        <f t="shared" si="22"/>
        <v>0.31755425603460025</v>
      </c>
      <c r="AK42" s="22"/>
      <c r="AL42" s="22"/>
    </row>
    <row r="43" spans="1:38">
      <c r="A43" s="4" t="s">
        <v>4</v>
      </c>
      <c r="B43" s="4" t="s">
        <v>12</v>
      </c>
      <c r="C43" s="4" t="s">
        <v>52</v>
      </c>
      <c r="D43" s="10" t="s">
        <v>35</v>
      </c>
      <c r="E43" s="57">
        <f>BAU_Scenario!N43</f>
        <v>1.5610800985271325E-4</v>
      </c>
      <c r="F43" s="11">
        <f>BAU_Scenario!O43</f>
        <v>1.2407805014705433E-4</v>
      </c>
      <c r="G43" s="11">
        <f>BAU_Scenario!P43</f>
        <v>9.1277829076060382E-5</v>
      </c>
      <c r="H43" s="57">
        <f>BAU_Scenario!Q43</f>
        <v>5.7700789055242742E-5</v>
      </c>
      <c r="I43" s="57">
        <f>BAU_Scenario!R43</f>
        <v>2.3341418119950032E-5</v>
      </c>
      <c r="J43" s="11">
        <f>BAU_Scenario!S43</f>
        <v>0</v>
      </c>
      <c r="K43" s="12">
        <f>BAU_Scenario!T43</f>
        <v>0</v>
      </c>
      <c r="L43" s="13">
        <f t="shared" si="22"/>
        <v>0</v>
      </c>
      <c r="M43" s="13">
        <f t="shared" si="22"/>
        <v>0</v>
      </c>
      <c r="N43" s="13">
        <f t="shared" si="22"/>
        <v>0</v>
      </c>
      <c r="O43" s="14">
        <f t="shared" si="22"/>
        <v>0</v>
      </c>
      <c r="P43" s="60">
        <f t="shared" si="22"/>
        <v>0</v>
      </c>
      <c r="Q43" s="61">
        <f t="shared" si="22"/>
        <v>0</v>
      </c>
      <c r="R43" s="62">
        <f t="shared" si="22"/>
        <v>0</v>
      </c>
      <c r="S43" s="62">
        <f t="shared" si="22"/>
        <v>0</v>
      </c>
      <c r="T43" s="62">
        <f t="shared" si="22"/>
        <v>0</v>
      </c>
      <c r="U43" s="62">
        <f t="shared" si="22"/>
        <v>0</v>
      </c>
      <c r="V43" s="62">
        <f t="shared" si="22"/>
        <v>0</v>
      </c>
      <c r="W43" s="62">
        <f t="shared" si="22"/>
        <v>0</v>
      </c>
      <c r="X43" s="62">
        <f t="shared" si="22"/>
        <v>0</v>
      </c>
      <c r="Y43" s="62">
        <f t="shared" si="22"/>
        <v>0</v>
      </c>
      <c r="Z43" s="60">
        <f t="shared" si="21"/>
        <v>0</v>
      </c>
      <c r="AA43" s="62">
        <f t="shared" si="22"/>
        <v>0</v>
      </c>
      <c r="AB43" s="62">
        <f t="shared" si="22"/>
        <v>0</v>
      </c>
      <c r="AC43" s="62">
        <f t="shared" si="22"/>
        <v>0</v>
      </c>
      <c r="AD43" s="62">
        <f t="shared" si="22"/>
        <v>0</v>
      </c>
      <c r="AE43" s="62">
        <f t="shared" si="22"/>
        <v>0</v>
      </c>
      <c r="AF43" s="62">
        <f t="shared" si="22"/>
        <v>0</v>
      </c>
      <c r="AG43" s="62">
        <f t="shared" si="22"/>
        <v>0</v>
      </c>
      <c r="AH43" s="62">
        <f t="shared" si="22"/>
        <v>0</v>
      </c>
      <c r="AI43" s="63">
        <f t="shared" si="22"/>
        <v>0</v>
      </c>
      <c r="AJ43" s="60">
        <f t="shared" si="22"/>
        <v>0</v>
      </c>
    </row>
    <row r="44" spans="1:38">
      <c r="A44" s="4" t="s">
        <v>4</v>
      </c>
      <c r="B44" s="4" t="s">
        <v>13</v>
      </c>
      <c r="C44" s="4" t="s">
        <v>52</v>
      </c>
      <c r="D44" s="10" t="s">
        <v>35</v>
      </c>
      <c r="E44" s="57">
        <f>BAU_Scenario!N44</f>
        <v>3.3056573368826614E-2</v>
      </c>
      <c r="F44" s="11">
        <f>BAU_Scenario!O44</f>
        <v>3.1784034272202735E-2</v>
      </c>
      <c r="G44" s="11">
        <f>BAU_Scenario!P44</f>
        <v>3.0481371355991833E-2</v>
      </c>
      <c r="H44" s="57">
        <f>BAU_Scenario!Q44</f>
        <v>2.9148036884459806E-2</v>
      </c>
      <c r="I44" s="57">
        <f>BAU_Scenario!R44</f>
        <v>2.7782955951172032E-2</v>
      </c>
      <c r="J44" s="11">
        <f>BAU_Scenario!S44</f>
        <v>2.6385044788781283E-2</v>
      </c>
      <c r="K44" s="12">
        <f>BAU_Scenario!T44</f>
        <v>2.5628719776543282E-2</v>
      </c>
      <c r="L44" s="13">
        <f t="shared" si="22"/>
        <v>3.7532220930839598E-2</v>
      </c>
      <c r="M44" s="13">
        <f t="shared" si="22"/>
        <v>4.7881689698896772E-2</v>
      </c>
      <c r="N44" s="13">
        <f t="shared" si="22"/>
        <v>5.8217303462150941E-2</v>
      </c>
      <c r="O44" s="14">
        <f t="shared" si="22"/>
        <v>6.8539490820674051E-2</v>
      </c>
      <c r="P44" s="83">
        <f t="shared" si="22"/>
        <v>7.8848517985916217E-2</v>
      </c>
      <c r="Q44" s="61">
        <f t="shared" si="22"/>
        <v>8.9144317984363036E-2</v>
      </c>
      <c r="R44" s="62">
        <f t="shared" si="22"/>
        <v>9.9426642794477924E-2</v>
      </c>
      <c r="S44" s="62">
        <f t="shared" si="22"/>
        <v>0.10969516571974335</v>
      </c>
      <c r="T44" s="62">
        <f t="shared" si="22"/>
        <v>0.11994919121592969</v>
      </c>
      <c r="U44" s="62">
        <f t="shared" si="22"/>
        <v>0.13019058538629388</v>
      </c>
      <c r="V44" s="62">
        <f t="shared" si="22"/>
        <v>0.14041846845713121</v>
      </c>
      <c r="W44" s="62">
        <f t="shared" si="22"/>
        <v>0.15063281410613516</v>
      </c>
      <c r="X44" s="62">
        <f t="shared" si="22"/>
        <v>0.16083360117890733</v>
      </c>
      <c r="Y44" s="62">
        <f t="shared" si="22"/>
        <v>0.17102082213495098</v>
      </c>
      <c r="Z44" s="83">
        <f t="shared" si="21"/>
        <v>0.1811944168230826</v>
      </c>
      <c r="AA44" s="62">
        <f t="shared" si="22"/>
        <v>0.18144697303675111</v>
      </c>
      <c r="AB44" s="62">
        <f t="shared" si="22"/>
        <v>0.18170078649548418</v>
      </c>
      <c r="AC44" s="62">
        <f t="shared" si="22"/>
        <v>0.18195589700308595</v>
      </c>
      <c r="AD44" s="62">
        <f t="shared" si="22"/>
        <v>0.18221235335948865</v>
      </c>
      <c r="AE44" s="62">
        <f t="shared" si="22"/>
        <v>0.18247015755360427</v>
      </c>
      <c r="AF44" s="62">
        <f t="shared" si="22"/>
        <v>0.18272928809647221</v>
      </c>
      <c r="AG44" s="62">
        <f t="shared" si="22"/>
        <v>0.1829896657352939</v>
      </c>
      <c r="AH44" s="62">
        <f t="shared" si="22"/>
        <v>0.18325118545450092</v>
      </c>
      <c r="AI44" s="63">
        <f t="shared" si="22"/>
        <v>0.18351371074511999</v>
      </c>
      <c r="AJ44" s="83">
        <f t="shared" si="22"/>
        <v>0.18377712801730015</v>
      </c>
    </row>
    <row r="45" spans="1:38">
      <c r="A45" s="4" t="s">
        <v>4</v>
      </c>
      <c r="B45" s="4" t="s">
        <v>14</v>
      </c>
      <c r="C45" s="4" t="s">
        <v>52</v>
      </c>
      <c r="D45" s="10" t="s">
        <v>35</v>
      </c>
      <c r="E45" s="57">
        <f>BAU_Scenario!N45</f>
        <v>0</v>
      </c>
      <c r="F45" s="11">
        <f>BAU_Scenario!O45</f>
        <v>0</v>
      </c>
      <c r="G45" s="11">
        <f>BAU_Scenario!P45</f>
        <v>0</v>
      </c>
      <c r="H45" s="57">
        <f>BAU_Scenario!Q45</f>
        <v>0</v>
      </c>
      <c r="I45" s="57">
        <f>BAU_Scenario!R45</f>
        <v>0</v>
      </c>
      <c r="J45" s="11">
        <f>BAU_Scenario!S45</f>
        <v>0</v>
      </c>
      <c r="K45" s="12">
        <f>BAU_Scenario!T45</f>
        <v>0</v>
      </c>
      <c r="L45" s="13">
        <f t="shared" si="22"/>
        <v>1.5946382060010256E-2</v>
      </c>
      <c r="M45" s="13">
        <f t="shared" si="22"/>
        <v>3.2076213953052927E-2</v>
      </c>
      <c r="N45" s="13">
        <f t="shared" si="22"/>
        <v>4.8389855461937741E-2</v>
      </c>
      <c r="O45" s="14">
        <f t="shared" si="22"/>
        <v>6.4888192623348787E-2</v>
      </c>
      <c r="P45" s="65">
        <f t="shared" si="22"/>
        <v>8.1572458785062002E-2</v>
      </c>
      <c r="Q45" s="61">
        <f t="shared" si="22"/>
        <v>9.8443721310690013E-2</v>
      </c>
      <c r="R45" s="62">
        <f t="shared" si="22"/>
        <v>0.1155026759718243</v>
      </c>
      <c r="S45" s="62">
        <f t="shared" si="22"/>
        <v>0.13274957386481381</v>
      </c>
      <c r="T45" s="62">
        <f t="shared" si="22"/>
        <v>0.15018319005917646</v>
      </c>
      <c r="U45" s="62">
        <f t="shared" si="22"/>
        <v>0.16780977505780886</v>
      </c>
      <c r="V45" s="62">
        <f t="shared" si="22"/>
        <v>0.18562847204445418</v>
      </c>
      <c r="W45" s="62">
        <f t="shared" si="22"/>
        <v>0.20364069099714399</v>
      </c>
      <c r="X45" s="62">
        <f t="shared" si="22"/>
        <v>0.22184798663275548</v>
      </c>
      <c r="Y45" s="62">
        <f t="shared" si="22"/>
        <v>0.24025213285197769</v>
      </c>
      <c r="Z45" s="65">
        <f t="shared" si="21"/>
        <v>0.25885480143825484</v>
      </c>
      <c r="AA45" s="62">
        <f t="shared" si="22"/>
        <v>0.2603038681312575</v>
      </c>
      <c r="AB45" s="62">
        <f t="shared" si="22"/>
        <v>0.26176014839434608</v>
      </c>
      <c r="AC45" s="62">
        <f t="shared" si="22"/>
        <v>0.26322387060585323</v>
      </c>
      <c r="AD45" s="62">
        <f t="shared" si="22"/>
        <v>0.26469531476030062</v>
      </c>
      <c r="AE45" s="62">
        <f t="shared" si="22"/>
        <v>0.26617449226927153</v>
      </c>
      <c r="AF45" s="62">
        <f t="shared" si="22"/>
        <v>0.26766127983769172</v>
      </c>
      <c r="AG45" s="62">
        <f t="shared" si="22"/>
        <v>0.26915522274465309</v>
      </c>
      <c r="AH45" s="62">
        <f t="shared" si="22"/>
        <v>0.27065571845276382</v>
      </c>
      <c r="AI45" s="63">
        <f t="shared" si="22"/>
        <v>0.27216198372805106</v>
      </c>
      <c r="AJ45" s="60">
        <f t="shared" si="22"/>
        <v>0.27367336683731341</v>
      </c>
    </row>
    <row r="46" spans="1:38">
      <c r="A46" s="4" t="s">
        <v>4</v>
      </c>
      <c r="B46" s="4" t="s">
        <v>15</v>
      </c>
      <c r="C46" s="4" t="s">
        <v>52</v>
      </c>
      <c r="D46" s="10" t="s">
        <v>35</v>
      </c>
      <c r="E46" s="57">
        <f>BAU_Scenario!N46</f>
        <v>0</v>
      </c>
      <c r="F46" s="11">
        <f>BAU_Scenario!O46</f>
        <v>0</v>
      </c>
      <c r="G46" s="11">
        <f>BAU_Scenario!P46</f>
        <v>0</v>
      </c>
      <c r="H46" s="57">
        <f>BAU_Scenario!Q46</f>
        <v>0</v>
      </c>
      <c r="I46" s="57">
        <f>BAU_Scenario!R46</f>
        <v>0</v>
      </c>
      <c r="J46" s="11">
        <f>BAU_Scenario!S46</f>
        <v>0</v>
      </c>
      <c r="K46" s="12">
        <f>BAU_Scenario!T46</f>
        <v>0</v>
      </c>
      <c r="L46" s="13">
        <f t="shared" si="22"/>
        <v>5.1830795367811882E-3</v>
      </c>
      <c r="M46" s="13">
        <f t="shared" si="22"/>
        <v>1.0470072188963274E-2</v>
      </c>
      <c r="N46" s="13">
        <f t="shared" si="22"/>
        <v>1.586118175151301E-2</v>
      </c>
      <c r="O46" s="14">
        <f t="shared" si="22"/>
        <v>2.1356910110045025E-2</v>
      </c>
      <c r="P46" s="65">
        <f t="shared" si="22"/>
        <v>2.6957955880674987E-2</v>
      </c>
      <c r="Q46" s="61">
        <f t="shared" si="22"/>
        <v>3.2664923659637281E-2</v>
      </c>
      <c r="R46" s="62">
        <f t="shared" si="22"/>
        <v>3.8478207559003219E-2</v>
      </c>
      <c r="S46" s="62">
        <f t="shared" si="22"/>
        <v>4.4397949809503977E-2</v>
      </c>
      <c r="T46" s="62">
        <f t="shared" si="22"/>
        <v>5.0423456562906289E-2</v>
      </c>
      <c r="U46" s="62">
        <f t="shared" si="22"/>
        <v>5.6558268346983159E-2</v>
      </c>
      <c r="V46" s="62">
        <f t="shared" si="22"/>
        <v>6.2801899827705662E-2</v>
      </c>
      <c r="W46" s="62">
        <f t="shared" si="22"/>
        <v>6.9155149671431174E-2</v>
      </c>
      <c r="X46" s="62">
        <f t="shared" si="22"/>
        <v>7.5618898530224687E-2</v>
      </c>
      <c r="Y46" s="62">
        <f t="shared" si="22"/>
        <v>8.21941512103809E-2</v>
      </c>
      <c r="Z46" s="131">
        <f t="shared" si="21"/>
        <v>8.8881854675018399E-2</v>
      </c>
      <c r="AA46" s="62">
        <f t="shared" si="22"/>
        <v>8.9702662369441091E-2</v>
      </c>
      <c r="AB46" s="62">
        <f t="shared" si="22"/>
        <v>9.0527556110323537E-2</v>
      </c>
      <c r="AC46" s="62">
        <f t="shared" si="22"/>
        <v>9.1356665260029377E-2</v>
      </c>
      <c r="AD46" s="62">
        <f t="shared" si="22"/>
        <v>9.2190148418338072E-2</v>
      </c>
      <c r="AE46" s="62">
        <f t="shared" si="22"/>
        <v>9.302801204921389E-2</v>
      </c>
      <c r="AF46" s="62">
        <f t="shared" si="22"/>
        <v>9.387018631353472E-2</v>
      </c>
      <c r="AG46" s="62">
        <f t="shared" si="22"/>
        <v>9.471641363970508E-2</v>
      </c>
      <c r="AH46" s="62">
        <f t="shared" si="22"/>
        <v>9.5566352727127976E-2</v>
      </c>
      <c r="AI46" s="63">
        <f t="shared" si="22"/>
        <v>9.6419559921639961E-2</v>
      </c>
      <c r="AJ46" s="60">
        <f t="shared" si="22"/>
        <v>9.7275666056225452E-2</v>
      </c>
    </row>
    <row r="47" spans="1:38">
      <c r="A47" s="4" t="s">
        <v>4</v>
      </c>
      <c r="B47" s="4" t="s">
        <v>16</v>
      </c>
      <c r="C47" s="4" t="s">
        <v>52</v>
      </c>
      <c r="D47" s="10" t="s">
        <v>35</v>
      </c>
      <c r="E47" s="57">
        <f>BAU_Scenario!N47</f>
        <v>0</v>
      </c>
      <c r="F47" s="11">
        <f>BAU_Scenario!O47</f>
        <v>0</v>
      </c>
      <c r="G47" s="11">
        <f>BAU_Scenario!P47</f>
        <v>0</v>
      </c>
      <c r="H47" s="57">
        <f>BAU_Scenario!Q47</f>
        <v>0</v>
      </c>
      <c r="I47" s="57">
        <f>BAU_Scenario!R47</f>
        <v>0</v>
      </c>
      <c r="J47" s="11">
        <f>BAU_Scenario!S47</f>
        <v>0</v>
      </c>
      <c r="K47" s="12">
        <f>BAU_Scenario!T47</f>
        <v>0</v>
      </c>
      <c r="L47" s="13">
        <f t="shared" si="22"/>
        <v>1.2713863418682256E-3</v>
      </c>
      <c r="M47" s="13">
        <f t="shared" si="22"/>
        <v>2.5153456758233088E-3</v>
      </c>
      <c r="N47" s="13">
        <f t="shared" si="22"/>
        <v>3.7318242118682507E-3</v>
      </c>
      <c r="O47" s="14">
        <f t="shared" si="22"/>
        <v>4.920689481443417E-3</v>
      </c>
      <c r="P47" s="65">
        <f t="shared" si="22"/>
        <v>6.0817570905995107E-3</v>
      </c>
      <c r="Q47" s="61">
        <f t="shared" si="22"/>
        <v>7.2148674611577732E-3</v>
      </c>
      <c r="R47" s="62">
        <f t="shared" si="22"/>
        <v>8.3199165704945302E-3</v>
      </c>
      <c r="S47" s="62">
        <f t="shared" si="22"/>
        <v>9.3968668779838942E-3</v>
      </c>
      <c r="T47" s="62">
        <f t="shared" si="22"/>
        <v>1.0445901519132017E-2</v>
      </c>
      <c r="U47" s="62">
        <f t="shared" si="22"/>
        <v>1.1466086000897555E-2</v>
      </c>
      <c r="V47" s="62">
        <f t="shared" si="22"/>
        <v>1.2457548423185884E-2</v>
      </c>
      <c r="W47" s="62">
        <f t="shared" si="22"/>
        <v>1.3420077984613397E-2</v>
      </c>
      <c r="X47" s="62">
        <f t="shared" si="22"/>
        <v>1.4353442244346579E-2</v>
      </c>
      <c r="Y47" s="62">
        <f t="shared" si="22"/>
        <v>1.5257375992069212E-2</v>
      </c>
      <c r="Z47" s="130">
        <f t="shared" si="21"/>
        <v>1.6131629284693288E-2</v>
      </c>
      <c r="AA47" s="62">
        <f t="shared" si="22"/>
        <v>1.5914983878160666E-2</v>
      </c>
      <c r="AB47" s="62">
        <f t="shared" si="22"/>
        <v>1.5697259993438326E-2</v>
      </c>
      <c r="AC47" s="62">
        <f t="shared" si="22"/>
        <v>1.5478423486399629E-2</v>
      </c>
      <c r="AD47" s="62">
        <f t="shared" si="22"/>
        <v>1.5258432495943728E-2</v>
      </c>
      <c r="AE47" s="62">
        <f t="shared" si="22"/>
        <v>1.5037285315960639E-2</v>
      </c>
      <c r="AF47" s="62">
        <f t="shared" si="22"/>
        <v>1.4815000379909416E-2</v>
      </c>
      <c r="AG47" s="62">
        <f t="shared" si="22"/>
        <v>1.4591645671683719E-2</v>
      </c>
      <c r="AH47" s="62">
        <f t="shared" si="22"/>
        <v>1.4367311274755074E-2</v>
      </c>
      <c r="AI47" s="63">
        <f t="shared" si="22"/>
        <v>1.4142114287972905E-2</v>
      </c>
      <c r="AJ47" s="60">
        <f t="shared" si="22"/>
        <v>1.3916152149919602E-2</v>
      </c>
    </row>
    <row r="48" spans="1:38" ht="17" thickBot="1">
      <c r="A48" s="32" t="s">
        <v>4</v>
      </c>
      <c r="B48" s="32" t="s">
        <v>17</v>
      </c>
      <c r="C48" s="32" t="s">
        <v>52</v>
      </c>
      <c r="D48" s="36" t="s">
        <v>35</v>
      </c>
      <c r="E48" s="58">
        <f>BAU_Scenario!N48</f>
        <v>5.2988602412830368E-3</v>
      </c>
      <c r="F48" s="17">
        <f>BAU_Scenario!O48</f>
        <v>5.0345105619440129E-3</v>
      </c>
      <c r="G48" s="17">
        <f>BAU_Scenario!P48</f>
        <v>4.7701697549140856E-3</v>
      </c>
      <c r="H48" s="58">
        <f>BAU_Scenario!Q48</f>
        <v>4.5058703276980349E-3</v>
      </c>
      <c r="I48" s="58">
        <f>BAU_Scenario!R48</f>
        <v>4.2417080260396525E-3</v>
      </c>
      <c r="J48" s="17">
        <f>BAU_Scenario!S48</f>
        <v>4.0060835524790674E-3</v>
      </c>
      <c r="K48" s="37">
        <f>BAU_Scenario!T48</f>
        <v>3.8229804923628971E-3</v>
      </c>
      <c r="L48" s="38">
        <f t="shared" si="22"/>
        <v>3.3704016788989612E-3</v>
      </c>
      <c r="M48" s="38">
        <f t="shared" si="22"/>
        <v>3.0959013885956742E-3</v>
      </c>
      <c r="N48" s="38">
        <f t="shared" si="22"/>
        <v>2.8265537895438065E-3</v>
      </c>
      <c r="O48" s="39">
        <f t="shared" si="22"/>
        <v>2.5623280972044285E-3</v>
      </c>
      <c r="P48" s="66">
        <f t="shared" si="22"/>
        <v>2.3032185568720807E-3</v>
      </c>
      <c r="Q48" s="67">
        <f t="shared" si="22"/>
        <v>2.0492535760261361E-3</v>
      </c>
      <c r="R48" s="68">
        <f t="shared" si="22"/>
        <v>1.8004746186083887E-3</v>
      </c>
      <c r="S48" s="68">
        <f t="shared" si="22"/>
        <v>1.5569232802697898E-3</v>
      </c>
      <c r="T48" s="68">
        <f t="shared" si="22"/>
        <v>1.3186536864108513E-3</v>
      </c>
      <c r="U48" s="68">
        <f t="shared" si="22"/>
        <v>1.0855786271363229E-3</v>
      </c>
      <c r="V48" s="68">
        <f t="shared" si="22"/>
        <v>8.5778011709997538E-4</v>
      </c>
      <c r="W48" s="68">
        <f t="shared" si="22"/>
        <v>6.3528870416019035E-4</v>
      </c>
      <c r="X48" s="68">
        <f t="shared" si="22"/>
        <v>4.1813718836250079E-4</v>
      </c>
      <c r="Y48" s="68">
        <f t="shared" si="22"/>
        <v>2.0636113045371639E-4</v>
      </c>
      <c r="Z48" s="66">
        <f t="shared" si="21"/>
        <v>0</v>
      </c>
      <c r="AA48" s="68">
        <f t="shared" si="22"/>
        <v>0</v>
      </c>
      <c r="AB48" s="68">
        <f t="shared" si="22"/>
        <v>0</v>
      </c>
      <c r="AC48" s="68">
        <f t="shared" si="22"/>
        <v>0</v>
      </c>
      <c r="AD48" s="68">
        <f t="shared" si="22"/>
        <v>0</v>
      </c>
      <c r="AE48" s="68">
        <f t="shared" si="22"/>
        <v>0</v>
      </c>
      <c r="AF48" s="68">
        <f t="shared" ref="AF48:AJ48" si="23">(AF59*AF$72+AF70*AF$73)/AF$71</f>
        <v>0</v>
      </c>
      <c r="AG48" s="68">
        <f t="shared" si="23"/>
        <v>0</v>
      </c>
      <c r="AH48" s="68">
        <f t="shared" si="23"/>
        <v>0</v>
      </c>
      <c r="AI48" s="69">
        <f t="shared" si="23"/>
        <v>0</v>
      </c>
      <c r="AJ48" s="66">
        <f t="shared" si="23"/>
        <v>0</v>
      </c>
    </row>
    <row r="49" spans="1:39">
      <c r="A49" s="29" t="s">
        <v>18</v>
      </c>
      <c r="B49" s="29" t="s">
        <v>36</v>
      </c>
      <c r="C49" s="29" t="s">
        <v>52</v>
      </c>
      <c r="D49" s="35" t="s">
        <v>35</v>
      </c>
      <c r="E49" s="57">
        <f>BAU_Scenario!N49</f>
        <v>0.86974208413277054</v>
      </c>
      <c r="F49" s="11">
        <f>BAU_Scenario!O49</f>
        <v>0.85811128535486603</v>
      </c>
      <c r="G49" s="11">
        <f>BAU_Scenario!P49</f>
        <v>0.84648048657695796</v>
      </c>
      <c r="H49" s="57">
        <f>BAU_Scenario!Q49</f>
        <v>0.83484968779905344</v>
      </c>
      <c r="I49" s="57">
        <f>BAU_Scenario!R49</f>
        <v>0.82321888902114893</v>
      </c>
      <c r="J49" s="11">
        <f>BAU_Scenario!S49</f>
        <v>0.81158809024324441</v>
      </c>
      <c r="K49" s="12">
        <f>BAU_Scenario!T49</f>
        <v>0.79052700984927349</v>
      </c>
      <c r="L49" s="13">
        <f>K49+($Z49-$K49)/($Z$37-$K$37)</f>
        <v>0.73782520919265526</v>
      </c>
      <c r="M49" s="13">
        <f t="shared" ref="M49:Y49" si="24">L49+($Z49-$K49)/($Z$37-$K$37)</f>
        <v>0.68512340853603704</v>
      </c>
      <c r="N49" s="13">
        <f t="shared" si="24"/>
        <v>0.63242160787941881</v>
      </c>
      <c r="O49" s="14">
        <f t="shared" si="24"/>
        <v>0.57971980722280059</v>
      </c>
      <c r="P49" s="70">
        <f t="shared" si="24"/>
        <v>0.52701800656618236</v>
      </c>
      <c r="Q49" s="61">
        <f t="shared" si="24"/>
        <v>0.47431620590956414</v>
      </c>
      <c r="R49" s="62">
        <f t="shared" si="24"/>
        <v>0.42161440525294591</v>
      </c>
      <c r="S49" s="62">
        <f t="shared" si="24"/>
        <v>0.36891260459632769</v>
      </c>
      <c r="T49" s="62">
        <f t="shared" si="24"/>
        <v>0.31621080393970946</v>
      </c>
      <c r="U49" s="62">
        <f t="shared" si="24"/>
        <v>0.26350900328309124</v>
      </c>
      <c r="V49" s="62">
        <f t="shared" si="24"/>
        <v>0.21080720262647301</v>
      </c>
      <c r="W49" s="62">
        <f t="shared" si="24"/>
        <v>0.15810540196985479</v>
      </c>
      <c r="X49" s="62">
        <f t="shared" si="24"/>
        <v>0.10540360131323656</v>
      </c>
      <c r="Y49" s="62">
        <f t="shared" si="24"/>
        <v>5.2701800656618329E-2</v>
      </c>
      <c r="Z49" s="70">
        <f>MAX(0,1-SUM(Z50:Z59))</f>
        <v>0</v>
      </c>
      <c r="AA49" s="140">
        <f>Z49+($AJ49-$Z49)/($AJ$37-$Z$37)</f>
        <v>0</v>
      </c>
      <c r="AB49" s="62">
        <f t="shared" ref="AB49:AI49" si="25">AA49+($AJ49-$Z49)/($AJ$37-$Z$37)</f>
        <v>0</v>
      </c>
      <c r="AC49" s="62">
        <f t="shared" si="25"/>
        <v>0</v>
      </c>
      <c r="AD49" s="62">
        <f t="shared" si="25"/>
        <v>0</v>
      </c>
      <c r="AE49" s="62">
        <f t="shared" si="25"/>
        <v>0</v>
      </c>
      <c r="AF49" s="62">
        <f t="shared" si="25"/>
        <v>0</v>
      </c>
      <c r="AG49" s="62">
        <f t="shared" si="25"/>
        <v>0</v>
      </c>
      <c r="AH49" s="62">
        <f t="shared" si="25"/>
        <v>0</v>
      </c>
      <c r="AI49" s="63">
        <f t="shared" si="25"/>
        <v>0</v>
      </c>
      <c r="AJ49" s="70">
        <f>MAX(0,1-SUM(AJ50:AJ59))</f>
        <v>0</v>
      </c>
      <c r="AK49" s="81"/>
      <c r="AL49" s="81"/>
      <c r="AM49" s="81"/>
    </row>
    <row r="50" spans="1:39">
      <c r="A50" s="4" t="s">
        <v>18</v>
      </c>
      <c r="B50" s="4" t="s">
        <v>8</v>
      </c>
      <c r="C50" s="4" t="s">
        <v>52</v>
      </c>
      <c r="D50" s="10" t="s">
        <v>35</v>
      </c>
      <c r="E50" s="57">
        <f>BAU_Scenario!N50</f>
        <v>0.11796386739970899</v>
      </c>
      <c r="F50" s="11">
        <f>BAU_Scenario!O50</f>
        <v>0.13020141557709408</v>
      </c>
      <c r="G50" s="11">
        <f>BAU_Scenario!P50</f>
        <v>0.14243896375447918</v>
      </c>
      <c r="H50" s="57">
        <f>BAU_Scenario!Q50</f>
        <v>0.15467651193186782</v>
      </c>
      <c r="I50" s="57">
        <f>BAU_Scenario!R50</f>
        <v>0.16691406010925292</v>
      </c>
      <c r="J50" s="11">
        <f>BAU_Scenario!S50</f>
        <v>0.17915160828663801</v>
      </c>
      <c r="K50" s="12">
        <f>BAU_Scenario!T50</f>
        <v>0.20018423873715194</v>
      </c>
      <c r="L50" s="13">
        <f t="shared" ref="L50:Y50" si="26">K50+($Z50-$K50)/($Z$37-$K$37)</f>
        <v>0.18683862282134181</v>
      </c>
      <c r="M50" s="13">
        <f t="shared" si="26"/>
        <v>0.17349300690553168</v>
      </c>
      <c r="N50" s="13">
        <f t="shared" si="26"/>
        <v>0.16014739098972156</v>
      </c>
      <c r="O50" s="14">
        <f t="shared" si="26"/>
        <v>0.14680177507391143</v>
      </c>
      <c r="P50" s="60">
        <f t="shared" si="26"/>
        <v>0.1334561591581013</v>
      </c>
      <c r="Q50" s="61">
        <f t="shared" si="26"/>
        <v>0.12011054324229117</v>
      </c>
      <c r="R50" s="62">
        <f t="shared" si="26"/>
        <v>0.10676492732648105</v>
      </c>
      <c r="S50" s="62">
        <f t="shared" si="26"/>
        <v>9.3419311410670919E-2</v>
      </c>
      <c r="T50" s="62">
        <f t="shared" si="26"/>
        <v>8.0073695494860792E-2</v>
      </c>
      <c r="U50" s="62">
        <f t="shared" si="26"/>
        <v>6.6728079579050664E-2</v>
      </c>
      <c r="V50" s="62">
        <f t="shared" si="26"/>
        <v>5.3382463663240537E-2</v>
      </c>
      <c r="W50" s="62">
        <f t="shared" si="26"/>
        <v>4.003684774743041E-2</v>
      </c>
      <c r="X50" s="62">
        <f t="shared" si="26"/>
        <v>2.6691231831620282E-2</v>
      </c>
      <c r="Y50" s="62">
        <f t="shared" si="26"/>
        <v>1.3345615915810153E-2</v>
      </c>
      <c r="Z50" s="60">
        <f t="shared" ref="Z50:Z60" si="27">AL50</f>
        <v>0</v>
      </c>
      <c r="AA50" s="62">
        <f t="shared" ref="AA50:AI50" si="28">Z50+($AJ50-$Z50)/($AJ$37-$Z$37)</f>
        <v>0</v>
      </c>
      <c r="AB50" s="62">
        <f t="shared" si="28"/>
        <v>0</v>
      </c>
      <c r="AC50" s="62">
        <f t="shared" si="28"/>
        <v>0</v>
      </c>
      <c r="AD50" s="62">
        <f t="shared" si="28"/>
        <v>0</v>
      </c>
      <c r="AE50" s="62">
        <f t="shared" si="28"/>
        <v>0</v>
      </c>
      <c r="AF50" s="62">
        <f t="shared" si="28"/>
        <v>0</v>
      </c>
      <c r="AG50" s="62">
        <f t="shared" si="28"/>
        <v>0</v>
      </c>
      <c r="AH50" s="62">
        <f t="shared" si="28"/>
        <v>0</v>
      </c>
      <c r="AI50" s="63">
        <f t="shared" si="28"/>
        <v>0</v>
      </c>
      <c r="AJ50" s="72">
        <f t="shared" ref="AJ50:AJ52" si="29">AM50</f>
        <v>0</v>
      </c>
      <c r="AK50" s="78"/>
      <c r="AL50" s="78">
        <v>0</v>
      </c>
      <c r="AM50" s="24">
        <f>AL50</f>
        <v>0</v>
      </c>
    </row>
    <row r="51" spans="1:39">
      <c r="A51" s="4" t="s">
        <v>18</v>
      </c>
      <c r="B51" s="4" t="s">
        <v>37</v>
      </c>
      <c r="C51" s="4" t="s">
        <v>52</v>
      </c>
      <c r="D51" s="10" t="s">
        <v>35</v>
      </c>
      <c r="E51" s="57">
        <f>BAU_Scenario!N51</f>
        <v>0</v>
      </c>
      <c r="F51" s="11">
        <f>BAU_Scenario!O51</f>
        <v>0</v>
      </c>
      <c r="G51" s="11">
        <f>BAU_Scenario!P51</f>
        <v>0</v>
      </c>
      <c r="H51" s="57">
        <f>BAU_Scenario!Q51</f>
        <v>0</v>
      </c>
      <c r="I51" s="57">
        <f>BAU_Scenario!R51</f>
        <v>0</v>
      </c>
      <c r="J51" s="11">
        <f>BAU_Scenario!S51</f>
        <v>0</v>
      </c>
      <c r="K51" s="12">
        <f>BAU_Scenario!T51</f>
        <v>0</v>
      </c>
      <c r="L51" s="13">
        <f t="shared" ref="L51:Y51" si="30">K51+($Z51-$K51)/($Z$37-$K$37)</f>
        <v>1.1333333333333334E-2</v>
      </c>
      <c r="M51" s="13">
        <f t="shared" si="30"/>
        <v>2.2666666666666668E-2</v>
      </c>
      <c r="N51" s="13">
        <f t="shared" si="30"/>
        <v>3.4000000000000002E-2</v>
      </c>
      <c r="O51" s="14">
        <f t="shared" si="30"/>
        <v>4.5333333333333337E-2</v>
      </c>
      <c r="P51" s="64">
        <f t="shared" si="30"/>
        <v>5.6666666666666671E-2</v>
      </c>
      <c r="Q51" s="61">
        <f t="shared" si="30"/>
        <v>6.8000000000000005E-2</v>
      </c>
      <c r="R51" s="62">
        <f t="shared" si="30"/>
        <v>7.9333333333333339E-2</v>
      </c>
      <c r="S51" s="62">
        <f t="shared" si="30"/>
        <v>9.0666666666666673E-2</v>
      </c>
      <c r="T51" s="62">
        <f t="shared" si="30"/>
        <v>0.10200000000000001</v>
      </c>
      <c r="U51" s="62">
        <f t="shared" si="30"/>
        <v>0.11333333333333334</v>
      </c>
      <c r="V51" s="62">
        <f t="shared" si="30"/>
        <v>0.12466666666666668</v>
      </c>
      <c r="W51" s="62">
        <f t="shared" si="30"/>
        <v>0.13600000000000001</v>
      </c>
      <c r="X51" s="62">
        <f t="shared" si="30"/>
        <v>0.14733333333333334</v>
      </c>
      <c r="Y51" s="62">
        <f t="shared" si="30"/>
        <v>0.15866666666666668</v>
      </c>
      <c r="Z51" s="64">
        <f t="shared" si="27"/>
        <v>0.17</v>
      </c>
      <c r="AA51" s="62">
        <f t="shared" ref="AA51:AI51" si="31">Z51+($AJ51-$Z51)/($AJ$37-$Z$37)</f>
        <v>0.17</v>
      </c>
      <c r="AB51" s="62">
        <f t="shared" si="31"/>
        <v>0.17</v>
      </c>
      <c r="AC51" s="62">
        <f t="shared" si="31"/>
        <v>0.17</v>
      </c>
      <c r="AD51" s="62">
        <f t="shared" si="31"/>
        <v>0.17</v>
      </c>
      <c r="AE51" s="62">
        <f t="shared" si="31"/>
        <v>0.17</v>
      </c>
      <c r="AF51" s="62">
        <f t="shared" si="31"/>
        <v>0.17</v>
      </c>
      <c r="AG51" s="62">
        <f t="shared" si="31"/>
        <v>0.17</v>
      </c>
      <c r="AH51" s="62">
        <f t="shared" si="31"/>
        <v>0.17</v>
      </c>
      <c r="AI51" s="63">
        <f t="shared" si="31"/>
        <v>0.17</v>
      </c>
      <c r="AJ51" s="73">
        <f t="shared" si="29"/>
        <v>0.17</v>
      </c>
      <c r="AK51" s="78"/>
      <c r="AL51" s="78">
        <v>0.17</v>
      </c>
      <c r="AM51" s="24">
        <f t="shared" ref="AM51:AM60" si="32">AL51</f>
        <v>0.17</v>
      </c>
    </row>
    <row r="52" spans="1:39">
      <c r="A52" s="4" t="s">
        <v>18</v>
      </c>
      <c r="B52" s="4" t="s">
        <v>10</v>
      </c>
      <c r="C52" s="4" t="s">
        <v>52</v>
      </c>
      <c r="D52" s="10" t="s">
        <v>35</v>
      </c>
      <c r="E52" s="57">
        <f>BAU_Scenario!N52</f>
        <v>0</v>
      </c>
      <c r="F52" s="11">
        <f>BAU_Scenario!O52</f>
        <v>0</v>
      </c>
      <c r="G52" s="11">
        <f>BAU_Scenario!P52</f>
        <v>0</v>
      </c>
      <c r="H52" s="57">
        <f>BAU_Scenario!Q52</f>
        <v>0</v>
      </c>
      <c r="I52" s="57">
        <f>BAU_Scenario!R52</f>
        <v>0</v>
      </c>
      <c r="J52" s="11">
        <f>BAU_Scenario!S52</f>
        <v>0</v>
      </c>
      <c r="K52" s="12">
        <f>BAU_Scenario!T52</f>
        <v>0</v>
      </c>
      <c r="L52" s="13">
        <f t="shared" ref="L52:Y52" si="33">K52+($Z52-$K52)/($Z$37-$K$37)</f>
        <v>2.2000000000000002E-2</v>
      </c>
      <c r="M52" s="13">
        <f t="shared" si="33"/>
        <v>4.4000000000000004E-2</v>
      </c>
      <c r="N52" s="13">
        <f t="shared" si="33"/>
        <v>6.6000000000000003E-2</v>
      </c>
      <c r="O52" s="14">
        <f t="shared" si="33"/>
        <v>8.8000000000000009E-2</v>
      </c>
      <c r="P52" s="64">
        <f t="shared" si="33"/>
        <v>0.11000000000000001</v>
      </c>
      <c r="Q52" s="61">
        <f t="shared" si="33"/>
        <v>0.13200000000000001</v>
      </c>
      <c r="R52" s="62">
        <f t="shared" si="33"/>
        <v>0.154</v>
      </c>
      <c r="S52" s="62">
        <f t="shared" si="33"/>
        <v>0.17599999999999999</v>
      </c>
      <c r="T52" s="62">
        <f t="shared" si="33"/>
        <v>0.19799999999999998</v>
      </c>
      <c r="U52" s="62">
        <f t="shared" si="33"/>
        <v>0.21999999999999997</v>
      </c>
      <c r="V52" s="62">
        <f t="shared" si="33"/>
        <v>0.24199999999999997</v>
      </c>
      <c r="W52" s="62">
        <f t="shared" si="33"/>
        <v>0.26399999999999996</v>
      </c>
      <c r="X52" s="62">
        <f t="shared" si="33"/>
        <v>0.28599999999999998</v>
      </c>
      <c r="Y52" s="62">
        <f t="shared" si="33"/>
        <v>0.308</v>
      </c>
      <c r="Z52" s="64">
        <f t="shared" si="27"/>
        <v>0.33</v>
      </c>
      <c r="AA52" s="62">
        <f t="shared" ref="AA52:AI52" si="34">Z52+($AJ52-$Z52)/($AJ$37-$Z$37)</f>
        <v>0.33</v>
      </c>
      <c r="AB52" s="62">
        <f t="shared" si="34"/>
        <v>0.33</v>
      </c>
      <c r="AC52" s="62">
        <f t="shared" si="34"/>
        <v>0.33</v>
      </c>
      <c r="AD52" s="62">
        <f t="shared" si="34"/>
        <v>0.33</v>
      </c>
      <c r="AE52" s="62">
        <f t="shared" si="34"/>
        <v>0.33</v>
      </c>
      <c r="AF52" s="62">
        <f t="shared" si="34"/>
        <v>0.33</v>
      </c>
      <c r="AG52" s="62">
        <f t="shared" si="34"/>
        <v>0.33</v>
      </c>
      <c r="AH52" s="62">
        <f t="shared" si="34"/>
        <v>0.33</v>
      </c>
      <c r="AI52" s="63">
        <f t="shared" si="34"/>
        <v>0.33</v>
      </c>
      <c r="AJ52" s="73">
        <f t="shared" si="29"/>
        <v>0.33</v>
      </c>
      <c r="AK52" s="78"/>
      <c r="AL52" s="78">
        <v>0.33</v>
      </c>
      <c r="AM52" s="24">
        <f t="shared" si="32"/>
        <v>0.33</v>
      </c>
    </row>
    <row r="53" spans="1:39">
      <c r="A53" s="4" t="s">
        <v>18</v>
      </c>
      <c r="B53" s="4" t="s">
        <v>11</v>
      </c>
      <c r="C53" s="4" t="s">
        <v>52</v>
      </c>
      <c r="D53" s="10" t="s">
        <v>35</v>
      </c>
      <c r="E53" s="57">
        <f>BAU_Scenario!N53</f>
        <v>1.4912204546964868E-4</v>
      </c>
      <c r="F53" s="11">
        <f>BAU_Scenario!O53</f>
        <v>1.4373261588239601E-4</v>
      </c>
      <c r="G53" s="11">
        <f>BAU_Scenario!P53</f>
        <v>1.3834318629514161E-4</v>
      </c>
      <c r="H53" s="57">
        <f>BAU_Scenario!Q53</f>
        <v>1.3295375670788895E-4</v>
      </c>
      <c r="I53" s="57">
        <f>BAU_Scenario!R53</f>
        <v>1.2756432712063455E-4</v>
      </c>
      <c r="J53" s="11">
        <f>BAU_Scenario!S53</f>
        <v>1.2217489753338188E-4</v>
      </c>
      <c r="K53" s="12">
        <f>BAU_Scenario!T53</f>
        <v>1.1747586301286719E-4</v>
      </c>
      <c r="L53" s="13">
        <f t="shared" ref="L53:Y53" si="35">K53+($Z53-$K53)/($Z$37-$K$37)</f>
        <v>1.8109644138812012E-2</v>
      </c>
      <c r="M53" s="13">
        <f t="shared" si="35"/>
        <v>3.6101812414611155E-2</v>
      </c>
      <c r="N53" s="13">
        <f t="shared" si="35"/>
        <v>5.4093980690410298E-2</v>
      </c>
      <c r="O53" s="14">
        <f t="shared" si="35"/>
        <v>7.2086148966209435E-2</v>
      </c>
      <c r="P53" s="60">
        <f t="shared" si="35"/>
        <v>9.0078317242008571E-2</v>
      </c>
      <c r="Q53" s="61">
        <f t="shared" si="35"/>
        <v>0.10807048551780771</v>
      </c>
      <c r="R53" s="62">
        <f t="shared" si="35"/>
        <v>0.12606265379360684</v>
      </c>
      <c r="S53" s="62">
        <f t="shared" si="35"/>
        <v>0.14405482206940598</v>
      </c>
      <c r="T53" s="62">
        <f t="shared" si="35"/>
        <v>0.16204699034520512</v>
      </c>
      <c r="U53" s="62">
        <f t="shared" si="35"/>
        <v>0.18003915862100425</v>
      </c>
      <c r="V53" s="62">
        <f t="shared" si="35"/>
        <v>0.19803132689680339</v>
      </c>
      <c r="W53" s="62">
        <f t="shared" si="35"/>
        <v>0.21602349517260253</v>
      </c>
      <c r="X53" s="62">
        <f t="shared" si="35"/>
        <v>0.23401566344840166</v>
      </c>
      <c r="Y53" s="62">
        <f t="shared" si="35"/>
        <v>0.25200783172420083</v>
      </c>
      <c r="Z53" s="60">
        <f t="shared" si="27"/>
        <v>0.27</v>
      </c>
      <c r="AA53" s="62">
        <f t="shared" ref="AA53:AI53" si="36">Z53+($AJ53-$Z53)/($AJ$37-$Z$37)</f>
        <v>0.27</v>
      </c>
      <c r="AB53" s="62">
        <f t="shared" si="36"/>
        <v>0.27</v>
      </c>
      <c r="AC53" s="62">
        <f t="shared" si="36"/>
        <v>0.27</v>
      </c>
      <c r="AD53" s="62">
        <f t="shared" si="36"/>
        <v>0.27</v>
      </c>
      <c r="AE53" s="62">
        <f t="shared" si="36"/>
        <v>0.27</v>
      </c>
      <c r="AF53" s="62">
        <f t="shared" si="36"/>
        <v>0.27</v>
      </c>
      <c r="AG53" s="62">
        <f t="shared" si="36"/>
        <v>0.27</v>
      </c>
      <c r="AH53" s="62">
        <f t="shared" si="36"/>
        <v>0.27</v>
      </c>
      <c r="AI53" s="63">
        <f t="shared" si="36"/>
        <v>0.27</v>
      </c>
      <c r="AJ53" s="72">
        <f>AM53</f>
        <v>0.27</v>
      </c>
      <c r="AK53" s="78"/>
      <c r="AL53" s="78">
        <v>0.27</v>
      </c>
      <c r="AM53" s="24">
        <f t="shared" si="32"/>
        <v>0.27</v>
      </c>
    </row>
    <row r="54" spans="1:39">
      <c r="A54" s="4" t="s">
        <v>18</v>
      </c>
      <c r="B54" s="4" t="s">
        <v>12</v>
      </c>
      <c r="C54" s="4" t="s">
        <v>52</v>
      </c>
      <c r="D54" s="10" t="s">
        <v>35</v>
      </c>
      <c r="E54" s="57">
        <f>BAU_Scenario!N54</f>
        <v>0</v>
      </c>
      <c r="F54" s="11">
        <f>BAU_Scenario!O54</f>
        <v>0</v>
      </c>
      <c r="G54" s="11">
        <f>BAU_Scenario!P54</f>
        <v>0</v>
      </c>
      <c r="H54" s="57">
        <f>BAU_Scenario!Q54</f>
        <v>0</v>
      </c>
      <c r="I54" s="57">
        <f>BAU_Scenario!R54</f>
        <v>0</v>
      </c>
      <c r="J54" s="11">
        <f>BAU_Scenario!S54</f>
        <v>0</v>
      </c>
      <c r="K54" s="12">
        <f>BAU_Scenario!T54</f>
        <v>0</v>
      </c>
      <c r="L54" s="13">
        <f t="shared" ref="L54:Y54" si="37">K54+($Z54-$K54)/($Z$37-$K$37)</f>
        <v>0</v>
      </c>
      <c r="M54" s="13">
        <f t="shared" si="37"/>
        <v>0</v>
      </c>
      <c r="N54" s="13">
        <f t="shared" si="37"/>
        <v>0</v>
      </c>
      <c r="O54" s="14">
        <f t="shared" si="37"/>
        <v>0</v>
      </c>
      <c r="P54" s="60">
        <f t="shared" si="37"/>
        <v>0</v>
      </c>
      <c r="Q54" s="61">
        <f t="shared" si="37"/>
        <v>0</v>
      </c>
      <c r="R54" s="62">
        <f t="shared" si="37"/>
        <v>0</v>
      </c>
      <c r="S54" s="62">
        <f t="shared" si="37"/>
        <v>0</v>
      </c>
      <c r="T54" s="62">
        <f t="shared" si="37"/>
        <v>0</v>
      </c>
      <c r="U54" s="62">
        <f t="shared" si="37"/>
        <v>0</v>
      </c>
      <c r="V54" s="62">
        <f t="shared" si="37"/>
        <v>0</v>
      </c>
      <c r="W54" s="62">
        <f t="shared" si="37"/>
        <v>0</v>
      </c>
      <c r="X54" s="62">
        <f t="shared" si="37"/>
        <v>0</v>
      </c>
      <c r="Y54" s="62">
        <f t="shared" si="37"/>
        <v>0</v>
      </c>
      <c r="Z54" s="60">
        <f t="shared" si="27"/>
        <v>0</v>
      </c>
      <c r="AA54" s="62">
        <f t="shared" ref="AA54:AI54" si="38">Z54+($AJ54-$Z54)/($AJ$37-$Z$37)</f>
        <v>0</v>
      </c>
      <c r="AB54" s="62">
        <f t="shared" si="38"/>
        <v>0</v>
      </c>
      <c r="AC54" s="62">
        <f t="shared" si="38"/>
        <v>0</v>
      </c>
      <c r="AD54" s="62">
        <f t="shared" si="38"/>
        <v>0</v>
      </c>
      <c r="AE54" s="62">
        <f t="shared" si="38"/>
        <v>0</v>
      </c>
      <c r="AF54" s="62">
        <f t="shared" si="38"/>
        <v>0</v>
      </c>
      <c r="AG54" s="62">
        <f t="shared" si="38"/>
        <v>0</v>
      </c>
      <c r="AH54" s="62">
        <f t="shared" si="38"/>
        <v>0</v>
      </c>
      <c r="AI54" s="63">
        <f t="shared" si="38"/>
        <v>0</v>
      </c>
      <c r="AJ54" s="72">
        <f t="shared" ref="AJ54:AJ59" si="39">AM54</f>
        <v>0</v>
      </c>
      <c r="AK54" s="77"/>
      <c r="AL54" s="77">
        <v>0</v>
      </c>
      <c r="AM54" s="24">
        <f t="shared" si="32"/>
        <v>0</v>
      </c>
    </row>
    <row r="55" spans="1:39">
      <c r="A55" s="4" t="s">
        <v>18</v>
      </c>
      <c r="B55" s="4" t="s">
        <v>13</v>
      </c>
      <c r="C55" s="4" t="s">
        <v>52</v>
      </c>
      <c r="D55" s="10" t="s">
        <v>35</v>
      </c>
      <c r="E55" s="57">
        <f>BAU_Scenario!N55</f>
        <v>3.0630511516873682E-3</v>
      </c>
      <c r="F55" s="11">
        <f>BAU_Scenario!O55</f>
        <v>2.8272072006909621E-3</v>
      </c>
      <c r="G55" s="11">
        <f>BAU_Scenario!P55</f>
        <v>2.591363249694556E-3</v>
      </c>
      <c r="H55" s="57">
        <f>BAU_Scenario!Q55</f>
        <v>2.3555192986981499E-3</v>
      </c>
      <c r="I55" s="57">
        <f>BAU_Scenario!R55</f>
        <v>2.1196753477017438E-3</v>
      </c>
      <c r="J55" s="11">
        <f>BAU_Scenario!S55</f>
        <v>1.8838313967053377E-3</v>
      </c>
      <c r="K55" s="12">
        <f>BAU_Scenario!T55</f>
        <v>1.8113763429859016E-3</v>
      </c>
      <c r="L55" s="13">
        <f t="shared" ref="L55:Y55" si="40">K55+($Z55-$K55)/($Z$37-$K$37)</f>
        <v>1.2357284586786843E-2</v>
      </c>
      <c r="M55" s="13">
        <f t="shared" si="40"/>
        <v>2.2903192830587782E-2</v>
      </c>
      <c r="N55" s="13">
        <f t="shared" si="40"/>
        <v>3.3449101074388726E-2</v>
      </c>
      <c r="O55" s="14">
        <f t="shared" si="40"/>
        <v>4.3995009318189671E-2</v>
      </c>
      <c r="P55" s="60">
        <f t="shared" si="40"/>
        <v>5.4540917561990615E-2</v>
      </c>
      <c r="Q55" s="61">
        <f t="shared" si="40"/>
        <v>6.5086825805791559E-2</v>
      </c>
      <c r="R55" s="62">
        <f t="shared" si="40"/>
        <v>7.5632734049592504E-2</v>
      </c>
      <c r="S55" s="62">
        <f t="shared" si="40"/>
        <v>8.6178642293393448E-2</v>
      </c>
      <c r="T55" s="62">
        <f t="shared" si="40"/>
        <v>9.6724550537194393E-2</v>
      </c>
      <c r="U55" s="62">
        <f t="shared" si="40"/>
        <v>0.10727045878099534</v>
      </c>
      <c r="V55" s="62">
        <f t="shared" si="40"/>
        <v>0.11781636702479628</v>
      </c>
      <c r="W55" s="62">
        <f t="shared" si="40"/>
        <v>0.12836227526859723</v>
      </c>
      <c r="X55" s="62">
        <f t="shared" si="40"/>
        <v>0.13890818351239817</v>
      </c>
      <c r="Y55" s="62">
        <f t="shared" si="40"/>
        <v>0.14945409175619911</v>
      </c>
      <c r="Z55" s="60">
        <f t="shared" si="27"/>
        <v>0.16</v>
      </c>
      <c r="AA55" s="62">
        <f t="shared" ref="AA55:AI55" si="41">Z55+($AJ55-$Z55)/($AJ$37-$Z$37)</f>
        <v>0.16</v>
      </c>
      <c r="AB55" s="62">
        <f t="shared" si="41"/>
        <v>0.16</v>
      </c>
      <c r="AC55" s="62">
        <f t="shared" si="41"/>
        <v>0.16</v>
      </c>
      <c r="AD55" s="62">
        <f t="shared" si="41"/>
        <v>0.16</v>
      </c>
      <c r="AE55" s="62">
        <f t="shared" si="41"/>
        <v>0.16</v>
      </c>
      <c r="AF55" s="62">
        <f t="shared" si="41"/>
        <v>0.16</v>
      </c>
      <c r="AG55" s="62">
        <f t="shared" si="41"/>
        <v>0.16</v>
      </c>
      <c r="AH55" s="62">
        <f t="shared" si="41"/>
        <v>0.16</v>
      </c>
      <c r="AI55" s="63">
        <f t="shared" si="41"/>
        <v>0.16</v>
      </c>
      <c r="AJ55" s="72">
        <f t="shared" si="39"/>
        <v>0.16</v>
      </c>
      <c r="AK55" s="78"/>
      <c r="AL55" s="78">
        <v>0.16</v>
      </c>
      <c r="AM55" s="24">
        <f t="shared" si="32"/>
        <v>0.16</v>
      </c>
    </row>
    <row r="56" spans="1:39">
      <c r="A56" s="4" t="s">
        <v>18</v>
      </c>
      <c r="B56" s="4" t="s">
        <v>14</v>
      </c>
      <c r="C56" s="4" t="s">
        <v>52</v>
      </c>
      <c r="D56" s="10" t="s">
        <v>35</v>
      </c>
      <c r="E56" s="57">
        <f>BAU_Scenario!N56</f>
        <v>0</v>
      </c>
      <c r="F56" s="11">
        <f>BAU_Scenario!O56</f>
        <v>0</v>
      </c>
      <c r="G56" s="11">
        <f>BAU_Scenario!P56</f>
        <v>0</v>
      </c>
      <c r="H56" s="57">
        <f>BAU_Scenario!Q56</f>
        <v>0</v>
      </c>
      <c r="I56" s="57">
        <f>BAU_Scenario!R56</f>
        <v>0</v>
      </c>
      <c r="J56" s="11">
        <f>BAU_Scenario!S56</f>
        <v>0</v>
      </c>
      <c r="K56" s="12">
        <f>BAU_Scenario!T56</f>
        <v>0</v>
      </c>
      <c r="L56" s="13">
        <f t="shared" ref="L56:Y56" si="42">K56+($Z56-$K56)/($Z$37-$K$37)</f>
        <v>9.1499801283092853E-3</v>
      </c>
      <c r="M56" s="13">
        <f t="shared" si="42"/>
        <v>1.8299960256618571E-2</v>
      </c>
      <c r="N56" s="13">
        <f t="shared" si="42"/>
        <v>2.7449940384927856E-2</v>
      </c>
      <c r="O56" s="14">
        <f t="shared" si="42"/>
        <v>3.6599920513237141E-2</v>
      </c>
      <c r="P56" s="65">
        <f t="shared" si="42"/>
        <v>4.5749900641546423E-2</v>
      </c>
      <c r="Q56" s="61">
        <f t="shared" si="42"/>
        <v>5.4899880769855705E-2</v>
      </c>
      <c r="R56" s="62">
        <f t="shared" si="42"/>
        <v>6.4049860898164987E-2</v>
      </c>
      <c r="S56" s="62">
        <f t="shared" si="42"/>
        <v>7.3199841026474269E-2</v>
      </c>
      <c r="T56" s="62">
        <f t="shared" si="42"/>
        <v>8.2349821154783551E-2</v>
      </c>
      <c r="U56" s="62">
        <f t="shared" si="42"/>
        <v>9.1499801283092833E-2</v>
      </c>
      <c r="V56" s="62">
        <f t="shared" si="42"/>
        <v>0.10064978141140211</v>
      </c>
      <c r="W56" s="62">
        <f t="shared" si="42"/>
        <v>0.1097997615397114</v>
      </c>
      <c r="X56" s="62">
        <f t="shared" si="42"/>
        <v>0.11894974166802068</v>
      </c>
      <c r="Y56" s="62">
        <f t="shared" si="42"/>
        <v>0.12809972179632997</v>
      </c>
      <c r="Z56" s="65">
        <f t="shared" si="27"/>
        <v>0.13724970192463928</v>
      </c>
      <c r="AA56" s="62">
        <f t="shared" ref="AA56:AI56" si="43">Z56+($AJ56-$Z56)/($AJ$37-$Z$37)</f>
        <v>0.13724970192463928</v>
      </c>
      <c r="AB56" s="62">
        <f t="shared" si="43"/>
        <v>0.13724970192463928</v>
      </c>
      <c r="AC56" s="62">
        <f t="shared" si="43"/>
        <v>0.13724970192463928</v>
      </c>
      <c r="AD56" s="62">
        <f t="shared" si="43"/>
        <v>0.13724970192463928</v>
      </c>
      <c r="AE56" s="62">
        <f t="shared" si="43"/>
        <v>0.13724970192463928</v>
      </c>
      <c r="AF56" s="62">
        <f t="shared" si="43"/>
        <v>0.13724970192463928</v>
      </c>
      <c r="AG56" s="62">
        <f t="shared" si="43"/>
        <v>0.13724970192463928</v>
      </c>
      <c r="AH56" s="62">
        <f t="shared" si="43"/>
        <v>0.13724970192463928</v>
      </c>
      <c r="AI56" s="63">
        <f t="shared" si="43"/>
        <v>0.13724970192463928</v>
      </c>
      <c r="AJ56" s="74">
        <f t="shared" si="39"/>
        <v>0.13724970192463928</v>
      </c>
      <c r="AK56" s="24"/>
      <c r="AL56" s="24">
        <f>400000/(1000*Population!E45)</f>
        <v>0.13724970192463928</v>
      </c>
      <c r="AM56" s="24">
        <f t="shared" si="32"/>
        <v>0.13724970192463928</v>
      </c>
    </row>
    <row r="57" spans="1:39">
      <c r="A57" s="4" t="s">
        <v>18</v>
      </c>
      <c r="B57" s="4" t="s">
        <v>15</v>
      </c>
      <c r="C57" s="4" t="s">
        <v>52</v>
      </c>
      <c r="D57" s="10" t="s">
        <v>35</v>
      </c>
      <c r="E57" s="57">
        <f>BAU_Scenario!N57</f>
        <v>0</v>
      </c>
      <c r="F57" s="11">
        <f>BAU_Scenario!O57</f>
        <v>0</v>
      </c>
      <c r="G57" s="11">
        <f>BAU_Scenario!P57</f>
        <v>0</v>
      </c>
      <c r="H57" s="57">
        <f>BAU_Scenario!Q57</f>
        <v>0</v>
      </c>
      <c r="I57" s="57">
        <f>BAU_Scenario!R57</f>
        <v>0</v>
      </c>
      <c r="J57" s="11">
        <f>BAU_Scenario!S57</f>
        <v>0</v>
      </c>
      <c r="K57" s="12">
        <f>BAU_Scenario!T57</f>
        <v>0</v>
      </c>
      <c r="L57" s="13">
        <f t="shared" ref="L57:Y57" si="44">K57+($Z57-$K57)/($Z$37-$K$37)</f>
        <v>1.3333333333333333E-3</v>
      </c>
      <c r="M57" s="13">
        <f t="shared" si="44"/>
        <v>2.6666666666666666E-3</v>
      </c>
      <c r="N57" s="13">
        <f t="shared" si="44"/>
        <v>4.0000000000000001E-3</v>
      </c>
      <c r="O57" s="14">
        <f t="shared" si="44"/>
        <v>5.3333333333333332E-3</v>
      </c>
      <c r="P57" s="65">
        <f t="shared" si="44"/>
        <v>6.6666666666666662E-3</v>
      </c>
      <c r="Q57" s="61">
        <f t="shared" si="44"/>
        <v>8.0000000000000002E-3</v>
      </c>
      <c r="R57" s="62">
        <f t="shared" si="44"/>
        <v>9.3333333333333341E-3</v>
      </c>
      <c r="S57" s="62">
        <f t="shared" si="44"/>
        <v>1.0666666666666668E-2</v>
      </c>
      <c r="T57" s="62">
        <f t="shared" si="44"/>
        <v>1.2000000000000002E-2</v>
      </c>
      <c r="U57" s="62">
        <f t="shared" si="44"/>
        <v>1.3333333333333336E-2</v>
      </c>
      <c r="V57" s="62">
        <f t="shared" si="44"/>
        <v>1.466666666666667E-2</v>
      </c>
      <c r="W57" s="62">
        <f t="shared" si="44"/>
        <v>1.6000000000000004E-2</v>
      </c>
      <c r="X57" s="62">
        <f t="shared" si="44"/>
        <v>1.7333333333333336E-2</v>
      </c>
      <c r="Y57" s="62">
        <f t="shared" si="44"/>
        <v>1.8666666666666668E-2</v>
      </c>
      <c r="Z57" s="65">
        <f t="shared" si="27"/>
        <v>0.02</v>
      </c>
      <c r="AA57" s="62">
        <f t="shared" ref="AA57:AI57" si="45">Z57+($AJ57-$Z57)/($AJ$37-$Z$37)</f>
        <v>0.02</v>
      </c>
      <c r="AB57" s="62">
        <f t="shared" si="45"/>
        <v>0.02</v>
      </c>
      <c r="AC57" s="62">
        <f t="shared" si="45"/>
        <v>0.02</v>
      </c>
      <c r="AD57" s="62">
        <f t="shared" si="45"/>
        <v>0.02</v>
      </c>
      <c r="AE57" s="62">
        <f t="shared" si="45"/>
        <v>0.02</v>
      </c>
      <c r="AF57" s="62">
        <f t="shared" si="45"/>
        <v>0.02</v>
      </c>
      <c r="AG57" s="62">
        <f t="shared" si="45"/>
        <v>0.02</v>
      </c>
      <c r="AH57" s="62">
        <f t="shared" si="45"/>
        <v>0.02</v>
      </c>
      <c r="AI57" s="63">
        <f t="shared" si="45"/>
        <v>0.02</v>
      </c>
      <c r="AJ57" s="74">
        <f t="shared" si="39"/>
        <v>0.02</v>
      </c>
      <c r="AK57" s="24"/>
      <c r="AL57" s="24">
        <v>0.02</v>
      </c>
      <c r="AM57" s="24">
        <f t="shared" si="32"/>
        <v>0.02</v>
      </c>
    </row>
    <row r="58" spans="1:39">
      <c r="A58" s="40" t="s">
        <v>18</v>
      </c>
      <c r="B58" s="40" t="s">
        <v>16</v>
      </c>
      <c r="C58" s="40" t="s">
        <v>52</v>
      </c>
      <c r="D58" s="41" t="s">
        <v>35</v>
      </c>
      <c r="E58" s="57">
        <f>BAU_Scenario!N58</f>
        <v>0</v>
      </c>
      <c r="F58" s="11">
        <f>BAU_Scenario!O58</f>
        <v>0</v>
      </c>
      <c r="G58" s="11">
        <f>BAU_Scenario!P58</f>
        <v>0</v>
      </c>
      <c r="H58" s="57">
        <f>BAU_Scenario!Q58</f>
        <v>0</v>
      </c>
      <c r="I58" s="57">
        <f>BAU_Scenario!R58</f>
        <v>0</v>
      </c>
      <c r="J58" s="11">
        <f>BAU_Scenario!S58</f>
        <v>0</v>
      </c>
      <c r="K58" s="12">
        <f>BAU_Scenario!T58</f>
        <v>0</v>
      </c>
      <c r="L58" s="13">
        <f t="shared" ref="L58:Y58" si="46">K58+($Z58-$K58)/($Z$37-$K$37)</f>
        <v>2.2874950320773213E-3</v>
      </c>
      <c r="M58" s="13">
        <f t="shared" si="46"/>
        <v>4.5749900641546427E-3</v>
      </c>
      <c r="N58" s="13">
        <f t="shared" si="46"/>
        <v>6.862485096231964E-3</v>
      </c>
      <c r="O58" s="14">
        <f t="shared" si="46"/>
        <v>9.1499801283092853E-3</v>
      </c>
      <c r="P58" s="65">
        <f t="shared" si="46"/>
        <v>1.1437475160386606E-2</v>
      </c>
      <c r="Q58" s="61">
        <f t="shared" si="46"/>
        <v>1.3724970192463926E-2</v>
      </c>
      <c r="R58" s="62">
        <f t="shared" si="46"/>
        <v>1.6012465224541247E-2</v>
      </c>
      <c r="S58" s="62">
        <f t="shared" si="46"/>
        <v>1.8299960256618567E-2</v>
      </c>
      <c r="T58" s="62">
        <f t="shared" si="46"/>
        <v>2.0587455288695888E-2</v>
      </c>
      <c r="U58" s="62">
        <f t="shared" si="46"/>
        <v>2.2874950320773208E-2</v>
      </c>
      <c r="V58" s="62">
        <f t="shared" si="46"/>
        <v>2.5162445352850529E-2</v>
      </c>
      <c r="W58" s="62">
        <f t="shared" si="46"/>
        <v>2.7449940384927849E-2</v>
      </c>
      <c r="X58" s="62">
        <f t="shared" si="46"/>
        <v>2.973743541700517E-2</v>
      </c>
      <c r="Y58" s="62">
        <f t="shared" si="46"/>
        <v>3.2024930449082493E-2</v>
      </c>
      <c r="Z58" s="65">
        <f t="shared" si="27"/>
        <v>3.4312425481159821E-2</v>
      </c>
      <c r="AA58" s="62">
        <f t="shared" ref="AA58:AI58" si="47">Z58+($AJ58-$Z58)/($AJ$37-$Z$37)</f>
        <v>3.4312425481159821E-2</v>
      </c>
      <c r="AB58" s="62">
        <f t="shared" si="47"/>
        <v>3.4312425481159821E-2</v>
      </c>
      <c r="AC58" s="62">
        <f t="shared" si="47"/>
        <v>3.4312425481159821E-2</v>
      </c>
      <c r="AD58" s="62">
        <f t="shared" si="47"/>
        <v>3.4312425481159821E-2</v>
      </c>
      <c r="AE58" s="62">
        <f t="shared" si="47"/>
        <v>3.4312425481159821E-2</v>
      </c>
      <c r="AF58" s="62">
        <f t="shared" si="47"/>
        <v>3.4312425481159821E-2</v>
      </c>
      <c r="AG58" s="62">
        <f t="shared" si="47"/>
        <v>3.4312425481159821E-2</v>
      </c>
      <c r="AH58" s="62">
        <f t="shared" si="47"/>
        <v>3.4312425481159821E-2</v>
      </c>
      <c r="AI58" s="63">
        <f t="shared" si="47"/>
        <v>3.4312425481159821E-2</v>
      </c>
      <c r="AJ58" s="74">
        <f t="shared" si="39"/>
        <v>3.4312425481159821E-2</v>
      </c>
      <c r="AK58" s="80"/>
      <c r="AL58" s="80">
        <f>100000/(1000*Population!E45)</f>
        <v>3.4312425481159821E-2</v>
      </c>
      <c r="AM58" s="24">
        <f t="shared" si="32"/>
        <v>3.4312425481159821E-2</v>
      </c>
    </row>
    <row r="59" spans="1:39" ht="17" thickBot="1">
      <c r="A59" s="32" t="s">
        <v>18</v>
      </c>
      <c r="B59" s="32" t="s">
        <v>17</v>
      </c>
      <c r="C59" s="32" t="s">
        <v>52</v>
      </c>
      <c r="D59" s="36" t="s">
        <v>35</v>
      </c>
      <c r="E59" s="58">
        <f>BAU_Scenario!N59</f>
        <v>7.9604770480354858E-3</v>
      </c>
      <c r="F59" s="17">
        <f>BAU_Scenario!O59</f>
        <v>7.7198031845227E-3</v>
      </c>
      <c r="G59" s="17">
        <f>BAU_Scenario!P59</f>
        <v>7.4791293210098586E-3</v>
      </c>
      <c r="H59" s="58">
        <f>BAU_Scenario!Q59</f>
        <v>7.2384554574970172E-3</v>
      </c>
      <c r="I59" s="58">
        <f>BAU_Scenario!R59</f>
        <v>6.9977815939841759E-3</v>
      </c>
      <c r="J59" s="17">
        <f>BAU_Scenario!S59</f>
        <v>6.7571077304713345E-3</v>
      </c>
      <c r="K59" s="37">
        <f>BAU_Scenario!T59</f>
        <v>6.4972189716070525E-3</v>
      </c>
      <c r="L59" s="38">
        <f t="shared" ref="L59:Y59" si="48">K59+($Z59-$K59)/($Z$37-$K$37)</f>
        <v>6.0640710401665826E-3</v>
      </c>
      <c r="M59" s="38">
        <f t="shared" si="48"/>
        <v>5.6309231087261127E-3</v>
      </c>
      <c r="N59" s="38">
        <f t="shared" si="48"/>
        <v>5.1977751772856427E-3</v>
      </c>
      <c r="O59" s="39">
        <f t="shared" si="48"/>
        <v>4.7646272458451728E-3</v>
      </c>
      <c r="P59" s="66">
        <f t="shared" si="48"/>
        <v>4.3314793144047029E-3</v>
      </c>
      <c r="Q59" s="67">
        <f t="shared" si="48"/>
        <v>3.8983313829642329E-3</v>
      </c>
      <c r="R59" s="68">
        <f t="shared" si="48"/>
        <v>3.465183451523763E-3</v>
      </c>
      <c r="S59" s="68">
        <f t="shared" si="48"/>
        <v>3.032035520083293E-3</v>
      </c>
      <c r="T59" s="68">
        <f t="shared" si="48"/>
        <v>2.5988875886428231E-3</v>
      </c>
      <c r="U59" s="68">
        <f t="shared" si="48"/>
        <v>2.1657396572023532E-3</v>
      </c>
      <c r="V59" s="68">
        <f t="shared" si="48"/>
        <v>1.732591725761883E-3</v>
      </c>
      <c r="W59" s="68">
        <f t="shared" si="48"/>
        <v>1.2994437943214129E-3</v>
      </c>
      <c r="X59" s="68">
        <f t="shared" si="48"/>
        <v>8.662958628809427E-4</v>
      </c>
      <c r="Y59" s="68">
        <f t="shared" si="48"/>
        <v>4.3314793144047254E-4</v>
      </c>
      <c r="Z59" s="66">
        <f t="shared" si="27"/>
        <v>0</v>
      </c>
      <c r="AA59" s="68">
        <f t="shared" ref="AA59:AI59" si="49">Z59+($AJ59-$Z59)/($AJ$37-$Z$37)</f>
        <v>0</v>
      </c>
      <c r="AB59" s="68">
        <f t="shared" si="49"/>
        <v>0</v>
      </c>
      <c r="AC59" s="68">
        <f t="shared" si="49"/>
        <v>0</v>
      </c>
      <c r="AD59" s="68">
        <f t="shared" si="49"/>
        <v>0</v>
      </c>
      <c r="AE59" s="68">
        <f t="shared" si="49"/>
        <v>0</v>
      </c>
      <c r="AF59" s="68">
        <f t="shared" si="49"/>
        <v>0</v>
      </c>
      <c r="AG59" s="68">
        <f t="shared" si="49"/>
        <v>0</v>
      </c>
      <c r="AH59" s="68">
        <f t="shared" si="49"/>
        <v>0</v>
      </c>
      <c r="AI59" s="69">
        <f t="shared" si="49"/>
        <v>0</v>
      </c>
      <c r="AJ59" s="75">
        <f t="shared" si="39"/>
        <v>0</v>
      </c>
      <c r="AK59" s="79"/>
      <c r="AL59" s="79"/>
      <c r="AM59" s="84">
        <f t="shared" si="32"/>
        <v>0</v>
      </c>
    </row>
    <row r="60" spans="1:39">
      <c r="A60" s="29" t="s">
        <v>19</v>
      </c>
      <c r="B60" s="29" t="s">
        <v>36</v>
      </c>
      <c r="C60" s="29" t="s">
        <v>52</v>
      </c>
      <c r="D60" s="35" t="s">
        <v>35</v>
      </c>
      <c r="E60" s="57">
        <f>BAU_Scenario!N60</f>
        <v>0.22865042491388721</v>
      </c>
      <c r="F60" s="11">
        <f>BAU_Scenario!O60</f>
        <v>0.21927932461703747</v>
      </c>
      <c r="G60" s="11">
        <f>BAU_Scenario!P60</f>
        <v>0.20990822432018774</v>
      </c>
      <c r="H60" s="57">
        <f>BAU_Scenario!Q60</f>
        <v>0.20053712402333801</v>
      </c>
      <c r="I60" s="57">
        <f>BAU_Scenario!R60</f>
        <v>0.19116602372648828</v>
      </c>
      <c r="J60" s="11">
        <f>BAU_Scenario!S60</f>
        <v>0.18179492342963854</v>
      </c>
      <c r="K60" s="12">
        <f>BAU_Scenario!T60</f>
        <v>0.17480281099003706</v>
      </c>
      <c r="L60" s="13">
        <f t="shared" ref="L60:Y60" si="50">K60+($Z60-$K60)/($Z$37-$K$37)</f>
        <v>0.16314929025736791</v>
      </c>
      <c r="M60" s="13">
        <f t="shared" si="50"/>
        <v>0.15149576952469876</v>
      </c>
      <c r="N60" s="13">
        <f t="shared" si="50"/>
        <v>0.13984224879202961</v>
      </c>
      <c r="O60" s="14">
        <f t="shared" si="50"/>
        <v>0.12818872805936046</v>
      </c>
      <c r="P60" s="60">
        <f t="shared" si="50"/>
        <v>0.11653520732669133</v>
      </c>
      <c r="Q60" s="61">
        <f t="shared" si="50"/>
        <v>0.10488168659402219</v>
      </c>
      <c r="R60" s="62">
        <f t="shared" si="50"/>
        <v>9.322816586135306E-2</v>
      </c>
      <c r="S60" s="62">
        <f t="shared" si="50"/>
        <v>8.1574645128683926E-2</v>
      </c>
      <c r="T60" s="62">
        <f t="shared" si="50"/>
        <v>6.9921124396014792E-2</v>
      </c>
      <c r="U60" s="62">
        <f t="shared" si="50"/>
        <v>5.8267603663345657E-2</v>
      </c>
      <c r="V60" s="62">
        <f t="shared" si="50"/>
        <v>4.6614082930676523E-2</v>
      </c>
      <c r="W60" s="62">
        <f t="shared" si="50"/>
        <v>3.4960562198007389E-2</v>
      </c>
      <c r="X60" s="62">
        <f t="shared" si="50"/>
        <v>2.3307041465338251E-2</v>
      </c>
      <c r="Y60" s="62">
        <f t="shared" si="50"/>
        <v>1.1653520732669113E-2</v>
      </c>
      <c r="Z60" s="60">
        <f t="shared" si="27"/>
        <v>0</v>
      </c>
      <c r="AA60" s="62">
        <f t="shared" ref="AA60:AI60" si="51">Z60+($AJ60-$Z60)/($AJ$37-$Z$37)</f>
        <v>0</v>
      </c>
      <c r="AB60" s="62">
        <f t="shared" si="51"/>
        <v>0</v>
      </c>
      <c r="AC60" s="62">
        <f t="shared" si="51"/>
        <v>0</v>
      </c>
      <c r="AD60" s="62">
        <f t="shared" si="51"/>
        <v>0</v>
      </c>
      <c r="AE60" s="62">
        <f t="shared" si="51"/>
        <v>0</v>
      </c>
      <c r="AF60" s="62">
        <f t="shared" si="51"/>
        <v>0</v>
      </c>
      <c r="AG60" s="62">
        <f t="shared" si="51"/>
        <v>0</v>
      </c>
      <c r="AH60" s="62">
        <f t="shared" si="51"/>
        <v>0</v>
      </c>
      <c r="AI60" s="63">
        <f t="shared" si="51"/>
        <v>0</v>
      </c>
      <c r="AJ60" s="71">
        <f>AM60</f>
        <v>0</v>
      </c>
      <c r="AK60" s="76"/>
      <c r="AL60" s="76">
        <v>0</v>
      </c>
      <c r="AM60" s="76">
        <f t="shared" si="32"/>
        <v>0</v>
      </c>
    </row>
    <row r="61" spans="1:39">
      <c r="A61" s="4" t="s">
        <v>19</v>
      </c>
      <c r="B61" s="4" t="s">
        <v>8</v>
      </c>
      <c r="C61" s="4" t="s">
        <v>52</v>
      </c>
      <c r="D61" s="10" t="s">
        <v>35</v>
      </c>
      <c r="E61" s="57">
        <f>BAU_Scenario!N61</f>
        <v>0.68452656558811142</v>
      </c>
      <c r="F61" s="11">
        <f>BAU_Scenario!O61</f>
        <v>0.69776780387200787</v>
      </c>
      <c r="G61" s="11">
        <f>BAU_Scenario!P61</f>
        <v>0.71100904215590432</v>
      </c>
      <c r="H61" s="57">
        <f>BAU_Scenario!Q61</f>
        <v>0.72425028043979722</v>
      </c>
      <c r="I61" s="57">
        <f>BAU_Scenario!R61</f>
        <v>0.73749151872369367</v>
      </c>
      <c r="J61" s="11">
        <f>BAU_Scenario!S61</f>
        <v>0.75073275700759012</v>
      </c>
      <c r="K61" s="12">
        <f>BAU_Scenario!T61</f>
        <v>0.75716611250729815</v>
      </c>
      <c r="L61" s="13">
        <f t="shared" ref="L61:Y61" si="52">K61+($Z61-$K61)/($Z$37-$K$37)</f>
        <v>0.70668837167347831</v>
      </c>
      <c r="M61" s="13">
        <f t="shared" si="52"/>
        <v>0.65621063083965847</v>
      </c>
      <c r="N61" s="13">
        <f t="shared" si="52"/>
        <v>0.60573289000583863</v>
      </c>
      <c r="O61" s="14">
        <f t="shared" si="52"/>
        <v>0.55525514917201879</v>
      </c>
      <c r="P61" s="60">
        <f t="shared" si="52"/>
        <v>0.50477740833819895</v>
      </c>
      <c r="Q61" s="61">
        <f t="shared" si="52"/>
        <v>0.45429966750437906</v>
      </c>
      <c r="R61" s="62">
        <f t="shared" si="52"/>
        <v>0.40382192667055916</v>
      </c>
      <c r="S61" s="62">
        <f t="shared" si="52"/>
        <v>0.35334418583673927</v>
      </c>
      <c r="T61" s="62">
        <f t="shared" si="52"/>
        <v>0.30286644500291937</v>
      </c>
      <c r="U61" s="62">
        <f t="shared" si="52"/>
        <v>0.25238870416909948</v>
      </c>
      <c r="V61" s="62">
        <f t="shared" si="52"/>
        <v>0.20191096333527961</v>
      </c>
      <c r="W61" s="62">
        <f t="shared" si="52"/>
        <v>0.15143322250145974</v>
      </c>
      <c r="X61" s="62">
        <f t="shared" si="52"/>
        <v>0.10095548166763987</v>
      </c>
      <c r="Y61" s="62">
        <f t="shared" si="52"/>
        <v>5.0477740833819999E-2</v>
      </c>
      <c r="Z61" s="60">
        <f>MAX(0,1-SUM(Z60,Z62:Z70))</f>
        <v>0</v>
      </c>
      <c r="AA61" s="62">
        <f t="shared" ref="AA61:AI61" si="53">Z61+($AJ61-$Z61)/($AJ$37-$Z$37)</f>
        <v>0</v>
      </c>
      <c r="AB61" s="62">
        <f t="shared" si="53"/>
        <v>0</v>
      </c>
      <c r="AC61" s="62">
        <f t="shared" si="53"/>
        <v>0</v>
      </c>
      <c r="AD61" s="62">
        <f t="shared" si="53"/>
        <v>0</v>
      </c>
      <c r="AE61" s="62">
        <f t="shared" si="53"/>
        <v>0</v>
      </c>
      <c r="AF61" s="62">
        <f t="shared" si="53"/>
        <v>0</v>
      </c>
      <c r="AG61" s="62">
        <f t="shared" si="53"/>
        <v>0</v>
      </c>
      <c r="AH61" s="62">
        <f t="shared" si="53"/>
        <v>0</v>
      </c>
      <c r="AI61" s="63">
        <f t="shared" si="53"/>
        <v>0</v>
      </c>
      <c r="AJ61" s="60">
        <f>MAX(0,1-SUM(AJ60,AJ62:AJ70))</f>
        <v>0</v>
      </c>
      <c r="AK61" s="82"/>
      <c r="AL61" s="82"/>
      <c r="AM61" s="82"/>
    </row>
    <row r="62" spans="1:39">
      <c r="A62" s="4" t="s">
        <v>19</v>
      </c>
      <c r="B62" s="4" t="s">
        <v>37</v>
      </c>
      <c r="C62" s="4" t="s">
        <v>52</v>
      </c>
      <c r="D62" s="10" t="s">
        <v>35</v>
      </c>
      <c r="E62" s="57">
        <f>BAU_Scenario!N62</f>
        <v>9.5031055900625105E-3</v>
      </c>
      <c r="F62" s="11">
        <f>BAU_Scenario!O62</f>
        <v>1.1242236024845198E-2</v>
      </c>
      <c r="G62" s="11">
        <f>BAU_Scenario!P62</f>
        <v>1.2981366459627441E-2</v>
      </c>
      <c r="H62" s="57">
        <f>BAU_Scenario!Q62</f>
        <v>1.4720496894410129E-2</v>
      </c>
      <c r="I62" s="57">
        <f>BAU_Scenario!R62</f>
        <v>1.6459627329192816E-2</v>
      </c>
      <c r="J62" s="11">
        <f>BAU_Scenario!S62</f>
        <v>1.8198757763975504E-2</v>
      </c>
      <c r="K62" s="12">
        <f>BAU_Scenario!T62</f>
        <v>1.9806497849976446E-2</v>
      </c>
      <c r="L62" s="13">
        <f t="shared" ref="L62:Y62" si="54">K62+($Z62-$K62)/($Z$37-$K$37)</f>
        <v>1.8486064659978017E-2</v>
      </c>
      <c r="M62" s="13">
        <f t="shared" si="54"/>
        <v>1.7165631469979587E-2</v>
      </c>
      <c r="N62" s="13">
        <f t="shared" si="54"/>
        <v>1.5845198279981158E-2</v>
      </c>
      <c r="O62" s="14">
        <f t="shared" si="54"/>
        <v>1.4524765089982728E-2</v>
      </c>
      <c r="P62" s="64">
        <f t="shared" si="54"/>
        <v>1.3204331899984299E-2</v>
      </c>
      <c r="Q62" s="61">
        <f t="shared" si="54"/>
        <v>1.1883898709985869E-2</v>
      </c>
      <c r="R62" s="62">
        <f t="shared" si="54"/>
        <v>1.056346551998744E-2</v>
      </c>
      <c r="S62" s="62">
        <f t="shared" si="54"/>
        <v>9.2430323299890101E-3</v>
      </c>
      <c r="T62" s="62">
        <f t="shared" si="54"/>
        <v>7.9225991399905805E-3</v>
      </c>
      <c r="U62" s="62">
        <f t="shared" si="54"/>
        <v>6.602165949992151E-3</v>
      </c>
      <c r="V62" s="62">
        <f t="shared" si="54"/>
        <v>5.2817327599937215E-3</v>
      </c>
      <c r="W62" s="62">
        <f t="shared" si="54"/>
        <v>3.961299569995292E-3</v>
      </c>
      <c r="X62" s="62">
        <f t="shared" si="54"/>
        <v>2.6408663799968625E-3</v>
      </c>
      <c r="Y62" s="62">
        <f t="shared" si="54"/>
        <v>1.3204331899984328E-3</v>
      </c>
      <c r="Z62" s="64">
        <f t="shared" ref="Z62:Z70" si="55">AL62</f>
        <v>0</v>
      </c>
      <c r="AA62" s="62">
        <f t="shared" ref="AA62:AI62" si="56">Z62+($AJ62-$Z62)/($AJ$37-$Z$37)</f>
        <v>0</v>
      </c>
      <c r="AB62" s="62">
        <f t="shared" si="56"/>
        <v>0</v>
      </c>
      <c r="AC62" s="62">
        <f t="shared" si="56"/>
        <v>0</v>
      </c>
      <c r="AD62" s="62">
        <f t="shared" si="56"/>
        <v>0</v>
      </c>
      <c r="AE62" s="62">
        <f t="shared" si="56"/>
        <v>0</v>
      </c>
      <c r="AF62" s="62">
        <f t="shared" si="56"/>
        <v>0</v>
      </c>
      <c r="AG62" s="62">
        <f t="shared" si="56"/>
        <v>0</v>
      </c>
      <c r="AH62" s="62">
        <f t="shared" si="56"/>
        <v>0</v>
      </c>
      <c r="AI62" s="63">
        <f t="shared" si="56"/>
        <v>0</v>
      </c>
      <c r="AJ62" s="73">
        <f t="shared" ref="AJ62:AJ70" si="57">AM62</f>
        <v>0</v>
      </c>
      <c r="AK62" s="78"/>
      <c r="AL62" s="78">
        <v>0</v>
      </c>
      <c r="AM62" s="78">
        <f t="shared" ref="AM62:AM70" si="58">AL62</f>
        <v>0</v>
      </c>
    </row>
    <row r="63" spans="1:39">
      <c r="A63" s="4" t="s">
        <v>19</v>
      </c>
      <c r="B63" s="4" t="s">
        <v>10</v>
      </c>
      <c r="C63" s="4" t="s">
        <v>52</v>
      </c>
      <c r="D63" s="10" t="s">
        <v>35</v>
      </c>
      <c r="E63" s="57">
        <f>BAU_Scenario!N63</f>
        <v>3.1677018633540222E-3</v>
      </c>
      <c r="F63" s="11">
        <f>BAU_Scenario!O63</f>
        <v>3.7474120082814366E-3</v>
      </c>
      <c r="G63" s="11">
        <f>BAU_Scenario!P63</f>
        <v>4.3271221532090731E-3</v>
      </c>
      <c r="H63" s="57">
        <f>BAU_Scenario!Q63</f>
        <v>4.9068322981364876E-3</v>
      </c>
      <c r="I63" s="57">
        <f>BAU_Scenario!R63</f>
        <v>5.4865424430641241E-3</v>
      </c>
      <c r="J63" s="11">
        <f>BAU_Scenario!S63</f>
        <v>6.0662525879917606E-3</v>
      </c>
      <c r="K63" s="12">
        <f>BAU_Scenario!T63</f>
        <v>6.6021659499920773E-3</v>
      </c>
      <c r="L63" s="13">
        <f t="shared" ref="L63:Y63" si="59">K63+($Z63-$K63)/($Z$37-$K$37)</f>
        <v>1.3495354886659271E-2</v>
      </c>
      <c r="M63" s="13">
        <f t="shared" si="59"/>
        <v>2.0388543823326465E-2</v>
      </c>
      <c r="N63" s="13">
        <f t="shared" si="59"/>
        <v>2.7281732759993661E-2</v>
      </c>
      <c r="O63" s="14">
        <f t="shared" si="59"/>
        <v>3.4174921696660858E-2</v>
      </c>
      <c r="P63" s="64">
        <f t="shared" si="59"/>
        <v>4.1068110633328055E-2</v>
      </c>
      <c r="Q63" s="61">
        <f t="shared" si="59"/>
        <v>4.7961299569995251E-2</v>
      </c>
      <c r="R63" s="62">
        <f t="shared" si="59"/>
        <v>5.4854488506662448E-2</v>
      </c>
      <c r="S63" s="62">
        <f t="shared" si="59"/>
        <v>6.1747677443329645E-2</v>
      </c>
      <c r="T63" s="62">
        <f t="shared" si="59"/>
        <v>6.8640866379996834E-2</v>
      </c>
      <c r="U63" s="62">
        <f t="shared" si="59"/>
        <v>7.5534055316664031E-2</v>
      </c>
      <c r="V63" s="62">
        <f t="shared" si="59"/>
        <v>8.2427244253331228E-2</v>
      </c>
      <c r="W63" s="62">
        <f t="shared" si="59"/>
        <v>8.9320433189998424E-2</v>
      </c>
      <c r="X63" s="62">
        <f t="shared" si="59"/>
        <v>9.6213622126665621E-2</v>
      </c>
      <c r="Y63" s="62">
        <f t="shared" si="59"/>
        <v>0.10310681106333282</v>
      </c>
      <c r="Z63" s="64">
        <f t="shared" si="55"/>
        <v>0.11</v>
      </c>
      <c r="AA63" s="62">
        <f t="shared" ref="AA63:AI63" si="60">Z63+($AJ63-$Z63)/($AJ$37-$Z$37)</f>
        <v>0.11</v>
      </c>
      <c r="AB63" s="62">
        <f t="shared" si="60"/>
        <v>0.11</v>
      </c>
      <c r="AC63" s="62">
        <f t="shared" si="60"/>
        <v>0.11</v>
      </c>
      <c r="AD63" s="62">
        <f t="shared" si="60"/>
        <v>0.11</v>
      </c>
      <c r="AE63" s="62">
        <f t="shared" si="60"/>
        <v>0.11</v>
      </c>
      <c r="AF63" s="62">
        <f t="shared" si="60"/>
        <v>0.11</v>
      </c>
      <c r="AG63" s="62">
        <f t="shared" si="60"/>
        <v>0.11</v>
      </c>
      <c r="AH63" s="62">
        <f t="shared" si="60"/>
        <v>0.11</v>
      </c>
      <c r="AI63" s="63">
        <f t="shared" si="60"/>
        <v>0.11</v>
      </c>
      <c r="AJ63" s="73">
        <f t="shared" si="57"/>
        <v>0.11</v>
      </c>
      <c r="AK63" s="78"/>
      <c r="AL63" s="78">
        <v>0.11</v>
      </c>
      <c r="AM63" s="78">
        <f t="shared" si="58"/>
        <v>0.11</v>
      </c>
    </row>
    <row r="64" spans="1:39">
      <c r="A64" s="4" t="s">
        <v>19</v>
      </c>
      <c r="B64" s="4" t="s">
        <v>11</v>
      </c>
      <c r="C64" s="4" t="s">
        <v>52</v>
      </c>
      <c r="D64" s="10" t="s">
        <v>35</v>
      </c>
      <c r="E64" s="57">
        <f>BAU_Scenario!N64</f>
        <v>3.654015413888545E-3</v>
      </c>
      <c r="F64" s="11">
        <f>BAU_Scenario!O64</f>
        <v>4.1214048104333267E-3</v>
      </c>
      <c r="G64" s="11">
        <f>BAU_Scenario!P64</f>
        <v>4.5887942069779974E-3</v>
      </c>
      <c r="H64" s="57">
        <f>BAU_Scenario!Q64</f>
        <v>5.0561836035227792E-3</v>
      </c>
      <c r="I64" s="57">
        <f>BAU_Scenario!R64</f>
        <v>5.5235730000675609E-3</v>
      </c>
      <c r="J64" s="11">
        <f>BAU_Scenario!S64</f>
        <v>5.9909623966122316E-3</v>
      </c>
      <c r="K64" s="12">
        <f>BAU_Scenario!T64</f>
        <v>5.7605407659732993E-3</v>
      </c>
      <c r="L64" s="13">
        <f t="shared" ref="L64:Y64" si="61">K64+($Z64-$K64)/($Z$37-$K$37)</f>
        <v>2.8709838048241745E-2</v>
      </c>
      <c r="M64" s="13">
        <f t="shared" si="61"/>
        <v>5.1659135330510191E-2</v>
      </c>
      <c r="N64" s="13">
        <f t="shared" si="61"/>
        <v>7.4608432612778636E-2</v>
      </c>
      <c r="O64" s="14">
        <f t="shared" si="61"/>
        <v>9.7557729895047074E-2</v>
      </c>
      <c r="P64" s="60">
        <f t="shared" si="61"/>
        <v>0.12050702717731551</v>
      </c>
      <c r="Q64" s="61">
        <f t="shared" si="61"/>
        <v>0.14345632445958395</v>
      </c>
      <c r="R64" s="62">
        <f t="shared" si="61"/>
        <v>0.16640562174185239</v>
      </c>
      <c r="S64" s="62">
        <f t="shared" si="61"/>
        <v>0.18935491902412083</v>
      </c>
      <c r="T64" s="62">
        <f t="shared" si="61"/>
        <v>0.21230421630638927</v>
      </c>
      <c r="U64" s="62">
        <f t="shared" si="61"/>
        <v>0.2352535135886577</v>
      </c>
      <c r="V64" s="62">
        <f t="shared" si="61"/>
        <v>0.25820281087092617</v>
      </c>
      <c r="W64" s="62">
        <f t="shared" si="61"/>
        <v>0.28115210815319464</v>
      </c>
      <c r="X64" s="62">
        <f t="shared" si="61"/>
        <v>0.3041014054354631</v>
      </c>
      <c r="Y64" s="62">
        <f t="shared" si="61"/>
        <v>0.32705070271773157</v>
      </c>
      <c r="Z64" s="60">
        <f t="shared" si="55"/>
        <v>0.35</v>
      </c>
      <c r="AA64" s="62">
        <f t="shared" ref="AA64:AI64" si="62">Z64+($AJ64-$Z64)/($AJ$37-$Z$37)</f>
        <v>0.35</v>
      </c>
      <c r="AB64" s="62">
        <f t="shared" si="62"/>
        <v>0.35</v>
      </c>
      <c r="AC64" s="62">
        <f t="shared" si="62"/>
        <v>0.35</v>
      </c>
      <c r="AD64" s="62">
        <f t="shared" si="62"/>
        <v>0.35</v>
      </c>
      <c r="AE64" s="62">
        <f t="shared" si="62"/>
        <v>0.35</v>
      </c>
      <c r="AF64" s="62">
        <f t="shared" si="62"/>
        <v>0.35</v>
      </c>
      <c r="AG64" s="62">
        <f t="shared" si="62"/>
        <v>0.35</v>
      </c>
      <c r="AH64" s="62">
        <f t="shared" si="62"/>
        <v>0.35</v>
      </c>
      <c r="AI64" s="63">
        <f t="shared" si="62"/>
        <v>0.35</v>
      </c>
      <c r="AJ64" s="72">
        <f t="shared" si="57"/>
        <v>0.35</v>
      </c>
      <c r="AK64" s="78"/>
      <c r="AL64" s="78">
        <v>0.35</v>
      </c>
      <c r="AM64" s="78">
        <f t="shared" si="58"/>
        <v>0.35</v>
      </c>
    </row>
    <row r="65" spans="1:39">
      <c r="A65" s="4" t="s">
        <v>19</v>
      </c>
      <c r="B65" s="4" t="s">
        <v>12</v>
      </c>
      <c r="C65" s="4" t="s">
        <v>52</v>
      </c>
      <c r="D65" s="10" t="s">
        <v>35</v>
      </c>
      <c r="E65" s="57">
        <f>BAU_Scenario!N65</f>
        <v>4.0579710144927894E-4</v>
      </c>
      <c r="F65" s="11">
        <f>BAU_Scenario!O65</f>
        <v>3.1884057971015567E-4</v>
      </c>
      <c r="G65" s="11">
        <f>BAU_Scenario!P65</f>
        <v>2.318840579710324E-4</v>
      </c>
      <c r="H65" s="57">
        <f>BAU_Scenario!Q65</f>
        <v>1.4492753623190913E-4</v>
      </c>
      <c r="I65" s="57">
        <f>BAU_Scenario!R65</f>
        <v>5.7971014492785855E-5</v>
      </c>
      <c r="J65" s="11">
        <f>BAU_Scenario!S65</f>
        <v>0</v>
      </c>
      <c r="K65" s="12">
        <f>BAU_Scenario!T65</f>
        <v>0</v>
      </c>
      <c r="L65" s="13">
        <f t="shared" ref="L65:Y65" si="63">K65+($Z65-$K65)/($Z$37-$K$37)</f>
        <v>0</v>
      </c>
      <c r="M65" s="13">
        <f t="shared" si="63"/>
        <v>0</v>
      </c>
      <c r="N65" s="13">
        <f t="shared" si="63"/>
        <v>0</v>
      </c>
      <c r="O65" s="14">
        <f t="shared" si="63"/>
        <v>0</v>
      </c>
      <c r="P65" s="60">
        <f t="shared" si="63"/>
        <v>0</v>
      </c>
      <c r="Q65" s="61">
        <f t="shared" si="63"/>
        <v>0</v>
      </c>
      <c r="R65" s="62">
        <f t="shared" si="63"/>
        <v>0</v>
      </c>
      <c r="S65" s="62">
        <f t="shared" si="63"/>
        <v>0</v>
      </c>
      <c r="T65" s="62">
        <f t="shared" si="63"/>
        <v>0</v>
      </c>
      <c r="U65" s="62">
        <f t="shared" si="63"/>
        <v>0</v>
      </c>
      <c r="V65" s="62">
        <f t="shared" si="63"/>
        <v>0</v>
      </c>
      <c r="W65" s="62">
        <f t="shared" si="63"/>
        <v>0</v>
      </c>
      <c r="X65" s="62">
        <f t="shared" si="63"/>
        <v>0</v>
      </c>
      <c r="Y65" s="62">
        <f t="shared" si="63"/>
        <v>0</v>
      </c>
      <c r="Z65" s="60">
        <f t="shared" si="55"/>
        <v>0</v>
      </c>
      <c r="AA65" s="62">
        <f t="shared" ref="AA65:AI65" si="64">Z65+($AJ65-$Z65)/($AJ$37-$Z$37)</f>
        <v>0</v>
      </c>
      <c r="AB65" s="62">
        <f t="shared" si="64"/>
        <v>0</v>
      </c>
      <c r="AC65" s="62">
        <f t="shared" si="64"/>
        <v>0</v>
      </c>
      <c r="AD65" s="62">
        <f t="shared" si="64"/>
        <v>0</v>
      </c>
      <c r="AE65" s="62">
        <f t="shared" si="64"/>
        <v>0</v>
      </c>
      <c r="AF65" s="62">
        <f t="shared" si="64"/>
        <v>0</v>
      </c>
      <c r="AG65" s="62">
        <f t="shared" si="64"/>
        <v>0</v>
      </c>
      <c r="AH65" s="62">
        <f t="shared" si="64"/>
        <v>0</v>
      </c>
      <c r="AI65" s="63">
        <f t="shared" si="64"/>
        <v>0</v>
      </c>
      <c r="AJ65" s="72">
        <f t="shared" si="57"/>
        <v>0</v>
      </c>
      <c r="AK65" s="77"/>
      <c r="AL65" s="77">
        <v>0</v>
      </c>
      <c r="AM65" s="78">
        <f t="shared" si="58"/>
        <v>0</v>
      </c>
    </row>
    <row r="66" spans="1:39">
      <c r="A66" s="4" t="s">
        <v>19</v>
      </c>
      <c r="B66" s="4" t="s">
        <v>13</v>
      </c>
      <c r="C66" s="4" t="s">
        <v>52</v>
      </c>
      <c r="D66" s="10" t="s">
        <v>35</v>
      </c>
      <c r="E66" s="57">
        <f>BAU_Scenario!N66</f>
        <v>8.1030122728944498E-2</v>
      </c>
      <c r="F66" s="11">
        <f>BAU_Scenario!O66</f>
        <v>7.7236915598794198E-2</v>
      </c>
      <c r="G66" s="11">
        <f>BAU_Scenario!P66</f>
        <v>7.344370846864301E-2</v>
      </c>
      <c r="H66" s="57">
        <f>BAU_Scenario!Q66</f>
        <v>6.965050133849271E-2</v>
      </c>
      <c r="I66" s="57">
        <f>BAU_Scenario!R66</f>
        <v>6.5857294208341521E-2</v>
      </c>
      <c r="J66" s="11">
        <f>BAU_Scenario!S66</f>
        <v>6.2064087078191221E-2</v>
      </c>
      <c r="K66" s="12">
        <f>BAU_Scenario!T66</f>
        <v>5.9677006805953101E-2</v>
      </c>
      <c r="L66" s="13">
        <f t="shared" ref="L66:Y66" si="65">K66+($Z66-$K66)/($Z$37-$K$37)</f>
        <v>6.9031873018889564E-2</v>
      </c>
      <c r="M66" s="13">
        <f t="shared" si="65"/>
        <v>7.8386739231826028E-2</v>
      </c>
      <c r="N66" s="13">
        <f t="shared" si="65"/>
        <v>8.7741605444762491E-2</v>
      </c>
      <c r="O66" s="14">
        <f t="shared" si="65"/>
        <v>9.7096471657698954E-2</v>
      </c>
      <c r="P66" s="60">
        <f t="shared" si="65"/>
        <v>0.10645133787063542</v>
      </c>
      <c r="Q66" s="61">
        <f t="shared" si="65"/>
        <v>0.11580620408357188</v>
      </c>
      <c r="R66" s="62">
        <f t="shared" si="65"/>
        <v>0.12516107029650833</v>
      </c>
      <c r="S66" s="62">
        <f t="shared" si="65"/>
        <v>0.13451593650944479</v>
      </c>
      <c r="T66" s="62">
        <f t="shared" si="65"/>
        <v>0.14387080272238126</v>
      </c>
      <c r="U66" s="62">
        <f t="shared" si="65"/>
        <v>0.15322566893531772</v>
      </c>
      <c r="V66" s="62">
        <f t="shared" si="65"/>
        <v>0.16258053514825418</v>
      </c>
      <c r="W66" s="62">
        <f t="shared" si="65"/>
        <v>0.17193540136119065</v>
      </c>
      <c r="X66" s="62">
        <f t="shared" si="65"/>
        <v>0.18129026757412711</v>
      </c>
      <c r="Y66" s="62">
        <f t="shared" si="65"/>
        <v>0.19064513378706358</v>
      </c>
      <c r="Z66" s="60">
        <f t="shared" si="55"/>
        <v>0.2</v>
      </c>
      <c r="AA66" s="62">
        <f t="shared" ref="AA66:AI66" si="66">Z66+($AJ66-$Z66)/($AJ$37-$Z$37)</f>
        <v>0.2</v>
      </c>
      <c r="AB66" s="62">
        <f t="shared" si="66"/>
        <v>0.2</v>
      </c>
      <c r="AC66" s="62">
        <f t="shared" si="66"/>
        <v>0.2</v>
      </c>
      <c r="AD66" s="62">
        <f t="shared" si="66"/>
        <v>0.2</v>
      </c>
      <c r="AE66" s="62">
        <f t="shared" si="66"/>
        <v>0.2</v>
      </c>
      <c r="AF66" s="62">
        <f t="shared" si="66"/>
        <v>0.2</v>
      </c>
      <c r="AG66" s="62">
        <f t="shared" si="66"/>
        <v>0.2</v>
      </c>
      <c r="AH66" s="62">
        <f t="shared" si="66"/>
        <v>0.2</v>
      </c>
      <c r="AI66" s="63">
        <f t="shared" si="66"/>
        <v>0.2</v>
      </c>
      <c r="AJ66" s="72">
        <f t="shared" si="57"/>
        <v>0.2</v>
      </c>
      <c r="AK66" s="78"/>
      <c r="AL66" s="78">
        <v>0.2</v>
      </c>
      <c r="AM66" s="78">
        <f t="shared" si="58"/>
        <v>0.2</v>
      </c>
    </row>
    <row r="67" spans="1:39">
      <c r="A67" s="4" t="s">
        <v>19</v>
      </c>
      <c r="B67" s="4" t="s">
        <v>14</v>
      </c>
      <c r="C67" s="4" t="s">
        <v>52</v>
      </c>
      <c r="D67" s="10" t="s">
        <v>35</v>
      </c>
      <c r="E67" s="57">
        <f>BAU_Scenario!N67</f>
        <v>0</v>
      </c>
      <c r="F67" s="11">
        <f>BAU_Scenario!O67</f>
        <v>0</v>
      </c>
      <c r="G67" s="11">
        <f>BAU_Scenario!P67</f>
        <v>0</v>
      </c>
      <c r="H67" s="57">
        <f>BAU_Scenario!Q67</f>
        <v>0</v>
      </c>
      <c r="I67" s="57">
        <f>BAU_Scenario!R67</f>
        <v>0</v>
      </c>
      <c r="J67" s="11">
        <f>BAU_Scenario!S67</f>
        <v>0</v>
      </c>
      <c r="K67" s="12">
        <f>BAU_Scenario!T67</f>
        <v>0</v>
      </c>
      <c r="L67" s="13">
        <f t="shared" ref="L67:Y67" si="67">K67+($Z67-$K67)/($Z$37-$K$37)</f>
        <v>2.4450248499764165E-2</v>
      </c>
      <c r="M67" s="13">
        <f t="shared" si="67"/>
        <v>4.890049699952833E-2</v>
      </c>
      <c r="N67" s="13">
        <f t="shared" si="67"/>
        <v>7.3350745499292491E-2</v>
      </c>
      <c r="O67" s="14">
        <f t="shared" si="67"/>
        <v>9.780099399905666E-2</v>
      </c>
      <c r="P67" s="65">
        <f t="shared" si="67"/>
        <v>0.12225124249882083</v>
      </c>
      <c r="Q67" s="61">
        <f t="shared" si="67"/>
        <v>0.14670149099858498</v>
      </c>
      <c r="R67" s="62">
        <f t="shared" si="67"/>
        <v>0.17115173949834914</v>
      </c>
      <c r="S67" s="62">
        <f t="shared" si="67"/>
        <v>0.19560198799811329</v>
      </c>
      <c r="T67" s="62">
        <f t="shared" si="67"/>
        <v>0.22005223649787745</v>
      </c>
      <c r="U67" s="62">
        <f t="shared" si="67"/>
        <v>0.2445024849976416</v>
      </c>
      <c r="V67" s="62">
        <f t="shared" si="67"/>
        <v>0.26895273349740578</v>
      </c>
      <c r="W67" s="62">
        <f t="shared" si="67"/>
        <v>0.29340298199716996</v>
      </c>
      <c r="X67" s="62">
        <f t="shared" si="67"/>
        <v>0.31785323049693415</v>
      </c>
      <c r="Y67" s="62">
        <f t="shared" si="67"/>
        <v>0.34230347899669833</v>
      </c>
      <c r="Z67" s="65">
        <f t="shared" si="55"/>
        <v>0.36675372749646246</v>
      </c>
      <c r="AA67" s="62">
        <f t="shared" ref="AA67:AI67" si="68">Z67+($AJ67-$Z67)/($AJ$37-$Z$37)</f>
        <v>0.36675372749646246</v>
      </c>
      <c r="AB67" s="62">
        <f t="shared" si="68"/>
        <v>0.36675372749646246</v>
      </c>
      <c r="AC67" s="62">
        <f t="shared" si="68"/>
        <v>0.36675372749646246</v>
      </c>
      <c r="AD67" s="62">
        <f t="shared" si="68"/>
        <v>0.36675372749646246</v>
      </c>
      <c r="AE67" s="62">
        <f t="shared" si="68"/>
        <v>0.36675372749646246</v>
      </c>
      <c r="AF67" s="62">
        <f t="shared" si="68"/>
        <v>0.36675372749646246</v>
      </c>
      <c r="AG67" s="62">
        <f t="shared" si="68"/>
        <v>0.36675372749646246</v>
      </c>
      <c r="AH67" s="62">
        <f t="shared" si="68"/>
        <v>0.36675372749646246</v>
      </c>
      <c r="AI67" s="63">
        <f t="shared" si="68"/>
        <v>0.36675372749646246</v>
      </c>
      <c r="AJ67" s="74">
        <f t="shared" si="57"/>
        <v>0.36675372749646246</v>
      </c>
      <c r="AK67" s="24"/>
      <c r="AL67" s="24">
        <f>1000000/(1000*Population!E13)</f>
        <v>0.36675372749646246</v>
      </c>
      <c r="AM67" s="24">
        <f t="shared" si="58"/>
        <v>0.36675372749646246</v>
      </c>
    </row>
    <row r="68" spans="1:39">
      <c r="A68" s="4" t="s">
        <v>19</v>
      </c>
      <c r="B68" s="4" t="s">
        <v>15</v>
      </c>
      <c r="C68" s="4" t="s">
        <v>52</v>
      </c>
      <c r="D68" s="10" t="s">
        <v>35</v>
      </c>
      <c r="E68" s="57">
        <f>BAU_Scenario!N68</f>
        <v>0</v>
      </c>
      <c r="F68" s="11">
        <f>BAU_Scenario!O68</f>
        <v>0</v>
      </c>
      <c r="G68" s="11">
        <f>BAU_Scenario!P68</f>
        <v>0</v>
      </c>
      <c r="H68" s="57">
        <f>BAU_Scenario!Q68</f>
        <v>0</v>
      </c>
      <c r="I68" s="57">
        <f>BAU_Scenario!R68</f>
        <v>0</v>
      </c>
      <c r="J68" s="11">
        <f>BAU_Scenario!S68</f>
        <v>0</v>
      </c>
      <c r="K68" s="12">
        <f>BAU_Scenario!T68</f>
        <v>0</v>
      </c>
      <c r="L68" s="13">
        <f t="shared" ref="L68:Y68" si="69">K68+($Z68-$K68)/($Z$37-$K$37)</f>
        <v>0.01</v>
      </c>
      <c r="M68" s="13">
        <f t="shared" si="69"/>
        <v>0.02</v>
      </c>
      <c r="N68" s="13">
        <f t="shared" si="69"/>
        <v>0.03</v>
      </c>
      <c r="O68" s="14">
        <f t="shared" si="69"/>
        <v>0.04</v>
      </c>
      <c r="P68" s="65">
        <f t="shared" si="69"/>
        <v>0.05</v>
      </c>
      <c r="Q68" s="61">
        <f t="shared" si="69"/>
        <v>6.0000000000000005E-2</v>
      </c>
      <c r="R68" s="62">
        <f t="shared" si="69"/>
        <v>7.0000000000000007E-2</v>
      </c>
      <c r="S68" s="62">
        <f t="shared" si="69"/>
        <v>0.08</v>
      </c>
      <c r="T68" s="62">
        <f t="shared" si="69"/>
        <v>0.09</v>
      </c>
      <c r="U68" s="62">
        <f t="shared" si="69"/>
        <v>9.9999999999999992E-2</v>
      </c>
      <c r="V68" s="62">
        <f t="shared" si="69"/>
        <v>0.10999999999999999</v>
      </c>
      <c r="W68" s="62">
        <f t="shared" si="69"/>
        <v>0.11999999999999998</v>
      </c>
      <c r="X68" s="62">
        <f t="shared" si="69"/>
        <v>0.12999999999999998</v>
      </c>
      <c r="Y68" s="62">
        <f t="shared" si="69"/>
        <v>0.13999999999999999</v>
      </c>
      <c r="Z68" s="65">
        <f t="shared" si="55"/>
        <v>0.15</v>
      </c>
      <c r="AA68" s="62">
        <f t="shared" ref="AA68:AI68" si="70">Z68+($AJ68-$Z68)/($AJ$37-$Z$37)</f>
        <v>0.15</v>
      </c>
      <c r="AB68" s="62">
        <f t="shared" si="70"/>
        <v>0.15</v>
      </c>
      <c r="AC68" s="62">
        <f t="shared" si="70"/>
        <v>0.15</v>
      </c>
      <c r="AD68" s="62">
        <f t="shared" si="70"/>
        <v>0.15</v>
      </c>
      <c r="AE68" s="62">
        <f t="shared" si="70"/>
        <v>0.15</v>
      </c>
      <c r="AF68" s="62">
        <f t="shared" si="70"/>
        <v>0.15</v>
      </c>
      <c r="AG68" s="62">
        <f t="shared" si="70"/>
        <v>0.15</v>
      </c>
      <c r="AH68" s="62">
        <f t="shared" si="70"/>
        <v>0.15</v>
      </c>
      <c r="AI68" s="63">
        <f t="shared" si="70"/>
        <v>0.15</v>
      </c>
      <c r="AJ68" s="74">
        <f t="shared" si="57"/>
        <v>0.15</v>
      </c>
      <c r="AK68" s="78"/>
      <c r="AL68" s="78">
        <v>0.15</v>
      </c>
      <c r="AM68" s="78">
        <f t="shared" si="58"/>
        <v>0.15</v>
      </c>
    </row>
    <row r="69" spans="1:39">
      <c r="A69" s="40" t="s">
        <v>19</v>
      </c>
      <c r="B69" s="40" t="s">
        <v>16</v>
      </c>
      <c r="C69" s="40" t="s">
        <v>52</v>
      </c>
      <c r="D69" s="41" t="s">
        <v>35</v>
      </c>
      <c r="E69" s="57">
        <f>BAU_Scenario!N69</f>
        <v>0</v>
      </c>
      <c r="F69" s="11">
        <f>BAU_Scenario!O69</f>
        <v>0</v>
      </c>
      <c r="G69" s="11">
        <f>BAU_Scenario!P69</f>
        <v>0</v>
      </c>
      <c r="H69" s="57">
        <f>BAU_Scenario!Q69</f>
        <v>0</v>
      </c>
      <c r="I69" s="57">
        <f>BAU_Scenario!R69</f>
        <v>0</v>
      </c>
      <c r="J69" s="11">
        <f>BAU_Scenario!S69</f>
        <v>0</v>
      </c>
      <c r="K69" s="12">
        <f>BAU_Scenario!T69</f>
        <v>0</v>
      </c>
      <c r="L69" s="13">
        <f t="shared" ref="L69:Y69" si="71">K69+($Z69-$K69)/($Z$37-$K$37)</f>
        <v>0</v>
      </c>
      <c r="M69" s="13">
        <f t="shared" si="71"/>
        <v>0</v>
      </c>
      <c r="N69" s="13">
        <f t="shared" si="71"/>
        <v>0</v>
      </c>
      <c r="O69" s="14">
        <f t="shared" si="71"/>
        <v>0</v>
      </c>
      <c r="P69" s="65">
        <f t="shared" si="71"/>
        <v>0</v>
      </c>
      <c r="Q69" s="61">
        <f t="shared" si="71"/>
        <v>0</v>
      </c>
      <c r="R69" s="62">
        <f t="shared" si="71"/>
        <v>0</v>
      </c>
      <c r="S69" s="62">
        <f t="shared" si="71"/>
        <v>0</v>
      </c>
      <c r="T69" s="62">
        <f t="shared" si="71"/>
        <v>0</v>
      </c>
      <c r="U69" s="62">
        <f t="shared" si="71"/>
        <v>0</v>
      </c>
      <c r="V69" s="62">
        <f t="shared" si="71"/>
        <v>0</v>
      </c>
      <c r="W69" s="62">
        <f t="shared" si="71"/>
        <v>0</v>
      </c>
      <c r="X69" s="62">
        <f t="shared" si="71"/>
        <v>0</v>
      </c>
      <c r="Y69" s="62">
        <f t="shared" si="71"/>
        <v>0</v>
      </c>
      <c r="Z69" s="65">
        <f t="shared" si="55"/>
        <v>0</v>
      </c>
      <c r="AA69" s="62">
        <f t="shared" ref="AA69:AI69" si="72">Z69+($AJ69-$Z69)/($AJ$37-$Z$37)</f>
        <v>0</v>
      </c>
      <c r="AB69" s="62">
        <f t="shared" si="72"/>
        <v>0</v>
      </c>
      <c r="AC69" s="62">
        <f t="shared" si="72"/>
        <v>0</v>
      </c>
      <c r="AD69" s="62">
        <f t="shared" si="72"/>
        <v>0</v>
      </c>
      <c r="AE69" s="62">
        <f t="shared" si="72"/>
        <v>0</v>
      </c>
      <c r="AF69" s="62">
        <f t="shared" si="72"/>
        <v>0</v>
      </c>
      <c r="AG69" s="62">
        <f t="shared" si="72"/>
        <v>0</v>
      </c>
      <c r="AH69" s="62">
        <f t="shared" si="72"/>
        <v>0</v>
      </c>
      <c r="AI69" s="63">
        <f t="shared" si="72"/>
        <v>0</v>
      </c>
      <c r="AJ69" s="74">
        <f t="shared" si="57"/>
        <v>0</v>
      </c>
      <c r="AK69" s="77"/>
      <c r="AL69" s="77"/>
      <c r="AM69" s="78">
        <f t="shared" si="58"/>
        <v>0</v>
      </c>
    </row>
    <row r="70" spans="1:39" ht="17" thickBot="1">
      <c r="A70" s="32" t="s">
        <v>19</v>
      </c>
      <c r="B70" s="32" t="s">
        <v>17</v>
      </c>
      <c r="C70" s="32" t="s">
        <v>52</v>
      </c>
      <c r="D70" s="36" t="s">
        <v>35</v>
      </c>
      <c r="E70" s="58">
        <f>BAU_Scenario!N70</f>
        <v>1.0417008342596956E-3</v>
      </c>
      <c r="F70" s="17">
        <f>BAU_Scenario!O70</f>
        <v>8.1946702144092276E-4</v>
      </c>
      <c r="G70" s="17">
        <f>BAU_Scenario!P70</f>
        <v>5.9723320862209439E-4</v>
      </c>
      <c r="H70" s="58">
        <f>BAU_Scenario!Q70</f>
        <v>3.7499939580326602E-4</v>
      </c>
      <c r="I70" s="58">
        <f>BAU_Scenario!R70</f>
        <v>1.5276558298449316E-4</v>
      </c>
      <c r="J70" s="17">
        <f>BAU_Scenario!S70</f>
        <v>0</v>
      </c>
      <c r="K70" s="37">
        <f>BAU_Scenario!T70</f>
        <v>0</v>
      </c>
      <c r="L70" s="38">
        <f t="shared" ref="L70:Y70" si="73">K70+($Z70-$K70)/($Z$37-$K$37)</f>
        <v>0</v>
      </c>
      <c r="M70" s="38">
        <f t="shared" si="73"/>
        <v>0</v>
      </c>
      <c r="N70" s="38">
        <f t="shared" si="73"/>
        <v>0</v>
      </c>
      <c r="O70" s="39">
        <f t="shared" si="73"/>
        <v>0</v>
      </c>
      <c r="P70" s="66">
        <f t="shared" si="73"/>
        <v>0</v>
      </c>
      <c r="Q70" s="67">
        <f t="shared" si="73"/>
        <v>0</v>
      </c>
      <c r="R70" s="68">
        <f t="shared" si="73"/>
        <v>0</v>
      </c>
      <c r="S70" s="68">
        <f t="shared" si="73"/>
        <v>0</v>
      </c>
      <c r="T70" s="68">
        <f t="shared" si="73"/>
        <v>0</v>
      </c>
      <c r="U70" s="68">
        <f t="shared" si="73"/>
        <v>0</v>
      </c>
      <c r="V70" s="68">
        <f t="shared" si="73"/>
        <v>0</v>
      </c>
      <c r="W70" s="68">
        <f t="shared" si="73"/>
        <v>0</v>
      </c>
      <c r="X70" s="68">
        <f t="shared" si="73"/>
        <v>0</v>
      </c>
      <c r="Y70" s="68">
        <f t="shared" si="73"/>
        <v>0</v>
      </c>
      <c r="Z70" s="66">
        <f t="shared" si="55"/>
        <v>0</v>
      </c>
      <c r="AA70" s="68">
        <f t="shared" ref="AA70:AI70" si="74">Z70+($AJ70-$Z70)/($AJ$37-$Z$37)</f>
        <v>0</v>
      </c>
      <c r="AB70" s="68">
        <f t="shared" si="74"/>
        <v>0</v>
      </c>
      <c r="AC70" s="68">
        <f t="shared" si="74"/>
        <v>0</v>
      </c>
      <c r="AD70" s="68">
        <f t="shared" si="74"/>
        <v>0</v>
      </c>
      <c r="AE70" s="68">
        <f t="shared" si="74"/>
        <v>0</v>
      </c>
      <c r="AF70" s="68">
        <f t="shared" si="74"/>
        <v>0</v>
      </c>
      <c r="AG70" s="68">
        <f t="shared" si="74"/>
        <v>0</v>
      </c>
      <c r="AH70" s="68">
        <f t="shared" si="74"/>
        <v>0</v>
      </c>
      <c r="AI70" s="69">
        <f t="shared" si="74"/>
        <v>0</v>
      </c>
      <c r="AJ70" s="75">
        <f t="shared" si="57"/>
        <v>0</v>
      </c>
      <c r="AK70" s="79"/>
      <c r="AL70" s="79"/>
      <c r="AM70" s="85">
        <f t="shared" si="58"/>
        <v>0</v>
      </c>
    </row>
    <row r="71" spans="1:39">
      <c r="C71" s="59" t="s">
        <v>52</v>
      </c>
      <c r="D71" s="19" t="s">
        <v>29</v>
      </c>
      <c r="E71" s="18" cm="1">
        <f t="array" ref="E71">_xlfn.XLOOKUP(1,(Population!$A:$A=E$1)*(Population!$B:$B=$D71),Population!$E:$E)/1000</f>
        <v>6.0951170635443805</v>
      </c>
      <c r="F71" s="18" cm="1">
        <f t="array" ref="F71">_xlfn.XLOOKUP(1,(Population!$A:$A=F$1)*(Population!$B:$B=$D71),Population!$E:$E)/1000</f>
        <v>6.3347232820512822</v>
      </c>
      <c r="G71" s="18" cm="1">
        <f t="array" ref="G71">_xlfn.XLOOKUP(1,(Population!$A:$A=G$1)*(Population!$B:$B=$D71),Population!$E:$E)/1000</f>
        <v>6.5819201982938997</v>
      </c>
      <c r="H71" s="18" cm="1">
        <f t="array" ref="H71">_xlfn.XLOOKUP(1,(Population!$A:$A=H$1)*(Population!$B:$B=$D71),Population!$E:$E)/1000</f>
        <v>6.8368650119979124</v>
      </c>
      <c r="I71" s="18" cm="1">
        <f t="array" ref="I71">_xlfn.XLOOKUP(1,(Population!$A:$A=I$1)*(Population!$B:$B=$D71),Population!$E:$E)/1000</f>
        <v>7.0997531257223985</v>
      </c>
      <c r="J71" s="18" cm="1">
        <f t="array" ref="J71">_xlfn.XLOOKUP(1,(Population!$A:$A=J$1)*(Population!$B:$B=$D71),Population!$E:$E)/1000</f>
        <v>7.3708113421651271</v>
      </c>
      <c r="K71" s="18" cm="1">
        <f t="array" ref="K71">_xlfn.XLOOKUP(1,(Population!$A:$A=K$1)*(Population!$B:$B=$D71),Population!$E:$E)/1000</f>
        <v>7.6501843701067598</v>
      </c>
      <c r="L71" s="18" cm="1">
        <f t="array" ref="L71">_xlfn.XLOOKUP(1,(Population!$A:$A=L$1)*(Population!$B:$B=$D71),Population!$E:$E)/1000</f>
        <v>7.9379524278388267</v>
      </c>
      <c r="M71" s="18" cm="1">
        <f t="array" ref="M71">_xlfn.XLOOKUP(1,(Population!$A:$A=M$1)*(Population!$B:$B=$D71),Population!$E:$E)/1000</f>
        <v>8.2340374808783086</v>
      </c>
      <c r="N71" s="18" cm="1">
        <f t="array" ref="N71">_xlfn.XLOOKUP(1,(Population!$A:$A=N$1)*(Population!$B:$B=$D71),Population!$E:$E)/1000</f>
        <v>8.5382164811209833</v>
      </c>
      <c r="O71" s="18" cm="1">
        <f t="array" ref="O71">_xlfn.XLOOKUP(1,(Population!$A:$A=O$1)*(Population!$B:$B=$D71),Population!$E:$E)/1000</f>
        <v>8.8501706371185822</v>
      </c>
      <c r="P71" s="18" cm="1">
        <f t="array" ref="P71">_xlfn.XLOOKUP(1,(Population!$A:$A=P$1)*(Population!$B:$B=$D71),Population!$E:$E)/1000</f>
        <v>9.1696306086956501</v>
      </c>
      <c r="Q71" s="18" cm="1">
        <f t="array" ref="Q71">_xlfn.XLOOKUP(1,(Population!$A:$A=Q$1)*(Population!$B:$B=$D71),Population!$E:$E)/1000</f>
        <v>9.4964519434343426</v>
      </c>
      <c r="R71" s="18" cm="1">
        <f t="array" ref="R71">_xlfn.XLOOKUP(1,(Population!$A:$A=R$1)*(Population!$B:$B=$D71),Population!$E:$E)/1000</f>
        <v>9.8305789363920741</v>
      </c>
      <c r="S71" s="18" cm="1">
        <f t="array" ref="S71">_xlfn.XLOOKUP(1,(Population!$A:$A=S$1)*(Population!$B:$B=$D71),Population!$E:$E)/1000</f>
        <v>10.171900424908424</v>
      </c>
      <c r="T71" s="18" cm="1">
        <f t="array" ref="T71">_xlfn.XLOOKUP(1,(Population!$A:$A=T$1)*(Population!$B:$B=$D71),Population!$E:$E)/1000</f>
        <v>10.520251503267973</v>
      </c>
      <c r="U71" s="18" cm="1">
        <f t="array" ref="U71">_xlfn.XLOOKUP(1,(Population!$A:$A=U$1)*(Population!$B:$B=$D71),Population!$E:$E)/1000</f>
        <v>10.877882176733344</v>
      </c>
      <c r="V71" s="18" cm="1">
        <f t="array" ref="V71">_xlfn.XLOOKUP(1,(Population!$A:$A=V$1)*(Population!$B:$B=$D71),Population!$E:$E)/1000</f>
        <v>11.244764214972419</v>
      </c>
      <c r="W71" s="18" cm="1">
        <f t="array" ref="W71">_xlfn.XLOOKUP(1,(Population!$A:$A=W$1)*(Population!$B:$B=$D71),Population!$E:$E)/1000</f>
        <v>11.621035720243567</v>
      </c>
      <c r="X71" s="18" cm="1">
        <f t="array" ref="X71">_xlfn.XLOOKUP(1,(Population!$A:$A=X$1)*(Population!$B:$B=$D71),Population!$E:$E)/1000</f>
        <v>12.006918179537097</v>
      </c>
      <c r="Y71" s="18" cm="1">
        <f t="array" ref="Y71">_xlfn.XLOOKUP(1,(Population!$A:$A=Y$1)*(Population!$B:$B=$D71),Population!$E:$E)/1000</f>
        <v>12.402655587109519</v>
      </c>
      <c r="Z71" s="18" cm="1">
        <f t="array" ref="Z71">_xlfn.XLOOKUP(1,(Population!$A:$A=Z$1)*(Population!$B:$B=$D71),Population!$E:$E)/1000</f>
        <v>12.808498579782791</v>
      </c>
      <c r="AA71" s="18" cm="1">
        <f t="array" ref="AA71">_xlfn.XLOOKUP(1,(Population!$A:$A=AA$1)*(Population!$B:$B=$D71),Population!$E:$E)/1000</f>
        <v>13.224662486834852</v>
      </c>
      <c r="AB71" s="18" cm="1">
        <f t="array" ref="AB71">_xlfn.XLOOKUP(1,(Population!$A:$A=AB$1)*(Population!$B:$B=$D71),Population!$E:$E)/1000</f>
        <v>13.651352727272727</v>
      </c>
      <c r="AC71" s="18" cm="1">
        <f t="array" ref="AC71">_xlfn.XLOOKUP(1,(Population!$A:$A=AC$1)*(Population!$B:$B=$D71),Population!$E:$E)/1000</f>
        <v>14.088783826347917</v>
      </c>
      <c r="AD71" s="18" cm="1">
        <f t="array" ref="AD71">_xlfn.XLOOKUP(1,(Population!$A:$A=AD$1)*(Population!$B:$B=$D71),Population!$E:$E)/1000</f>
        <v>14.537171661755131</v>
      </c>
      <c r="AE71" s="18" cm="1">
        <f t="array" ref="AE71">_xlfn.XLOOKUP(1,(Population!$A:$A=AE$1)*(Population!$B:$B=$D71),Population!$E:$E)/1000</f>
        <v>14.996755707009241</v>
      </c>
      <c r="AF71" s="18" cm="1">
        <f t="array" ref="AF71">_xlfn.XLOOKUP(1,(Population!$A:$A=AF$1)*(Population!$B:$B=$D71),Population!$E:$E)/1000</f>
        <v>15.467782965567768</v>
      </c>
      <c r="AG71" s="18" cm="1">
        <f t="array" ref="AG71">_xlfn.XLOOKUP(1,(Population!$A:$A=AG$1)*(Population!$B:$B=$D71),Population!$E:$E)/1000</f>
        <v>15.950523414678017</v>
      </c>
      <c r="AH71" s="18" cm="1">
        <f t="array" ref="AH71">_xlfn.XLOOKUP(1,(Population!$A:$A=AH$1)*(Population!$B:$B=$D71),Population!$E:$E)/1000</f>
        <v>16.445280496124031</v>
      </c>
      <c r="AI71" s="18" cm="1">
        <f t="array" ref="AI71">_xlfn.XLOOKUP(1,(Population!$A:$A=AI$1)*(Population!$B:$B=$D71),Population!$E:$E)/1000</f>
        <v>16.952369355302558</v>
      </c>
      <c r="AJ71" s="18" cm="1">
        <f t="array" ref="AJ71">_xlfn.XLOOKUP(1,(Population!$A:$A=AJ$1)*(Population!$B:$B=$D71),Population!$E:$E)/1000</f>
        <v>17.472107916666669</v>
      </c>
    </row>
    <row r="72" spans="1:39">
      <c r="D72" s="19" t="s">
        <v>26</v>
      </c>
      <c r="E72" s="18" cm="1">
        <f t="array" ref="E72">_xlfn.XLOOKUP(1,(Population!$A:$A=E$1)*(Population!$B:$B=$D72),Population!$E:$E)/1000</f>
        <v>3.6420170034843204</v>
      </c>
      <c r="F72" s="18" cm="1">
        <f t="array" ref="F72">_xlfn.XLOOKUP(1,(Population!$A:$A=F$1)*(Population!$B:$B=$D72),Population!$E:$E)/1000</f>
        <v>3.7479955244755243</v>
      </c>
      <c r="G72" s="18" cm="1">
        <f t="array" ref="G72">_xlfn.XLOOKUP(1,(Population!$A:$A=G$1)*(Population!$B:$B=$D72),Population!$E:$E)/1000</f>
        <v>3.8552948771929829</v>
      </c>
      <c r="H72" s="18" cm="1">
        <f t="array" ref="H72">_xlfn.XLOOKUP(1,(Population!$A:$A=H$1)*(Population!$B:$B=$D72),Population!$E:$E)/1000</f>
        <v>3.9638701971830983</v>
      </c>
      <c r="I72" s="18" cm="1">
        <f t="array" ref="I72">_xlfn.XLOOKUP(1,(Population!$A:$A=I$1)*(Population!$B:$B=$D72),Population!$E:$E)/1000</f>
        <v>4.0737650883392229</v>
      </c>
      <c r="J72" s="18" cm="1">
        <f t="array" ref="J72">_xlfn.XLOOKUP(1,(Population!$A:$A=J$1)*(Population!$B:$B=$D72),Population!$E:$E)/1000</f>
        <v>4.1850757446808515</v>
      </c>
      <c r="K72" s="18" cm="1">
        <f t="array" ref="K72">_xlfn.XLOOKUP(1,(Population!$A:$A=K$1)*(Population!$B:$B=$D72),Population!$E:$E)/1000</f>
        <v>4.2978163701067613</v>
      </c>
      <c r="L72" s="18" cm="1">
        <f t="array" ref="L72">_xlfn.XLOOKUP(1,(Population!$A:$A=L$1)*(Population!$B:$B=$D72),Population!$E:$E)/1000</f>
        <v>4.4119021714285722</v>
      </c>
      <c r="M72" s="18" cm="1">
        <f t="array" ref="M72">_xlfn.XLOOKUP(1,(Population!$A:$A=M$1)*(Population!$B:$B=$D72),Population!$E:$E)/1000</f>
        <v>4.5271028530465944</v>
      </c>
      <c r="N72" s="18" cm="1">
        <f t="array" ref="N72">_xlfn.XLOOKUP(1,(Population!$A:$A=N$1)*(Population!$B:$B=$D72),Population!$E:$E)/1000</f>
        <v>4.643088115107914</v>
      </c>
      <c r="O72" s="18" cm="1">
        <f t="array" ref="O72">_xlfn.XLOOKUP(1,(Population!$A:$A=O$1)*(Population!$B:$B=$D72),Population!$E:$E)/1000</f>
        <v>4.7594575018050538</v>
      </c>
      <c r="P72" s="18" cm="1">
        <f t="array" ref="P72">_xlfn.XLOOKUP(1,(Population!$A:$A=P$1)*(Population!$B:$B=$D72),Population!$E:$E)/1000</f>
        <v>4.8758546086956525</v>
      </c>
      <c r="Q72" s="18" cm="1">
        <f t="array" ref="Q72">_xlfn.XLOOKUP(1,(Population!$A:$A=Q$1)*(Population!$B:$B=$D72),Population!$E:$E)/1000</f>
        <v>4.992043054545455</v>
      </c>
      <c r="R72" s="18" cm="1">
        <f t="array" ref="R72">_xlfn.XLOOKUP(1,(Population!$A:$A=R$1)*(Population!$B:$B=$D72),Population!$E:$E)/1000</f>
        <v>5.107870364963504</v>
      </c>
      <c r="S72" s="18" cm="1">
        <f t="array" ref="S72">_xlfn.XLOOKUP(1,(Population!$A:$A=S$1)*(Population!$B:$B=$D72),Population!$E:$E)/1000</f>
        <v>5.223180424908425</v>
      </c>
      <c r="T72" s="18" cm="1">
        <f t="array" ref="T72">_xlfn.XLOOKUP(1,(Population!$A:$A=T$1)*(Population!$B:$B=$D72),Population!$E:$E)/1000</f>
        <v>5.3378870588235294</v>
      </c>
      <c r="U72" s="18" cm="1">
        <f t="array" ref="U72">_xlfn.XLOOKUP(1,(Population!$A:$A=U$1)*(Population!$B:$B=$D72),Population!$E:$E)/1000</f>
        <v>5.4525465977859779</v>
      </c>
      <c r="V72" s="18" cm="1">
        <f t="array" ref="V72">_xlfn.XLOOKUP(1,(Population!$A:$A=V$1)*(Population!$B:$B=$D72),Population!$E:$E)/1000</f>
        <v>5.5671137185185184</v>
      </c>
      <c r="W72" s="18" cm="1">
        <f t="array" ref="W72">_xlfn.XLOOKUP(1,(Population!$A:$A=W$1)*(Population!$B:$B=$D72),Population!$E:$E)/1000</f>
        <v>5.6814405947955393</v>
      </c>
      <c r="X72" s="18" cm="1">
        <f t="array" ref="X72">_xlfn.XLOOKUP(1,(Population!$A:$A=X$1)*(Population!$B:$B=$D72),Population!$E:$E)/1000</f>
        <v>5.7954091940298511</v>
      </c>
      <c r="Y72" s="18" cm="1">
        <f t="array" ref="Y72">_xlfn.XLOOKUP(1,(Population!$A:$A=Y$1)*(Population!$B:$B=$D72),Population!$E:$E)/1000</f>
        <v>5.9088958801498128</v>
      </c>
      <c r="Z72" s="18" cm="1">
        <f t="array" ref="Z72">_xlfn.XLOOKUP(1,(Population!$A:$A=Z$1)*(Population!$B:$B=$D72),Population!$E:$E)/1000</f>
        <v>6.0217821353383458</v>
      </c>
      <c r="AA72" s="18" cm="1">
        <f t="array" ref="AA72">_xlfn.XLOOKUP(1,(Population!$A:$A=AA$1)*(Population!$B:$B=$D72),Population!$E:$E)/1000</f>
        <v>6.1339379924528306</v>
      </c>
      <c r="AB72" s="18" cm="1">
        <f t="array" ref="AB72">_xlfn.XLOOKUP(1,(Population!$A:$A=AB$1)*(Population!$B:$B=$D72),Population!$E:$E)/1000</f>
        <v>6.2452254545454542</v>
      </c>
      <c r="AC72" s="18" cm="1">
        <f t="array" ref="AC72">_xlfn.XLOOKUP(1,(Population!$A:$A=AC$1)*(Population!$B:$B=$D72),Population!$E:$E)/1000</f>
        <v>6.3554866615969585</v>
      </c>
      <c r="AD72" s="18" cm="1">
        <f t="array" ref="AD72">_xlfn.XLOOKUP(1,(Population!$A:$A=AD$1)*(Population!$B:$B=$D72),Population!$E:$E)/1000</f>
        <v>6.4645518167938922</v>
      </c>
      <c r="AE72" s="18" cm="1">
        <f t="array" ref="AE72">_xlfn.XLOOKUP(1,(Population!$A:$A=AE$1)*(Population!$B:$B=$D72),Population!$E:$E)/1000</f>
        <v>6.5722691187739466</v>
      </c>
      <c r="AF72" s="18" cm="1">
        <f t="array" ref="AF72">_xlfn.XLOOKUP(1,(Population!$A:$A=AF$1)*(Population!$B:$B=$D72),Population!$E:$E)/1000</f>
        <v>6.6784905846153846</v>
      </c>
      <c r="AG72" s="18" cm="1">
        <f t="array" ref="AG72">_xlfn.XLOOKUP(1,(Population!$A:$A=AG$1)*(Population!$B:$B=$D72),Population!$E:$E)/1000</f>
        <v>6.7830933745173745</v>
      </c>
      <c r="AH72" s="18" cm="1">
        <f t="array" ref="AH72">_xlfn.XLOOKUP(1,(Population!$A:$A=AH$1)*(Population!$B:$B=$D72),Population!$E:$E)/1000</f>
        <v>6.8859738294573631</v>
      </c>
      <c r="AI72" s="18" cm="1">
        <f t="array" ref="AI72">_xlfn.XLOOKUP(1,(Population!$A:$A=AI$1)*(Population!$B:$B=$D72),Population!$E:$E)/1000</f>
        <v>6.9870416186770425</v>
      </c>
      <c r="AJ72" s="18" cm="1">
        <f t="array" ref="AJ72">_xlfn.XLOOKUP(1,(Population!$A:$A=AJ$1)*(Population!$B:$B=$D72),Population!$E:$E)/1000</f>
        <v>7.0861942499999993</v>
      </c>
    </row>
    <row r="73" spans="1:39">
      <c r="D73" s="19" t="s">
        <v>25</v>
      </c>
      <c r="E73" s="18" cm="1">
        <f t="array" ref="E73">_xlfn.XLOOKUP(1,(Population!$A:$A=E$1)*(Population!$B:$B=$D73),Population!$E:$E)/1000</f>
        <v>2.4531000600600601</v>
      </c>
      <c r="F73" s="18" cm="1">
        <f t="array" ref="F73">_xlfn.XLOOKUP(1,(Population!$A:$A=F$1)*(Population!$B:$B=$D73),Population!$E:$E)/1000</f>
        <v>2.586727757575757</v>
      </c>
      <c r="G73" s="18" cm="1">
        <f t="array" ref="G73">_xlfn.XLOOKUP(1,(Population!$A:$A=G$1)*(Population!$B:$B=$D73),Population!$E:$E)/1000</f>
        <v>2.7266253211009168</v>
      </c>
      <c r="H73" s="18" cm="1">
        <f t="array" ref="H73">_xlfn.XLOOKUP(1,(Population!$A:$A=H$1)*(Population!$B:$B=$D73),Population!$E:$E)/1000</f>
        <v>2.8729948148148137</v>
      </c>
      <c r="I73" s="18" cm="1">
        <f t="array" ref="I73">_xlfn.XLOOKUP(1,(Population!$A:$A=I$1)*(Population!$B:$B=$D73),Population!$E:$E)/1000</f>
        <v>3.025988037383176</v>
      </c>
      <c r="J73" s="18" cm="1">
        <f t="array" ref="J73">_xlfn.XLOOKUP(1,(Population!$A:$A=J$1)*(Population!$B:$B=$D73),Population!$E:$E)/1000</f>
        <v>3.1857355974842752</v>
      </c>
      <c r="K73" s="18" cm="1">
        <f t="array" ref="K73">_xlfn.XLOOKUP(1,(Population!$A:$A=K$1)*(Population!$B:$B=$D73),Population!$E:$E)/1000</f>
        <v>3.3523679999999985</v>
      </c>
      <c r="L73" s="18" cm="1">
        <f t="array" ref="L73">_xlfn.XLOOKUP(1,(Population!$A:$A=L$1)*(Population!$B:$B=$D73),Population!$E:$E)/1000</f>
        <v>3.5260502564102549</v>
      </c>
      <c r="M73" s="18" cm="1">
        <f t="array" ref="M73">_xlfn.XLOOKUP(1,(Population!$A:$A=M$1)*(Population!$B:$B=$D73),Population!$E:$E)/1000</f>
        <v>3.7069346278317132</v>
      </c>
      <c r="N73" s="18" cm="1">
        <f t="array" ref="N73">_xlfn.XLOOKUP(1,(Population!$A:$A=N$1)*(Population!$B:$B=$D73),Population!$E:$E)/1000</f>
        <v>3.8951283660130702</v>
      </c>
      <c r="O73" s="18" cm="1">
        <f t="array" ref="O73">_xlfn.XLOOKUP(1,(Population!$A:$A=O$1)*(Population!$B:$B=$D73),Population!$E:$E)/1000</f>
        <v>4.0907131353135293</v>
      </c>
      <c r="P73" s="18" cm="1">
        <f t="array" ref="P73">_xlfn.XLOOKUP(1,(Population!$A:$A=P$1)*(Population!$B:$B=$D73),Population!$E:$E)/1000</f>
        <v>4.2937759999999976</v>
      </c>
      <c r="Q73" s="18" cm="1">
        <f t="array" ref="Q73">_xlfn.XLOOKUP(1,(Population!$A:$A=Q$1)*(Population!$B:$B=$D73),Population!$E:$E)/1000</f>
        <v>4.5044088888888876</v>
      </c>
      <c r="R73" s="18" cm="1">
        <f t="array" ref="R73">_xlfn.XLOOKUP(1,(Population!$A:$A=R$1)*(Population!$B:$B=$D73),Population!$E:$E)/1000</f>
        <v>4.7227085714285701</v>
      </c>
      <c r="S73" s="18" cm="1">
        <f t="array" ref="S73">_xlfn.XLOOKUP(1,(Population!$A:$A=S$1)*(Population!$B:$B=$D73),Population!$E:$E)/1000</f>
        <v>4.948719999999998</v>
      </c>
      <c r="T73" s="18" cm="1">
        <f t="array" ref="T73">_xlfn.XLOOKUP(1,(Population!$A:$A=T$1)*(Population!$B:$B=$D73),Population!$E:$E)/1000</f>
        <v>5.1823644444444428</v>
      </c>
      <c r="U73" s="18" cm="1">
        <f t="array" ref="U73">_xlfn.XLOOKUP(1,(Population!$A:$A=U$1)*(Population!$B:$B=$D73),Population!$E:$E)/1000</f>
        <v>5.425335578947367</v>
      </c>
      <c r="V73" s="18" cm="1">
        <f t="array" ref="V73">_xlfn.XLOOKUP(1,(Population!$A:$A=V$1)*(Population!$B:$B=$D73),Population!$E:$E)/1000</f>
        <v>5.6776504964539001</v>
      </c>
      <c r="W73" s="18" cm="1">
        <f t="array" ref="W73">_xlfn.XLOOKUP(1,(Population!$A:$A=W$1)*(Population!$B:$B=$D73),Population!$E:$E)/1000</f>
        <v>5.9395951254480277</v>
      </c>
      <c r="X73" s="18" cm="1">
        <f t="array" ref="X73">_xlfn.XLOOKUP(1,(Population!$A:$A=X$1)*(Population!$B:$B=$D73),Population!$E:$E)/1000</f>
        <v>6.211508985507245</v>
      </c>
      <c r="Y73" s="18" cm="1">
        <f t="array" ref="Y73">_xlfn.XLOOKUP(1,(Population!$A:$A=Y$1)*(Population!$B:$B=$D73),Population!$E:$E)/1000</f>
        <v>6.4937597069597066</v>
      </c>
      <c r="Z73" s="18" cm="1">
        <f t="array" ref="Z73">_xlfn.XLOOKUP(1,(Population!$A:$A=Z$1)*(Population!$B:$B=$D73),Population!$E:$E)/1000</f>
        <v>6.7867164444444441</v>
      </c>
      <c r="AA73" s="18" cm="1">
        <f t="array" ref="AA73">_xlfn.XLOOKUP(1,(Population!$A:$A=AA$1)*(Population!$B:$B=$D73),Population!$E:$E)/1000</f>
        <v>7.0907244943820222</v>
      </c>
      <c r="AB73" s="18" cm="1">
        <f t="array" ref="AB73">_xlfn.XLOOKUP(1,(Population!$A:$A=AB$1)*(Population!$B:$B=$D73),Population!$E:$E)/1000</f>
        <v>7.4061272727272724</v>
      </c>
      <c r="AC73" s="18" cm="1">
        <f t="array" ref="AC73">_xlfn.XLOOKUP(1,(Population!$A:$A=AC$1)*(Population!$B:$B=$D73),Population!$E:$E)/1000</f>
        <v>7.7332971647509572</v>
      </c>
      <c r="AD73" s="18" cm="1">
        <f t="array" ref="AD73">_xlfn.XLOOKUP(1,(Population!$A:$A=AD$1)*(Population!$B:$B=$D73),Population!$E:$E)/1000</f>
        <v>8.0726198449612401</v>
      </c>
      <c r="AE73" s="18" cm="1">
        <f t="array" ref="AE73">_xlfn.XLOOKUP(1,(Population!$A:$A=AE$1)*(Population!$B:$B=$D73),Population!$E:$E)/1000</f>
        <v>8.4244865882352933</v>
      </c>
      <c r="AF73" s="18" cm="1">
        <f t="array" ref="AF73">_xlfn.XLOOKUP(1,(Population!$A:$A=AF$1)*(Population!$B:$B=$D73),Population!$E:$E)/1000</f>
        <v>8.7892923809523822</v>
      </c>
      <c r="AG73" s="18" cm="1">
        <f t="array" ref="AG73">_xlfn.XLOOKUP(1,(Population!$A:$A=AG$1)*(Population!$B:$B=$D73),Population!$E:$E)/1000</f>
        <v>9.1674300401606441</v>
      </c>
      <c r="AH73" s="18" cm="1">
        <f t="array" ref="AH73">_xlfn.XLOOKUP(1,(Population!$A:$A=AH$1)*(Population!$B:$B=$D73),Population!$E:$E)/1000</f>
        <v>9.559306666666668</v>
      </c>
      <c r="AI73" s="18" cm="1">
        <f t="array" ref="AI73">_xlfn.XLOOKUP(1,(Population!$A:$A=AI$1)*(Population!$B:$B=$D73),Population!$E:$E)/1000</f>
        <v>9.9653277366255146</v>
      </c>
      <c r="AJ73" s="18" cm="1">
        <f t="array" ref="AJ73">_xlfn.XLOOKUP(1,(Population!$A:$A=AJ$1)*(Population!$B:$B=$D73),Population!$E:$E)/1000</f>
        <v>10.385913666666667</v>
      </c>
    </row>
  </sheetData>
  <phoneticPr fontId="10"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B925-F919-0543-A2D9-E0DD3DD23131}">
  <dimension ref="A1:BB265"/>
  <sheetViews>
    <sheetView workbookViewId="0">
      <pane xSplit="4" ySplit="1" topLeftCell="E68" activePane="bottomRight" state="frozen"/>
      <selection pane="topRight" activeCell="E1" sqref="E1"/>
      <selection pane="bottomLeft" activeCell="A2" sqref="A2"/>
      <selection pane="bottomRight" activeCell="AU17" sqref="AU17"/>
    </sheetView>
  </sheetViews>
  <sheetFormatPr baseColWidth="10" defaultRowHeight="16"/>
  <cols>
    <col min="3" max="3" width="8.33203125" bestFit="1" customWidth="1"/>
    <col min="4" max="4" width="11" bestFit="1" customWidth="1"/>
  </cols>
  <sheetData>
    <row r="1" spans="1:54" ht="17" thickBot="1">
      <c r="A1" s="1" t="s">
        <v>62</v>
      </c>
      <c r="B1" s="102" t="s">
        <v>1</v>
      </c>
      <c r="C1" s="102" t="s">
        <v>2</v>
      </c>
      <c r="D1" s="103" t="s">
        <v>3</v>
      </c>
      <c r="E1" s="98">
        <v>2019</v>
      </c>
      <c r="F1" s="9">
        <v>2020</v>
      </c>
      <c r="G1" s="2">
        <v>2021</v>
      </c>
      <c r="H1" s="2">
        <v>2022</v>
      </c>
      <c r="I1" s="7">
        <v>2023</v>
      </c>
      <c r="J1" s="8">
        <v>2024</v>
      </c>
      <c r="K1" s="9">
        <v>2025</v>
      </c>
      <c r="L1" s="99">
        <v>2026</v>
      </c>
      <c r="M1" s="99">
        <v>2027</v>
      </c>
      <c r="N1" s="99">
        <v>2028</v>
      </c>
      <c r="O1" s="100">
        <v>2029</v>
      </c>
      <c r="P1" s="105">
        <v>2030</v>
      </c>
      <c r="Q1" s="106">
        <v>2031</v>
      </c>
      <c r="R1" s="99">
        <v>2032</v>
      </c>
      <c r="S1" s="99">
        <v>2033</v>
      </c>
      <c r="T1" s="99">
        <v>2034</v>
      </c>
      <c r="U1" s="99">
        <v>2035</v>
      </c>
      <c r="V1" s="99">
        <v>2036</v>
      </c>
      <c r="W1" s="99">
        <v>2037</v>
      </c>
      <c r="X1" s="99">
        <v>2038</v>
      </c>
      <c r="Y1" s="100">
        <v>2039</v>
      </c>
      <c r="Z1" s="105">
        <v>2040</v>
      </c>
      <c r="AA1" s="106">
        <v>2041</v>
      </c>
      <c r="AB1" s="99">
        <v>2042</v>
      </c>
      <c r="AC1" s="99">
        <v>2043</v>
      </c>
      <c r="AD1" s="99">
        <v>2044</v>
      </c>
      <c r="AE1" s="99">
        <v>2045</v>
      </c>
      <c r="AF1" s="99">
        <v>2046</v>
      </c>
      <c r="AG1" s="99">
        <v>2047</v>
      </c>
      <c r="AH1" s="99">
        <v>2048</v>
      </c>
      <c r="AI1" s="100">
        <v>2049</v>
      </c>
      <c r="AJ1" s="105">
        <v>2050</v>
      </c>
      <c r="AK1" s="25" t="s">
        <v>73</v>
      </c>
      <c r="AL1" s="25"/>
      <c r="AM1" s="25"/>
      <c r="AU1">
        <v>2020</v>
      </c>
      <c r="AV1">
        <v>2025</v>
      </c>
      <c r="AW1">
        <v>2030</v>
      </c>
      <c r="AX1">
        <v>2035</v>
      </c>
      <c r="AY1">
        <v>2040</v>
      </c>
      <c r="AZ1">
        <v>2045</v>
      </c>
      <c r="BA1">
        <v>2050</v>
      </c>
    </row>
    <row r="2" spans="1:54">
      <c r="A2" s="3" t="s">
        <v>4</v>
      </c>
      <c r="B2" s="87" t="s">
        <v>36</v>
      </c>
      <c r="C2" s="88" t="s">
        <v>53</v>
      </c>
      <c r="D2" s="89" t="s">
        <v>57</v>
      </c>
      <c r="E2" s="107">
        <f>SUM(E13,E24)</f>
        <v>9.2388930013210615</v>
      </c>
      <c r="F2" s="108">
        <f t="shared" ref="F2:AJ2" si="0">SUM(F13,F24)</f>
        <v>9.3353150588899254</v>
      </c>
      <c r="G2" s="108">
        <f t="shared" si="0"/>
        <v>9.4245601111387725</v>
      </c>
      <c r="H2" s="108">
        <f t="shared" si="0"/>
        <v>9.5062239340466093</v>
      </c>
      <c r="I2" s="108">
        <f t="shared" si="0"/>
        <v>9.5800631255129183</v>
      </c>
      <c r="J2" s="118">
        <f t="shared" si="0"/>
        <v>9.645926269820329</v>
      </c>
      <c r="K2" s="108">
        <f t="shared" si="0"/>
        <v>9.6216309712248069</v>
      </c>
      <c r="L2" s="108">
        <f t="shared" si="0"/>
        <v>9.2084980510300518</v>
      </c>
      <c r="M2" s="108">
        <f t="shared" si="0"/>
        <v>8.7644969121555523</v>
      </c>
      <c r="N2" s="108">
        <f t="shared" si="0"/>
        <v>8.2886677600736647</v>
      </c>
      <c r="O2" s="108">
        <f t="shared" si="0"/>
        <v>7.7801365835793366</v>
      </c>
      <c r="P2" s="118">
        <f t="shared" si="0"/>
        <v>7.2383149713464503</v>
      </c>
      <c r="Q2" s="108">
        <f t="shared" si="0"/>
        <v>6.6629536079248792</v>
      </c>
      <c r="R2" s="108">
        <f t="shared" si="0"/>
        <v>6.0540242442821386</v>
      </c>
      <c r="S2" s="108">
        <f t="shared" si="0"/>
        <v>5.4115767768076539</v>
      </c>
      <c r="T2" s="108">
        <f t="shared" si="0"/>
        <v>4.7357922987167544</v>
      </c>
      <c r="U2" s="108">
        <f t="shared" si="0"/>
        <v>4.0275292970792043</v>
      </c>
      <c r="V2" s="108">
        <f t="shared" si="0"/>
        <v>3.2867672945118023</v>
      </c>
      <c r="W2" s="108">
        <f t="shared" si="0"/>
        <v>2.5135142812334474</v>
      </c>
      <c r="X2" s="108">
        <f t="shared" si="0"/>
        <v>1.7078620472023842</v>
      </c>
      <c r="Y2" s="108">
        <f t="shared" si="0"/>
        <v>0.86995678894249484</v>
      </c>
      <c r="Z2" s="118">
        <f t="shared" si="0"/>
        <v>0</v>
      </c>
      <c r="AA2" s="108">
        <f t="shared" si="0"/>
        <v>0</v>
      </c>
      <c r="AB2" s="108">
        <f t="shared" si="0"/>
        <v>0</v>
      </c>
      <c r="AC2" s="108">
        <f t="shared" si="0"/>
        <v>0</v>
      </c>
      <c r="AD2" s="108">
        <f t="shared" si="0"/>
        <v>0</v>
      </c>
      <c r="AE2" s="108">
        <f t="shared" si="0"/>
        <v>0</v>
      </c>
      <c r="AF2" s="108">
        <f t="shared" si="0"/>
        <v>0</v>
      </c>
      <c r="AG2" s="108">
        <f t="shared" si="0"/>
        <v>0</v>
      </c>
      <c r="AH2" s="108">
        <f t="shared" si="0"/>
        <v>0</v>
      </c>
      <c r="AI2" s="108">
        <f t="shared" si="0"/>
        <v>0</v>
      </c>
      <c r="AJ2" s="109">
        <f t="shared" si="0"/>
        <v>0</v>
      </c>
      <c r="AK2" s="55">
        <f>SUM(K2:AJ2)</f>
        <v>86.171721886110603</v>
      </c>
      <c r="AT2" s="87" t="s">
        <v>36</v>
      </c>
      <c r="AU2" s="54">
        <f>_xlfn.XLOOKUP(AU$1,$E$1:$AJ$1,$E4:$AJ4)+_xlfn.XLOOKUP(AU$1,$E$1:$AJ$1,$E2:$AJ2)</f>
        <v>9.3749295923688383</v>
      </c>
      <c r="AV2" s="54">
        <f t="shared" ref="AV2:BA2" si="1">_xlfn.XLOOKUP(AV$1,$E$1:$AJ$1,$E4:$AJ4)+_xlfn.XLOOKUP(AV$1,$E$1:$AJ$1,$E2:$AJ2)</f>
        <v>9.7079699912686817</v>
      </c>
      <c r="AW2" s="54">
        <f t="shared" si="1"/>
        <v>7.7020183412671246</v>
      </c>
      <c r="AX2" s="54">
        <f t="shared" si="1"/>
        <v>4.9337883136884164</v>
      </c>
      <c r="AY2" s="54">
        <f t="shared" si="1"/>
        <v>1.4050856345904765</v>
      </c>
      <c r="AZ2" s="54">
        <f t="shared" si="1"/>
        <v>1.504707078011905</v>
      </c>
      <c r="BA2" s="54">
        <f t="shared" si="1"/>
        <v>1.5912892782928574</v>
      </c>
    </row>
    <row r="3" spans="1:54">
      <c r="A3" s="3" t="s">
        <v>4</v>
      </c>
      <c r="B3" s="3" t="s">
        <v>8</v>
      </c>
      <c r="C3" s="4" t="s">
        <v>53</v>
      </c>
      <c r="D3" s="91" t="s">
        <v>57</v>
      </c>
      <c r="E3" s="110">
        <f t="shared" ref="E3:AJ10" si="2">SUM(E14,E25)</f>
        <v>1.4722553479850946</v>
      </c>
      <c r="F3" s="18">
        <f t="shared" si="2"/>
        <v>1.5894496465450823</v>
      </c>
      <c r="G3" s="18">
        <f t="shared" si="2"/>
        <v>1.7122285756281492</v>
      </c>
      <c r="H3" s="18">
        <f t="shared" si="2"/>
        <v>1.8407169238723899</v>
      </c>
      <c r="I3" s="18">
        <f t="shared" si="2"/>
        <v>1.9750209659669049</v>
      </c>
      <c r="J3" s="119">
        <f t="shared" si="2"/>
        <v>2.11524052124844</v>
      </c>
      <c r="K3" s="18">
        <f t="shared" si="2"/>
        <v>2.2740278908900828</v>
      </c>
      <c r="L3" s="18">
        <f t="shared" si="2"/>
        <v>2.200123059209985</v>
      </c>
      <c r="M3" s="18">
        <f t="shared" si="2"/>
        <v>2.1167585057256151</v>
      </c>
      <c r="N3" s="18">
        <f t="shared" si="2"/>
        <v>2.0234764741588154</v>
      </c>
      <c r="O3" s="18">
        <f t="shared" si="2"/>
        <v>1.9198284310176832</v>
      </c>
      <c r="P3" s="119">
        <f t="shared" si="2"/>
        <v>1.8054039520517686</v>
      </c>
      <c r="Q3" s="18">
        <f t="shared" si="2"/>
        <v>1.6798342008414218</v>
      </c>
      <c r="R3" s="18">
        <f t="shared" si="2"/>
        <v>1.542782834879395</v>
      </c>
      <c r="S3" s="18">
        <f t="shared" si="2"/>
        <v>1.3939237793183268</v>
      </c>
      <c r="T3" s="18">
        <f t="shared" si="2"/>
        <v>1.2329414390822186</v>
      </c>
      <c r="U3" s="18">
        <f t="shared" si="2"/>
        <v>1.0598552733841582</v>
      </c>
      <c r="V3" s="18">
        <f t="shared" si="2"/>
        <v>0.87426301330733003</v>
      </c>
      <c r="W3" s="18">
        <f t="shared" si="2"/>
        <v>0.67581757825551869</v>
      </c>
      <c r="X3" s="18">
        <f t="shared" si="2"/>
        <v>0.4641820841424617</v>
      </c>
      <c r="Y3" s="18">
        <f t="shared" si="2"/>
        <v>0.23902131021418049</v>
      </c>
      <c r="Z3" s="119">
        <f t="shared" si="2"/>
        <v>0</v>
      </c>
      <c r="AA3" s="18">
        <f t="shared" si="2"/>
        <v>0</v>
      </c>
      <c r="AB3" s="18">
        <f t="shared" si="2"/>
        <v>0</v>
      </c>
      <c r="AC3" s="18">
        <f t="shared" si="2"/>
        <v>0</v>
      </c>
      <c r="AD3" s="18">
        <f t="shared" si="2"/>
        <v>0</v>
      </c>
      <c r="AE3" s="18">
        <f t="shared" si="2"/>
        <v>0</v>
      </c>
      <c r="AF3" s="18">
        <f t="shared" si="2"/>
        <v>0</v>
      </c>
      <c r="AG3" s="18">
        <f t="shared" si="2"/>
        <v>0</v>
      </c>
      <c r="AH3" s="18">
        <f t="shared" si="2"/>
        <v>0</v>
      </c>
      <c r="AI3" s="18">
        <f t="shared" si="2"/>
        <v>0</v>
      </c>
      <c r="AJ3" s="111">
        <f t="shared" si="2"/>
        <v>0</v>
      </c>
      <c r="AK3" s="55">
        <f t="shared" ref="AK3:AK36" si="3">SUM(K3:AJ3)</f>
        <v>21.502239826478963</v>
      </c>
      <c r="AS3" t="s">
        <v>135</v>
      </c>
      <c r="AT3" s="3" t="s">
        <v>8</v>
      </c>
      <c r="AU3" s="54">
        <f>6*(_xlfn.XLOOKUP(AU$1,$E$1:$AJ$1,$E5:$AJ5)+_xlfn.XLOOKUP(AU$1,$E$1:$AJ$1,$E3:$AJ3))</f>
        <v>9.5631075682564344</v>
      </c>
      <c r="AV3" s="54">
        <f t="shared" ref="AV3:BA3" si="4">6*(_xlfn.XLOOKUP(AV$1,$E$1:$AJ$1,$E5:$AJ5)+_xlfn.XLOOKUP(AV$1,$E$1:$AJ$1,$E3:$AJ3))</f>
        <v>13.701726692036413</v>
      </c>
      <c r="AW3" s="54">
        <f t="shared" si="4"/>
        <v>12.796843888629155</v>
      </c>
      <c r="AX3" s="54">
        <f t="shared" si="4"/>
        <v>10.678178230886751</v>
      </c>
      <c r="AY3" s="54">
        <f t="shared" si="4"/>
        <v>7.1191533373714302</v>
      </c>
      <c r="AZ3" s="54">
        <f t="shared" si="4"/>
        <v>7.7927420409142858</v>
      </c>
      <c r="BA3" s="54">
        <f t="shared" si="4"/>
        <v>8.4416306785904762</v>
      </c>
      <c r="BB3" s="54"/>
    </row>
    <row r="4" spans="1:54">
      <c r="A4" s="3" t="s">
        <v>4</v>
      </c>
      <c r="B4" t="s">
        <v>37</v>
      </c>
      <c r="C4" s="4" t="s">
        <v>53</v>
      </c>
      <c r="D4" s="91" t="s">
        <v>57</v>
      </c>
      <c r="E4" s="110">
        <f t="shared" si="2"/>
        <v>3.2045144559584314E-2</v>
      </c>
      <c r="F4" s="18">
        <f t="shared" si="2"/>
        <v>3.961453347891325E-2</v>
      </c>
      <c r="G4" s="18">
        <f t="shared" si="2"/>
        <v>4.7778312858962273E-2</v>
      </c>
      <c r="H4" s="18">
        <f t="shared" si="2"/>
        <v>5.6563920870320167E-2</v>
      </c>
      <c r="I4" s="18">
        <f t="shared" si="2"/>
        <v>6.5997794221163461E-2</v>
      </c>
      <c r="J4" s="119">
        <f t="shared" si="2"/>
        <v>7.6105453178188398E-2</v>
      </c>
      <c r="K4" s="18">
        <f t="shared" si="2"/>
        <v>8.6339020043873907E-2</v>
      </c>
      <c r="L4" s="18">
        <f t="shared" si="2"/>
        <v>0.15619261575062204</v>
      </c>
      <c r="M4" s="18">
        <f t="shared" si="2"/>
        <v>0.22889213951767812</v>
      </c>
      <c r="N4" s="18">
        <f t="shared" si="2"/>
        <v>0.30441399199492825</v>
      </c>
      <c r="O4" s="18">
        <f t="shared" si="2"/>
        <v>0.38270823119996733</v>
      </c>
      <c r="P4" s="119">
        <f t="shared" si="2"/>
        <v>0.46370336992067451</v>
      </c>
      <c r="Q4" s="18">
        <f t="shared" si="2"/>
        <v>0.54731762324968825</v>
      </c>
      <c r="R4" s="18">
        <f t="shared" si="2"/>
        <v>0.63346466543546653</v>
      </c>
      <c r="S4" s="18">
        <f t="shared" si="2"/>
        <v>0.72204861035690959</v>
      </c>
      <c r="T4" s="18">
        <f t="shared" si="2"/>
        <v>0.81297423355236909</v>
      </c>
      <c r="U4" s="18">
        <f t="shared" si="2"/>
        <v>0.90625901660921249</v>
      </c>
      <c r="V4" s="18">
        <f t="shared" si="2"/>
        <v>1.0018304240769125</v>
      </c>
      <c r="W4" s="18">
        <f t="shared" si="2"/>
        <v>1.0995968167095798</v>
      </c>
      <c r="X4" s="18">
        <f t="shared" si="2"/>
        <v>1.1994640560909491</v>
      </c>
      <c r="Y4" s="18">
        <f t="shared" si="2"/>
        <v>1.301329800677373</v>
      </c>
      <c r="Z4" s="119">
        <f t="shared" si="2"/>
        <v>1.4050856345904765</v>
      </c>
      <c r="AA4" s="18">
        <f t="shared" si="2"/>
        <v>1.425874733626191</v>
      </c>
      <c r="AB4" s="18">
        <f t="shared" si="2"/>
        <v>1.446265965107143</v>
      </c>
      <c r="AC4" s="18">
        <f t="shared" si="2"/>
        <v>1.4662251956238099</v>
      </c>
      <c r="AD4" s="18">
        <f t="shared" si="2"/>
        <v>1.4857161022880951</v>
      </c>
      <c r="AE4" s="18">
        <f t="shared" si="2"/>
        <v>1.504707078011905</v>
      </c>
      <c r="AF4" s="18">
        <f t="shared" si="2"/>
        <v>1.5231679192190477</v>
      </c>
      <c r="AG4" s="18">
        <f t="shared" si="2"/>
        <v>1.5410746539261908</v>
      </c>
      <c r="AH4" s="18">
        <f t="shared" si="2"/>
        <v>1.5584080820904762</v>
      </c>
      <c r="AI4" s="18">
        <f t="shared" si="2"/>
        <v>1.575152372097619</v>
      </c>
      <c r="AJ4" s="111">
        <f t="shared" si="2"/>
        <v>1.5912892782928574</v>
      </c>
      <c r="AK4" s="55">
        <f t="shared" si="3"/>
        <v>26.369501630060018</v>
      </c>
      <c r="AT4" s="34" t="s">
        <v>11</v>
      </c>
      <c r="AU4" s="54">
        <f>_xlfn.XLOOKUP(AU$1,$E$1:$AJ$1,$E6:$AJ6)</f>
        <v>1.8381231236658088E-3</v>
      </c>
      <c r="AV4" s="54">
        <f t="shared" ref="AV4:BA4" si="5">_xlfn.XLOOKUP(AV$1,$E$1:$AJ$1,$E6:$AJ6)</f>
        <v>3.101158649011252E-3</v>
      </c>
      <c r="AW4" s="54">
        <f t="shared" si="5"/>
        <v>0.15195381674969638</v>
      </c>
      <c r="AX4" s="54">
        <f t="shared" si="5"/>
        <v>0.34491479842023054</v>
      </c>
      <c r="AY4" s="54">
        <f t="shared" si="5"/>
        <v>0.5854874716937144</v>
      </c>
      <c r="AZ4" s="54">
        <f t="shared" si="5"/>
        <v>0.65923128400285713</v>
      </c>
      <c r="BA4" s="54">
        <f t="shared" si="5"/>
        <v>0.73543888306228578</v>
      </c>
      <c r="BB4" s="54"/>
    </row>
    <row r="5" spans="1:54">
      <c r="A5" s="3" t="s">
        <v>4</v>
      </c>
      <c r="B5" t="s">
        <v>10</v>
      </c>
      <c r="C5" s="4" t="s">
        <v>53</v>
      </c>
      <c r="D5" s="91" t="s">
        <v>57</v>
      </c>
      <c r="E5" s="110">
        <f t="shared" si="2"/>
        <v>3.5605716177314244E-3</v>
      </c>
      <c r="F5" s="18">
        <f t="shared" si="2"/>
        <v>4.4016148309900137E-3</v>
      </c>
      <c r="G5" s="18">
        <f t="shared" si="2"/>
        <v>5.308701428773494E-3</v>
      </c>
      <c r="H5" s="18">
        <f t="shared" si="2"/>
        <v>6.2848800967019568E-3</v>
      </c>
      <c r="I5" s="18">
        <f t="shared" si="2"/>
        <v>7.3330882467957425E-3</v>
      </c>
      <c r="J5" s="119">
        <f t="shared" si="2"/>
        <v>8.4561614642430505E-3</v>
      </c>
      <c r="K5" s="18">
        <f t="shared" si="2"/>
        <v>9.5932244493192181E-3</v>
      </c>
      <c r="L5" s="18">
        <f t="shared" si="2"/>
        <v>6.7173538564248916E-2</v>
      </c>
      <c r="M5" s="18">
        <f t="shared" si="2"/>
        <v>0.12772275362580893</v>
      </c>
      <c r="N5" s="18">
        <f t="shared" si="2"/>
        <v>0.19127194585985968</v>
      </c>
      <c r="O5" s="18">
        <f t="shared" si="2"/>
        <v>0.25783340635301216</v>
      </c>
      <c r="P5" s="119">
        <f t="shared" si="2"/>
        <v>0.32740336271975745</v>
      </c>
      <c r="Q5" s="18">
        <f t="shared" si="2"/>
        <v>0.39996929033652617</v>
      </c>
      <c r="R5" s="18">
        <f t="shared" si="2"/>
        <v>0.47551365960566905</v>
      </c>
      <c r="S5" s="18">
        <f t="shared" si="2"/>
        <v>0.55400971067951543</v>
      </c>
      <c r="T5" s="18">
        <f t="shared" si="2"/>
        <v>0.6354255512569299</v>
      </c>
      <c r="U5" s="18">
        <f t="shared" si="2"/>
        <v>0.71984109843030031</v>
      </c>
      <c r="V5" s="18">
        <f t="shared" si="2"/>
        <v>0.80725059820734646</v>
      </c>
      <c r="W5" s="18">
        <f t="shared" si="2"/>
        <v>0.89764021909852465</v>
      </c>
      <c r="X5" s="18">
        <f t="shared" si="2"/>
        <v>0.99099571146742471</v>
      </c>
      <c r="Y5" s="18">
        <f t="shared" si="2"/>
        <v>1.0872983822369922</v>
      </c>
      <c r="Z5" s="119">
        <f t="shared" si="2"/>
        <v>1.1865255562285717</v>
      </c>
      <c r="AA5" s="18">
        <f t="shared" si="2"/>
        <v>1.209181474704762</v>
      </c>
      <c r="AB5" s="18">
        <f t="shared" si="2"/>
        <v>1.2317591828928571</v>
      </c>
      <c r="AC5" s="18">
        <f t="shared" si="2"/>
        <v>1.2542357831841271</v>
      </c>
      <c r="AD5" s="18">
        <f t="shared" si="2"/>
        <v>1.2765868038349204</v>
      </c>
      <c r="AE5" s="18">
        <f t="shared" si="2"/>
        <v>1.298790340152381</v>
      </c>
      <c r="AF5" s="18">
        <f t="shared" si="2"/>
        <v>1.3208248264880953</v>
      </c>
      <c r="AG5" s="18">
        <f t="shared" si="2"/>
        <v>1.3426719302246033</v>
      </c>
      <c r="AH5" s="18">
        <f t="shared" si="2"/>
        <v>1.3643162248396825</v>
      </c>
      <c r="AI5" s="18">
        <f t="shared" si="2"/>
        <v>1.3857436642063492</v>
      </c>
      <c r="AJ5" s="111">
        <f t="shared" si="2"/>
        <v>1.406938446431746</v>
      </c>
      <c r="AK5" s="55">
        <f t="shared" si="3"/>
        <v>21.82651668607933</v>
      </c>
      <c r="AT5" s="3" t="s">
        <v>12</v>
      </c>
      <c r="AU5" s="54">
        <f t="shared" ref="AU5:BA9" si="6">_xlfn.XLOOKUP(AU$1,$E$1:$AJ$1,$E7:$AJ7)</f>
        <v>1.4109146447841009E-4</v>
      </c>
      <c r="AV5" s="54">
        <f t="shared" si="6"/>
        <v>0</v>
      </c>
      <c r="AW5" s="54">
        <f t="shared" si="6"/>
        <v>0</v>
      </c>
      <c r="AX5" s="54">
        <f t="shared" si="6"/>
        <v>0</v>
      </c>
      <c r="AY5" s="54">
        <f t="shared" si="6"/>
        <v>0</v>
      </c>
      <c r="AZ5" s="54">
        <f t="shared" si="6"/>
        <v>0</v>
      </c>
      <c r="BA5" s="54">
        <f t="shared" si="6"/>
        <v>0</v>
      </c>
    </row>
    <row r="6" spans="1:54">
      <c r="A6" s="121" t="s">
        <v>4</v>
      </c>
      <c r="B6" s="34" t="s">
        <v>11</v>
      </c>
      <c r="C6" s="122" t="s">
        <v>53</v>
      </c>
      <c r="D6" s="123" t="s">
        <v>57</v>
      </c>
      <c r="E6" s="124">
        <f t="shared" si="2"/>
        <v>1.5751066818746884E-3</v>
      </c>
      <c r="F6" s="125">
        <f t="shared" si="2"/>
        <v>1.8381231236658088E-3</v>
      </c>
      <c r="G6" s="125">
        <f t="shared" si="2"/>
        <v>2.1208250106466652E-3</v>
      </c>
      <c r="H6" s="125">
        <f t="shared" si="2"/>
        <v>2.4240991245201484E-3</v>
      </c>
      <c r="I6" s="125">
        <f t="shared" si="2"/>
        <v>2.7487920508564041E-3</v>
      </c>
      <c r="J6" s="126">
        <f t="shared" si="2"/>
        <v>3.0957171506529181E-3</v>
      </c>
      <c r="K6" s="125">
        <f t="shared" si="2"/>
        <v>3.101158649011252E-3</v>
      </c>
      <c r="L6" s="125">
        <f t="shared" si="2"/>
        <v>2.9497913486816046E-2</v>
      </c>
      <c r="M6" s="125">
        <f t="shared" si="2"/>
        <v>5.7546186724657257E-2</v>
      </c>
      <c r="N6" s="125">
        <f t="shared" si="2"/>
        <v>8.7284735757980209E-2</v>
      </c>
      <c r="O6" s="125">
        <f t="shared" si="2"/>
        <v>0.11874537661406964</v>
      </c>
      <c r="P6" s="126">
        <f t="shared" si="2"/>
        <v>0.15195381674969638</v>
      </c>
      <c r="Q6" s="125">
        <f t="shared" si="2"/>
        <v>0.18693182415864645</v>
      </c>
      <c r="R6" s="125">
        <f t="shared" si="2"/>
        <v>0.22369834220206872</v>
      </c>
      <c r="S6" s="125">
        <f t="shared" si="2"/>
        <v>0.26226711851374551</v>
      </c>
      <c r="T6" s="125">
        <f t="shared" si="2"/>
        <v>0.30264567559470185</v>
      </c>
      <c r="U6" s="125">
        <f t="shared" si="2"/>
        <v>0.34491479842023054</v>
      </c>
      <c r="V6" s="125">
        <f t="shared" si="2"/>
        <v>0.38909763328004254</v>
      </c>
      <c r="W6" s="125">
        <f t="shared" si="2"/>
        <v>0.43521994312518097</v>
      </c>
      <c r="X6" s="125">
        <f t="shared" si="2"/>
        <v>0.48330848870572946</v>
      </c>
      <c r="Y6" s="125">
        <f t="shared" si="2"/>
        <v>0.53338939681131647</v>
      </c>
      <c r="Z6" s="126">
        <f t="shared" si="2"/>
        <v>0.5854874716937144</v>
      </c>
      <c r="AA6" s="125">
        <f t="shared" si="2"/>
        <v>0.59999256314228577</v>
      </c>
      <c r="AB6" s="125">
        <f t="shared" si="2"/>
        <v>0.6146271294557144</v>
      </c>
      <c r="AC6" s="125">
        <f t="shared" si="2"/>
        <v>0.62938373591771435</v>
      </c>
      <c r="AD6" s="125">
        <f t="shared" si="2"/>
        <v>0.64425435021314281</v>
      </c>
      <c r="AE6" s="125">
        <f t="shared" si="2"/>
        <v>0.65923128400285713</v>
      </c>
      <c r="AF6" s="125">
        <f t="shared" si="2"/>
        <v>0.67430646455057142</v>
      </c>
      <c r="AG6" s="125">
        <f t="shared" si="2"/>
        <v>0.68947209136828569</v>
      </c>
      <c r="AH6" s="125">
        <f t="shared" si="2"/>
        <v>0.70472106539371426</v>
      </c>
      <c r="AI6" s="125">
        <f t="shared" si="2"/>
        <v>0.72004601412742852</v>
      </c>
      <c r="AJ6" s="127">
        <f t="shared" si="2"/>
        <v>0.73543888306228578</v>
      </c>
      <c r="AK6" s="128">
        <f t="shared" si="3"/>
        <v>10.866563461721608</v>
      </c>
      <c r="AT6" s="3" t="s">
        <v>13</v>
      </c>
      <c r="AU6" s="54">
        <f t="shared" si="6"/>
        <v>0.3083562253484326</v>
      </c>
      <c r="AV6" s="54">
        <f t="shared" si="6"/>
        <v>0.29081508489027647</v>
      </c>
      <c r="AW6" s="54">
        <f t="shared" si="6"/>
        <v>1.0122558927709426</v>
      </c>
      <c r="AX6" s="54">
        <f t="shared" si="6"/>
        <v>1.9241732907755238</v>
      </c>
      <c r="AY6" s="54">
        <f t="shared" si="6"/>
        <v>3.0377843022040816</v>
      </c>
      <c r="AZ6" s="54">
        <f t="shared" si="6"/>
        <v>3.4176160496428571</v>
      </c>
      <c r="BA6" s="54">
        <f t="shared" si="6"/>
        <v>3.8095485370510209</v>
      </c>
    </row>
    <row r="7" spans="1:54">
      <c r="A7" s="3" t="s">
        <v>4</v>
      </c>
      <c r="B7" s="3" t="s">
        <v>12</v>
      </c>
      <c r="C7" s="4" t="s">
        <v>53</v>
      </c>
      <c r="D7" s="91" t="s">
        <v>57</v>
      </c>
      <c r="E7" s="110">
        <f t="shared" si="2"/>
        <v>1.7184263566835342E-4</v>
      </c>
      <c r="F7" s="18">
        <f t="shared" si="2"/>
        <v>1.4109146447841009E-4</v>
      </c>
      <c r="G7" s="18">
        <f t="shared" si="2"/>
        <v>1.0717823380847282E-4</v>
      </c>
      <c r="H7" s="18">
        <f t="shared" si="2"/>
        <v>6.9934785886188616E-5</v>
      </c>
      <c r="I7" s="18">
        <f t="shared" si="2"/>
        <v>2.9190775153562381E-5</v>
      </c>
      <c r="J7" s="119">
        <f t="shared" si="2"/>
        <v>0</v>
      </c>
      <c r="K7" s="18">
        <f t="shared" si="2"/>
        <v>0</v>
      </c>
      <c r="L7" s="18">
        <f t="shared" si="2"/>
        <v>0</v>
      </c>
      <c r="M7" s="18">
        <f t="shared" si="2"/>
        <v>0</v>
      </c>
      <c r="N7" s="18">
        <f t="shared" si="2"/>
        <v>0</v>
      </c>
      <c r="O7" s="18">
        <f t="shared" si="2"/>
        <v>0</v>
      </c>
      <c r="P7" s="119">
        <f t="shared" si="2"/>
        <v>0</v>
      </c>
      <c r="Q7" s="18">
        <f t="shared" si="2"/>
        <v>0</v>
      </c>
      <c r="R7" s="18">
        <f t="shared" si="2"/>
        <v>0</v>
      </c>
      <c r="S7" s="18">
        <f t="shared" si="2"/>
        <v>0</v>
      </c>
      <c r="T7" s="18">
        <f t="shared" si="2"/>
        <v>0</v>
      </c>
      <c r="U7" s="18">
        <f t="shared" si="2"/>
        <v>0</v>
      </c>
      <c r="V7" s="18">
        <f t="shared" si="2"/>
        <v>0</v>
      </c>
      <c r="W7" s="18">
        <f t="shared" si="2"/>
        <v>0</v>
      </c>
      <c r="X7" s="18">
        <f t="shared" si="2"/>
        <v>0</v>
      </c>
      <c r="Y7" s="18">
        <f t="shared" si="2"/>
        <v>0</v>
      </c>
      <c r="Z7" s="119">
        <f t="shared" si="2"/>
        <v>0</v>
      </c>
      <c r="AA7" s="18">
        <f t="shared" si="2"/>
        <v>0</v>
      </c>
      <c r="AB7" s="18">
        <f t="shared" si="2"/>
        <v>0</v>
      </c>
      <c r="AC7" s="18">
        <f t="shared" si="2"/>
        <v>0</v>
      </c>
      <c r="AD7" s="18">
        <f t="shared" si="2"/>
        <v>0</v>
      </c>
      <c r="AE7" s="18">
        <f t="shared" si="2"/>
        <v>0</v>
      </c>
      <c r="AF7" s="18">
        <f t="shared" si="2"/>
        <v>0</v>
      </c>
      <c r="AG7" s="18">
        <f t="shared" si="2"/>
        <v>0</v>
      </c>
      <c r="AH7" s="18">
        <f t="shared" si="2"/>
        <v>0</v>
      </c>
      <c r="AI7" s="18">
        <f t="shared" si="2"/>
        <v>0</v>
      </c>
      <c r="AJ7" s="111">
        <f t="shared" si="2"/>
        <v>0</v>
      </c>
      <c r="AK7" s="55">
        <f t="shared" si="3"/>
        <v>0</v>
      </c>
      <c r="AT7" t="s">
        <v>14</v>
      </c>
      <c r="AU7" s="54">
        <f t="shared" si="6"/>
        <v>0</v>
      </c>
      <c r="AV7" s="54">
        <f t="shared" si="6"/>
        <v>0</v>
      </c>
      <c r="AW7" s="54">
        <f t="shared" si="6"/>
        <v>0.28401119326176844</v>
      </c>
      <c r="AX7" s="54">
        <f t="shared" si="6"/>
        <v>0.66274688288407135</v>
      </c>
      <c r="AY7" s="54">
        <f t="shared" si="6"/>
        <v>1.1470835788601945</v>
      </c>
      <c r="AZ7" s="54">
        <f t="shared" si="6"/>
        <v>1.3110151045470682</v>
      </c>
      <c r="BA7" s="54">
        <f t="shared" si="6"/>
        <v>1.4845397909451188</v>
      </c>
    </row>
    <row r="8" spans="1:54">
      <c r="A8" s="3" t="s">
        <v>4</v>
      </c>
      <c r="B8" s="3" t="s">
        <v>13</v>
      </c>
      <c r="C8" s="4" t="s">
        <v>53</v>
      </c>
      <c r="D8" s="91" t="s">
        <v>123</v>
      </c>
      <c r="E8" s="110">
        <f t="shared" si="2"/>
        <v>0.31045702387606694</v>
      </c>
      <c r="F8" s="18">
        <f t="shared" si="2"/>
        <v>0.3083562253484326</v>
      </c>
      <c r="G8" s="18">
        <f t="shared" si="2"/>
        <v>0.30536110235788338</v>
      </c>
      <c r="H8" s="18">
        <f t="shared" si="2"/>
        <v>0.30141074260139633</v>
      </c>
      <c r="I8" s="18">
        <f t="shared" si="2"/>
        <v>0.29643860367094571</v>
      </c>
      <c r="J8" s="119">
        <f t="shared" si="2"/>
        <v>0.29037654054996637</v>
      </c>
      <c r="K8" s="18">
        <f t="shared" si="2"/>
        <v>0.29081508489027647</v>
      </c>
      <c r="L8" s="18">
        <f t="shared" si="2"/>
        <v>0.42028209715375942</v>
      </c>
      <c r="M8" s="18">
        <f t="shared" si="2"/>
        <v>0.55704550719757218</v>
      </c>
      <c r="N8" s="18">
        <f t="shared" si="2"/>
        <v>0.70123667911542142</v>
      </c>
      <c r="O8" s="18">
        <f t="shared" si="2"/>
        <v>0.85295119900443916</v>
      </c>
      <c r="P8" s="119">
        <f t="shared" si="2"/>
        <v>1.0122558927709426</v>
      </c>
      <c r="Q8" s="18">
        <f t="shared" si="2"/>
        <v>1.179200285394272</v>
      </c>
      <c r="R8" s="18">
        <f t="shared" si="2"/>
        <v>1.3538222881346658</v>
      </c>
      <c r="S8" s="18">
        <f t="shared" si="2"/>
        <v>1.5361338031938521</v>
      </c>
      <c r="T8" s="18">
        <f t="shared" si="2"/>
        <v>1.726115288722992</v>
      </c>
      <c r="U8" s="18">
        <f t="shared" si="2"/>
        <v>1.9241732907755238</v>
      </c>
      <c r="V8" s="18">
        <f t="shared" si="2"/>
        <v>2.1303566097432292</v>
      </c>
      <c r="W8" s="18">
        <f t="shared" si="2"/>
        <v>2.3447355728201504</v>
      </c>
      <c r="X8" s="18">
        <f t="shared" si="2"/>
        <v>2.5673862777437515</v>
      </c>
      <c r="Y8" s="18">
        <f t="shared" si="2"/>
        <v>2.7983809676595159</v>
      </c>
      <c r="Z8" s="119">
        <f t="shared" si="2"/>
        <v>3.0377843022040816</v>
      </c>
      <c r="AA8" s="18">
        <f t="shared" si="2"/>
        <v>3.1125385778673476</v>
      </c>
      <c r="AB8" s="18">
        <f t="shared" si="2"/>
        <v>3.1879391106122448</v>
      </c>
      <c r="AC8" s="18">
        <f t="shared" si="2"/>
        <v>3.2639467389183672</v>
      </c>
      <c r="AD8" s="18">
        <f t="shared" si="2"/>
        <v>3.3405191734387754</v>
      </c>
      <c r="AE8" s="18">
        <f t="shared" si="2"/>
        <v>3.4176160496428571</v>
      </c>
      <c r="AF8" s="18">
        <f t="shared" si="2"/>
        <v>3.4951950923367354</v>
      </c>
      <c r="AG8" s="18">
        <f t="shared" si="2"/>
        <v>3.573215639775511</v>
      </c>
      <c r="AH8" s="18">
        <f t="shared" si="2"/>
        <v>3.6516407807755096</v>
      </c>
      <c r="AI8" s="18">
        <f t="shared" si="2"/>
        <v>3.7304323303775506</v>
      </c>
      <c r="AJ8" s="111">
        <f t="shared" si="2"/>
        <v>3.8095485370510209</v>
      </c>
      <c r="AK8" s="55">
        <f t="shared" si="3"/>
        <v>59.015267177320368</v>
      </c>
      <c r="AT8" t="s">
        <v>15</v>
      </c>
      <c r="AU8" s="54">
        <f t="shared" si="6"/>
        <v>0</v>
      </c>
      <c r="AV8" s="54">
        <f t="shared" si="6"/>
        <v>0</v>
      </c>
      <c r="AW8" s="54">
        <f t="shared" si="6"/>
        <v>5.8126740221970445E-2</v>
      </c>
      <c r="AX8" s="54">
        <f t="shared" si="6"/>
        <v>0.13778141955310347</v>
      </c>
      <c r="AY8" s="54">
        <f t="shared" si="6"/>
        <v>0.24205556793458133</v>
      </c>
      <c r="AZ8" s="54">
        <f t="shared" si="6"/>
        <v>0.28065278932536947</v>
      </c>
      <c r="BA8" s="54">
        <f t="shared" si="6"/>
        <v>0.32225551310970441</v>
      </c>
    </row>
    <row r="9" spans="1:54">
      <c r="A9" s="3" t="s">
        <v>4</v>
      </c>
      <c r="B9" t="s">
        <v>14</v>
      </c>
      <c r="C9" s="4" t="s">
        <v>53</v>
      </c>
      <c r="D9" s="91" t="s">
        <v>57</v>
      </c>
      <c r="E9" s="110">
        <f t="shared" si="2"/>
        <v>0</v>
      </c>
      <c r="F9" s="18">
        <f t="shared" si="2"/>
        <v>0</v>
      </c>
      <c r="G9" s="18">
        <f t="shared" si="2"/>
        <v>0</v>
      </c>
      <c r="H9" s="18">
        <f t="shared" si="2"/>
        <v>0</v>
      </c>
      <c r="I9" s="18">
        <f t="shared" si="2"/>
        <v>0</v>
      </c>
      <c r="J9" s="119">
        <f t="shared" si="2"/>
        <v>0</v>
      </c>
      <c r="K9" s="18">
        <f t="shared" si="2"/>
        <v>0</v>
      </c>
      <c r="L9" s="18">
        <f t="shared" si="2"/>
        <v>4.9703614860594061E-2</v>
      </c>
      <c r="M9" s="18">
        <f t="shared" si="2"/>
        <v>0.102860205607506</v>
      </c>
      <c r="N9" s="18">
        <f t="shared" si="2"/>
        <v>0.15957157396874988</v>
      </c>
      <c r="O9" s="18">
        <f t="shared" si="2"/>
        <v>0.21992838061720543</v>
      </c>
      <c r="P9" s="119">
        <f t="shared" si="2"/>
        <v>0.28401119326176844</v>
      </c>
      <c r="Q9" s="18">
        <f t="shared" si="2"/>
        <v>0.35189321069338653</v>
      </c>
      <c r="R9" s="18">
        <f t="shared" si="2"/>
        <v>0.42364167287693427</v>
      </c>
      <c r="S9" s="18">
        <f t="shared" si="2"/>
        <v>0.49931294663414949</v>
      </c>
      <c r="T9" s="18">
        <f t="shared" si="2"/>
        <v>0.57894728152229868</v>
      </c>
      <c r="U9" s="18">
        <f t="shared" si="2"/>
        <v>0.66274688288407135</v>
      </c>
      <c r="V9" s="18">
        <f t="shared" si="2"/>
        <v>0.7507856930256438</v>
      </c>
      <c r="W9" s="18">
        <f t="shared" si="2"/>
        <v>0.8431496424807825</v>
      </c>
      <c r="X9" s="18">
        <f t="shared" si="2"/>
        <v>0.93992788051893883</v>
      </c>
      <c r="Y9" s="18">
        <f t="shared" si="2"/>
        <v>1.0412099714874257</v>
      </c>
      <c r="Z9" s="119">
        <f t="shared" si="2"/>
        <v>1.1470835788601945</v>
      </c>
      <c r="AA9" s="18">
        <f t="shared" si="2"/>
        <v>1.1790279371678802</v>
      </c>
      <c r="AB9" s="18">
        <f t="shared" si="2"/>
        <v>1.2114041607586414</v>
      </c>
      <c r="AC9" s="18">
        <f t="shared" si="2"/>
        <v>1.2442017805514543</v>
      </c>
      <c r="AD9" s="18">
        <f t="shared" si="2"/>
        <v>1.2774093466061212</v>
      </c>
      <c r="AE9" s="18">
        <f t="shared" si="2"/>
        <v>1.3110151045470682</v>
      </c>
      <c r="AF9" s="18">
        <f t="shared" si="2"/>
        <v>1.3450059619352275</v>
      </c>
      <c r="AG9" s="18">
        <f t="shared" si="2"/>
        <v>1.3793679568800061</v>
      </c>
      <c r="AH9" s="18">
        <f t="shared" si="2"/>
        <v>1.4140877249805697</v>
      </c>
      <c r="AI9" s="18">
        <f t="shared" si="2"/>
        <v>1.4491503539863499</v>
      </c>
      <c r="AJ9" s="111">
        <f t="shared" si="2"/>
        <v>1.4845397909451188</v>
      </c>
      <c r="AK9" s="55">
        <f t="shared" si="3"/>
        <v>21.349983847658084</v>
      </c>
      <c r="AT9" t="s">
        <v>16</v>
      </c>
      <c r="AU9" s="54">
        <f t="shared" si="6"/>
        <v>0</v>
      </c>
      <c r="AV9" s="54">
        <f t="shared" si="6"/>
        <v>0</v>
      </c>
      <c r="AW9" s="54">
        <f t="shared" si="6"/>
        <v>2.2939837121412721E-2</v>
      </c>
      <c r="AX9" s="54">
        <f t="shared" si="6"/>
        <v>5.0376637147981802E-2</v>
      </c>
      <c r="AY9" s="54">
        <f t="shared" si="6"/>
        <v>8.1914056081210745E-2</v>
      </c>
      <c r="AZ9" s="54">
        <f t="shared" si="6"/>
        <v>8.7721813489315265E-2</v>
      </c>
      <c r="BA9" s="54">
        <f t="shared" si="6"/>
        <v>9.2769405632349047E-2</v>
      </c>
    </row>
    <row r="10" spans="1:54">
      <c r="A10" s="3" t="s">
        <v>4</v>
      </c>
      <c r="B10" t="s">
        <v>15</v>
      </c>
      <c r="C10" s="4" t="s">
        <v>53</v>
      </c>
      <c r="D10" s="91" t="s">
        <v>57</v>
      </c>
      <c r="E10" s="110">
        <f t="shared" si="2"/>
        <v>0</v>
      </c>
      <c r="F10" s="18">
        <f t="shared" si="2"/>
        <v>0</v>
      </c>
      <c r="G10" s="18">
        <f t="shared" si="2"/>
        <v>0</v>
      </c>
      <c r="H10" s="18">
        <f t="shared" si="2"/>
        <v>0</v>
      </c>
      <c r="I10" s="18">
        <f t="shared" si="2"/>
        <v>0</v>
      </c>
      <c r="J10" s="119">
        <f t="shared" si="2"/>
        <v>0</v>
      </c>
      <c r="K10" s="18">
        <f t="shared" si="2"/>
        <v>0</v>
      </c>
      <c r="L10" s="18">
        <f t="shared" si="2"/>
        <v>1.0038795148019706E-2</v>
      </c>
      <c r="M10" s="18">
        <f t="shared" si="2"/>
        <v>2.0845273806561575E-2</v>
      </c>
      <c r="N10" s="18">
        <f t="shared" si="2"/>
        <v>3.2445938798955666E-2</v>
      </c>
      <c r="O10" s="18">
        <f t="shared" si="2"/>
        <v>4.4865450629911333E-2</v>
      </c>
      <c r="P10" s="119">
        <f t="shared" si="2"/>
        <v>5.8126740221970445E-2</v>
      </c>
      <c r="Q10" s="18">
        <f t="shared" si="2"/>
        <v>7.2251269480197056E-2</v>
      </c>
      <c r="R10" s="18">
        <f t="shared" si="2"/>
        <v>8.7259168789655187E-2</v>
      </c>
      <c r="S10" s="18">
        <f t="shared" si="2"/>
        <v>0.10316813506782266</v>
      </c>
      <c r="T10" s="18">
        <f t="shared" si="2"/>
        <v>0.11999165807172414</v>
      </c>
      <c r="U10" s="18">
        <f t="shared" si="2"/>
        <v>0.13778141955310347</v>
      </c>
      <c r="V10" s="18">
        <f t="shared" si="2"/>
        <v>0.15655859707519212</v>
      </c>
      <c r="W10" s="18">
        <f t="shared" si="2"/>
        <v>0.17634835193852216</v>
      </c>
      <c r="X10" s="18">
        <f t="shared" si="2"/>
        <v>0.19717678824833496</v>
      </c>
      <c r="Y10" s="18">
        <f t="shared" si="2"/>
        <v>0.21907043719655173</v>
      </c>
      <c r="Z10" s="119">
        <f t="shared" si="2"/>
        <v>0.24205556793458133</v>
      </c>
      <c r="AA10" s="18">
        <f t="shared" si="2"/>
        <v>0.24952229898162559</v>
      </c>
      <c r="AB10" s="18">
        <f t="shared" si="2"/>
        <v>0.25711684610985225</v>
      </c>
      <c r="AC10" s="18">
        <f t="shared" si="2"/>
        <v>0.26483784356837436</v>
      </c>
      <c r="AD10" s="18">
        <f t="shared" si="2"/>
        <v>0.27268375773147785</v>
      </c>
      <c r="AE10" s="18">
        <f t="shared" si="2"/>
        <v>0.28065278932536947</v>
      </c>
      <c r="AF10" s="18">
        <f t="shared" si="2"/>
        <v>0.28874273629965519</v>
      </c>
      <c r="AG10" s="18">
        <f t="shared" si="2"/>
        <v>0.2969509243406897</v>
      </c>
      <c r="AH10" s="18">
        <f t="shared" si="2"/>
        <v>0.30527464531389165</v>
      </c>
      <c r="AI10" s="18">
        <f t="shared" si="2"/>
        <v>0.31371065609896548</v>
      </c>
      <c r="AJ10" s="111">
        <f t="shared" ref="AJ10" si="7">SUM(AJ21,AJ32)</f>
        <v>0.32225551310970441</v>
      </c>
      <c r="AK10" s="55">
        <f t="shared" si="3"/>
        <v>4.5297316028407089</v>
      </c>
    </row>
    <row r="11" spans="1:54">
      <c r="A11" s="3" t="s">
        <v>4</v>
      </c>
      <c r="B11" t="s">
        <v>16</v>
      </c>
      <c r="C11" s="4" t="s">
        <v>53</v>
      </c>
      <c r="D11" s="91" t="s">
        <v>57</v>
      </c>
      <c r="E11" s="110">
        <f t="shared" ref="E11:AJ12" si="8">SUM(E22,E33)</f>
        <v>0</v>
      </c>
      <c r="F11" s="18">
        <f t="shared" si="8"/>
        <v>0</v>
      </c>
      <c r="G11" s="18">
        <f t="shared" si="8"/>
        <v>0</v>
      </c>
      <c r="H11" s="18">
        <f t="shared" si="8"/>
        <v>0</v>
      </c>
      <c r="I11" s="18">
        <f t="shared" si="8"/>
        <v>0</v>
      </c>
      <c r="J11" s="119">
        <f t="shared" si="8"/>
        <v>0</v>
      </c>
      <c r="K11" s="18">
        <f t="shared" si="8"/>
        <v>0</v>
      </c>
      <c r="L11" s="18">
        <f t="shared" si="8"/>
        <v>4.2115736687875103E-3</v>
      </c>
      <c r="M11" s="18">
        <f t="shared" si="8"/>
        <v>8.6122188412720881E-3</v>
      </c>
      <c r="N11" s="18">
        <f t="shared" si="8"/>
        <v>1.3201809838385025E-2</v>
      </c>
      <c r="O11" s="18">
        <f t="shared" si="8"/>
        <v>1.7978676175837982E-2</v>
      </c>
      <c r="P11" s="119">
        <f t="shared" si="8"/>
        <v>2.2939837121412721E-2</v>
      </c>
      <c r="Q11" s="18">
        <f t="shared" si="8"/>
        <v>2.8081659109950724E-2</v>
      </c>
      <c r="R11" s="18">
        <f t="shared" si="8"/>
        <v>3.3400192196693414E-2</v>
      </c>
      <c r="S11" s="18">
        <f t="shared" si="8"/>
        <v>3.8890914771673821E-2</v>
      </c>
      <c r="T11" s="18">
        <f t="shared" si="8"/>
        <v>4.4549341663127205E-2</v>
      </c>
      <c r="U11" s="18">
        <f t="shared" si="8"/>
        <v>5.0376637147981802E-2</v>
      </c>
      <c r="V11" s="18">
        <f t="shared" si="8"/>
        <v>5.6369870678369689E-2</v>
      </c>
      <c r="W11" s="18">
        <f t="shared" si="8"/>
        <v>6.2524826114282631E-2</v>
      </c>
      <c r="X11" s="18">
        <f t="shared" si="8"/>
        <v>6.8837128907719453E-2</v>
      </c>
      <c r="Y11" s="18">
        <f t="shared" si="8"/>
        <v>7.5301934086942621E-2</v>
      </c>
      <c r="Z11" s="119">
        <f t="shared" si="8"/>
        <v>8.1914056081210745E-2</v>
      </c>
      <c r="AA11" s="18">
        <f t="shared" si="8"/>
        <v>8.3126024506740698E-2</v>
      </c>
      <c r="AB11" s="18">
        <f t="shared" si="8"/>
        <v>8.4314797943729466E-2</v>
      </c>
      <c r="AC11" s="18">
        <f t="shared" si="8"/>
        <v>8.547838647358913E-2</v>
      </c>
      <c r="AD11" s="18">
        <f t="shared" si="8"/>
        <v>8.6614672534927481E-2</v>
      </c>
      <c r="AE11" s="18">
        <f t="shared" si="8"/>
        <v>8.7721813489315265E-2</v>
      </c>
      <c r="AF11" s="18">
        <f t="shared" si="8"/>
        <v>8.8798048520633457E-2</v>
      </c>
      <c r="AG11" s="18">
        <f t="shared" si="8"/>
        <v>8.9841980103821106E-2</v>
      </c>
      <c r="AH11" s="18">
        <f t="shared" si="8"/>
        <v>9.0852488909672457E-2</v>
      </c>
      <c r="AI11" s="18">
        <f t="shared" si="8"/>
        <v>9.1828651982526682E-2</v>
      </c>
      <c r="AJ11" s="111">
        <f t="shared" si="8"/>
        <v>9.2769405632349047E-2</v>
      </c>
      <c r="AK11" s="55">
        <f t="shared" si="3"/>
        <v>1.4885369465009521</v>
      </c>
    </row>
    <row r="12" spans="1:54" ht="17" thickBot="1">
      <c r="A12" s="31" t="s">
        <v>4</v>
      </c>
      <c r="B12" s="31" t="s">
        <v>17</v>
      </c>
      <c r="C12" s="32" t="s">
        <v>53</v>
      </c>
      <c r="D12" s="93" t="s">
        <v>57</v>
      </c>
      <c r="E12" s="112">
        <f t="shared" si="8"/>
        <v>0</v>
      </c>
      <c r="F12" s="113">
        <f t="shared" si="8"/>
        <v>0</v>
      </c>
      <c r="G12" s="113">
        <f t="shared" si="8"/>
        <v>0</v>
      </c>
      <c r="H12" s="113">
        <f t="shared" si="8"/>
        <v>0</v>
      </c>
      <c r="I12" s="113">
        <f t="shared" si="8"/>
        <v>0</v>
      </c>
      <c r="J12" s="120">
        <f t="shared" si="8"/>
        <v>0</v>
      </c>
      <c r="K12" s="113">
        <f t="shared" si="8"/>
        <v>0</v>
      </c>
      <c r="L12" s="113">
        <f t="shared" si="8"/>
        <v>0</v>
      </c>
      <c r="M12" s="113">
        <f t="shared" si="8"/>
        <v>0</v>
      </c>
      <c r="N12" s="113">
        <f t="shared" si="8"/>
        <v>0</v>
      </c>
      <c r="O12" s="113">
        <f t="shared" si="8"/>
        <v>0</v>
      </c>
      <c r="P12" s="120">
        <f t="shared" si="8"/>
        <v>0</v>
      </c>
      <c r="Q12" s="113">
        <f t="shared" si="8"/>
        <v>0</v>
      </c>
      <c r="R12" s="113">
        <f t="shared" si="8"/>
        <v>0</v>
      </c>
      <c r="S12" s="113">
        <f t="shared" si="8"/>
        <v>0</v>
      </c>
      <c r="T12" s="113">
        <f t="shared" si="8"/>
        <v>0</v>
      </c>
      <c r="U12" s="113">
        <f t="shared" si="8"/>
        <v>0</v>
      </c>
      <c r="V12" s="113">
        <f t="shared" si="8"/>
        <v>0</v>
      </c>
      <c r="W12" s="113">
        <f t="shared" si="8"/>
        <v>0</v>
      </c>
      <c r="X12" s="113">
        <f t="shared" si="8"/>
        <v>0</v>
      </c>
      <c r="Y12" s="113">
        <f t="shared" si="8"/>
        <v>0</v>
      </c>
      <c r="Z12" s="120">
        <f t="shared" si="8"/>
        <v>0</v>
      </c>
      <c r="AA12" s="113">
        <f t="shared" si="8"/>
        <v>0</v>
      </c>
      <c r="AB12" s="113">
        <f t="shared" si="8"/>
        <v>0</v>
      </c>
      <c r="AC12" s="113">
        <f t="shared" si="8"/>
        <v>0</v>
      </c>
      <c r="AD12" s="113">
        <f t="shared" si="8"/>
        <v>0</v>
      </c>
      <c r="AE12" s="113">
        <f t="shared" si="8"/>
        <v>0</v>
      </c>
      <c r="AF12" s="113">
        <f t="shared" si="8"/>
        <v>0</v>
      </c>
      <c r="AG12" s="113">
        <f t="shared" si="8"/>
        <v>0</v>
      </c>
      <c r="AH12" s="113">
        <f t="shared" si="8"/>
        <v>0</v>
      </c>
      <c r="AI12" s="113">
        <f t="shared" si="8"/>
        <v>0</v>
      </c>
      <c r="AJ12" s="114">
        <f t="shared" si="8"/>
        <v>0</v>
      </c>
      <c r="AK12" s="55">
        <f t="shared" si="3"/>
        <v>0</v>
      </c>
    </row>
    <row r="13" spans="1:54">
      <c r="A13" s="28" t="s">
        <v>18</v>
      </c>
      <c r="B13" s="28" t="s">
        <v>36</v>
      </c>
      <c r="C13" s="29" t="s">
        <v>53</v>
      </c>
      <c r="D13" s="101" t="s">
        <v>57</v>
      </c>
      <c r="E13" s="107" cm="1">
        <f t="array" ref="E13">NICCS_scenario!E13*_xlfn.XLOOKUP($B13,params!$O$2:$O$12,params!$P$2:$P$12,0)*_xlfn.XLOOKUP(1,(Population!$B:$B=$A13)*(Population!$A:$A=E$1),Population!$D:$D)</f>
        <v>7.9347108531834376</v>
      </c>
      <c r="F13" s="108" cm="1">
        <f t="array" ref="F13">NICCS_scenario!F13*_xlfn.XLOOKUP($B13,params!$O$2:$O$12,params!$P$2:$P$12,0)*_xlfn.XLOOKUP(1,(Population!$B:$B=$A13)*(Population!$A:$A=F$1),Population!$D:$D)</f>
        <v>8.0283346130346906</v>
      </c>
      <c r="G13" s="108" cm="1">
        <f t="array" ref="G13">NICCS_scenario!G13*_xlfn.XLOOKUP($B13,params!$O$2:$O$12,params!$P$2:$P$12,0)*_xlfn.XLOOKUP(1,(Population!$B:$B=$A13)*(Population!$A:$A=G$1),Population!$D:$D)</f>
        <v>8.1177592475463438</v>
      </c>
      <c r="H13" s="108" cm="1">
        <f t="array" ref="H13">NICCS_scenario!H13*_xlfn.XLOOKUP($B13,params!$O$2:$O$12,params!$P$2:$P$12,0)*_xlfn.XLOOKUP(1,(Population!$B:$B=$A13)*(Population!$A:$A=H$1),Population!$D:$D)</f>
        <v>8.2028129502107401</v>
      </c>
      <c r="I13" s="108" cm="1">
        <f t="array" ref="I13">NICCS_scenario!I13*_xlfn.XLOOKUP($B13,params!$O$2:$O$12,params!$P$2:$P$12,0)*_xlfn.XLOOKUP(1,(Population!$B:$B=$A13)*(Population!$A:$A=I$1),Population!$D:$D)</f>
        <v>8.2835118764600217</v>
      </c>
      <c r="J13" s="118" cm="1">
        <f t="array" ref="J13">NICCS_scenario!J13*_xlfn.XLOOKUP($B13,params!$O$2:$O$12,params!$P$2:$P$12,0)*_xlfn.XLOOKUP(1,(Population!$B:$B=$A13)*(Population!$A:$A=J$1),Population!$D:$D)</f>
        <v>8.3599725422317821</v>
      </c>
      <c r="K13" s="108" cm="1">
        <f t="array" ref="K13">NICCS_scenario!K13*_xlfn.XLOOKUP($B13,params!$O$2:$O$12,params!$P$2:$P$12,0)*_xlfn.XLOOKUP(1,(Population!$B:$B=$A13)*(Population!$A:$A=K$1),Population!$D:$D)</f>
        <v>8.3327364005895053</v>
      </c>
      <c r="L13" s="108" cm="1">
        <f t="array" ref="L13">NICCS_scenario!L13*_xlfn.XLOOKUP($B13,params!$O$2:$O$12,params!$P$2:$P$12,0)*_xlfn.XLOOKUP(1,(Population!$B:$B=$A13)*(Population!$A:$A=L$1),Population!$D:$D)</f>
        <v>7.9552558154851427</v>
      </c>
      <c r="M13" s="108" cm="1">
        <f t="array" ref="M13">NICCS_scenario!M13*_xlfn.XLOOKUP($B13,params!$O$2:$O$12,params!$P$2:$P$12,0)*_xlfn.XLOOKUP(1,(Population!$B:$B=$A13)*(Population!$A:$A=M$1),Population!$D:$D)</f>
        <v>7.5528372385327671</v>
      </c>
      <c r="N13" s="108" cm="1">
        <f t="array" ref="N13">NICCS_scenario!N13*_xlfn.XLOOKUP($B13,params!$O$2:$O$12,params!$P$2:$P$12,0)*_xlfn.XLOOKUP(1,(Population!$B:$B=$A13)*(Population!$A:$A=N$1),Population!$D:$D)</f>
        <v>7.1248409909840014</v>
      </c>
      <c r="O13" s="108" cm="1">
        <f t="array" ref="O13">NICCS_scenario!O13*_xlfn.XLOOKUP($B13,params!$O$2:$O$12,params!$P$2:$P$12,0)*_xlfn.XLOOKUP(1,(Population!$B:$B=$A13)*(Population!$A:$A=O$1),Population!$D:$D)</f>
        <v>6.6707108534881083</v>
      </c>
      <c r="P13" s="118" cm="1">
        <f t="array" ref="P13">NICCS_scenario!P13*_xlfn.XLOOKUP($B13,params!$O$2:$O$12,params!$P$2:$P$12,0)*_xlfn.XLOOKUP(1,(Population!$B:$B=$A13)*(Population!$A:$A=P$1),Population!$D:$D)</f>
        <v>6.1901623281195404</v>
      </c>
      <c r="Q13" s="108" cm="1">
        <f t="array" ref="Q13">NICCS_scenario!Q13*_xlfn.XLOOKUP($B13,params!$O$2:$O$12,params!$P$2:$P$12,0)*_xlfn.XLOOKUP(1,(Population!$B:$B=$A13)*(Population!$A:$A=Q$1),Population!$D:$D)</f>
        <v>5.6832365705177725</v>
      </c>
      <c r="R13" s="108" cm="1">
        <f t="array" ref="R13">NICCS_scenario!R13*_xlfn.XLOOKUP($B13,params!$O$2:$O$12,params!$P$2:$P$12,0)*_xlfn.XLOOKUP(1,(Population!$B:$B=$A13)*(Population!$A:$A=R$1),Population!$D:$D)</f>
        <v>5.1501825752455463</v>
      </c>
      <c r="S13" s="108" cm="1">
        <f t="array" ref="S13">NICCS_scenario!S13*_xlfn.XLOOKUP($B13,params!$O$2:$O$12,params!$P$2:$P$12,0)*_xlfn.XLOOKUP(1,(Population!$B:$B=$A13)*(Population!$A:$A=S$1),Population!$D:$D)</f>
        <v>4.5913238173862672</v>
      </c>
      <c r="T13" s="108" cm="1">
        <f t="array" ref="T13">NICCS_scenario!T13*_xlfn.XLOOKUP($B13,params!$O$2:$O$12,params!$P$2:$P$12,0)*_xlfn.XLOOKUP(1,(Population!$B:$B=$A13)*(Population!$A:$A=T$1),Population!$D:$D)</f>
        <v>4.0071144220433714</v>
      </c>
      <c r="U13" s="108" cm="1">
        <f t="array" ref="U13">NICCS_scenario!U13*_xlfn.XLOOKUP($B13,params!$O$2:$O$12,params!$P$2:$P$12,0)*_xlfn.XLOOKUP(1,(Population!$B:$B=$A13)*(Population!$A:$A=U$1),Population!$D:$D)</f>
        <v>3.3984500395569963</v>
      </c>
      <c r="V13" s="108" cm="1">
        <f t="array" ref="V13">NICCS_scenario!V13*_xlfn.XLOOKUP($B13,params!$O$2:$O$12,params!$P$2:$P$12,0)*_xlfn.XLOOKUP(1,(Population!$B:$B=$A13)*(Population!$A:$A=V$1),Population!$D:$D)</f>
        <v>2.765642604945683</v>
      </c>
      <c r="W13" s="108" cm="1">
        <f t="array" ref="W13">NICCS_scenario!W13*_xlfn.XLOOKUP($B13,params!$O$2:$O$12,params!$P$2:$P$12,0)*_xlfn.XLOOKUP(1,(Population!$B:$B=$A13)*(Population!$A:$A=W$1),Population!$D:$D)</f>
        <v>2.1089885094671397</v>
      </c>
      <c r="X13" s="108" cm="1">
        <f t="array" ref="X13">NICCS_scenario!X13*_xlfn.XLOOKUP($B13,params!$O$2:$O$12,params!$P$2:$P$12,0)*_xlfn.XLOOKUP(1,(Population!$B:$B=$A13)*(Population!$A:$A=X$1),Population!$D:$D)</f>
        <v>1.4288646893215748</v>
      </c>
      <c r="Y13" s="108" cm="1">
        <f t="array" ref="Y13">NICCS_scenario!Y13*_xlfn.XLOOKUP($B13,params!$O$2:$O$12,params!$P$2:$P$12,0)*_xlfn.XLOOKUP(1,(Population!$B:$B=$A13)*(Population!$A:$A=Y$1),Population!$D:$D)</f>
        <v>0.72570448572009816</v>
      </c>
      <c r="Z13" s="118" cm="1">
        <f t="array" ref="Z13">NICCS_scenario!Z13*_xlfn.XLOOKUP($B13,params!$O$2:$O$12,params!$P$2:$P$12,0)*_xlfn.XLOOKUP(1,(Population!$B:$B=$A13)*(Population!$A:$A=Z$1),Population!$D:$D)</f>
        <v>0</v>
      </c>
      <c r="AA13" s="108" cm="1">
        <f t="array" ref="AA13">NICCS_scenario!AA13*_xlfn.XLOOKUP($B13,params!$O$2:$O$12,params!$P$2:$P$12,0)*_xlfn.XLOOKUP(1,(Population!$B:$B=$A13)*(Population!$A:$A=AA$1),Population!$D:$D)</f>
        <v>0</v>
      </c>
      <c r="AB13" s="108" cm="1">
        <f t="array" ref="AB13">NICCS_scenario!AB13*_xlfn.XLOOKUP($B13,params!$O$2:$O$12,params!$P$2:$P$12,0)*_xlfn.XLOOKUP(1,(Population!$B:$B=$A13)*(Population!$A:$A=AB$1),Population!$D:$D)</f>
        <v>0</v>
      </c>
      <c r="AC13" s="108" cm="1">
        <f t="array" ref="AC13">NICCS_scenario!AC13*_xlfn.XLOOKUP($B13,params!$O$2:$O$12,params!$P$2:$P$12,0)*_xlfn.XLOOKUP(1,(Population!$B:$B=$A13)*(Population!$A:$A=AC$1),Population!$D:$D)</f>
        <v>0</v>
      </c>
      <c r="AD13" s="108" cm="1">
        <f t="array" ref="AD13">NICCS_scenario!AD13*_xlfn.XLOOKUP($B13,params!$O$2:$O$12,params!$P$2:$P$12,0)*_xlfn.XLOOKUP(1,(Population!$B:$B=$A13)*(Population!$A:$A=AD$1),Population!$D:$D)</f>
        <v>0</v>
      </c>
      <c r="AE13" s="108" cm="1">
        <f t="array" ref="AE13">NICCS_scenario!AE13*_xlfn.XLOOKUP($B13,params!$O$2:$O$12,params!$P$2:$P$12,0)*_xlfn.XLOOKUP(1,(Population!$B:$B=$A13)*(Population!$A:$A=AE$1),Population!$D:$D)</f>
        <v>0</v>
      </c>
      <c r="AF13" s="108" cm="1">
        <f t="array" ref="AF13">NICCS_scenario!AF13*_xlfn.XLOOKUP($B13,params!$O$2:$O$12,params!$P$2:$P$12,0)*_xlfn.XLOOKUP(1,(Population!$B:$B=$A13)*(Population!$A:$A=AF$1),Population!$D:$D)</f>
        <v>0</v>
      </c>
      <c r="AG13" s="108" cm="1">
        <f t="array" ref="AG13">NICCS_scenario!AG13*_xlfn.XLOOKUP($B13,params!$O$2:$O$12,params!$P$2:$P$12,0)*_xlfn.XLOOKUP(1,(Population!$B:$B=$A13)*(Population!$A:$A=AG$1),Population!$D:$D)</f>
        <v>0</v>
      </c>
      <c r="AH13" s="108" cm="1">
        <f t="array" ref="AH13">NICCS_scenario!AH13*_xlfn.XLOOKUP($B13,params!$O$2:$O$12,params!$P$2:$P$12,0)*_xlfn.XLOOKUP(1,(Population!$B:$B=$A13)*(Population!$A:$A=AH$1),Population!$D:$D)</f>
        <v>0</v>
      </c>
      <c r="AI13" s="108" cm="1">
        <f t="array" ref="AI13">NICCS_scenario!AI13*_xlfn.XLOOKUP($B13,params!$O$2:$O$12,params!$P$2:$P$12,0)*_xlfn.XLOOKUP(1,(Population!$B:$B=$A13)*(Population!$A:$A=AI$1),Population!$D:$D)</f>
        <v>0</v>
      </c>
      <c r="AJ13" s="109" cm="1">
        <f t="array" ref="AJ13">NICCS_scenario!AJ13*_xlfn.XLOOKUP($B13,params!$O$2:$O$12,params!$P$2:$P$12,0)*_xlfn.XLOOKUP(1,(Population!$B:$B=$A13)*(Population!$A:$A=AJ$1),Population!$D:$D)</f>
        <v>0</v>
      </c>
      <c r="AK13" s="55">
        <f t="shared" si="3"/>
        <v>73.686051341403513</v>
      </c>
    </row>
    <row r="14" spans="1:54">
      <c r="A14" s="3" t="s">
        <v>18</v>
      </c>
      <c r="B14" s="3" t="s">
        <v>8</v>
      </c>
      <c r="C14" s="4" t="s">
        <v>53</v>
      </c>
      <c r="D14" s="91" t="s">
        <v>57</v>
      </c>
      <c r="E14" s="110" cm="1">
        <f t="array" ref="E14">NICCS_scenario!E14*_xlfn.XLOOKUP($B14,params!$O$2:$O$12,params!$P$2:$P$12,0)*_xlfn.XLOOKUP(1,(Population!$B:$B=$A14)*(Population!$A:$A=E$1),Population!$D:$D)</f>
        <v>0.31811933732741943</v>
      </c>
      <c r="F14" s="18" cm="1">
        <f t="array" ref="F14">NICCS_scenario!F14*_xlfn.XLOOKUP($B14,params!$O$2:$O$12,params!$P$2:$P$12,0)*_xlfn.XLOOKUP(1,(Population!$B:$B=$A14)*(Population!$A:$A=F$1),Population!$D:$D)</f>
        <v>0.36007917407379103</v>
      </c>
      <c r="G14" s="18" cm="1">
        <f t="array" ref="G14">NICCS_scenario!G14*_xlfn.XLOOKUP($B14,params!$O$2:$O$12,params!$P$2:$P$12,0)*_xlfn.XLOOKUP(1,(Population!$B:$B=$A14)*(Population!$A:$A=G$1),Population!$D:$D)</f>
        <v>0.40378340664973555</v>
      </c>
      <c r="H14" s="18" cm="1">
        <f t="array" ref="H14">NICCS_scenario!H14*_xlfn.XLOOKUP($B14,params!$O$2:$O$12,params!$P$2:$P$12,0)*_xlfn.XLOOKUP(1,(Population!$B:$B=$A14)*(Population!$A:$A=H$1),Population!$D:$D)</f>
        <v>0.44924094833449152</v>
      </c>
      <c r="I14" s="18" cm="1">
        <f t="array" ref="I14">NICCS_scenario!I14*_xlfn.XLOOKUP($B14,params!$O$2:$O$12,params!$P$2:$P$12,0)*_xlfn.XLOOKUP(1,(Population!$B:$B=$A14)*(Population!$A:$A=I$1),Population!$D:$D)</f>
        <v>0.49646946175837753</v>
      </c>
      <c r="J14" s="119" cm="1">
        <f t="array" ref="J14">NICCS_scenario!J14*_xlfn.XLOOKUP($B14,params!$O$2:$O$12,params!$P$2:$P$12,0)*_xlfn.XLOOKUP(1,(Population!$B:$B=$A14)*(Population!$A:$A=J$1),Population!$D:$D)</f>
        <v>0.54549445866629931</v>
      </c>
      <c r="K14" s="18" cm="1">
        <f t="array" ref="K14">NICCS_scenario!K14*_xlfn.XLOOKUP($B14,params!$O$2:$O$12,params!$P$2:$P$12,0)*_xlfn.XLOOKUP(1,(Population!$B:$B=$A14)*(Population!$A:$A=K$1),Population!$D:$D)</f>
        <v>0.62373664153659303</v>
      </c>
      <c r="L14" s="18" cm="1">
        <f t="array" ref="L14">NICCS_scenario!L14*_xlfn.XLOOKUP($B14,params!$O$2:$O$12,params!$P$2:$P$12,0)*_xlfn.XLOOKUP(1,(Population!$B:$B=$A14)*(Population!$A:$A=L$1),Population!$D:$D)</f>
        <v>0.59548080082841881</v>
      </c>
      <c r="M14" s="18" cm="1">
        <f t="array" ref="M14">NICCS_scenario!M14*_xlfn.XLOOKUP($B14,params!$O$2:$O$12,params!$P$2:$P$12,0)*_xlfn.XLOOKUP(1,(Population!$B:$B=$A14)*(Population!$A:$A=M$1),Population!$D:$D)</f>
        <v>0.56535825769091452</v>
      </c>
      <c r="N14" s="18" cm="1">
        <f t="array" ref="N14">NICCS_scenario!N14*_xlfn.XLOOKUP($B14,params!$O$2:$O$12,params!$P$2:$P$12,0)*_xlfn.XLOOKUP(1,(Population!$B:$B=$A14)*(Population!$A:$A=N$1),Population!$D:$D)</f>
        <v>0.53332112976527335</v>
      </c>
      <c r="O14" s="18" cm="1">
        <f t="array" ref="O14">NICCS_scenario!O14*_xlfn.XLOOKUP($B14,params!$O$2:$O$12,params!$P$2:$P$12,0)*_xlfn.XLOOKUP(1,(Population!$B:$B=$A14)*(Population!$A:$A=O$1),Population!$D:$D)</f>
        <v>0.49932778194231814</v>
      </c>
      <c r="P14" s="119" cm="1">
        <f t="array" ref="P14">NICCS_scenario!P14*_xlfn.XLOOKUP($B14,params!$O$2:$O$12,params!$P$2:$P$12,0)*_xlfn.XLOOKUP(1,(Population!$B:$B=$A14)*(Population!$A:$A=P$1),Population!$D:$D)</f>
        <v>0.46335691848292104</v>
      </c>
      <c r="Q14" s="18" cm="1">
        <f t="array" ref="Q14">NICCS_scenario!Q14*_xlfn.XLOOKUP($B14,params!$O$2:$O$12,params!$P$2:$P$12,0)*_xlfn.XLOOKUP(1,(Population!$B:$B=$A14)*(Population!$A:$A=Q$1),Population!$D:$D)</f>
        <v>0.42541162004139699</v>
      </c>
      <c r="R14" s="18" cm="1">
        <f t="array" ref="R14">NICCS_scenario!R14*_xlfn.XLOOKUP($B14,params!$O$2:$O$12,params!$P$2:$P$12,0)*_xlfn.XLOOKUP(1,(Population!$B:$B=$A14)*(Population!$A:$A=R$1),Population!$D:$D)</f>
        <v>0.38551052479671372</v>
      </c>
      <c r="S14" s="18" cm="1">
        <f t="array" ref="S14">NICCS_scenario!S14*_xlfn.XLOOKUP($B14,params!$O$2:$O$12,params!$P$2:$P$12,0)*_xlfn.XLOOKUP(1,(Population!$B:$B=$A14)*(Population!$A:$A=S$1),Population!$D:$D)</f>
        <v>0.34367784607477569</v>
      </c>
      <c r="T14" s="18" cm="1">
        <f t="array" ref="T14">NICCS_scenario!T14*_xlfn.XLOOKUP($B14,params!$O$2:$O$12,params!$P$2:$P$12,0)*_xlfn.XLOOKUP(1,(Population!$B:$B=$A14)*(Population!$A:$A=T$1),Population!$D:$D)</f>
        <v>0.29994757684658763</v>
      </c>
      <c r="U14" s="18" cm="1">
        <f t="array" ref="U14">NICCS_scenario!U14*_xlfn.XLOOKUP($B14,params!$O$2:$O$12,params!$P$2:$P$12,0)*_xlfn.XLOOKUP(1,(Population!$B:$B=$A14)*(Population!$A:$A=U$1),Population!$D:$D)</f>
        <v>0.25438675990677212</v>
      </c>
      <c r="V14" s="18" cm="1">
        <f t="array" ref="V14">NICCS_scenario!V14*_xlfn.XLOOKUP($B14,params!$O$2:$O$12,params!$P$2:$P$12,0)*_xlfn.XLOOKUP(1,(Population!$B:$B=$A14)*(Population!$A:$A=V$1),Population!$D:$D)</f>
        <v>0.20701874476400048</v>
      </c>
      <c r="W14" s="18" cm="1">
        <f t="array" ref="W14">NICCS_scenario!W14*_xlfn.XLOOKUP($B14,params!$O$2:$O$12,params!$P$2:$P$12,0)*_xlfn.XLOOKUP(1,(Population!$B:$B=$A14)*(Population!$A:$A=W$1),Population!$D:$D)</f>
        <v>0.15786571741801844</v>
      </c>
      <c r="X14" s="18" cm="1">
        <f t="array" ref="X14">NICCS_scenario!X14*_xlfn.XLOOKUP($B14,params!$O$2:$O$12,params!$P$2:$P$12,0)*_xlfn.XLOOKUP(1,(Population!$B:$B=$A14)*(Population!$A:$A=X$1),Population!$D:$D)</f>
        <v>0.1069558929602784</v>
      </c>
      <c r="Y14" s="18" cm="1">
        <f t="array" ref="Y14">NICCS_scenario!Y14*_xlfn.XLOOKUP($B14,params!$O$2:$O$12,params!$P$2:$P$12,0)*_xlfn.XLOOKUP(1,(Population!$B:$B=$A14)*(Population!$A:$A=Y$1),Population!$D:$D)</f>
        <v>5.4321708609319688E-2</v>
      </c>
      <c r="Z14" s="119" cm="1">
        <f t="array" ref="Z14">NICCS_scenario!Z14*_xlfn.XLOOKUP($B14,params!$O$2:$O$12,params!$P$2:$P$12,0)*_xlfn.XLOOKUP(1,(Population!$B:$B=$A14)*(Population!$A:$A=Z$1),Population!$D:$D)</f>
        <v>0</v>
      </c>
      <c r="AA14" s="18" cm="1">
        <f t="array" ref="AA14">NICCS_scenario!AA14*_xlfn.XLOOKUP($B14,params!$O$2:$O$12,params!$P$2:$P$12,0)*_xlfn.XLOOKUP(1,(Population!$B:$B=$A14)*(Population!$A:$A=AA$1),Population!$D:$D)</f>
        <v>0</v>
      </c>
      <c r="AB14" s="18" cm="1">
        <f t="array" ref="AB14">NICCS_scenario!AB14*_xlfn.XLOOKUP($B14,params!$O$2:$O$12,params!$P$2:$P$12,0)*_xlfn.XLOOKUP(1,(Population!$B:$B=$A14)*(Population!$A:$A=AB$1),Population!$D:$D)</f>
        <v>0</v>
      </c>
      <c r="AC14" s="18" cm="1">
        <f t="array" ref="AC14">NICCS_scenario!AC14*_xlfn.XLOOKUP($B14,params!$O$2:$O$12,params!$P$2:$P$12,0)*_xlfn.XLOOKUP(1,(Population!$B:$B=$A14)*(Population!$A:$A=AC$1),Population!$D:$D)</f>
        <v>0</v>
      </c>
      <c r="AD14" s="18" cm="1">
        <f t="array" ref="AD14">NICCS_scenario!AD14*_xlfn.XLOOKUP($B14,params!$O$2:$O$12,params!$P$2:$P$12,0)*_xlfn.XLOOKUP(1,(Population!$B:$B=$A14)*(Population!$A:$A=AD$1),Population!$D:$D)</f>
        <v>0</v>
      </c>
      <c r="AE14" s="18" cm="1">
        <f t="array" ref="AE14">NICCS_scenario!AE14*_xlfn.XLOOKUP($B14,params!$O$2:$O$12,params!$P$2:$P$12,0)*_xlfn.XLOOKUP(1,(Population!$B:$B=$A14)*(Population!$A:$A=AE$1),Population!$D:$D)</f>
        <v>0</v>
      </c>
      <c r="AF14" s="18" cm="1">
        <f t="array" ref="AF14">NICCS_scenario!AF14*_xlfn.XLOOKUP($B14,params!$O$2:$O$12,params!$P$2:$P$12,0)*_xlfn.XLOOKUP(1,(Population!$B:$B=$A14)*(Population!$A:$A=AF$1),Population!$D:$D)</f>
        <v>0</v>
      </c>
      <c r="AG14" s="18" cm="1">
        <f t="array" ref="AG14">NICCS_scenario!AG14*_xlfn.XLOOKUP($B14,params!$O$2:$O$12,params!$P$2:$P$12,0)*_xlfn.XLOOKUP(1,(Population!$B:$B=$A14)*(Population!$A:$A=AG$1),Population!$D:$D)</f>
        <v>0</v>
      </c>
      <c r="AH14" s="18" cm="1">
        <f t="array" ref="AH14">NICCS_scenario!AH14*_xlfn.XLOOKUP($B14,params!$O$2:$O$12,params!$P$2:$P$12,0)*_xlfn.XLOOKUP(1,(Population!$B:$B=$A14)*(Population!$A:$A=AH$1),Population!$D:$D)</f>
        <v>0</v>
      </c>
      <c r="AI14" s="18" cm="1">
        <f t="array" ref="AI14">NICCS_scenario!AI14*_xlfn.XLOOKUP($B14,params!$O$2:$O$12,params!$P$2:$P$12,0)*_xlfn.XLOOKUP(1,(Population!$B:$B=$A14)*(Population!$A:$A=AI$1),Population!$D:$D)</f>
        <v>0</v>
      </c>
      <c r="AJ14" s="111" cm="1">
        <f t="array" ref="AJ14">NICCS_scenario!AJ14*_xlfn.XLOOKUP($B14,params!$O$2:$O$12,params!$P$2:$P$12,0)*_xlfn.XLOOKUP(1,(Population!$B:$B=$A14)*(Population!$A:$A=AJ$1),Population!$D:$D)</f>
        <v>0</v>
      </c>
      <c r="AK14" s="55">
        <f t="shared" si="3"/>
        <v>5.5156779216643024</v>
      </c>
    </row>
    <row r="15" spans="1:54">
      <c r="A15" s="3" t="s">
        <v>18</v>
      </c>
      <c r="B15" t="s">
        <v>37</v>
      </c>
      <c r="C15" s="4" t="s">
        <v>53</v>
      </c>
      <c r="D15" s="91" t="s">
        <v>57</v>
      </c>
      <c r="E15" s="110" cm="1">
        <f t="array" ref="E15">NICCS_scenario!E15*_xlfn.XLOOKUP($B15,params!$O$2:$O$12,params!$P$2:$P$12,0)*_xlfn.XLOOKUP(1,(Population!$B:$B=$A15)*(Population!$A:$A=E$1),Population!$D:$D)</f>
        <v>0</v>
      </c>
      <c r="F15" s="18" cm="1">
        <f t="array" ref="F15">NICCS_scenario!F15*_xlfn.XLOOKUP($B15,params!$O$2:$O$12,params!$P$2:$P$12,0)*_xlfn.XLOOKUP(1,(Population!$B:$B=$A15)*(Population!$A:$A=F$1),Population!$D:$D)</f>
        <v>0</v>
      </c>
      <c r="G15" s="18" cm="1">
        <f t="array" ref="G15">NICCS_scenario!G15*_xlfn.XLOOKUP($B15,params!$O$2:$O$12,params!$P$2:$P$12,0)*_xlfn.XLOOKUP(1,(Population!$B:$B=$A15)*(Population!$A:$A=G$1),Population!$D:$D)</f>
        <v>0</v>
      </c>
      <c r="H15" s="18" cm="1">
        <f t="array" ref="H15">NICCS_scenario!H15*_xlfn.XLOOKUP($B15,params!$O$2:$O$12,params!$P$2:$P$12,0)*_xlfn.XLOOKUP(1,(Population!$B:$B=$A15)*(Population!$A:$A=H$1),Population!$D:$D)</f>
        <v>0</v>
      </c>
      <c r="I15" s="18" cm="1">
        <f t="array" ref="I15">NICCS_scenario!I15*_xlfn.XLOOKUP($B15,params!$O$2:$O$12,params!$P$2:$P$12,0)*_xlfn.XLOOKUP(1,(Population!$B:$B=$A15)*(Population!$A:$A=I$1),Population!$D:$D)</f>
        <v>0</v>
      </c>
      <c r="J15" s="119" cm="1">
        <f t="array" ref="J15">NICCS_scenario!J15*_xlfn.XLOOKUP($B15,params!$O$2:$O$12,params!$P$2:$P$12,0)*_xlfn.XLOOKUP(1,(Population!$B:$B=$A15)*(Population!$A:$A=J$1),Population!$D:$D)</f>
        <v>0</v>
      </c>
      <c r="K15" s="18" cm="1">
        <f t="array" ref="K15">NICCS_scenario!K15*_xlfn.XLOOKUP($B15,params!$O$2:$O$12,params!$P$2:$P$12,0)*_xlfn.XLOOKUP(1,(Population!$B:$B=$A15)*(Population!$A:$A=K$1),Population!$D:$D)</f>
        <v>0</v>
      </c>
      <c r="L15" s="18" cm="1">
        <f t="array" ref="L15">NICCS_scenario!L15*_xlfn.XLOOKUP($B15,params!$O$2:$O$12,params!$P$2:$P$12,0)*_xlfn.XLOOKUP(1,(Population!$B:$B=$A15)*(Population!$A:$A=L$1),Population!$D:$D)</f>
        <v>7.2241834236190502E-2</v>
      </c>
      <c r="M15" s="18" cm="1">
        <f t="array" ref="M15">NICCS_scenario!M15*_xlfn.XLOOKUP($B15,params!$O$2:$O$12,params!$P$2:$P$12,0)*_xlfn.XLOOKUP(1,(Population!$B:$B=$A15)*(Population!$A:$A=M$1),Population!$D:$D)</f>
        <v>0.14772684389873017</v>
      </c>
      <c r="N15" s="18" cm="1">
        <f t="array" ref="N15">NICCS_scenario!N15*_xlfn.XLOOKUP($B15,params!$O$2:$O$12,params!$P$2:$P$12,0)*_xlfn.XLOOKUP(1,(Population!$B:$B=$A15)*(Population!$A:$A=N$1),Population!$D:$D)</f>
        <v>0.22645287319333338</v>
      </c>
      <c r="O15" s="18" cm="1">
        <f t="array" ref="O15">NICCS_scenario!O15*_xlfn.XLOOKUP($B15,params!$O$2:$O$12,params!$P$2:$P$12,0)*_xlfn.XLOOKUP(1,(Population!$B:$B=$A15)*(Population!$A:$A=O$1),Population!$D:$D)</f>
        <v>0.30839126802095246</v>
      </c>
      <c r="P15" s="119" cm="1">
        <f t="array" ref="P15">NICCS_scenario!P15*_xlfn.XLOOKUP($B15,params!$O$2:$O$12,params!$P$2:$P$12,0)*_xlfn.XLOOKUP(1,(Population!$B:$B=$A15)*(Population!$A:$A=P$1),Population!$D:$D)</f>
        <v>0.39349089937857151</v>
      </c>
      <c r="Q15" s="18" cm="1">
        <f t="array" ref="Q15">NICCS_scenario!Q15*_xlfn.XLOOKUP($B15,params!$O$2:$O$12,params!$P$2:$P$12,0)*_xlfn.XLOOKUP(1,(Population!$B:$B=$A15)*(Population!$A:$A=Q$1),Population!$D:$D)</f>
        <v>0.48168944010952397</v>
      </c>
      <c r="R15" s="18" cm="1">
        <f t="array" ref="R15">NICCS_scenario!R15*_xlfn.XLOOKUP($B15,params!$O$2:$O$12,params!$P$2:$P$12,0)*_xlfn.XLOOKUP(1,(Population!$B:$B=$A15)*(Population!$A:$A=R$1),Population!$D:$D)</f>
        <v>0.57291913614444456</v>
      </c>
      <c r="S15" s="18" cm="1">
        <f t="array" ref="S15">NICCS_scenario!S15*_xlfn.XLOOKUP($B15,params!$O$2:$O$12,params!$P$2:$P$12,0)*_xlfn.XLOOKUP(1,(Population!$B:$B=$A15)*(Population!$A:$A=S$1),Population!$D:$D)</f>
        <v>0.66710242754412719</v>
      </c>
      <c r="T15" s="18" cm="1">
        <f t="array" ref="T15">NICCS_scenario!T15*_xlfn.XLOOKUP($B15,params!$O$2:$O$12,params!$P$2:$P$12,0)*_xlfn.XLOOKUP(1,(Population!$B:$B=$A15)*(Population!$A:$A=T$1),Population!$D:$D)</f>
        <v>0.76416237940000009</v>
      </c>
      <c r="U15" s="18" cm="1">
        <f t="array" ref="U15">NICCS_scenario!U15*_xlfn.XLOOKUP($B15,params!$O$2:$O$12,params!$P$2:$P$12,0)*_xlfn.XLOOKUP(1,(Population!$B:$B=$A15)*(Population!$A:$A=U$1),Population!$D:$D)</f>
        <v>0.8641189627507937</v>
      </c>
      <c r="V15" s="18" cm="1">
        <f t="array" ref="V15">NICCS_scenario!V15*_xlfn.XLOOKUP($B15,params!$O$2:$O$12,params!$P$2:$P$12,0)*_xlfn.XLOOKUP(1,(Population!$B:$B=$A15)*(Population!$A:$A=V$1),Population!$D:$D)</f>
        <v>0.96692190941412715</v>
      </c>
      <c r="W15" s="18" cm="1">
        <f t="array" ref="W15">NICCS_scenario!W15*_xlfn.XLOOKUP($B15,params!$O$2:$O$12,params!$P$2:$P$12,0)*_xlfn.XLOOKUP(1,(Population!$B:$B=$A15)*(Population!$A:$A=W$1),Population!$D:$D)</f>
        <v>1.0724988992285716</v>
      </c>
      <c r="X15" s="18" cm="1">
        <f t="array" ref="X15">NICCS_scenario!X15*_xlfn.XLOOKUP($B15,params!$O$2:$O$12,params!$P$2:$P$12,0)*_xlfn.XLOOKUP(1,(Population!$B:$B=$A15)*(Population!$A:$A=X$1),Population!$D:$D)</f>
        <v>1.1807748948336509</v>
      </c>
      <c r="Y15" s="18" cm="1">
        <f t="array" ref="Y15">NICCS_scenario!Y15*_xlfn.XLOOKUP($B15,params!$O$2:$O$12,params!$P$2:$P$12,0)*_xlfn.XLOOKUP(1,(Population!$B:$B=$A15)*(Population!$A:$A=Y$1),Population!$D:$D)</f>
        <v>1.2916667896111114</v>
      </c>
      <c r="Z15" s="119" cm="1">
        <f t="array" ref="Z15">NICCS_scenario!Z15*_xlfn.XLOOKUP($B15,params!$O$2:$O$12,params!$P$2:$P$12,0)*_xlfn.XLOOKUP(1,(Population!$B:$B=$A15)*(Population!$A:$A=Z$1),Population!$D:$D)</f>
        <v>1.4050856345904765</v>
      </c>
      <c r="AA15" s="18" cm="1">
        <f t="array" ref="AA15">NICCS_scenario!AA15*_xlfn.XLOOKUP($B15,params!$O$2:$O$12,params!$P$2:$P$12,0)*_xlfn.XLOOKUP(1,(Population!$B:$B=$A15)*(Population!$A:$A=AA$1),Population!$D:$D)</f>
        <v>1.425874733626191</v>
      </c>
      <c r="AB15" s="18" cm="1">
        <f t="array" ref="AB15">NICCS_scenario!AB15*_xlfn.XLOOKUP($B15,params!$O$2:$O$12,params!$P$2:$P$12,0)*_xlfn.XLOOKUP(1,(Population!$B:$B=$A15)*(Population!$A:$A=AB$1),Population!$D:$D)</f>
        <v>1.446265965107143</v>
      </c>
      <c r="AC15" s="18" cm="1">
        <f t="array" ref="AC15">NICCS_scenario!AC15*_xlfn.XLOOKUP($B15,params!$O$2:$O$12,params!$P$2:$P$12,0)*_xlfn.XLOOKUP(1,(Population!$B:$B=$A15)*(Population!$A:$A=AC$1),Population!$D:$D)</f>
        <v>1.4662251956238099</v>
      </c>
      <c r="AD15" s="18" cm="1">
        <f t="array" ref="AD15">NICCS_scenario!AD15*_xlfn.XLOOKUP($B15,params!$O$2:$O$12,params!$P$2:$P$12,0)*_xlfn.XLOOKUP(1,(Population!$B:$B=$A15)*(Population!$A:$A=AD$1),Population!$D:$D)</f>
        <v>1.4857161022880951</v>
      </c>
      <c r="AE15" s="18" cm="1">
        <f t="array" ref="AE15">NICCS_scenario!AE15*_xlfn.XLOOKUP($B15,params!$O$2:$O$12,params!$P$2:$P$12,0)*_xlfn.XLOOKUP(1,(Population!$B:$B=$A15)*(Population!$A:$A=AE$1),Population!$D:$D)</f>
        <v>1.504707078011905</v>
      </c>
      <c r="AF15" s="18" cm="1">
        <f t="array" ref="AF15">NICCS_scenario!AF15*_xlfn.XLOOKUP($B15,params!$O$2:$O$12,params!$P$2:$P$12,0)*_xlfn.XLOOKUP(1,(Population!$B:$B=$A15)*(Population!$A:$A=AF$1),Population!$D:$D)</f>
        <v>1.5231679192190477</v>
      </c>
      <c r="AG15" s="18" cm="1">
        <f t="array" ref="AG15">NICCS_scenario!AG15*_xlfn.XLOOKUP($B15,params!$O$2:$O$12,params!$P$2:$P$12,0)*_xlfn.XLOOKUP(1,(Population!$B:$B=$A15)*(Population!$A:$A=AG$1),Population!$D:$D)</f>
        <v>1.5410746539261908</v>
      </c>
      <c r="AH15" s="18" cm="1">
        <f t="array" ref="AH15">NICCS_scenario!AH15*_xlfn.XLOOKUP($B15,params!$O$2:$O$12,params!$P$2:$P$12,0)*_xlfn.XLOOKUP(1,(Population!$B:$B=$A15)*(Population!$A:$A=AH$1),Population!$D:$D)</f>
        <v>1.5584080820904762</v>
      </c>
      <c r="AI15" s="18" cm="1">
        <f t="array" ref="AI15">NICCS_scenario!AI15*_xlfn.XLOOKUP($B15,params!$O$2:$O$12,params!$P$2:$P$12,0)*_xlfn.XLOOKUP(1,(Population!$B:$B=$A15)*(Population!$A:$A=AI$1),Population!$D:$D)</f>
        <v>1.575152372097619</v>
      </c>
      <c r="AJ15" s="111" cm="1">
        <f t="array" ref="AJ15">NICCS_scenario!AJ15*_xlfn.XLOOKUP($B15,params!$O$2:$O$12,params!$P$2:$P$12,0)*_xlfn.XLOOKUP(1,(Population!$B:$B=$A15)*(Population!$A:$A=AJ$1),Population!$D:$D)</f>
        <v>1.5912892782928574</v>
      </c>
      <c r="AK15" s="55">
        <f t="shared" si="3"/>
        <v>25.533125572637942</v>
      </c>
    </row>
    <row r="16" spans="1:54">
      <c r="A16" s="3" t="s">
        <v>18</v>
      </c>
      <c r="B16" t="s">
        <v>10</v>
      </c>
      <c r="C16" s="4" t="s">
        <v>53</v>
      </c>
      <c r="D16" s="91" t="s">
        <v>57</v>
      </c>
      <c r="E16" s="110" cm="1">
        <f t="array" ref="E16">NICCS_scenario!E16*_xlfn.XLOOKUP($B16,params!$O$2:$O$12,params!$P$2:$P$12,0)*_xlfn.XLOOKUP(1,(Population!$B:$B=$A16)*(Population!$A:$A=E$1),Population!$D:$D)</f>
        <v>0</v>
      </c>
      <c r="F16" s="18" cm="1">
        <f t="array" ref="F16">NICCS_scenario!F16*_xlfn.XLOOKUP($B16,params!$O$2:$O$12,params!$P$2:$P$12,0)*_xlfn.XLOOKUP(1,(Population!$B:$B=$A16)*(Population!$A:$A=F$1),Population!$D:$D)</f>
        <v>0</v>
      </c>
      <c r="G16" s="18" cm="1">
        <f t="array" ref="G16">NICCS_scenario!G16*_xlfn.XLOOKUP($B16,params!$O$2:$O$12,params!$P$2:$P$12,0)*_xlfn.XLOOKUP(1,(Population!$B:$B=$A16)*(Population!$A:$A=G$1),Population!$D:$D)</f>
        <v>0</v>
      </c>
      <c r="H16" s="18" cm="1">
        <f t="array" ref="H16">NICCS_scenario!H16*_xlfn.XLOOKUP($B16,params!$O$2:$O$12,params!$P$2:$P$12,0)*_xlfn.XLOOKUP(1,(Population!$B:$B=$A16)*(Population!$A:$A=H$1),Population!$D:$D)</f>
        <v>0</v>
      </c>
      <c r="I16" s="18" cm="1">
        <f t="array" ref="I16">NICCS_scenario!I16*_xlfn.XLOOKUP($B16,params!$O$2:$O$12,params!$P$2:$P$12,0)*_xlfn.XLOOKUP(1,(Population!$B:$B=$A16)*(Population!$A:$A=I$1),Population!$D:$D)</f>
        <v>0</v>
      </c>
      <c r="J16" s="119" cm="1">
        <f t="array" ref="J16">NICCS_scenario!J16*_xlfn.XLOOKUP($B16,params!$O$2:$O$12,params!$P$2:$P$12,0)*_xlfn.XLOOKUP(1,(Population!$B:$B=$A16)*(Population!$A:$A=J$1),Population!$D:$D)</f>
        <v>0</v>
      </c>
      <c r="K16" s="18" cm="1">
        <f t="array" ref="K16">NICCS_scenario!K16*_xlfn.XLOOKUP($B16,params!$O$2:$O$12,params!$P$2:$P$12,0)*_xlfn.XLOOKUP(1,(Population!$B:$B=$A16)*(Population!$A:$A=K$1),Population!$D:$D)</f>
        <v>0</v>
      </c>
      <c r="L16" s="18" cm="1">
        <f t="array" ref="L16">NICCS_scenario!L16*_xlfn.XLOOKUP($B16,params!$O$2:$O$12,params!$P$2:$P$12,0)*_xlfn.XLOOKUP(1,(Population!$B:$B=$A16)*(Population!$A:$A=L$1),Population!$D:$D)</f>
        <v>4.6744716270476203E-2</v>
      </c>
      <c r="M16" s="18" cm="1">
        <f t="array" ref="M16">NICCS_scenario!M16*_xlfn.XLOOKUP($B16,params!$O$2:$O$12,params!$P$2:$P$12,0)*_xlfn.XLOOKUP(1,(Population!$B:$B=$A16)*(Population!$A:$A=M$1),Population!$D:$D)</f>
        <v>9.55879578168254E-2</v>
      </c>
      <c r="N16" s="18" cm="1">
        <f t="array" ref="N16">NICCS_scenario!N16*_xlfn.XLOOKUP($B16,params!$O$2:$O$12,params!$P$2:$P$12,0)*_xlfn.XLOOKUP(1,(Population!$B:$B=$A16)*(Population!$A:$A=N$1),Population!$D:$D)</f>
        <v>0.14652832971333338</v>
      </c>
      <c r="O16" s="18" cm="1">
        <f t="array" ref="O16">NICCS_scenario!O16*_xlfn.XLOOKUP($B16,params!$O$2:$O$12,params!$P$2:$P$12,0)*_xlfn.XLOOKUP(1,(Population!$B:$B=$A16)*(Population!$A:$A=O$1),Population!$D:$D)</f>
        <v>0.19954729107238098</v>
      </c>
      <c r="P16" s="119" cm="1">
        <f t="array" ref="P16">NICCS_scenario!P16*_xlfn.XLOOKUP($B16,params!$O$2:$O$12,params!$P$2:$P$12,0)*_xlfn.XLOOKUP(1,(Population!$B:$B=$A16)*(Population!$A:$A=P$1),Population!$D:$D)</f>
        <v>0.25461175842142864</v>
      </c>
      <c r="Q16" s="18" cm="1">
        <f t="array" ref="Q16">NICCS_scenario!Q16*_xlfn.XLOOKUP($B16,params!$O$2:$O$12,params!$P$2:$P$12,0)*_xlfn.XLOOKUP(1,(Population!$B:$B=$A16)*(Population!$A:$A=Q$1),Population!$D:$D)</f>
        <v>0.31168140242380959</v>
      </c>
      <c r="R16" s="18" cm="1">
        <f t="array" ref="R16">NICCS_scenario!R16*_xlfn.XLOOKUP($B16,params!$O$2:$O$12,params!$P$2:$P$12,0)*_xlfn.XLOOKUP(1,(Population!$B:$B=$A16)*(Population!$A:$A=R$1),Population!$D:$D)</f>
        <v>0.37071238221111114</v>
      </c>
      <c r="S16" s="18" cm="1">
        <f t="array" ref="S16">NICCS_scenario!S16*_xlfn.XLOOKUP($B16,params!$O$2:$O$12,params!$P$2:$P$12,0)*_xlfn.XLOOKUP(1,(Population!$B:$B=$A16)*(Population!$A:$A=S$1),Population!$D:$D)</f>
        <v>0.43165451194031745</v>
      </c>
      <c r="T16" s="18" cm="1">
        <f t="array" ref="T16">NICCS_scenario!T16*_xlfn.XLOOKUP($B16,params!$O$2:$O$12,params!$P$2:$P$12,0)*_xlfn.XLOOKUP(1,(Population!$B:$B=$A16)*(Population!$A:$A=T$1),Population!$D:$D)</f>
        <v>0.49445801020000002</v>
      </c>
      <c r="U16" s="18" cm="1">
        <f t="array" ref="U16">NICCS_scenario!U16*_xlfn.XLOOKUP($B16,params!$O$2:$O$12,params!$P$2:$P$12,0)*_xlfn.XLOOKUP(1,(Population!$B:$B=$A16)*(Population!$A:$A=U$1),Population!$D:$D)</f>
        <v>0.55913579942698399</v>
      </c>
      <c r="V16" s="18" cm="1">
        <f t="array" ref="V16">NICCS_scenario!V16*_xlfn.XLOOKUP($B16,params!$O$2:$O$12,params!$P$2:$P$12,0)*_xlfn.XLOOKUP(1,(Population!$B:$B=$A16)*(Population!$A:$A=V$1),Population!$D:$D)</f>
        <v>0.62565535315031739</v>
      </c>
      <c r="W16" s="18" cm="1">
        <f t="array" ref="W16">NICCS_scenario!W16*_xlfn.XLOOKUP($B16,params!$O$2:$O$12,params!$P$2:$P$12,0)*_xlfn.XLOOKUP(1,(Population!$B:$B=$A16)*(Population!$A:$A=W$1),Population!$D:$D)</f>
        <v>0.69396987597142856</v>
      </c>
      <c r="X16" s="18" cm="1">
        <f t="array" ref="X16">NICCS_scenario!X16*_xlfn.XLOOKUP($B16,params!$O$2:$O$12,params!$P$2:$P$12,0)*_xlfn.XLOOKUP(1,(Population!$B:$B=$A16)*(Population!$A:$A=X$1),Population!$D:$D)</f>
        <v>0.764030814304127</v>
      </c>
      <c r="Y16" s="18" cm="1">
        <f t="array" ref="Y16">NICCS_scenario!Y16*_xlfn.XLOOKUP($B16,params!$O$2:$O$12,params!$P$2:$P$12,0)*_xlfn.XLOOKUP(1,(Population!$B:$B=$A16)*(Population!$A:$A=Y$1),Population!$D:$D)</f>
        <v>0.83578439327777776</v>
      </c>
      <c r="Z16" s="119" cm="1">
        <f t="array" ref="Z16">NICCS_scenario!Z16*_xlfn.XLOOKUP($B16,params!$O$2:$O$12,params!$P$2:$P$12,0)*_xlfn.XLOOKUP(1,(Population!$B:$B=$A16)*(Population!$A:$A=Z$1),Population!$D:$D)</f>
        <v>0.90917305767619061</v>
      </c>
      <c r="AA16" s="18" cm="1">
        <f t="array" ref="AA16">NICCS_scenario!AA16*_xlfn.XLOOKUP($B16,params!$O$2:$O$12,params!$P$2:$P$12,0)*_xlfn.XLOOKUP(1,(Population!$B:$B=$A16)*(Population!$A:$A=AA$1),Population!$D:$D)</f>
        <v>0.92262482764047626</v>
      </c>
      <c r="AB16" s="18" cm="1">
        <f t="array" ref="AB16">NICCS_scenario!AB16*_xlfn.XLOOKUP($B16,params!$O$2:$O$12,params!$P$2:$P$12,0)*_xlfn.XLOOKUP(1,(Population!$B:$B=$A16)*(Population!$A:$A=AB$1),Population!$D:$D)</f>
        <v>0.93581915389285708</v>
      </c>
      <c r="AC16" s="18" cm="1">
        <f t="array" ref="AC16">NICCS_scenario!AC16*_xlfn.XLOOKUP($B16,params!$O$2:$O$12,params!$P$2:$P$12,0)*_xlfn.XLOOKUP(1,(Population!$B:$B=$A16)*(Population!$A:$A=AC$1),Population!$D:$D)</f>
        <v>0.94873395010952399</v>
      </c>
      <c r="AD16" s="18" cm="1">
        <f t="array" ref="AD16">NICCS_scenario!AD16*_xlfn.XLOOKUP($B16,params!$O$2:$O$12,params!$P$2:$P$12,0)*_xlfn.XLOOKUP(1,(Population!$B:$B=$A16)*(Population!$A:$A=AD$1),Population!$D:$D)</f>
        <v>0.96134571324523799</v>
      </c>
      <c r="AE16" s="18" cm="1">
        <f t="array" ref="AE16">NICCS_scenario!AE16*_xlfn.XLOOKUP($B16,params!$O$2:$O$12,params!$P$2:$P$12,0)*_xlfn.XLOOKUP(1,(Population!$B:$B=$A16)*(Population!$A:$A=AE$1),Population!$D:$D)</f>
        <v>0.97363399165476194</v>
      </c>
      <c r="AF16" s="18" cm="1">
        <f t="array" ref="AF16">NICCS_scenario!AF16*_xlfn.XLOOKUP($B16,params!$O$2:$O$12,params!$P$2:$P$12,0)*_xlfn.XLOOKUP(1,(Population!$B:$B=$A16)*(Population!$A:$A=AF$1),Population!$D:$D)</f>
        <v>0.98557924184761903</v>
      </c>
      <c r="AG16" s="18" cm="1">
        <f t="array" ref="AG16">NICCS_scenario!AG16*_xlfn.XLOOKUP($B16,params!$O$2:$O$12,params!$P$2:$P$12,0)*_xlfn.XLOOKUP(1,(Population!$B:$B=$A16)*(Population!$A:$A=AG$1),Population!$D:$D)</f>
        <v>0.99716595254047624</v>
      </c>
      <c r="AH16" s="18" cm="1">
        <f t="array" ref="AH16">NICCS_scenario!AH16*_xlfn.XLOOKUP($B16,params!$O$2:$O$12,params!$P$2:$P$12,0)*_xlfn.XLOOKUP(1,(Population!$B:$B=$A16)*(Population!$A:$A=AH$1),Population!$D:$D)</f>
        <v>1.0083817001761906</v>
      </c>
      <c r="AI16" s="18" cm="1">
        <f t="array" ref="AI16">NICCS_scenario!AI16*_xlfn.XLOOKUP($B16,params!$O$2:$O$12,params!$P$2:$P$12,0)*_xlfn.XLOOKUP(1,(Population!$B:$B=$A16)*(Population!$A:$A=AI$1),Population!$D:$D)</f>
        <v>1.0192162407690477</v>
      </c>
      <c r="AJ16" s="111" cm="1">
        <f t="array" ref="AJ16">NICCS_scenario!AJ16*_xlfn.XLOOKUP($B16,params!$O$2:$O$12,params!$P$2:$P$12,0)*_xlfn.XLOOKUP(1,(Population!$B:$B=$A16)*(Population!$A:$A=AJ$1),Population!$D:$D)</f>
        <v>1.0296577683071428</v>
      </c>
      <c r="AK16" s="55">
        <f t="shared" si="3"/>
        <v>16.521434194059843</v>
      </c>
      <c r="AT16" s="28" t="s">
        <v>36</v>
      </c>
      <c r="AU16" s="54">
        <f>_xlfn.XLOOKUP(AU$1,$E$1:$AJ$1,$E2:$AJ2)</f>
        <v>9.3353150588899254</v>
      </c>
      <c r="AV16" s="54">
        <f t="shared" ref="AV16:BA16" si="9">_xlfn.XLOOKUP(AV$1,$E$1:$AJ$1,$E2:$AJ2)</f>
        <v>9.6216309712248069</v>
      </c>
      <c r="AW16" s="54">
        <f t="shared" si="9"/>
        <v>7.2383149713464503</v>
      </c>
      <c r="AX16" s="54">
        <f t="shared" si="9"/>
        <v>4.0275292970792043</v>
      </c>
      <c r="AY16" s="54">
        <f t="shared" si="9"/>
        <v>0</v>
      </c>
      <c r="AZ16" s="54">
        <f t="shared" si="9"/>
        <v>0</v>
      </c>
      <c r="BA16" s="54">
        <f t="shared" si="9"/>
        <v>0</v>
      </c>
    </row>
    <row r="17" spans="1:53">
      <c r="A17" s="121" t="s">
        <v>18</v>
      </c>
      <c r="B17" s="34" t="s">
        <v>11</v>
      </c>
      <c r="C17" s="122" t="s">
        <v>53</v>
      </c>
      <c r="D17" s="123" t="s">
        <v>57</v>
      </c>
      <c r="E17" s="124" cm="1">
        <f t="array" ref="E17">NICCS_scenario!E17*_xlfn.XLOOKUP($B17,params!$O$2:$O$12,params!$P$2:$P$12,0)*_xlfn.XLOOKUP(1,(Population!$B:$B=$A17)*(Population!$A:$A=E$1),Population!$D:$D)</f>
        <v>9.6514854586731165E-5</v>
      </c>
      <c r="F17" s="125" cm="1">
        <f t="array" ref="F17">NICCS_scenario!F17*_xlfn.XLOOKUP($B17,params!$O$2:$O$12,params!$P$2:$P$12,0)*_xlfn.XLOOKUP(1,(Population!$B:$B=$A17)*(Population!$A:$A=F$1),Population!$D:$D)</f>
        <v>9.5400108611729217E-5</v>
      </c>
      <c r="G17" s="125" cm="1">
        <f t="array" ref="G17">NICCS_scenario!G17*_xlfn.XLOOKUP($B17,params!$O$2:$O$12,params!$P$2:$P$12,0)*_xlfn.XLOOKUP(1,(Population!$B:$B=$A17)*(Population!$A:$A=G$1),Population!$D:$D)</f>
        <v>9.4121464930595056E-5</v>
      </c>
      <c r="H17" s="125" cm="1">
        <f t="array" ref="H17">NICCS_scenario!H17*_xlfn.XLOOKUP($B17,params!$O$2:$O$12,params!$P$2:$P$12,0)*_xlfn.XLOOKUP(1,(Population!$B:$B=$A17)*(Population!$A:$A=H$1),Population!$D:$D)</f>
        <v>9.2675901728729706E-5</v>
      </c>
      <c r="I17" s="125" cm="1">
        <f t="array" ref="I17">NICCS_scenario!I17*_xlfn.XLOOKUP($B17,params!$O$2:$O$12,params!$P$2:$P$12,0)*_xlfn.XLOOKUP(1,(Population!$B:$B=$A17)*(Population!$A:$A=I$1),Population!$D:$D)</f>
        <v>9.1062611909909763E-5</v>
      </c>
      <c r="J17" s="126" cm="1">
        <f t="array" ref="J17">NICCS_scenario!J17*_xlfn.XLOOKUP($B17,params!$O$2:$O$12,params!$P$2:$P$12,0)*_xlfn.XLOOKUP(1,(Population!$B:$B=$A17)*(Population!$A:$A=J$1),Population!$D:$D)</f>
        <v>8.9281783486019878E-5</v>
      </c>
      <c r="K17" s="125" cm="1">
        <f t="array" ref="K17">NICCS_scenario!K17*_xlfn.XLOOKUP($B17,params!$O$2:$O$12,params!$P$2:$P$12,0)*_xlfn.XLOOKUP(1,(Population!$B:$B=$A17)*(Population!$A:$A=K$1),Population!$D:$D)</f>
        <v>8.7847875400583973E-5</v>
      </c>
      <c r="L17" s="125" cm="1">
        <f t="array" ref="L17">NICCS_scenario!L17*_xlfn.XLOOKUP($B17,params!$O$2:$O$12,params!$P$2:$P$12,0)*_xlfn.XLOOKUP(1,(Population!$B:$B=$A17)*(Population!$A:$A=L$1),Population!$D:$D)</f>
        <v>1.3852311987731887E-2</v>
      </c>
      <c r="M17" s="125" cm="1">
        <f t="array" ref="M17">NICCS_scenario!M17*_xlfn.XLOOKUP($B17,params!$O$2:$O$12,params!$P$2:$P$12,0)*_xlfn.XLOOKUP(1,(Population!$B:$B=$A17)*(Population!$A:$A=M$1),Population!$D:$D)</f>
        <v>2.8234624272535591E-2</v>
      </c>
      <c r="N17" s="125" cm="1">
        <f t="array" ref="N17">NICCS_scenario!N17*_xlfn.XLOOKUP($B17,params!$O$2:$O$12,params!$P$2:$P$12,0)*_xlfn.XLOOKUP(1,(Population!$B:$B=$A17)*(Population!$A:$A=N$1),Population!$D:$D)</f>
        <v>4.3234367116969791E-2</v>
      </c>
      <c r="O17" s="125" cm="1">
        <f t="array" ref="O17">NICCS_scenario!O17*_xlfn.XLOOKUP($B17,params!$O$2:$O$12,params!$P$2:$P$12,0)*_xlfn.XLOOKUP(1,(Population!$B:$B=$A17)*(Population!$A:$A=O$1),Population!$D:$D)</f>
        <v>5.8846073522920386E-2</v>
      </c>
      <c r="P17" s="126" cm="1">
        <f t="array" ref="P17">NICCS_scenario!P17*_xlfn.XLOOKUP($B17,params!$O$2:$O$12,params!$P$2:$P$12,0)*_xlfn.XLOOKUP(1,(Population!$B:$B=$A17)*(Population!$A:$A=P$1),Population!$D:$D)</f>
        <v>7.5059995904610849E-2</v>
      </c>
      <c r="Q17" s="125" cm="1">
        <f t="array" ref="Q17">NICCS_scenario!Q17*_xlfn.XLOOKUP($B17,params!$O$2:$O$12,params!$P$2:$P$12,0)*_xlfn.XLOOKUP(1,(Population!$B:$B=$A17)*(Population!$A:$A=Q$1),Population!$D:$D)</f>
        <v>9.1864255873124467E-2</v>
      </c>
      <c r="R17" s="125" cm="1">
        <f t="array" ref="R17">NICCS_scenario!R17*_xlfn.XLOOKUP($B17,params!$O$2:$O$12,params!$P$2:$P$12,0)*_xlfn.XLOOKUP(1,(Population!$B:$B=$A17)*(Population!$A:$A=R$1),Population!$D:$D)</f>
        <v>0.10924594292497221</v>
      </c>
      <c r="S17" s="125" cm="1">
        <f t="array" ref="S17">NICCS_scenario!S17*_xlfn.XLOOKUP($B17,params!$O$2:$O$12,params!$P$2:$P$12,0)*_xlfn.XLOOKUP(1,(Population!$B:$B=$A17)*(Population!$A:$A=S$1),Population!$D:$D)</f>
        <v>0.12719027845844738</v>
      </c>
      <c r="T17" s="125" cm="1">
        <f t="array" ref="T17">NICCS_scenario!T17*_xlfn.XLOOKUP($B17,params!$O$2:$O$12,params!$P$2:$P$12,0)*_xlfn.XLOOKUP(1,(Population!$B:$B=$A17)*(Population!$A:$A=T$1),Population!$D:$D)</f>
        <v>0.1456826043727068</v>
      </c>
      <c r="U17" s="125" cm="1">
        <f t="array" ref="U17">NICCS_scenario!U17*_xlfn.XLOOKUP($B17,params!$O$2:$O$12,params!$P$2:$P$12,0)*_xlfn.XLOOKUP(1,(Population!$B:$B=$A17)*(Population!$A:$A=U$1),Population!$D:$D)</f>
        <v>0.16472673635517296</v>
      </c>
      <c r="V17" s="125" cm="1">
        <f t="array" ref="V17">NICCS_scenario!V17*_xlfn.XLOOKUP($B17,params!$O$2:$O$12,params!$P$2:$P$12,0)*_xlfn.XLOOKUP(1,(Population!$B:$B=$A17)*(Population!$A:$A=V$1),Population!$D:$D)</f>
        <v>0.18431309717024949</v>
      </c>
      <c r="W17" s="125" cm="1">
        <f t="array" ref="W17">NICCS_scenario!W17*_xlfn.XLOOKUP($B17,params!$O$2:$O$12,params!$P$2:$P$12,0)*_xlfn.XLOOKUP(1,(Population!$B:$B=$A17)*(Population!$A:$A=W$1),Population!$D:$D)</f>
        <v>0.20442790657069837</v>
      </c>
      <c r="X17" s="125" cm="1">
        <f t="array" ref="X17">NICCS_scenario!X17*_xlfn.XLOOKUP($B17,params!$O$2:$O$12,params!$P$2:$P$12,0)*_xlfn.XLOOKUP(1,(Population!$B:$B=$A17)*(Population!$A:$A=X$1),Population!$D:$D)</f>
        <v>0.22505686729225538</v>
      </c>
      <c r="Y17" s="125" cm="1">
        <f t="array" ref="Y17">NICCS_scenario!Y17*_xlfn.XLOOKUP($B17,params!$O$2:$O$12,params!$P$2:$P$12,0)*_xlfn.XLOOKUP(1,(Population!$B:$B=$A17)*(Population!$A:$A=Y$1),Population!$D:$D)</f>
        <v>0.24618414475970593</v>
      </c>
      <c r="Z17" s="126" cm="1">
        <f t="array" ref="Z17">NICCS_scenario!Z17*_xlfn.XLOOKUP($B17,params!$O$2:$O$12,params!$P$2:$P$12,0)*_xlfn.XLOOKUP(1,(Population!$B:$B=$A17)*(Population!$A:$A=Z$1),Population!$D:$D)</f>
        <v>0.26779279153371432</v>
      </c>
      <c r="AA17" s="125" cm="1">
        <f t="array" ref="AA17">NICCS_scenario!AA17*_xlfn.XLOOKUP($B17,params!$O$2:$O$12,params!$P$2:$P$12,0)*_xlfn.XLOOKUP(1,(Population!$B:$B=$A17)*(Population!$A:$A=AA$1),Population!$D:$D)</f>
        <v>0.27175494923228571</v>
      </c>
      <c r="AB17" s="125" cm="1">
        <f t="array" ref="AB17">NICCS_scenario!AB17*_xlfn.XLOOKUP($B17,params!$O$2:$O$12,params!$P$2:$P$12,0)*_xlfn.XLOOKUP(1,(Population!$B:$B=$A17)*(Population!$A:$A=AB$1),Population!$D:$D)</f>
        <v>0.27564127805571431</v>
      </c>
      <c r="AC17" s="125" cm="1">
        <f t="array" ref="AC17">NICCS_scenario!AC17*_xlfn.XLOOKUP($B17,params!$O$2:$O$12,params!$P$2:$P$12,0)*_xlfn.XLOOKUP(1,(Population!$B:$B=$A17)*(Population!$A:$A=AC$1),Population!$D:$D)</f>
        <v>0.27944527257771434</v>
      </c>
      <c r="AD17" s="125" cm="1">
        <f t="array" ref="AD17">NICCS_scenario!AD17*_xlfn.XLOOKUP($B17,params!$O$2:$O$12,params!$P$2:$P$12,0)*_xlfn.XLOOKUP(1,(Population!$B:$B=$A17)*(Population!$A:$A=AD$1),Population!$D:$D)</f>
        <v>0.28316001008314284</v>
      </c>
      <c r="AE17" s="125" cm="1">
        <f t="array" ref="AE17">NICCS_scenario!AE17*_xlfn.XLOOKUP($B17,params!$O$2:$O$12,params!$P$2:$P$12,0)*_xlfn.XLOOKUP(1,(Population!$B:$B=$A17)*(Population!$A:$A=AE$1),Population!$D:$D)</f>
        <v>0.28677946663285719</v>
      </c>
      <c r="AF17" s="125" cm="1">
        <f t="array" ref="AF17">NICCS_scenario!AF17*_xlfn.XLOOKUP($B17,params!$O$2:$O$12,params!$P$2:$P$12,0)*_xlfn.XLOOKUP(1,(Population!$B:$B=$A17)*(Population!$A:$A=AF$1),Population!$D:$D)</f>
        <v>0.29029788578057147</v>
      </c>
      <c r="AG17" s="125" cm="1">
        <f t="array" ref="AG17">NICCS_scenario!AG17*_xlfn.XLOOKUP($B17,params!$O$2:$O$12,params!$P$2:$P$12,0)*_xlfn.XLOOKUP(1,(Population!$B:$B=$A17)*(Population!$A:$A=AG$1),Population!$D:$D)</f>
        <v>0.29371069874828576</v>
      </c>
      <c r="AH17" s="125" cm="1">
        <f t="array" ref="AH17">NICCS_scenario!AH17*_xlfn.XLOOKUP($B17,params!$O$2:$O$12,params!$P$2:$P$12,0)*_xlfn.XLOOKUP(1,(Population!$B:$B=$A17)*(Population!$A:$A=AH$1),Population!$D:$D)</f>
        <v>0.29701424623371425</v>
      </c>
      <c r="AI17" s="125" cm="1">
        <f t="array" ref="AI17">NICCS_scenario!AI17*_xlfn.XLOOKUP($B17,params!$O$2:$O$12,params!$P$2:$P$12,0)*_xlfn.XLOOKUP(1,(Population!$B:$B=$A17)*(Population!$A:$A=AI$1),Population!$D:$D)</f>
        <v>0.30020551091742859</v>
      </c>
      <c r="AJ17" s="127" cm="1">
        <f t="array" ref="AJ17">NICCS_scenario!AJ17*_xlfn.XLOOKUP($B17,params!$O$2:$O$12,params!$P$2:$P$12,0)*_xlfn.XLOOKUP(1,(Population!$B:$B=$A17)*(Population!$A:$A=AJ$1),Population!$D:$D)</f>
        <v>0.30328101539228575</v>
      </c>
      <c r="AK17" s="128">
        <f t="shared" si="3"/>
        <v>4.8670901796452171</v>
      </c>
      <c r="AT17" s="3" t="s">
        <v>8</v>
      </c>
      <c r="AU17" s="54">
        <f t="shared" ref="AU17:BA25" si="10">_xlfn.XLOOKUP(AU$1,$E$1:$AJ$1,$E3:$AJ3)</f>
        <v>1.5894496465450823</v>
      </c>
      <c r="AV17" s="54">
        <f t="shared" si="10"/>
        <v>2.2740278908900828</v>
      </c>
      <c r="AW17" s="54">
        <f t="shared" si="10"/>
        <v>1.8054039520517686</v>
      </c>
      <c r="AX17" s="54">
        <f t="shared" si="10"/>
        <v>1.0598552733841582</v>
      </c>
      <c r="AY17" s="54">
        <f t="shared" si="10"/>
        <v>0</v>
      </c>
      <c r="AZ17" s="54">
        <f t="shared" si="10"/>
        <v>0</v>
      </c>
      <c r="BA17" s="54">
        <f t="shared" si="10"/>
        <v>0</v>
      </c>
    </row>
    <row r="18" spans="1:53">
      <c r="A18" s="3" t="s">
        <v>18</v>
      </c>
      <c r="B18" s="3" t="s">
        <v>12</v>
      </c>
      <c r="C18" s="4" t="s">
        <v>53</v>
      </c>
      <c r="D18" s="91" t="s">
        <v>57</v>
      </c>
      <c r="E18" s="110" cm="1">
        <f t="array" ref="E18">NICCS_scenario!E18*_xlfn.XLOOKUP($B18,params!$O$2:$O$12,params!$P$2:$P$12,0)*_xlfn.XLOOKUP(1,(Population!$B:$B=$A18)*(Population!$A:$A=E$1),Population!$D:$D)</f>
        <v>0</v>
      </c>
      <c r="F18" s="18" cm="1">
        <f t="array" ref="F18">NICCS_scenario!F18*_xlfn.XLOOKUP($B18,params!$O$2:$O$12,params!$P$2:$P$12,0)*_xlfn.XLOOKUP(1,(Population!$B:$B=$A18)*(Population!$A:$A=F$1),Population!$D:$D)</f>
        <v>0</v>
      </c>
      <c r="G18" s="18" cm="1">
        <f t="array" ref="G18">NICCS_scenario!G18*_xlfn.XLOOKUP($B18,params!$O$2:$O$12,params!$P$2:$P$12,0)*_xlfn.XLOOKUP(1,(Population!$B:$B=$A18)*(Population!$A:$A=G$1),Population!$D:$D)</f>
        <v>0</v>
      </c>
      <c r="H18" s="18" cm="1">
        <f t="array" ref="H18">NICCS_scenario!H18*_xlfn.XLOOKUP($B18,params!$O$2:$O$12,params!$P$2:$P$12,0)*_xlfn.XLOOKUP(1,(Population!$B:$B=$A18)*(Population!$A:$A=H$1),Population!$D:$D)</f>
        <v>0</v>
      </c>
      <c r="I18" s="18" cm="1">
        <f t="array" ref="I18">NICCS_scenario!I18*_xlfn.XLOOKUP($B18,params!$O$2:$O$12,params!$P$2:$P$12,0)*_xlfn.XLOOKUP(1,(Population!$B:$B=$A18)*(Population!$A:$A=I$1),Population!$D:$D)</f>
        <v>0</v>
      </c>
      <c r="J18" s="119" cm="1">
        <f t="array" ref="J18">NICCS_scenario!J18*_xlfn.XLOOKUP($B18,params!$O$2:$O$12,params!$P$2:$P$12,0)*_xlfn.XLOOKUP(1,(Population!$B:$B=$A18)*(Population!$A:$A=J$1),Population!$D:$D)</f>
        <v>0</v>
      </c>
      <c r="K18" s="18" cm="1">
        <f t="array" ref="K18">NICCS_scenario!K18*_xlfn.XLOOKUP($B18,params!$O$2:$O$12,params!$P$2:$P$12,0)*_xlfn.XLOOKUP(1,(Population!$B:$B=$A18)*(Population!$A:$A=K$1),Population!$D:$D)</f>
        <v>0</v>
      </c>
      <c r="L18" s="18" cm="1">
        <f t="array" ref="L18">NICCS_scenario!L18*_xlfn.XLOOKUP($B18,params!$O$2:$O$12,params!$P$2:$P$12,0)*_xlfn.XLOOKUP(1,(Population!$B:$B=$A18)*(Population!$A:$A=L$1),Population!$D:$D)</f>
        <v>0</v>
      </c>
      <c r="M18" s="18" cm="1">
        <f t="array" ref="M18">NICCS_scenario!M18*_xlfn.XLOOKUP($B18,params!$O$2:$O$12,params!$P$2:$P$12,0)*_xlfn.XLOOKUP(1,(Population!$B:$B=$A18)*(Population!$A:$A=M$1),Population!$D:$D)</f>
        <v>0</v>
      </c>
      <c r="N18" s="18" cm="1">
        <f t="array" ref="N18">NICCS_scenario!N18*_xlfn.XLOOKUP($B18,params!$O$2:$O$12,params!$P$2:$P$12,0)*_xlfn.XLOOKUP(1,(Population!$B:$B=$A18)*(Population!$A:$A=N$1),Population!$D:$D)</f>
        <v>0</v>
      </c>
      <c r="O18" s="18" cm="1">
        <f t="array" ref="O18">NICCS_scenario!O18*_xlfn.XLOOKUP($B18,params!$O$2:$O$12,params!$P$2:$P$12,0)*_xlfn.XLOOKUP(1,(Population!$B:$B=$A18)*(Population!$A:$A=O$1),Population!$D:$D)</f>
        <v>0</v>
      </c>
      <c r="P18" s="119" cm="1">
        <f t="array" ref="P18">NICCS_scenario!P18*_xlfn.XLOOKUP($B18,params!$O$2:$O$12,params!$P$2:$P$12,0)*_xlfn.XLOOKUP(1,(Population!$B:$B=$A18)*(Population!$A:$A=P$1),Population!$D:$D)</f>
        <v>0</v>
      </c>
      <c r="Q18" s="18" cm="1">
        <f t="array" ref="Q18">NICCS_scenario!Q18*_xlfn.XLOOKUP($B18,params!$O$2:$O$12,params!$P$2:$P$12,0)*_xlfn.XLOOKUP(1,(Population!$B:$B=$A18)*(Population!$A:$A=Q$1),Population!$D:$D)</f>
        <v>0</v>
      </c>
      <c r="R18" s="18" cm="1">
        <f t="array" ref="R18">NICCS_scenario!R18*_xlfn.XLOOKUP($B18,params!$O$2:$O$12,params!$P$2:$P$12,0)*_xlfn.XLOOKUP(1,(Population!$B:$B=$A18)*(Population!$A:$A=R$1),Population!$D:$D)</f>
        <v>0</v>
      </c>
      <c r="S18" s="18" cm="1">
        <f t="array" ref="S18">NICCS_scenario!S18*_xlfn.XLOOKUP($B18,params!$O$2:$O$12,params!$P$2:$P$12,0)*_xlfn.XLOOKUP(1,(Population!$B:$B=$A18)*(Population!$A:$A=S$1),Population!$D:$D)</f>
        <v>0</v>
      </c>
      <c r="T18" s="18" cm="1">
        <f t="array" ref="T18">NICCS_scenario!T18*_xlfn.XLOOKUP($B18,params!$O$2:$O$12,params!$P$2:$P$12,0)*_xlfn.XLOOKUP(1,(Population!$B:$B=$A18)*(Population!$A:$A=T$1),Population!$D:$D)</f>
        <v>0</v>
      </c>
      <c r="U18" s="18" cm="1">
        <f t="array" ref="U18">NICCS_scenario!U18*_xlfn.XLOOKUP($B18,params!$O$2:$O$12,params!$P$2:$P$12,0)*_xlfn.XLOOKUP(1,(Population!$B:$B=$A18)*(Population!$A:$A=U$1),Population!$D:$D)</f>
        <v>0</v>
      </c>
      <c r="V18" s="18" cm="1">
        <f t="array" ref="V18">NICCS_scenario!V18*_xlfn.XLOOKUP($B18,params!$O$2:$O$12,params!$P$2:$P$12,0)*_xlfn.XLOOKUP(1,(Population!$B:$B=$A18)*(Population!$A:$A=V$1),Population!$D:$D)</f>
        <v>0</v>
      </c>
      <c r="W18" s="18" cm="1">
        <f t="array" ref="W18">NICCS_scenario!W18*_xlfn.XLOOKUP($B18,params!$O$2:$O$12,params!$P$2:$P$12,0)*_xlfn.XLOOKUP(1,(Population!$B:$B=$A18)*(Population!$A:$A=W$1),Population!$D:$D)</f>
        <v>0</v>
      </c>
      <c r="X18" s="18" cm="1">
        <f t="array" ref="X18">NICCS_scenario!X18*_xlfn.XLOOKUP($B18,params!$O$2:$O$12,params!$P$2:$P$12,0)*_xlfn.XLOOKUP(1,(Population!$B:$B=$A18)*(Population!$A:$A=X$1),Population!$D:$D)</f>
        <v>0</v>
      </c>
      <c r="Y18" s="18" cm="1">
        <f t="array" ref="Y18">NICCS_scenario!Y18*_xlfn.XLOOKUP($B18,params!$O$2:$O$12,params!$P$2:$P$12,0)*_xlfn.XLOOKUP(1,(Population!$B:$B=$A18)*(Population!$A:$A=Y$1),Population!$D:$D)</f>
        <v>0</v>
      </c>
      <c r="Z18" s="119" cm="1">
        <f t="array" ref="Z18">NICCS_scenario!Z18*_xlfn.XLOOKUP($B18,params!$O$2:$O$12,params!$P$2:$P$12,0)*_xlfn.XLOOKUP(1,(Population!$B:$B=$A18)*(Population!$A:$A=Z$1),Population!$D:$D)</f>
        <v>0</v>
      </c>
      <c r="AA18" s="18" cm="1">
        <f t="array" ref="AA18">NICCS_scenario!AA18*_xlfn.XLOOKUP($B18,params!$O$2:$O$12,params!$P$2:$P$12,0)*_xlfn.XLOOKUP(1,(Population!$B:$B=$A18)*(Population!$A:$A=AA$1),Population!$D:$D)</f>
        <v>0</v>
      </c>
      <c r="AB18" s="18" cm="1">
        <f t="array" ref="AB18">NICCS_scenario!AB18*_xlfn.XLOOKUP($B18,params!$O$2:$O$12,params!$P$2:$P$12,0)*_xlfn.XLOOKUP(1,(Population!$B:$B=$A18)*(Population!$A:$A=AB$1),Population!$D:$D)</f>
        <v>0</v>
      </c>
      <c r="AC18" s="18" cm="1">
        <f t="array" ref="AC18">NICCS_scenario!AC18*_xlfn.XLOOKUP($B18,params!$O$2:$O$12,params!$P$2:$P$12,0)*_xlfn.XLOOKUP(1,(Population!$B:$B=$A18)*(Population!$A:$A=AC$1),Population!$D:$D)</f>
        <v>0</v>
      </c>
      <c r="AD18" s="18" cm="1">
        <f t="array" ref="AD18">NICCS_scenario!AD18*_xlfn.XLOOKUP($B18,params!$O$2:$O$12,params!$P$2:$P$12,0)*_xlfn.XLOOKUP(1,(Population!$B:$B=$A18)*(Population!$A:$A=AD$1),Population!$D:$D)</f>
        <v>0</v>
      </c>
      <c r="AE18" s="18" cm="1">
        <f t="array" ref="AE18">NICCS_scenario!AE18*_xlfn.XLOOKUP($B18,params!$O$2:$O$12,params!$P$2:$P$12,0)*_xlfn.XLOOKUP(1,(Population!$B:$B=$A18)*(Population!$A:$A=AE$1),Population!$D:$D)</f>
        <v>0</v>
      </c>
      <c r="AF18" s="18" cm="1">
        <f t="array" ref="AF18">NICCS_scenario!AF18*_xlfn.XLOOKUP($B18,params!$O$2:$O$12,params!$P$2:$P$12,0)*_xlfn.XLOOKUP(1,(Population!$B:$B=$A18)*(Population!$A:$A=AF$1),Population!$D:$D)</f>
        <v>0</v>
      </c>
      <c r="AG18" s="18" cm="1">
        <f t="array" ref="AG18">NICCS_scenario!AG18*_xlfn.XLOOKUP($B18,params!$O$2:$O$12,params!$P$2:$P$12,0)*_xlfn.XLOOKUP(1,(Population!$B:$B=$A18)*(Population!$A:$A=AG$1),Population!$D:$D)</f>
        <v>0</v>
      </c>
      <c r="AH18" s="18" cm="1">
        <f t="array" ref="AH18">NICCS_scenario!AH18*_xlfn.XLOOKUP($B18,params!$O$2:$O$12,params!$P$2:$P$12,0)*_xlfn.XLOOKUP(1,(Population!$B:$B=$A18)*(Population!$A:$A=AH$1),Population!$D:$D)</f>
        <v>0</v>
      </c>
      <c r="AI18" s="18" cm="1">
        <f t="array" ref="AI18">NICCS_scenario!AI18*_xlfn.XLOOKUP($B18,params!$O$2:$O$12,params!$P$2:$P$12,0)*_xlfn.XLOOKUP(1,(Population!$B:$B=$A18)*(Population!$A:$A=AI$1),Population!$D:$D)</f>
        <v>0</v>
      </c>
      <c r="AJ18" s="111" cm="1">
        <f t="array" ref="AJ18">NICCS_scenario!AJ18*_xlfn.XLOOKUP($B18,params!$O$2:$O$12,params!$P$2:$P$12,0)*_xlfn.XLOOKUP(1,(Population!$B:$B=$A18)*(Population!$A:$A=AJ$1),Population!$D:$D)</f>
        <v>0</v>
      </c>
      <c r="AK18" s="55">
        <f t="shared" si="3"/>
        <v>0</v>
      </c>
      <c r="AT18" t="s">
        <v>37</v>
      </c>
      <c r="AU18" s="54">
        <f t="shared" si="10"/>
        <v>3.961453347891325E-2</v>
      </c>
      <c r="AV18" s="54">
        <f t="shared" si="10"/>
        <v>8.6339020043873907E-2</v>
      </c>
      <c r="AW18" s="54">
        <f t="shared" si="10"/>
        <v>0.46370336992067451</v>
      </c>
      <c r="AX18" s="54">
        <f t="shared" si="10"/>
        <v>0.90625901660921249</v>
      </c>
      <c r="AY18" s="54">
        <f t="shared" si="10"/>
        <v>1.4050856345904765</v>
      </c>
      <c r="AZ18" s="54">
        <f t="shared" si="10"/>
        <v>1.504707078011905</v>
      </c>
      <c r="BA18" s="54">
        <f t="shared" si="10"/>
        <v>1.5912892782928574</v>
      </c>
    </row>
    <row r="19" spans="1:53">
      <c r="A19" s="3" t="s">
        <v>18</v>
      </c>
      <c r="B19" s="3" t="s">
        <v>13</v>
      </c>
      <c r="C19" s="4" t="s">
        <v>53</v>
      </c>
      <c r="D19" s="91" t="s">
        <v>123</v>
      </c>
      <c r="E19" s="110" cm="1">
        <f t="array" ref="E19">NICCS_scenario!E19*_xlfn.XLOOKUP($B19,params!$O$2:$O$12,params!$P$2:$P$12,0)*_xlfn.XLOOKUP(1,(Population!$B:$B=$A19)*(Population!$A:$A=E$1),Population!$D:$D)</f>
        <v>1.770062230653335E-2</v>
      </c>
      <c r="F19" s="18" cm="1">
        <f t="array" ref="F19">NICCS_scenario!F19*_xlfn.XLOOKUP($B19,params!$O$2:$O$12,params!$P$2:$P$12,0)*_xlfn.XLOOKUP(1,(Population!$B:$B=$A19)*(Population!$A:$A=F$1),Population!$D:$D)</f>
        <v>1.675456493828803E-2</v>
      </c>
      <c r="G19" s="18" cm="1">
        <f t="array" ref="G19">NICCS_scenario!G19*_xlfn.XLOOKUP($B19,params!$O$2:$O$12,params!$P$2:$P$12,0)*_xlfn.XLOOKUP(1,(Population!$B:$B=$A19)*(Population!$A:$A=G$1),Population!$D:$D)</f>
        <v>1.5741321053017801E-2</v>
      </c>
      <c r="H19" s="18" cm="1">
        <f t="array" ref="H19">NICCS_scenario!H19*_xlfn.XLOOKUP($B19,params!$O$2:$O$12,params!$P$2:$P$12,0)*_xlfn.XLOOKUP(1,(Population!$B:$B=$A19)*(Population!$A:$A=H$1),Population!$D:$D)</f>
        <v>1.4660029738619946E-2</v>
      </c>
      <c r="I19" s="18" cm="1">
        <f t="array" ref="I19">NICCS_scenario!I19*_xlfn.XLOOKUP($B19,params!$O$2:$O$12,params!$P$2:$P$12,0)*_xlfn.XLOOKUP(1,(Population!$B:$B=$A19)*(Population!$A:$A=I$1),Population!$D:$D)</f>
        <v>1.3510212701509461E-2</v>
      </c>
      <c r="J19" s="119" cm="1">
        <f t="array" ref="J19">NICCS_scenario!J19*_xlfn.XLOOKUP($B19,params!$O$2:$O$12,params!$P$2:$P$12,0)*_xlfn.XLOOKUP(1,(Population!$B:$B=$A19)*(Population!$A:$A=J$1),Population!$D:$D)</f>
        <v>1.2291499893688506E-2</v>
      </c>
      <c r="K19" s="18" cm="1">
        <f t="array" ref="K19">NICCS_scenario!K19*_xlfn.XLOOKUP($B19,params!$O$2:$O$12,params!$P$2:$P$12,0)*_xlfn.XLOOKUP(1,(Population!$B:$B=$A19)*(Population!$A:$A=K$1),Population!$D:$D)</f>
        <v>1.2094092534745521E-2</v>
      </c>
      <c r="L19" s="18" cm="1">
        <f t="array" ref="L19">NICCS_scenario!L19*_xlfn.XLOOKUP($B19,params!$O$2:$O$12,params!$P$2:$P$12,0)*_xlfn.XLOOKUP(1,(Population!$B:$B=$A19)*(Population!$A:$A=L$1),Population!$D:$D)</f>
        <v>8.4395127547823329E-2</v>
      </c>
      <c r="M19" s="18" cm="1">
        <f t="array" ref="M19">NICCS_scenario!M19*_xlfn.XLOOKUP($B19,params!$O$2:$O$12,params!$P$2:$P$12,0)*_xlfn.XLOOKUP(1,(Population!$B:$B=$A19)*(Population!$A:$A=M$1),Population!$D:$D)</f>
        <v>0.15993039668382775</v>
      </c>
      <c r="N19" s="18" cm="1">
        <f t="array" ref="N19">NICCS_scenario!N19*_xlfn.XLOOKUP($B19,params!$O$2:$O$12,params!$P$2:$P$12,0)*_xlfn.XLOOKUP(1,(Population!$B:$B=$A19)*(Population!$A:$A=N$1),Population!$D:$D)</f>
        <v>0.2386967976059729</v>
      </c>
      <c r="O19" s="18" cm="1">
        <f t="array" ref="O19">NICCS_scenario!O19*_xlfn.XLOOKUP($B19,params!$O$2:$O$12,params!$P$2:$P$12,0)*_xlfn.XLOOKUP(1,(Population!$B:$B=$A19)*(Population!$A:$A=O$1),Population!$D:$D)</f>
        <v>0.32066462813043889</v>
      </c>
      <c r="P19" s="119" cm="1">
        <f t="array" ref="P19">NICCS_scenario!P19*_xlfn.XLOOKUP($B19,params!$O$2:$O$12,params!$P$2:$P$12,0)*_xlfn.XLOOKUP(1,(Population!$B:$B=$A19)*(Population!$A:$A=P$1),Population!$D:$D)</f>
        <v>0.40578191667983593</v>
      </c>
      <c r="Q19" s="18" cm="1">
        <f t="array" ref="Q19">NICCS_scenario!Q19*_xlfn.XLOOKUP($B19,params!$O$2:$O$12,params!$P$2:$P$12,0)*_xlfn.XLOOKUP(1,(Population!$B:$B=$A19)*(Population!$A:$A=Q$1),Population!$D:$D)</f>
        <v>0.49398587207297029</v>
      </c>
      <c r="R19" s="18" cm="1">
        <f t="array" ref="R19">NICCS_scenario!R19*_xlfn.XLOOKUP($B19,params!$O$2:$O$12,params!$P$2:$P$12,0)*_xlfn.XLOOKUP(1,(Population!$B:$B=$A19)*(Population!$A:$A=R$1),Population!$D:$D)</f>
        <v>0.58520853226803038</v>
      </c>
      <c r="S19" s="18" cm="1">
        <f t="array" ref="S19">NICCS_scenario!S19*_xlfn.XLOOKUP($B19,params!$O$2:$O$12,params!$P$2:$P$12,0)*_xlfn.XLOOKUP(1,(Population!$B:$B=$A19)*(Population!$A:$A=S$1),Population!$D:$D)</f>
        <v>0.67937215505175641</v>
      </c>
      <c r="T19" s="18" cm="1">
        <f t="array" ref="T19">NICCS_scenario!T19*_xlfn.XLOOKUP($B19,params!$O$2:$O$12,params!$P$2:$P$12,0)*_xlfn.XLOOKUP(1,(Population!$B:$B=$A19)*(Population!$A:$A=T$1),Population!$D:$D)</f>
        <v>0.77639981811867653</v>
      </c>
      <c r="U19" s="18" cm="1">
        <f t="array" ref="U19">NICCS_scenario!U19*_xlfn.XLOOKUP($B19,params!$O$2:$O$12,params!$P$2:$P$12,0)*_xlfn.XLOOKUP(1,(Population!$B:$B=$A19)*(Population!$A:$A=U$1),Population!$D:$D)</f>
        <v>0.87631296027386452</v>
      </c>
      <c r="V19" s="18" cm="1">
        <f t="array" ref="V19">NICCS_scenario!V19*_xlfn.XLOOKUP($B19,params!$O$2:$O$12,params!$P$2:$P$12,0)*_xlfn.XLOOKUP(1,(Population!$B:$B=$A19)*(Population!$A:$A=V$1),Population!$D:$D)</f>
        <v>0.97906134365418673</v>
      </c>
      <c r="W19" s="18" cm="1">
        <f t="array" ref="W19">NICCS_scenario!W19*_xlfn.XLOOKUP($B19,params!$O$2:$O$12,params!$P$2:$P$12,0)*_xlfn.XLOOKUP(1,(Population!$B:$B=$A19)*(Population!$A:$A=W$1),Population!$D:$D)</f>
        <v>1.0845724705465762</v>
      </c>
      <c r="X19" s="18" cm="1">
        <f t="array" ref="X19">NICCS_scenario!X19*_xlfn.XLOOKUP($B19,params!$O$2:$O$12,params!$P$2:$P$12,0)*_xlfn.XLOOKUP(1,(Population!$B:$B=$A19)*(Population!$A:$A=X$1),Population!$D:$D)</f>
        <v>1.1927712201078449</v>
      </c>
      <c r="Y19" s="18" cm="1">
        <f t="array" ref="Y19">NICCS_scenario!Y19*_xlfn.XLOOKUP($B19,params!$O$2:$O$12,params!$P$2:$P$12,0)*_xlfn.XLOOKUP(1,(Population!$B:$B=$A19)*(Population!$A:$A=Y$1),Population!$D:$D)</f>
        <v>1.303574416294093</v>
      </c>
      <c r="Z19" s="119" cm="1">
        <f t="array" ref="Z19">NICCS_scenario!Z19*_xlfn.XLOOKUP($B19,params!$O$2:$O$12,params!$P$2:$P$12,0)*_xlfn.XLOOKUP(1,(Population!$B:$B=$A19)*(Population!$A:$A=Z$1),Population!$D:$D)</f>
        <v>1.4168930768979591</v>
      </c>
      <c r="AA19" s="18" cm="1">
        <f t="array" ref="AA19">NICCS_scenario!AA19*_xlfn.XLOOKUP($B19,params!$O$2:$O$12,params!$P$2:$P$12,0)*_xlfn.XLOOKUP(1,(Population!$B:$B=$A19)*(Population!$A:$A=AA$1),Population!$D:$D)</f>
        <v>1.4378568742448981</v>
      </c>
      <c r="AB19" s="18" cm="1">
        <f t="array" ref="AB19">NICCS_scenario!AB19*_xlfn.XLOOKUP($B19,params!$O$2:$O$12,params!$P$2:$P$12,0)*_xlfn.XLOOKUP(1,(Population!$B:$B=$A19)*(Population!$A:$A=AB$1),Population!$D:$D)</f>
        <v>1.4584194606122447</v>
      </c>
      <c r="AC19" s="18" cm="1">
        <f t="array" ref="AC19">NICCS_scenario!AC19*_xlfn.XLOOKUP($B19,params!$O$2:$O$12,params!$P$2:$P$12,0)*_xlfn.XLOOKUP(1,(Population!$B:$B=$A19)*(Population!$A:$A=AC$1),Population!$D:$D)</f>
        <v>1.478546415755102</v>
      </c>
      <c r="AD19" s="18" cm="1">
        <f t="array" ref="AD19">NICCS_scenario!AD19*_xlfn.XLOOKUP($B19,params!$O$2:$O$12,params!$P$2:$P$12,0)*_xlfn.XLOOKUP(1,(Population!$B:$B=$A19)*(Population!$A:$A=AD$1),Population!$D:$D)</f>
        <v>1.4982011115510201</v>
      </c>
      <c r="AE19" s="18" cm="1">
        <f t="array" ref="AE19">NICCS_scenario!AE19*_xlfn.XLOOKUP($B19,params!$O$2:$O$12,params!$P$2:$P$12,0)*_xlfn.XLOOKUP(1,(Population!$B:$B=$A19)*(Population!$A:$A=AE$1),Population!$D:$D)</f>
        <v>1.5173516753061225</v>
      </c>
      <c r="AF19" s="18" cm="1">
        <f t="array" ref="AF19">NICCS_scenario!AF19*_xlfn.XLOOKUP($B19,params!$O$2:$O$12,params!$P$2:$P$12,0)*_xlfn.XLOOKUP(1,(Population!$B:$B=$A19)*(Population!$A:$A=AF$1),Population!$D:$D)</f>
        <v>1.5359676496326531</v>
      </c>
      <c r="AG19" s="18" cm="1">
        <f t="array" ref="AG19">NICCS_scenario!AG19*_xlfn.XLOOKUP($B19,params!$O$2:$O$12,params!$P$2:$P$12,0)*_xlfn.XLOOKUP(1,(Population!$B:$B=$A19)*(Population!$A:$A=AG$1),Population!$D:$D)</f>
        <v>1.5540248611020411</v>
      </c>
      <c r="AH19" s="18" cm="1">
        <f t="array" ref="AH19">NICCS_scenario!AH19*_xlfn.XLOOKUP($B19,params!$O$2:$O$12,params!$P$2:$P$12,0)*_xlfn.XLOOKUP(1,(Population!$B:$B=$A19)*(Population!$A:$A=AH$1),Population!$D:$D)</f>
        <v>1.5715039483265303</v>
      </c>
      <c r="AI19" s="18" cm="1">
        <f t="array" ref="AI19">NICCS_scenario!AI19*_xlfn.XLOOKUP($B19,params!$O$2:$O$12,params!$P$2:$P$12,0)*_xlfn.XLOOKUP(1,(Population!$B:$B=$A19)*(Population!$A:$A=AI$1),Population!$D:$D)</f>
        <v>1.5883889466530612</v>
      </c>
      <c r="AJ19" s="111" cm="1">
        <f t="array" ref="AJ19">NICCS_scenario!AJ19*_xlfn.XLOOKUP($B19,params!$O$2:$O$12,params!$P$2:$P$12,0)*_xlfn.XLOOKUP(1,(Population!$B:$B=$A19)*(Population!$A:$A=AJ$1),Population!$D:$D)</f>
        <v>1.6046614571020408</v>
      </c>
      <c r="AK19" s="55">
        <f t="shared" si="3"/>
        <v>25.854637224754317</v>
      </c>
      <c r="AT19" t="s">
        <v>10</v>
      </c>
      <c r="AU19" s="54">
        <f t="shared" si="10"/>
        <v>4.4016148309900137E-3</v>
      </c>
      <c r="AV19" s="54">
        <f t="shared" si="10"/>
        <v>9.5932244493192181E-3</v>
      </c>
      <c r="AW19" s="54">
        <f t="shared" si="10"/>
        <v>0.32740336271975745</v>
      </c>
      <c r="AX19" s="54">
        <f t="shared" si="10"/>
        <v>0.71984109843030031</v>
      </c>
      <c r="AY19" s="54">
        <f t="shared" si="10"/>
        <v>1.1865255562285717</v>
      </c>
      <c r="AZ19" s="54">
        <f t="shared" si="10"/>
        <v>1.298790340152381</v>
      </c>
      <c r="BA19" s="54">
        <f t="shared" si="10"/>
        <v>1.406938446431746</v>
      </c>
    </row>
    <row r="20" spans="1:53">
      <c r="A20" s="3" t="s">
        <v>18</v>
      </c>
      <c r="B20" t="s">
        <v>14</v>
      </c>
      <c r="C20" s="4" t="s">
        <v>53</v>
      </c>
      <c r="D20" s="91" t="s">
        <v>57</v>
      </c>
      <c r="E20" s="110" cm="1">
        <f t="array" ref="E20">NICCS_scenario!E20*_xlfn.XLOOKUP($B20,params!$O$2:$O$12,params!$P$2:$P$12,0)*_xlfn.XLOOKUP(1,(Population!$B:$B=$A20)*(Population!$A:$A=E$1),Population!$D:$D)</f>
        <v>0</v>
      </c>
      <c r="F20" s="18" cm="1">
        <f t="array" ref="F20">NICCS_scenario!F20*_xlfn.XLOOKUP($B20,params!$O$2:$O$12,params!$P$2:$P$12,0)*_xlfn.XLOOKUP(1,(Population!$B:$B=$A20)*(Population!$A:$A=F$1),Population!$D:$D)</f>
        <v>0</v>
      </c>
      <c r="G20" s="18" cm="1">
        <f t="array" ref="G20">NICCS_scenario!G20*_xlfn.XLOOKUP($B20,params!$O$2:$O$12,params!$P$2:$P$12,0)*_xlfn.XLOOKUP(1,(Population!$B:$B=$A20)*(Population!$A:$A=G$1),Population!$D:$D)</f>
        <v>0</v>
      </c>
      <c r="H20" s="18" cm="1">
        <f t="array" ref="H20">NICCS_scenario!H20*_xlfn.XLOOKUP($B20,params!$O$2:$O$12,params!$P$2:$P$12,0)*_xlfn.XLOOKUP(1,(Population!$B:$B=$A20)*(Population!$A:$A=H$1),Population!$D:$D)</f>
        <v>0</v>
      </c>
      <c r="I20" s="18" cm="1">
        <f t="array" ref="I20">NICCS_scenario!I20*_xlfn.XLOOKUP($B20,params!$O$2:$O$12,params!$P$2:$P$12,0)*_xlfn.XLOOKUP(1,(Population!$B:$B=$A20)*(Population!$A:$A=I$1),Population!$D:$D)</f>
        <v>0</v>
      </c>
      <c r="J20" s="119" cm="1">
        <f t="array" ref="J20">NICCS_scenario!J20*_xlfn.XLOOKUP($B20,params!$O$2:$O$12,params!$P$2:$P$12,0)*_xlfn.XLOOKUP(1,(Population!$B:$B=$A20)*(Population!$A:$A=J$1),Population!$D:$D)</f>
        <v>0</v>
      </c>
      <c r="K20" s="18" cm="1">
        <f t="array" ref="K20">NICCS_scenario!K20*_xlfn.XLOOKUP($B20,params!$O$2:$O$12,params!$P$2:$P$12,0)*_xlfn.XLOOKUP(1,(Population!$B:$B=$A20)*(Population!$A:$A=K$1),Population!$D:$D)</f>
        <v>0</v>
      </c>
      <c r="L20" s="18" cm="1">
        <f t="array" ref="L20">NICCS_scenario!L20*_xlfn.XLOOKUP($B20,params!$O$2:$O$12,params!$P$2:$P$12,0)*_xlfn.XLOOKUP(1,(Population!$B:$B=$A20)*(Population!$A:$A=L$1),Population!$D:$D)</f>
        <v>1.711698182966569E-2</v>
      </c>
      <c r="M20" s="18" cm="1">
        <f t="array" ref="M20">NICCS_scenario!M20*_xlfn.XLOOKUP($B20,params!$O$2:$O$12,params!$P$2:$P$12,0)*_xlfn.XLOOKUP(1,(Population!$B:$B=$A20)*(Population!$A:$A=M$1),Population!$D:$D)</f>
        <v>3.5002401717835523E-2</v>
      </c>
      <c r="N20" s="18" cm="1">
        <f t="array" ref="N20">NICCS_scenario!N20*_xlfn.XLOOKUP($B20,params!$O$2:$O$12,params!$P$2:$P$12,0)*_xlfn.XLOOKUP(1,(Population!$B:$B=$A20)*(Population!$A:$A=N$1),Population!$D:$D)</f>
        <v>5.3655748870562972E-2</v>
      </c>
      <c r="O20" s="18" cm="1">
        <f t="array" ref="O20">NICCS_scenario!O20*_xlfn.XLOOKUP($B20,params!$O$2:$O$12,params!$P$2:$P$12,0)*_xlfn.XLOOKUP(1,(Population!$B:$B=$A20)*(Population!$A:$A=O$1),Population!$D:$D)</f>
        <v>7.3070233984974808E-2</v>
      </c>
      <c r="P20" s="119" cm="1">
        <f t="array" ref="P20">NICCS_scenario!P20*_xlfn.XLOOKUP($B20,params!$O$2:$O$12,params!$P$2:$P$12,0)*_xlfn.XLOOKUP(1,(Population!$B:$B=$A20)*(Population!$A:$A=P$1),Population!$D:$D)</f>
        <v>9.3233742553945856E-2</v>
      </c>
      <c r="Q20" s="18" cm="1">
        <f t="array" ref="Q20">NICCS_scenario!Q20*_xlfn.XLOOKUP($B20,params!$O$2:$O$12,params!$P$2:$P$12,0)*_xlfn.XLOOKUP(1,(Population!$B:$B=$A20)*(Population!$A:$A=Q$1),Population!$D:$D)</f>
        <v>0.1141315067795729</v>
      </c>
      <c r="R20" s="18" cm="1">
        <f t="array" ref="R20">NICCS_scenario!R20*_xlfn.XLOOKUP($B20,params!$O$2:$O$12,params!$P$2:$P$12,0)*_xlfn.XLOOKUP(1,(Population!$B:$B=$A20)*(Population!$A:$A=R$1),Population!$D:$D)</f>
        <v>0.13574747301113582</v>
      </c>
      <c r="S20" s="18" cm="1">
        <f t="array" ref="S20">NICCS_scenario!S20*_xlfn.XLOOKUP($B20,params!$O$2:$O$12,params!$P$2:$P$12,0)*_xlfn.XLOOKUP(1,(Population!$B:$B=$A20)*(Population!$A:$A=S$1),Population!$D:$D)</f>
        <v>0.15806326419489367</v>
      </c>
      <c r="T20" s="18" cm="1">
        <f t="array" ref="T20">NICCS_scenario!T20*_xlfn.XLOOKUP($B20,params!$O$2:$O$12,params!$P$2:$P$12,0)*_xlfn.XLOOKUP(1,(Population!$B:$B=$A20)*(Population!$A:$A=T$1),Population!$D:$D)</f>
        <v>0.18106065137187813</v>
      </c>
      <c r="U20" s="18" cm="1">
        <f t="array" ref="U20">NICCS_scenario!U20*_xlfn.XLOOKUP($B20,params!$O$2:$O$12,params!$P$2:$P$12,0)*_xlfn.XLOOKUP(1,(Population!$B:$B=$A20)*(Population!$A:$A=U$1),Population!$D:$D)</f>
        <v>0.20474436648045538</v>
      </c>
      <c r="V20" s="18" cm="1">
        <f t="array" ref="V20">NICCS_scenario!V20*_xlfn.XLOOKUP($B20,params!$O$2:$O$12,params!$P$2:$P$12,0)*_xlfn.XLOOKUP(1,(Population!$B:$B=$A20)*(Population!$A:$A=V$1),Population!$D:$D)</f>
        <v>0.22910249897636081</v>
      </c>
      <c r="W20" s="18" cm="1">
        <f t="array" ref="W20">NICCS_scenario!W20*_xlfn.XLOOKUP($B20,params!$O$2:$O$12,params!$P$2:$P$12,0)*_xlfn.XLOOKUP(1,(Population!$B:$B=$A20)*(Population!$A:$A=W$1),Population!$D:$D)</f>
        <v>0.25411791331891814</v>
      </c>
      <c r="X20" s="18" cm="1">
        <f t="array" ref="X20">NICCS_scenario!X20*_xlfn.XLOOKUP($B20,params!$O$2:$O$12,params!$P$2:$P$12,0)*_xlfn.XLOOKUP(1,(Population!$B:$B=$A20)*(Population!$A:$A=X$1),Population!$D:$D)</f>
        <v>0.27977283015424731</v>
      </c>
      <c r="Y20" s="18" cm="1">
        <f t="array" ref="Y20">NICCS_scenario!Y20*_xlfn.XLOOKUP($B20,params!$O$2:$O$12,params!$P$2:$P$12,0)*_xlfn.XLOOKUP(1,(Population!$B:$B=$A20)*(Population!$A:$A=Y$1),Population!$D:$D)</f>
        <v>0.30604755819834917</v>
      </c>
      <c r="Z20" s="119" cm="1">
        <f t="array" ref="Z20">NICCS_scenario!Z20*_xlfn.XLOOKUP($B20,params!$O$2:$O$12,params!$P$2:$P$12,0)*_xlfn.XLOOKUP(1,(Population!$B:$B=$A20)*(Population!$A:$A=Z$1),Population!$D:$D)</f>
        <v>0.33292102188015721</v>
      </c>
      <c r="AA20" s="18" cm="1">
        <f t="array" ref="AA20">NICCS_scenario!AA20*_xlfn.XLOOKUP($B20,params!$O$2:$O$12,params!$P$2:$P$12,0)*_xlfn.XLOOKUP(1,(Population!$B:$B=$A20)*(Population!$A:$A=AA$1),Population!$D:$D)</f>
        <v>0.33784679147352087</v>
      </c>
      <c r="AB20" s="18" cm="1">
        <f t="array" ref="AB20">NICCS_scenario!AB20*_xlfn.XLOOKUP($B20,params!$O$2:$O$12,params!$P$2:$P$12,0)*_xlfn.XLOOKUP(1,(Population!$B:$B=$A20)*(Population!$A:$A=AB$1),Population!$D:$D)</f>
        <v>0.34267829031950547</v>
      </c>
      <c r="AC20" s="18" cm="1">
        <f t="array" ref="AC20">NICCS_scenario!AC20*_xlfn.XLOOKUP($B20,params!$O$2:$O$12,params!$P$2:$P$12,0)*_xlfn.XLOOKUP(1,(Population!$B:$B=$A20)*(Population!$A:$A=AC$1),Population!$D:$D)</f>
        <v>0.34740743084729048</v>
      </c>
      <c r="AD20" s="18" cm="1">
        <f t="array" ref="AD20">NICCS_scenario!AD20*_xlfn.XLOOKUP($B20,params!$O$2:$O$12,params!$P$2:$P$12,0)*_xlfn.XLOOKUP(1,(Population!$B:$B=$A20)*(Population!$A:$A=AD$1),Population!$D:$D)</f>
        <v>0.35202560671095295</v>
      </c>
      <c r="AE20" s="18" cm="1">
        <f t="array" ref="AE20">NICCS_scenario!AE20*_xlfn.XLOOKUP($B20,params!$O$2:$O$12,params!$P$2:$P$12,0)*_xlfn.XLOOKUP(1,(Population!$B:$B=$A20)*(Population!$A:$A=AE$1),Population!$D:$D)</f>
        <v>0.35652532892632866</v>
      </c>
      <c r="AF20" s="18" cm="1">
        <f t="array" ref="AF20">NICCS_scenario!AF20*_xlfn.XLOOKUP($B20,params!$O$2:$O$12,params!$P$2:$P$12,0)*_xlfn.XLOOKUP(1,(Population!$B:$B=$A20)*(Population!$A:$A=AF$1),Population!$D:$D)</f>
        <v>0.36089944105739508</v>
      </c>
      <c r="AG20" s="18" cm="1">
        <f t="array" ref="AG20">NICCS_scenario!AG20*_xlfn.XLOOKUP($B20,params!$O$2:$O$12,params!$P$2:$P$12,0)*_xlfn.XLOOKUP(1,(Population!$B:$B=$A20)*(Population!$A:$A=AG$1),Population!$D:$D)</f>
        <v>0.3651422631818817</v>
      </c>
      <c r="AH20" s="18" cm="1">
        <f t="array" ref="AH20">NICCS_scenario!AH20*_xlfn.XLOOKUP($B20,params!$O$2:$O$12,params!$P$2:$P$12,0)*_xlfn.XLOOKUP(1,(Population!$B:$B=$A20)*(Population!$A:$A=AH$1),Population!$D:$D)</f>
        <v>0.36924924604120202</v>
      </c>
      <c r="AI20" s="18" cm="1">
        <f t="array" ref="AI20">NICCS_scenario!AI20*_xlfn.XLOOKUP($B20,params!$O$2:$O$12,params!$P$2:$P$12,0)*_xlfn.XLOOKUP(1,(Population!$B:$B=$A20)*(Population!$A:$A=AI$1),Population!$D:$D)</f>
        <v>0.3732166384923109</v>
      </c>
      <c r="AJ20" s="111" cm="1">
        <f t="array" ref="AJ20">NICCS_scenario!AJ20*_xlfn.XLOOKUP($B20,params!$O$2:$O$12,params!$P$2:$P$12,0)*_xlfn.XLOOKUP(1,(Population!$B:$B=$A20)*(Population!$A:$A=AJ$1),Population!$D:$D)</f>
        <v>0.37704011740935828</v>
      </c>
      <c r="AK20" s="55">
        <f t="shared" si="3"/>
        <v>6.049819347782698</v>
      </c>
      <c r="AT20" s="34" t="s">
        <v>11</v>
      </c>
      <c r="AU20" s="54">
        <f t="shared" si="10"/>
        <v>1.8381231236658088E-3</v>
      </c>
      <c r="AV20" s="54">
        <f t="shared" si="10"/>
        <v>3.101158649011252E-3</v>
      </c>
      <c r="AW20" s="54">
        <f t="shared" si="10"/>
        <v>0.15195381674969638</v>
      </c>
      <c r="AX20" s="54">
        <f t="shared" si="10"/>
        <v>0.34491479842023054</v>
      </c>
      <c r="AY20" s="54">
        <f t="shared" si="10"/>
        <v>0.5854874716937144</v>
      </c>
      <c r="AZ20" s="54">
        <f t="shared" si="10"/>
        <v>0.65923128400285713</v>
      </c>
      <c r="BA20" s="54">
        <f t="shared" si="10"/>
        <v>0.73543888306228578</v>
      </c>
    </row>
    <row r="21" spans="1:53">
      <c r="A21" s="3" t="s">
        <v>18</v>
      </c>
      <c r="B21" t="s">
        <v>15</v>
      </c>
      <c r="C21" s="4" t="s">
        <v>53</v>
      </c>
      <c r="D21" s="91" t="s">
        <v>57</v>
      </c>
      <c r="E21" s="110" cm="1">
        <f t="array" ref="E21">NICCS_scenario!E21*_xlfn.XLOOKUP($B21,params!$O$2:$O$12,params!$P$2:$P$12,0)*_xlfn.XLOOKUP(1,(Population!$B:$B=$A21)*(Population!$A:$A=E$1),Population!$D:$D)</f>
        <v>0</v>
      </c>
      <c r="F21" s="18" cm="1">
        <f t="array" ref="F21">NICCS_scenario!F21*_xlfn.XLOOKUP($B21,params!$O$2:$O$12,params!$P$2:$P$12,0)*_xlfn.XLOOKUP(1,(Population!$B:$B=$A21)*(Population!$A:$A=F$1),Population!$D:$D)</f>
        <v>0</v>
      </c>
      <c r="G21" s="18" cm="1">
        <f t="array" ref="G21">NICCS_scenario!G21*_xlfn.XLOOKUP($B21,params!$O$2:$O$12,params!$P$2:$P$12,0)*_xlfn.XLOOKUP(1,(Population!$B:$B=$A21)*(Population!$A:$A=G$1),Population!$D:$D)</f>
        <v>0</v>
      </c>
      <c r="H21" s="18" cm="1">
        <f t="array" ref="H21">NICCS_scenario!H21*_xlfn.XLOOKUP($B21,params!$O$2:$O$12,params!$P$2:$P$12,0)*_xlfn.XLOOKUP(1,(Population!$B:$B=$A21)*(Population!$A:$A=H$1),Population!$D:$D)</f>
        <v>0</v>
      </c>
      <c r="I21" s="18" cm="1">
        <f t="array" ref="I21">NICCS_scenario!I21*_xlfn.XLOOKUP($B21,params!$O$2:$O$12,params!$P$2:$P$12,0)*_xlfn.XLOOKUP(1,(Population!$B:$B=$A21)*(Population!$A:$A=I$1),Population!$D:$D)</f>
        <v>0</v>
      </c>
      <c r="J21" s="119" cm="1">
        <f t="array" ref="J21">NICCS_scenario!J21*_xlfn.XLOOKUP($B21,params!$O$2:$O$12,params!$P$2:$P$12,0)*_xlfn.XLOOKUP(1,(Population!$B:$B=$A21)*(Population!$A:$A=J$1),Population!$D:$D)</f>
        <v>0</v>
      </c>
      <c r="K21" s="18" cm="1">
        <f t="array" ref="K21">NICCS_scenario!K21*_xlfn.XLOOKUP($B21,params!$O$2:$O$12,params!$P$2:$P$12,0)*_xlfn.XLOOKUP(1,(Population!$B:$B=$A21)*(Population!$A:$A=K$1),Population!$D:$D)</f>
        <v>0</v>
      </c>
      <c r="L21" s="18" cm="1">
        <f t="array" ref="L21">NICCS_scenario!L21*_xlfn.XLOOKUP($B21,params!$O$2:$O$12,params!$P$2:$P$12,0)*_xlfn.XLOOKUP(1,(Population!$B:$B=$A21)*(Population!$A:$A=L$1),Population!$D:$D)</f>
        <v>1.5825797358029561E-3</v>
      </c>
      <c r="M21" s="18" cm="1">
        <f t="array" ref="M21">NICCS_scenario!M21*_xlfn.XLOOKUP($B21,params!$O$2:$O$12,params!$P$2:$P$12,0)*_xlfn.XLOOKUP(1,(Population!$B:$B=$A21)*(Population!$A:$A=M$1),Population!$D:$D)</f>
        <v>3.2362067223251226E-3</v>
      </c>
      <c r="N21" s="18" cm="1">
        <f t="array" ref="N21">NICCS_scenario!N21*_xlfn.XLOOKUP($B21,params!$O$2:$O$12,params!$P$2:$P$12,0)*_xlfn.XLOOKUP(1,(Population!$B:$B=$A21)*(Population!$A:$A=N$1),Population!$D:$D)</f>
        <v>4.9608337332413795E-3</v>
      </c>
      <c r="O21" s="18" cm="1">
        <f t="array" ref="O21">NICCS_scenario!O21*_xlfn.XLOOKUP($B21,params!$O$2:$O$12,params!$P$2:$P$12,0)*_xlfn.XLOOKUP(1,(Population!$B:$B=$A21)*(Population!$A:$A=O$1),Population!$D:$D)</f>
        <v>6.7558330519802961E-3</v>
      </c>
      <c r="P21" s="119" cm="1">
        <f t="array" ref="P21">NICCS_scenario!P21*_xlfn.XLOOKUP($B21,params!$O$2:$O$12,params!$P$2:$P$12,0)*_xlfn.XLOOKUP(1,(Population!$B:$B=$A21)*(Population!$A:$A=P$1),Population!$D:$D)</f>
        <v>8.6200846111330071E-3</v>
      </c>
      <c r="Q21" s="18" cm="1">
        <f t="array" ref="Q21">NICCS_scenario!Q21*_xlfn.XLOOKUP($B21,params!$O$2:$O$12,params!$P$2:$P$12,0)*_xlfn.XLOOKUP(1,(Population!$B:$B=$A21)*(Population!$A:$A=Q$1),Population!$D:$D)</f>
        <v>1.0552223028768475E-2</v>
      </c>
      <c r="R21" s="18" cm="1">
        <f t="array" ref="R21">NICCS_scenario!R21*_xlfn.XLOOKUP($B21,params!$O$2:$O$12,params!$P$2:$P$12,0)*_xlfn.XLOOKUP(1,(Population!$B:$B=$A21)*(Population!$A:$A=R$1),Population!$D:$D)</f>
        <v>1.2550764037241381E-2</v>
      </c>
      <c r="S21" s="18" cm="1">
        <f t="array" ref="S21">NICCS_scenario!S21*_xlfn.XLOOKUP($B21,params!$O$2:$O$12,params!$P$2:$P$12,0)*_xlfn.XLOOKUP(1,(Population!$B:$B=$A21)*(Population!$A:$A=S$1),Population!$D:$D)</f>
        <v>1.4614008554719215E-2</v>
      </c>
      <c r="T21" s="18" cm="1">
        <f t="array" ref="T21">NICCS_scenario!T21*_xlfn.XLOOKUP($B21,params!$O$2:$O$12,params!$P$2:$P$12,0)*_xlfn.XLOOKUP(1,(Population!$B:$B=$A21)*(Population!$A:$A=T$1),Population!$D:$D)</f>
        <v>1.6740271191724138E-2</v>
      </c>
      <c r="U21" s="18" cm="1">
        <f t="array" ref="U21">NICCS_scenario!U21*_xlfn.XLOOKUP($B21,params!$O$2:$O$12,params!$P$2:$P$12,0)*_xlfn.XLOOKUP(1,(Population!$B:$B=$A21)*(Population!$A:$A=U$1),Population!$D:$D)</f>
        <v>1.8929989447684731E-2</v>
      </c>
      <c r="V21" s="18" cm="1">
        <f t="array" ref="V21">NICCS_scenario!V21*_xlfn.XLOOKUP($B21,params!$O$2:$O$12,params!$P$2:$P$12,0)*_xlfn.XLOOKUP(1,(Population!$B:$B=$A21)*(Population!$A:$A=V$1),Population!$D:$D)</f>
        <v>2.1182062112926114E-2</v>
      </c>
      <c r="W21" s="18" cm="1">
        <f t="array" ref="W21">NICCS_scenario!W21*_xlfn.XLOOKUP($B21,params!$O$2:$O$12,params!$P$2:$P$12,0)*_xlfn.XLOOKUP(1,(Population!$B:$B=$A21)*(Population!$A:$A=W$1),Population!$D:$D)</f>
        <v>2.3494904891822668E-2</v>
      </c>
      <c r="X21" s="18" cm="1">
        <f t="array" ref="X21">NICCS_scenario!X21*_xlfn.XLOOKUP($B21,params!$O$2:$O$12,params!$P$2:$P$12,0)*_xlfn.XLOOKUP(1,(Population!$B:$B=$A21)*(Population!$A:$A=X$1),Population!$D:$D)</f>
        <v>2.5866873963901481E-2</v>
      </c>
      <c r="Y21" s="18" cm="1">
        <f t="array" ref="Y21">NICCS_scenario!Y21*_xlfn.XLOOKUP($B21,params!$O$2:$O$12,params!$P$2:$P$12,0)*_xlfn.XLOOKUP(1,(Population!$B:$B=$A21)*(Population!$A:$A=Y$1),Population!$D:$D)</f>
        <v>2.8296148737931039E-2</v>
      </c>
      <c r="Z21" s="119" cm="1">
        <f t="array" ref="Z21">NICCS_scenario!Z21*_xlfn.XLOOKUP($B21,params!$O$2:$O$12,params!$P$2:$P$12,0)*_xlfn.XLOOKUP(1,(Population!$B:$B=$A21)*(Population!$A:$A=Z$1),Population!$D:$D)</f>
        <v>3.0780780636059116E-2</v>
      </c>
      <c r="AA21" s="18" cm="1">
        <f t="array" ref="AA21">NICCS_scenario!AA21*_xlfn.XLOOKUP($B21,params!$O$2:$O$12,params!$P$2:$P$12,0)*_xlfn.XLOOKUP(1,(Population!$B:$B=$A21)*(Population!$A:$A=AA$1),Population!$D:$D)</f>
        <v>3.1236201061182269E-2</v>
      </c>
      <c r="AB21" s="18" cm="1">
        <f t="array" ref="AB21">NICCS_scenario!AB21*_xlfn.XLOOKUP($B21,params!$O$2:$O$12,params!$P$2:$P$12,0)*_xlfn.XLOOKUP(1,(Population!$B:$B=$A21)*(Population!$A:$A=AB$1),Population!$D:$D)</f>
        <v>3.1682905523645319E-2</v>
      </c>
      <c r="AC21" s="18" cm="1">
        <f t="array" ref="AC21">NICCS_scenario!AC21*_xlfn.XLOOKUP($B21,params!$O$2:$O$12,params!$P$2:$P$12,0)*_xlfn.XLOOKUP(1,(Population!$B:$B=$A21)*(Population!$A:$A=AC$1),Population!$D:$D)</f>
        <v>3.2120146273300496E-2</v>
      </c>
      <c r="AD21" s="18" cm="1">
        <f t="array" ref="AD21">NICCS_scenario!AD21*_xlfn.XLOOKUP($B21,params!$O$2:$O$12,params!$P$2:$P$12,0)*_xlfn.XLOOKUP(1,(Population!$B:$B=$A21)*(Population!$A:$A=AD$1),Population!$D:$D)</f>
        <v>3.2547127595763545E-2</v>
      </c>
      <c r="AE21" s="18" cm="1">
        <f t="array" ref="AE21">NICCS_scenario!AE21*_xlfn.XLOOKUP($B21,params!$O$2:$O$12,params!$P$2:$P$12,0)*_xlfn.XLOOKUP(1,(Population!$B:$B=$A21)*(Population!$A:$A=AE$1),Population!$D:$D)</f>
        <v>3.2963157084236451E-2</v>
      </c>
      <c r="AF21" s="18" cm="1">
        <f t="array" ref="AF21">NICCS_scenario!AF21*_xlfn.XLOOKUP($B21,params!$O$2:$O$12,params!$P$2:$P$12,0)*_xlfn.XLOOKUP(1,(Population!$B:$B=$A21)*(Population!$A:$A=AF$1),Population!$D:$D)</f>
        <v>3.3367573078226603E-2</v>
      </c>
      <c r="AG21" s="18" cm="1">
        <f t="array" ref="AG21">NICCS_scenario!AG21*_xlfn.XLOOKUP($B21,params!$O$2:$O$12,params!$P$2:$P$12,0)*_xlfn.XLOOKUP(1,(Population!$B:$B=$A21)*(Population!$A:$A=AG$1),Population!$D:$D)</f>
        <v>3.3759850430837443E-2</v>
      </c>
      <c r="AH21" s="18" cm="1">
        <f t="array" ref="AH21">NICCS_scenario!AH21*_xlfn.XLOOKUP($B21,params!$O$2:$O$12,params!$P$2:$P$12,0)*_xlfn.XLOOKUP(1,(Population!$B:$B=$A21)*(Population!$A:$A=AH$1),Population!$D:$D)</f>
        <v>3.4139568532610833E-2</v>
      </c>
      <c r="AI21" s="18" cm="1">
        <f t="array" ref="AI21">NICCS_scenario!AI21*_xlfn.XLOOKUP($B21,params!$O$2:$O$12,params!$P$2:$P$12,0)*_xlfn.XLOOKUP(1,(Population!$B:$B=$A21)*(Population!$A:$A=AI$1),Population!$D:$D)</f>
        <v>3.4506380565221671E-2</v>
      </c>
      <c r="AJ21" s="111" cm="1">
        <f t="array" ref="AJ21">NICCS_scenario!AJ21*_xlfn.XLOOKUP($B21,params!$O$2:$O$12,params!$P$2:$P$12,0)*_xlfn.XLOOKUP(1,(Population!$B:$B=$A21)*(Population!$A:$A=AJ$1),Population!$D:$D)</f>
        <v>3.4859886826699507E-2</v>
      </c>
      <c r="AK21" s="55">
        <f t="shared" si="3"/>
        <v>0.55934636142898531</v>
      </c>
      <c r="AT21" s="3" t="s">
        <v>12</v>
      </c>
      <c r="AU21" s="54">
        <f t="shared" si="10"/>
        <v>1.4109146447841009E-4</v>
      </c>
      <c r="AV21" s="54">
        <f t="shared" si="10"/>
        <v>0</v>
      </c>
      <c r="AW21" s="54">
        <f t="shared" si="10"/>
        <v>0</v>
      </c>
      <c r="AX21" s="54">
        <f t="shared" si="10"/>
        <v>0</v>
      </c>
      <c r="AY21" s="54">
        <f t="shared" si="10"/>
        <v>0</v>
      </c>
      <c r="AZ21" s="54">
        <f t="shared" si="10"/>
        <v>0</v>
      </c>
      <c r="BA21" s="54">
        <f t="shared" si="10"/>
        <v>0</v>
      </c>
    </row>
    <row r="22" spans="1:53">
      <c r="A22" s="3" t="s">
        <v>18</v>
      </c>
      <c r="B22" t="s">
        <v>16</v>
      </c>
      <c r="C22" s="4" t="s">
        <v>53</v>
      </c>
      <c r="D22" s="91" t="s">
        <v>57</v>
      </c>
      <c r="E22" s="110" cm="1">
        <f t="array" ref="E22">NICCS_scenario!E22*_xlfn.XLOOKUP($B22,params!$O$2:$O$12,params!$P$2:$P$12,0)*_xlfn.XLOOKUP(1,(Population!$B:$B=$A22)*(Population!$A:$A=E$1),Population!$D:$D)</f>
        <v>0</v>
      </c>
      <c r="F22" s="18" cm="1">
        <f t="array" ref="F22">NICCS_scenario!F22*_xlfn.XLOOKUP($B22,params!$O$2:$O$12,params!$P$2:$P$12,0)*_xlfn.XLOOKUP(1,(Population!$B:$B=$A22)*(Population!$A:$A=F$1),Population!$D:$D)</f>
        <v>0</v>
      </c>
      <c r="G22" s="18" cm="1">
        <f t="array" ref="G22">NICCS_scenario!G22*_xlfn.XLOOKUP($B22,params!$O$2:$O$12,params!$P$2:$P$12,0)*_xlfn.XLOOKUP(1,(Population!$B:$B=$A22)*(Population!$A:$A=G$1),Population!$D:$D)</f>
        <v>0</v>
      </c>
      <c r="H22" s="18" cm="1">
        <f t="array" ref="H22">NICCS_scenario!H22*_xlfn.XLOOKUP($B22,params!$O$2:$O$12,params!$P$2:$P$12,0)*_xlfn.XLOOKUP(1,(Population!$B:$B=$A22)*(Population!$A:$A=H$1),Population!$D:$D)</f>
        <v>0</v>
      </c>
      <c r="I22" s="18" cm="1">
        <f t="array" ref="I22">NICCS_scenario!I22*_xlfn.XLOOKUP($B22,params!$O$2:$O$12,params!$P$2:$P$12,0)*_xlfn.XLOOKUP(1,(Population!$B:$B=$A22)*(Population!$A:$A=I$1),Population!$D:$D)</f>
        <v>0</v>
      </c>
      <c r="J22" s="119" cm="1">
        <f t="array" ref="J22">NICCS_scenario!J22*_xlfn.XLOOKUP($B22,params!$O$2:$O$12,params!$P$2:$P$12,0)*_xlfn.XLOOKUP(1,(Population!$B:$B=$A22)*(Population!$A:$A=J$1),Population!$D:$D)</f>
        <v>0</v>
      </c>
      <c r="K22" s="18" cm="1">
        <f t="array" ref="K22">NICCS_scenario!K22*_xlfn.XLOOKUP($B22,params!$O$2:$O$12,params!$P$2:$P$12,0)*_xlfn.XLOOKUP(1,(Population!$B:$B=$A22)*(Population!$A:$A=K$1),Population!$D:$D)</f>
        <v>0</v>
      </c>
      <c r="L22" s="18" cm="1">
        <f t="array" ref="L22">NICCS_scenario!L22*_xlfn.XLOOKUP($B22,params!$O$2:$O$12,params!$P$2:$P$12,0)*_xlfn.XLOOKUP(1,(Population!$B:$B=$A22)*(Population!$A:$A=L$1),Population!$D:$D)</f>
        <v>4.2115736687875103E-3</v>
      </c>
      <c r="M22" s="18" cm="1">
        <f t="array" ref="M22">NICCS_scenario!M22*_xlfn.XLOOKUP($B22,params!$O$2:$O$12,params!$P$2:$P$12,0)*_xlfn.XLOOKUP(1,(Population!$B:$B=$A22)*(Population!$A:$A=M$1),Population!$D:$D)</f>
        <v>8.6122188412720881E-3</v>
      </c>
      <c r="N22" s="18" cm="1">
        <f t="array" ref="N22">NICCS_scenario!N22*_xlfn.XLOOKUP($B22,params!$O$2:$O$12,params!$P$2:$P$12,0)*_xlfn.XLOOKUP(1,(Population!$B:$B=$A22)*(Population!$A:$A=N$1),Population!$D:$D)</f>
        <v>1.3201809838385025E-2</v>
      </c>
      <c r="O22" s="18" cm="1">
        <f t="array" ref="O22">NICCS_scenario!O22*_xlfn.XLOOKUP($B22,params!$O$2:$O$12,params!$P$2:$P$12,0)*_xlfn.XLOOKUP(1,(Population!$B:$B=$A22)*(Population!$A:$A=O$1),Population!$D:$D)</f>
        <v>1.7978676175837982E-2</v>
      </c>
      <c r="P22" s="119" cm="1">
        <f t="array" ref="P22">NICCS_scenario!P22*_xlfn.XLOOKUP($B22,params!$O$2:$O$12,params!$P$2:$P$12,0)*_xlfn.XLOOKUP(1,(Population!$B:$B=$A22)*(Population!$A:$A=P$1),Population!$D:$D)</f>
        <v>2.2939837121412721E-2</v>
      </c>
      <c r="Q22" s="18" cm="1">
        <f t="array" ref="Q22">NICCS_scenario!Q22*_xlfn.XLOOKUP($B22,params!$O$2:$O$12,params!$P$2:$P$12,0)*_xlfn.XLOOKUP(1,(Population!$B:$B=$A22)*(Population!$A:$A=Q$1),Population!$D:$D)</f>
        <v>2.8081659109950724E-2</v>
      </c>
      <c r="R22" s="18" cm="1">
        <f t="array" ref="R22">NICCS_scenario!R22*_xlfn.XLOOKUP($B22,params!$O$2:$O$12,params!$P$2:$P$12,0)*_xlfn.XLOOKUP(1,(Population!$B:$B=$A22)*(Population!$A:$A=R$1),Population!$D:$D)</f>
        <v>3.3400192196693414E-2</v>
      </c>
      <c r="S22" s="18" cm="1">
        <f t="array" ref="S22">NICCS_scenario!S22*_xlfn.XLOOKUP($B22,params!$O$2:$O$12,params!$P$2:$P$12,0)*_xlfn.XLOOKUP(1,(Population!$B:$B=$A22)*(Population!$A:$A=S$1),Population!$D:$D)</f>
        <v>3.8890914771673821E-2</v>
      </c>
      <c r="T22" s="18" cm="1">
        <f t="array" ref="T22">NICCS_scenario!T22*_xlfn.XLOOKUP($B22,params!$O$2:$O$12,params!$P$2:$P$12,0)*_xlfn.XLOOKUP(1,(Population!$B:$B=$A22)*(Population!$A:$A=T$1),Population!$D:$D)</f>
        <v>4.4549341663127205E-2</v>
      </c>
      <c r="U22" s="18" cm="1">
        <f t="array" ref="U22">NICCS_scenario!U22*_xlfn.XLOOKUP($B22,params!$O$2:$O$12,params!$P$2:$P$12,0)*_xlfn.XLOOKUP(1,(Population!$B:$B=$A22)*(Population!$A:$A=U$1),Population!$D:$D)</f>
        <v>5.0376637147981802E-2</v>
      </c>
      <c r="V22" s="18" cm="1">
        <f t="array" ref="V22">NICCS_scenario!V22*_xlfn.XLOOKUP($B22,params!$O$2:$O$12,params!$P$2:$P$12,0)*_xlfn.XLOOKUP(1,(Population!$B:$B=$A22)*(Population!$A:$A=V$1),Population!$D:$D)</f>
        <v>5.6369870678369689E-2</v>
      </c>
      <c r="W22" s="18" cm="1">
        <f t="array" ref="W22">NICCS_scenario!W22*_xlfn.XLOOKUP($B22,params!$O$2:$O$12,params!$P$2:$P$12,0)*_xlfn.XLOOKUP(1,(Population!$B:$B=$A22)*(Population!$A:$A=W$1),Population!$D:$D)</f>
        <v>6.2524826114282631E-2</v>
      </c>
      <c r="X22" s="18" cm="1">
        <f t="array" ref="X22">NICCS_scenario!X22*_xlfn.XLOOKUP($B22,params!$O$2:$O$12,params!$P$2:$P$12,0)*_xlfn.XLOOKUP(1,(Population!$B:$B=$A22)*(Population!$A:$A=X$1),Population!$D:$D)</f>
        <v>6.8837128907719453E-2</v>
      </c>
      <c r="Y22" s="18" cm="1">
        <f t="array" ref="Y22">NICCS_scenario!Y22*_xlfn.XLOOKUP($B22,params!$O$2:$O$12,params!$P$2:$P$12,0)*_xlfn.XLOOKUP(1,(Population!$B:$B=$A22)*(Population!$A:$A=Y$1),Population!$D:$D)</f>
        <v>7.5301934086942621E-2</v>
      </c>
      <c r="Z22" s="119" cm="1">
        <f t="array" ref="Z22">NICCS_scenario!Z22*_xlfn.XLOOKUP($B22,params!$O$2:$O$12,params!$P$2:$P$12,0)*_xlfn.XLOOKUP(1,(Population!$B:$B=$A22)*(Population!$A:$A=Z$1),Population!$D:$D)</f>
        <v>8.1914056081210745E-2</v>
      </c>
      <c r="AA22" s="18" cm="1">
        <f t="array" ref="AA22">NICCS_scenario!AA22*_xlfn.XLOOKUP($B22,params!$O$2:$O$12,params!$P$2:$P$12,0)*_xlfn.XLOOKUP(1,(Population!$B:$B=$A22)*(Population!$A:$A=AA$1),Population!$D:$D)</f>
        <v>8.3126024506740698E-2</v>
      </c>
      <c r="AB22" s="18" cm="1">
        <f t="array" ref="AB22">NICCS_scenario!AB22*_xlfn.XLOOKUP($B22,params!$O$2:$O$12,params!$P$2:$P$12,0)*_xlfn.XLOOKUP(1,(Population!$B:$B=$A22)*(Population!$A:$A=AB$1),Population!$D:$D)</f>
        <v>8.4314797943729466E-2</v>
      </c>
      <c r="AC22" s="18" cm="1">
        <f t="array" ref="AC22">NICCS_scenario!AC22*_xlfn.XLOOKUP($B22,params!$O$2:$O$12,params!$P$2:$P$12,0)*_xlfn.XLOOKUP(1,(Population!$B:$B=$A22)*(Population!$A:$A=AC$1),Population!$D:$D)</f>
        <v>8.547838647358913E-2</v>
      </c>
      <c r="AD22" s="18" cm="1">
        <f t="array" ref="AD22">NICCS_scenario!AD22*_xlfn.XLOOKUP($B22,params!$O$2:$O$12,params!$P$2:$P$12,0)*_xlfn.XLOOKUP(1,(Population!$B:$B=$A22)*(Population!$A:$A=AD$1),Population!$D:$D)</f>
        <v>8.6614672534927481E-2</v>
      </c>
      <c r="AE22" s="18" cm="1">
        <f t="array" ref="AE22">NICCS_scenario!AE22*_xlfn.XLOOKUP($B22,params!$O$2:$O$12,params!$P$2:$P$12,0)*_xlfn.XLOOKUP(1,(Population!$B:$B=$A22)*(Population!$A:$A=AE$1),Population!$D:$D)</f>
        <v>8.7721813489315265E-2</v>
      </c>
      <c r="AF22" s="18" cm="1">
        <f t="array" ref="AF22">NICCS_scenario!AF22*_xlfn.XLOOKUP($B22,params!$O$2:$O$12,params!$P$2:$P$12,0)*_xlfn.XLOOKUP(1,(Population!$B:$B=$A22)*(Population!$A:$A=AF$1),Population!$D:$D)</f>
        <v>8.8798048520633457E-2</v>
      </c>
      <c r="AG22" s="18" cm="1">
        <f t="array" ref="AG22">NICCS_scenario!AG22*_xlfn.XLOOKUP($B22,params!$O$2:$O$12,params!$P$2:$P$12,0)*_xlfn.XLOOKUP(1,(Population!$B:$B=$A22)*(Population!$A:$A=AG$1),Population!$D:$D)</f>
        <v>8.9841980103821106E-2</v>
      </c>
      <c r="AH22" s="18" cm="1">
        <f t="array" ref="AH22">NICCS_scenario!AH22*_xlfn.XLOOKUP($B22,params!$O$2:$O$12,params!$P$2:$P$12,0)*_xlfn.XLOOKUP(1,(Population!$B:$B=$A22)*(Population!$A:$A=AH$1),Population!$D:$D)</f>
        <v>9.0852488909672457E-2</v>
      </c>
      <c r="AI22" s="18" cm="1">
        <f t="array" ref="AI22">NICCS_scenario!AI22*_xlfn.XLOOKUP($B22,params!$O$2:$O$12,params!$P$2:$P$12,0)*_xlfn.XLOOKUP(1,(Population!$B:$B=$A22)*(Population!$A:$A=AI$1),Population!$D:$D)</f>
        <v>9.1828651982526682E-2</v>
      </c>
      <c r="AJ22" s="111" cm="1">
        <f t="array" ref="AJ22">NICCS_scenario!AJ22*_xlfn.XLOOKUP($B22,params!$O$2:$O$12,params!$P$2:$P$12,0)*_xlfn.XLOOKUP(1,(Population!$B:$B=$A22)*(Population!$A:$A=AJ$1),Population!$D:$D)</f>
        <v>9.2769405632349047E-2</v>
      </c>
      <c r="AK22" s="55">
        <f t="shared" si="3"/>
        <v>1.4885369465009521</v>
      </c>
      <c r="AT22" s="3" t="s">
        <v>13</v>
      </c>
      <c r="AU22" s="54">
        <f t="shared" si="10"/>
        <v>0.3083562253484326</v>
      </c>
      <c r="AV22" s="54">
        <f t="shared" si="10"/>
        <v>0.29081508489027647</v>
      </c>
      <c r="AW22" s="54">
        <f t="shared" si="10"/>
        <v>1.0122558927709426</v>
      </c>
      <c r="AX22" s="54">
        <f t="shared" si="10"/>
        <v>1.9241732907755238</v>
      </c>
      <c r="AY22" s="54">
        <f t="shared" si="10"/>
        <v>3.0377843022040816</v>
      </c>
      <c r="AZ22" s="54">
        <f t="shared" si="10"/>
        <v>3.4176160496428571</v>
      </c>
      <c r="BA22" s="54">
        <f t="shared" si="10"/>
        <v>3.8095485370510209</v>
      </c>
    </row>
    <row r="23" spans="1:53" ht="17" thickBot="1">
      <c r="A23" s="31" t="s">
        <v>18</v>
      </c>
      <c r="B23" s="31" t="s">
        <v>17</v>
      </c>
      <c r="C23" s="32" t="s">
        <v>53</v>
      </c>
      <c r="D23" s="93" t="s">
        <v>57</v>
      </c>
      <c r="E23" s="112" cm="1">
        <f t="array" ref="E23">NICCS_scenario!E23*_xlfn.XLOOKUP($B23,params!$O$2:$O$12,params!$P$2:$P$12,0)*_xlfn.XLOOKUP(1,(Population!$B:$B=$A23)*(Population!$A:$A=E$1),Population!$D:$D)</f>
        <v>0</v>
      </c>
      <c r="F23" s="113" cm="1">
        <f t="array" ref="F23">NICCS_scenario!F23*_xlfn.XLOOKUP($B23,params!$O$2:$O$12,params!$P$2:$P$12,0)*_xlfn.XLOOKUP(1,(Population!$B:$B=$A23)*(Population!$A:$A=F$1),Population!$D:$D)</f>
        <v>0</v>
      </c>
      <c r="G23" s="113" cm="1">
        <f t="array" ref="G23">NICCS_scenario!G23*_xlfn.XLOOKUP($B23,params!$O$2:$O$12,params!$P$2:$P$12,0)*_xlfn.XLOOKUP(1,(Population!$B:$B=$A23)*(Population!$A:$A=G$1),Population!$D:$D)</f>
        <v>0</v>
      </c>
      <c r="H23" s="113" cm="1">
        <f t="array" ref="H23">NICCS_scenario!H23*_xlfn.XLOOKUP($B23,params!$O$2:$O$12,params!$P$2:$P$12,0)*_xlfn.XLOOKUP(1,(Population!$B:$B=$A23)*(Population!$A:$A=H$1),Population!$D:$D)</f>
        <v>0</v>
      </c>
      <c r="I23" s="113" cm="1">
        <f t="array" ref="I23">NICCS_scenario!I23*_xlfn.XLOOKUP($B23,params!$O$2:$O$12,params!$P$2:$P$12,0)*_xlfn.XLOOKUP(1,(Population!$B:$B=$A23)*(Population!$A:$A=I$1),Population!$D:$D)</f>
        <v>0</v>
      </c>
      <c r="J23" s="120" cm="1">
        <f t="array" ref="J23">NICCS_scenario!J23*_xlfn.XLOOKUP($B23,params!$O$2:$O$12,params!$P$2:$P$12,0)*_xlfn.XLOOKUP(1,(Population!$B:$B=$A23)*(Population!$A:$A=J$1),Population!$D:$D)</f>
        <v>0</v>
      </c>
      <c r="K23" s="113" cm="1">
        <f t="array" ref="K23">NICCS_scenario!K23*_xlfn.XLOOKUP($B23,params!$O$2:$O$12,params!$P$2:$P$12,0)*_xlfn.XLOOKUP(1,(Population!$B:$B=$A23)*(Population!$A:$A=K$1),Population!$D:$D)</f>
        <v>0</v>
      </c>
      <c r="L23" s="113" cm="1">
        <f t="array" ref="L23">NICCS_scenario!L23*_xlfn.XLOOKUP($B23,params!$O$2:$O$12,params!$P$2:$P$12,0)*_xlfn.XLOOKUP(1,(Population!$B:$B=$A23)*(Population!$A:$A=L$1),Population!$D:$D)</f>
        <v>0</v>
      </c>
      <c r="M23" s="113" cm="1">
        <f t="array" ref="M23">NICCS_scenario!M23*_xlfn.XLOOKUP($B23,params!$O$2:$O$12,params!$P$2:$P$12,0)*_xlfn.XLOOKUP(1,(Population!$B:$B=$A23)*(Population!$A:$A=M$1),Population!$D:$D)</f>
        <v>0</v>
      </c>
      <c r="N23" s="113" cm="1">
        <f t="array" ref="N23">NICCS_scenario!N23*_xlfn.XLOOKUP($B23,params!$O$2:$O$12,params!$P$2:$P$12,0)*_xlfn.XLOOKUP(1,(Population!$B:$B=$A23)*(Population!$A:$A=N$1),Population!$D:$D)</f>
        <v>0</v>
      </c>
      <c r="O23" s="113" cm="1">
        <f t="array" ref="O23">NICCS_scenario!O23*_xlfn.XLOOKUP($B23,params!$O$2:$O$12,params!$P$2:$P$12,0)*_xlfn.XLOOKUP(1,(Population!$B:$B=$A23)*(Population!$A:$A=O$1),Population!$D:$D)</f>
        <v>0</v>
      </c>
      <c r="P23" s="120" cm="1">
        <f t="array" ref="P23">NICCS_scenario!P23*_xlfn.XLOOKUP($B23,params!$O$2:$O$12,params!$P$2:$P$12,0)*_xlfn.XLOOKUP(1,(Population!$B:$B=$A23)*(Population!$A:$A=P$1),Population!$D:$D)</f>
        <v>0</v>
      </c>
      <c r="Q23" s="113" cm="1">
        <f t="array" ref="Q23">NICCS_scenario!Q23*_xlfn.XLOOKUP($B23,params!$O$2:$O$12,params!$P$2:$P$12,0)*_xlfn.XLOOKUP(1,(Population!$B:$B=$A23)*(Population!$A:$A=Q$1),Population!$D:$D)</f>
        <v>0</v>
      </c>
      <c r="R23" s="113" cm="1">
        <f t="array" ref="R23">NICCS_scenario!R23*_xlfn.XLOOKUP($B23,params!$O$2:$O$12,params!$P$2:$P$12,0)*_xlfn.XLOOKUP(1,(Population!$B:$B=$A23)*(Population!$A:$A=R$1),Population!$D:$D)</f>
        <v>0</v>
      </c>
      <c r="S23" s="113" cm="1">
        <f t="array" ref="S23">NICCS_scenario!S23*_xlfn.XLOOKUP($B23,params!$O$2:$O$12,params!$P$2:$P$12,0)*_xlfn.XLOOKUP(1,(Population!$B:$B=$A23)*(Population!$A:$A=S$1),Population!$D:$D)</f>
        <v>0</v>
      </c>
      <c r="T23" s="113" cm="1">
        <f t="array" ref="T23">NICCS_scenario!T23*_xlfn.XLOOKUP($B23,params!$O$2:$O$12,params!$P$2:$P$12,0)*_xlfn.XLOOKUP(1,(Population!$B:$B=$A23)*(Population!$A:$A=T$1),Population!$D:$D)</f>
        <v>0</v>
      </c>
      <c r="U23" s="113" cm="1">
        <f t="array" ref="U23">NICCS_scenario!U23*_xlfn.XLOOKUP($B23,params!$O$2:$O$12,params!$P$2:$P$12,0)*_xlfn.XLOOKUP(1,(Population!$B:$B=$A23)*(Population!$A:$A=U$1),Population!$D:$D)</f>
        <v>0</v>
      </c>
      <c r="V23" s="113" cm="1">
        <f t="array" ref="V23">NICCS_scenario!V23*_xlfn.XLOOKUP($B23,params!$O$2:$O$12,params!$P$2:$P$12,0)*_xlfn.XLOOKUP(1,(Population!$B:$B=$A23)*(Population!$A:$A=V$1),Population!$D:$D)</f>
        <v>0</v>
      </c>
      <c r="W23" s="113" cm="1">
        <f t="array" ref="W23">NICCS_scenario!W23*_xlfn.XLOOKUP($B23,params!$O$2:$O$12,params!$P$2:$P$12,0)*_xlfn.XLOOKUP(1,(Population!$B:$B=$A23)*(Population!$A:$A=W$1),Population!$D:$D)</f>
        <v>0</v>
      </c>
      <c r="X23" s="113" cm="1">
        <f t="array" ref="X23">NICCS_scenario!X23*_xlfn.XLOOKUP($B23,params!$O$2:$O$12,params!$P$2:$P$12,0)*_xlfn.XLOOKUP(1,(Population!$B:$B=$A23)*(Population!$A:$A=X$1),Population!$D:$D)</f>
        <v>0</v>
      </c>
      <c r="Y23" s="113" cm="1">
        <f t="array" ref="Y23">NICCS_scenario!Y23*_xlfn.XLOOKUP($B23,params!$O$2:$O$12,params!$P$2:$P$12,0)*_xlfn.XLOOKUP(1,(Population!$B:$B=$A23)*(Population!$A:$A=Y$1),Population!$D:$D)</f>
        <v>0</v>
      </c>
      <c r="Z23" s="120" cm="1">
        <f t="array" ref="Z23">NICCS_scenario!Z23*_xlfn.XLOOKUP($B23,params!$O$2:$O$12,params!$P$2:$P$12,0)*_xlfn.XLOOKUP(1,(Population!$B:$B=$A23)*(Population!$A:$A=Z$1),Population!$D:$D)</f>
        <v>0</v>
      </c>
      <c r="AA23" s="113" cm="1">
        <f t="array" ref="AA23">NICCS_scenario!AA23*_xlfn.XLOOKUP($B23,params!$O$2:$O$12,params!$P$2:$P$12,0)*_xlfn.XLOOKUP(1,(Population!$B:$B=$A23)*(Population!$A:$A=AA$1),Population!$D:$D)</f>
        <v>0</v>
      </c>
      <c r="AB23" s="113" cm="1">
        <f t="array" ref="AB23">NICCS_scenario!AB23*_xlfn.XLOOKUP($B23,params!$O$2:$O$12,params!$P$2:$P$12,0)*_xlfn.XLOOKUP(1,(Population!$B:$B=$A23)*(Population!$A:$A=AB$1),Population!$D:$D)</f>
        <v>0</v>
      </c>
      <c r="AC23" s="113" cm="1">
        <f t="array" ref="AC23">NICCS_scenario!AC23*_xlfn.XLOOKUP($B23,params!$O$2:$O$12,params!$P$2:$P$12,0)*_xlfn.XLOOKUP(1,(Population!$B:$B=$A23)*(Population!$A:$A=AC$1),Population!$D:$D)</f>
        <v>0</v>
      </c>
      <c r="AD23" s="113" cm="1">
        <f t="array" ref="AD23">NICCS_scenario!AD23*_xlfn.XLOOKUP($B23,params!$O$2:$O$12,params!$P$2:$P$12,0)*_xlfn.XLOOKUP(1,(Population!$B:$B=$A23)*(Population!$A:$A=AD$1),Population!$D:$D)</f>
        <v>0</v>
      </c>
      <c r="AE23" s="113" cm="1">
        <f t="array" ref="AE23">NICCS_scenario!AE23*_xlfn.XLOOKUP($B23,params!$O$2:$O$12,params!$P$2:$P$12,0)*_xlfn.XLOOKUP(1,(Population!$B:$B=$A23)*(Population!$A:$A=AE$1),Population!$D:$D)</f>
        <v>0</v>
      </c>
      <c r="AF23" s="113" cm="1">
        <f t="array" ref="AF23">NICCS_scenario!AF23*_xlfn.XLOOKUP($B23,params!$O$2:$O$12,params!$P$2:$P$12,0)*_xlfn.XLOOKUP(1,(Population!$B:$B=$A23)*(Population!$A:$A=AF$1),Population!$D:$D)</f>
        <v>0</v>
      </c>
      <c r="AG23" s="113" cm="1">
        <f t="array" ref="AG23">NICCS_scenario!AG23*_xlfn.XLOOKUP($B23,params!$O$2:$O$12,params!$P$2:$P$12,0)*_xlfn.XLOOKUP(1,(Population!$B:$B=$A23)*(Population!$A:$A=AG$1),Population!$D:$D)</f>
        <v>0</v>
      </c>
      <c r="AH23" s="113" cm="1">
        <f t="array" ref="AH23">NICCS_scenario!AH23*_xlfn.XLOOKUP($B23,params!$O$2:$O$12,params!$P$2:$P$12,0)*_xlfn.XLOOKUP(1,(Population!$B:$B=$A23)*(Population!$A:$A=AH$1),Population!$D:$D)</f>
        <v>0</v>
      </c>
      <c r="AI23" s="113" cm="1">
        <f t="array" ref="AI23">NICCS_scenario!AI23*_xlfn.XLOOKUP($B23,params!$O$2:$O$12,params!$P$2:$P$12,0)*_xlfn.XLOOKUP(1,(Population!$B:$B=$A23)*(Population!$A:$A=AI$1),Population!$D:$D)</f>
        <v>0</v>
      </c>
      <c r="AJ23" s="114" cm="1">
        <f t="array" ref="AJ23">NICCS_scenario!AJ23*_xlfn.XLOOKUP($B23,params!$O$2:$O$12,params!$P$2:$P$12,0)*_xlfn.XLOOKUP(1,(Population!$B:$B=$A23)*(Population!$A:$A=AJ$1),Population!$D:$D)</f>
        <v>0</v>
      </c>
      <c r="AK23" s="55">
        <f t="shared" si="3"/>
        <v>0</v>
      </c>
      <c r="AT23" t="s">
        <v>14</v>
      </c>
      <c r="AU23" s="54">
        <f t="shared" si="10"/>
        <v>0</v>
      </c>
      <c r="AV23" s="54">
        <f t="shared" si="10"/>
        <v>0</v>
      </c>
      <c r="AW23" s="54">
        <f t="shared" si="10"/>
        <v>0.28401119326176844</v>
      </c>
      <c r="AX23" s="54">
        <f t="shared" si="10"/>
        <v>0.66274688288407135</v>
      </c>
      <c r="AY23" s="54">
        <f t="shared" si="10"/>
        <v>1.1470835788601945</v>
      </c>
      <c r="AZ23" s="54">
        <f t="shared" si="10"/>
        <v>1.3110151045470682</v>
      </c>
      <c r="BA23" s="54">
        <f t="shared" si="10"/>
        <v>1.4845397909451188</v>
      </c>
    </row>
    <row r="24" spans="1:53">
      <c r="A24" s="86" t="s">
        <v>19</v>
      </c>
      <c r="B24" s="87" t="s">
        <v>36</v>
      </c>
      <c r="C24" s="88" t="s">
        <v>53</v>
      </c>
      <c r="D24" s="89" t="s">
        <v>57</v>
      </c>
      <c r="E24" s="107" cm="1">
        <f t="array" ref="E24">NICCS_scenario!E24*_xlfn.XLOOKUP($B24,params!$O$2:$O$12,params!$P$2:$P$12,0)*_xlfn.XLOOKUP(1,(Population!$B:$B=$A24)*(Population!$A:$A=E$1),Population!$D:$D)</f>
        <v>1.3041821481376243</v>
      </c>
      <c r="F24" s="108" cm="1">
        <f t="array" ref="F24">NICCS_scenario!F24*_xlfn.XLOOKUP($B24,params!$O$2:$O$12,params!$P$2:$P$12,0)*_xlfn.XLOOKUP(1,(Population!$B:$B=$A24)*(Population!$A:$A=F$1),Population!$D:$D)</f>
        <v>1.3069804458552352</v>
      </c>
      <c r="G24" s="108" cm="1">
        <f t="array" ref="G24">NICCS_scenario!G24*_xlfn.XLOOKUP($B24,params!$O$2:$O$12,params!$P$2:$P$12,0)*_xlfn.XLOOKUP(1,(Population!$B:$B=$A24)*(Population!$A:$A=G$1),Population!$D:$D)</f>
        <v>1.3068008635924291</v>
      </c>
      <c r="H24" s="108" cm="1">
        <f t="array" ref="H24">NICCS_scenario!H24*_xlfn.XLOOKUP($B24,params!$O$2:$O$12,params!$P$2:$P$12,0)*_xlfn.XLOOKUP(1,(Population!$B:$B=$A24)*(Population!$A:$A=H$1),Population!$D:$D)</f>
        <v>1.3034109838358701</v>
      </c>
      <c r="I24" s="108" cm="1">
        <f t="array" ref="I24">NICCS_scenario!I24*_xlfn.XLOOKUP($B24,params!$O$2:$O$12,params!$P$2:$P$12,0)*_xlfn.XLOOKUP(1,(Population!$B:$B=$A24)*(Population!$A:$A=I$1),Population!$D:$D)</f>
        <v>1.2965512490528972</v>
      </c>
      <c r="J24" s="118" cm="1">
        <f t="array" ref="J24">NICCS_scenario!J24*_xlfn.XLOOKUP($B24,params!$O$2:$O$12,params!$P$2:$P$12,0)*_xlfn.XLOOKUP(1,(Population!$B:$B=$A24)*(Population!$A:$A=J$1),Population!$D:$D)</f>
        <v>1.2859537275885473</v>
      </c>
      <c r="K24" s="108" cm="1">
        <f t="array" ref="K24">NICCS_scenario!K24*_xlfn.XLOOKUP($B24,params!$O$2:$O$12,params!$P$2:$P$12,0)*_xlfn.XLOOKUP(1,(Population!$B:$B=$A24)*(Population!$A:$A=K$1),Population!$D:$D)</f>
        <v>1.2888945706353025</v>
      </c>
      <c r="L24" s="108" cm="1">
        <f t="array" ref="L24">NICCS_scenario!L24*_xlfn.XLOOKUP($B24,params!$O$2:$O$12,params!$P$2:$P$12,0)*_xlfn.XLOOKUP(1,(Population!$B:$B=$A24)*(Population!$A:$A=L$1),Population!$D:$D)</f>
        <v>1.25324223554491</v>
      </c>
      <c r="M24" s="108" cm="1">
        <f t="array" ref="M24">NICCS_scenario!M24*_xlfn.XLOOKUP($B24,params!$O$2:$O$12,params!$P$2:$P$12,0)*_xlfn.XLOOKUP(1,(Population!$B:$B=$A24)*(Population!$A:$A=M$1),Population!$D:$D)</f>
        <v>1.2116596736227845</v>
      </c>
      <c r="N24" s="108" cm="1">
        <f t="array" ref="N24">NICCS_scenario!N24*_xlfn.XLOOKUP($B24,params!$O$2:$O$12,params!$P$2:$P$12,0)*_xlfn.XLOOKUP(1,(Population!$B:$B=$A24)*(Population!$A:$A=N$1),Population!$D:$D)</f>
        <v>1.1638267690896626</v>
      </c>
      <c r="O24" s="108" cm="1">
        <f t="array" ref="O24">NICCS_scenario!O24*_xlfn.XLOOKUP($B24,params!$O$2:$O$12,params!$P$2:$P$12,0)*_xlfn.XLOOKUP(1,(Population!$B:$B=$A24)*(Population!$A:$A=O$1),Population!$D:$D)</f>
        <v>1.109425730091228</v>
      </c>
      <c r="P24" s="118" cm="1">
        <f t="array" ref="P24">NICCS_scenario!P24*_xlfn.XLOOKUP($B24,params!$O$2:$O$12,params!$P$2:$P$12,0)*_xlfn.XLOOKUP(1,(Population!$B:$B=$A24)*(Population!$A:$A=P$1),Population!$D:$D)</f>
        <v>1.0481526432269102</v>
      </c>
      <c r="Q24" s="108" cm="1">
        <f t="array" ref="Q24">NICCS_scenario!Q24*_xlfn.XLOOKUP($B24,params!$O$2:$O$12,params!$P$2:$P$12,0)*_xlfn.XLOOKUP(1,(Population!$B:$B=$A24)*(Population!$A:$A=Q$1),Population!$D:$D)</f>
        <v>0.97971703740710703</v>
      </c>
      <c r="R24" s="108" cm="1">
        <f t="array" ref="R24">NICCS_scenario!R24*_xlfn.XLOOKUP($B24,params!$O$2:$O$12,params!$P$2:$P$12,0)*_xlfn.XLOOKUP(1,(Population!$B:$B=$A24)*(Population!$A:$A=R$1),Population!$D:$D)</f>
        <v>0.90384166903659224</v>
      </c>
      <c r="S24" s="108" cm="1">
        <f t="array" ref="S24">NICCS_scenario!S24*_xlfn.XLOOKUP($B24,params!$O$2:$O$12,params!$P$2:$P$12,0)*_xlfn.XLOOKUP(1,(Population!$B:$B=$A24)*(Population!$A:$A=S$1),Population!$D:$D)</f>
        <v>0.82025295942138698</v>
      </c>
      <c r="T24" s="108" cm="1">
        <f t="array" ref="T24">NICCS_scenario!T24*_xlfn.XLOOKUP($B24,params!$O$2:$O$12,params!$P$2:$P$12,0)*_xlfn.XLOOKUP(1,(Population!$B:$B=$A24)*(Population!$A:$A=T$1),Population!$D:$D)</f>
        <v>0.72867787667338291</v>
      </c>
      <c r="U24" s="108" cm="1">
        <f t="array" ref="U24">NICCS_scenario!U24*_xlfn.XLOOKUP($B24,params!$O$2:$O$12,params!$P$2:$P$12,0)*_xlfn.XLOOKUP(1,(Population!$B:$B=$A24)*(Population!$A:$A=U$1),Population!$D:$D)</f>
        <v>0.62907925752220761</v>
      </c>
      <c r="V24" s="108" cm="1">
        <f t="array" ref="V24">NICCS_scenario!V24*_xlfn.XLOOKUP($B24,params!$O$2:$O$12,params!$P$2:$P$12,0)*_xlfn.XLOOKUP(1,(Population!$B:$B=$A24)*(Population!$A:$A=V$1),Population!$D:$D)</f>
        <v>0.52112468956611913</v>
      </c>
      <c r="W24" s="108" cm="1">
        <f t="array" ref="W24">NICCS_scenario!W24*_xlfn.XLOOKUP($B24,params!$O$2:$O$12,params!$P$2:$P$12,0)*_xlfn.XLOOKUP(1,(Population!$B:$B=$A24)*(Population!$A:$A=W$1),Population!$D:$D)</f>
        <v>0.40452577176630788</v>
      </c>
      <c r="X24" s="108" cm="1">
        <f t="array" ref="X24">NICCS_scenario!X24*_xlfn.XLOOKUP($B24,params!$O$2:$O$12,params!$P$2:$P$12,0)*_xlfn.XLOOKUP(1,(Population!$B:$B=$A24)*(Population!$A:$A=X$1),Population!$D:$D)</f>
        <v>0.27899735788080937</v>
      </c>
      <c r="Y24" s="108" cm="1">
        <f t="array" ref="Y24">NICCS_scenario!Y24*_xlfn.XLOOKUP($B24,params!$O$2:$O$12,params!$P$2:$P$12,0)*_xlfn.XLOOKUP(1,(Population!$B:$B=$A24)*(Population!$A:$A=Y$1),Population!$D:$D)</f>
        <v>0.14425230322239666</v>
      </c>
      <c r="Z24" s="118" cm="1">
        <f t="array" ref="Z24">NICCS_scenario!Z24*_xlfn.XLOOKUP($B24,params!$O$2:$O$12,params!$P$2:$P$12,0)*_xlfn.XLOOKUP(1,(Population!$B:$B=$A24)*(Population!$A:$A=Z$1),Population!$D:$D)</f>
        <v>0</v>
      </c>
      <c r="AA24" s="108" cm="1">
        <f t="array" ref="AA24">NICCS_scenario!AA24*_xlfn.XLOOKUP($B24,params!$O$2:$O$12,params!$P$2:$P$12,0)*_xlfn.XLOOKUP(1,(Population!$B:$B=$A24)*(Population!$A:$A=AA$1),Population!$D:$D)</f>
        <v>0</v>
      </c>
      <c r="AB24" s="108" cm="1">
        <f t="array" ref="AB24">NICCS_scenario!AB24*_xlfn.XLOOKUP($B24,params!$O$2:$O$12,params!$P$2:$P$12,0)*_xlfn.XLOOKUP(1,(Population!$B:$B=$A24)*(Population!$A:$A=AB$1),Population!$D:$D)</f>
        <v>0</v>
      </c>
      <c r="AC24" s="108" cm="1">
        <f t="array" ref="AC24">NICCS_scenario!AC24*_xlfn.XLOOKUP($B24,params!$O$2:$O$12,params!$P$2:$P$12,0)*_xlfn.XLOOKUP(1,(Population!$B:$B=$A24)*(Population!$A:$A=AC$1),Population!$D:$D)</f>
        <v>0</v>
      </c>
      <c r="AD24" s="108" cm="1">
        <f t="array" ref="AD24">NICCS_scenario!AD24*_xlfn.XLOOKUP($B24,params!$O$2:$O$12,params!$P$2:$P$12,0)*_xlfn.XLOOKUP(1,(Population!$B:$B=$A24)*(Population!$A:$A=AD$1),Population!$D:$D)</f>
        <v>0</v>
      </c>
      <c r="AE24" s="108" cm="1">
        <f t="array" ref="AE24">NICCS_scenario!AE24*_xlfn.XLOOKUP($B24,params!$O$2:$O$12,params!$P$2:$P$12,0)*_xlfn.XLOOKUP(1,(Population!$B:$B=$A24)*(Population!$A:$A=AE$1),Population!$D:$D)</f>
        <v>0</v>
      </c>
      <c r="AF24" s="108" cm="1">
        <f t="array" ref="AF24">NICCS_scenario!AF24*_xlfn.XLOOKUP($B24,params!$O$2:$O$12,params!$P$2:$P$12,0)*_xlfn.XLOOKUP(1,(Population!$B:$B=$A24)*(Population!$A:$A=AF$1),Population!$D:$D)</f>
        <v>0</v>
      </c>
      <c r="AG24" s="108" cm="1">
        <f t="array" ref="AG24">NICCS_scenario!AG24*_xlfn.XLOOKUP($B24,params!$O$2:$O$12,params!$P$2:$P$12,0)*_xlfn.XLOOKUP(1,(Population!$B:$B=$A24)*(Population!$A:$A=AG$1),Population!$D:$D)</f>
        <v>0</v>
      </c>
      <c r="AH24" s="108" cm="1">
        <f t="array" ref="AH24">NICCS_scenario!AH24*_xlfn.XLOOKUP($B24,params!$O$2:$O$12,params!$P$2:$P$12,0)*_xlfn.XLOOKUP(1,(Population!$B:$B=$A24)*(Population!$A:$A=AH$1),Population!$D:$D)</f>
        <v>0</v>
      </c>
      <c r="AI24" s="108" cm="1">
        <f t="array" ref="AI24">NICCS_scenario!AI24*_xlfn.XLOOKUP($B24,params!$O$2:$O$12,params!$P$2:$P$12,0)*_xlfn.XLOOKUP(1,(Population!$B:$B=$A24)*(Population!$A:$A=AI$1),Population!$D:$D)</f>
        <v>0</v>
      </c>
      <c r="AJ24" s="109" cm="1">
        <f t="array" ref="AJ24">NICCS_scenario!AJ24*_xlfn.XLOOKUP($B24,params!$O$2:$O$12,params!$P$2:$P$12,0)*_xlfn.XLOOKUP(1,(Population!$B:$B=$A24)*(Population!$A:$A=AJ$1),Population!$D:$D)</f>
        <v>0</v>
      </c>
      <c r="AK24" s="55">
        <f t="shared" si="3"/>
        <v>12.485670544707103</v>
      </c>
      <c r="AT24" t="s">
        <v>15</v>
      </c>
      <c r="AU24" s="54">
        <f t="shared" si="10"/>
        <v>0</v>
      </c>
      <c r="AV24" s="54">
        <f t="shared" si="10"/>
        <v>0</v>
      </c>
      <c r="AW24" s="54">
        <f t="shared" si="10"/>
        <v>5.8126740221970445E-2</v>
      </c>
      <c r="AX24" s="54">
        <f t="shared" si="10"/>
        <v>0.13778141955310347</v>
      </c>
      <c r="AY24" s="54">
        <f t="shared" si="10"/>
        <v>0.24205556793458133</v>
      </c>
      <c r="AZ24" s="54">
        <f t="shared" si="10"/>
        <v>0.28065278932536947</v>
      </c>
      <c r="BA24" s="54">
        <f t="shared" si="10"/>
        <v>0.32225551310970441</v>
      </c>
    </row>
    <row r="25" spans="1:53">
      <c r="A25" s="90" t="s">
        <v>19</v>
      </c>
      <c r="B25" s="3" t="s">
        <v>8</v>
      </c>
      <c r="C25" s="4" t="s">
        <v>53</v>
      </c>
      <c r="D25" s="91" t="s">
        <v>57</v>
      </c>
      <c r="E25" s="110" cm="1">
        <f t="array" ref="E25">NICCS_scenario!E25*_xlfn.XLOOKUP($B25,params!$O$2:$O$12,params!$P$2:$P$12,0)*_xlfn.XLOOKUP(1,(Population!$B:$B=$A25)*(Population!$A:$A=E$1),Population!$D:$D)</f>
        <v>1.1541360106576752</v>
      </c>
      <c r="F25" s="18" cm="1">
        <f t="array" ref="F25">NICCS_scenario!F25*_xlfn.XLOOKUP($B25,params!$O$2:$O$12,params!$P$2:$P$12,0)*_xlfn.XLOOKUP(1,(Population!$B:$B=$A25)*(Population!$A:$A=F$1),Population!$D:$D)</f>
        <v>1.2293704724712913</v>
      </c>
      <c r="G25" s="18" cm="1">
        <f t="array" ref="G25">NICCS_scenario!G25*_xlfn.XLOOKUP($B25,params!$O$2:$O$12,params!$P$2:$P$12,0)*_xlfn.XLOOKUP(1,(Population!$B:$B=$A25)*(Population!$A:$A=G$1),Population!$D:$D)</f>
        <v>1.3084451689784138</v>
      </c>
      <c r="H25" s="18" cm="1">
        <f t="array" ref="H25">NICCS_scenario!H25*_xlfn.XLOOKUP($B25,params!$O$2:$O$12,params!$P$2:$P$12,0)*_xlfn.XLOOKUP(1,(Population!$B:$B=$A25)*(Population!$A:$A=H$1),Population!$D:$D)</f>
        <v>1.3914759755378985</v>
      </c>
      <c r="I25" s="18" cm="1">
        <f t="array" ref="I25">NICCS_scenario!I25*_xlfn.XLOOKUP($B25,params!$O$2:$O$12,params!$P$2:$P$12,0)*_xlfn.XLOOKUP(1,(Population!$B:$B=$A25)*(Population!$A:$A=I$1),Population!$D:$D)</f>
        <v>1.4785515042085273</v>
      </c>
      <c r="J25" s="119" cm="1">
        <f t="array" ref="J25">NICCS_scenario!J25*_xlfn.XLOOKUP($B25,params!$O$2:$O$12,params!$P$2:$P$12,0)*_xlfn.XLOOKUP(1,(Population!$B:$B=$A25)*(Population!$A:$A=J$1),Population!$D:$D)</f>
        <v>1.5697460625821409</v>
      </c>
      <c r="K25" s="18" cm="1">
        <f t="array" ref="K25">NICCS_scenario!K25*_xlfn.XLOOKUP($B25,params!$O$2:$O$12,params!$P$2:$P$12,0)*_xlfn.XLOOKUP(1,(Population!$B:$B=$A25)*(Population!$A:$A=K$1),Population!$D:$D)</f>
        <v>1.65029124935349</v>
      </c>
      <c r="L25" s="18" cm="1">
        <f t="array" ref="L25">NICCS_scenario!L25*_xlfn.XLOOKUP($B25,params!$O$2:$O$12,params!$P$2:$P$12,0)*_xlfn.XLOOKUP(1,(Population!$B:$B=$A25)*(Population!$A:$A=L$1),Population!$D:$D)</f>
        <v>1.604642258381566</v>
      </c>
      <c r="M25" s="18" cm="1">
        <f t="array" ref="M25">NICCS_scenario!M25*_xlfn.XLOOKUP($B25,params!$O$2:$O$12,params!$P$2:$P$12,0)*_xlfn.XLOOKUP(1,(Population!$B:$B=$A25)*(Population!$A:$A=M$1),Population!$D:$D)</f>
        <v>1.5514002480347007</v>
      </c>
      <c r="N25" s="18" cm="1">
        <f t="array" ref="N25">NICCS_scenario!N25*_xlfn.XLOOKUP($B25,params!$O$2:$O$12,params!$P$2:$P$12,0)*_xlfn.XLOOKUP(1,(Population!$B:$B=$A25)*(Population!$A:$A=N$1),Population!$D:$D)</f>
        <v>1.490155344393542</v>
      </c>
      <c r="O25" s="18" cm="1">
        <f t="array" ref="O25">NICCS_scenario!O25*_xlfn.XLOOKUP($B25,params!$O$2:$O$12,params!$P$2:$P$12,0)*_xlfn.XLOOKUP(1,(Population!$B:$B=$A25)*(Population!$A:$A=O$1),Population!$D:$D)</f>
        <v>1.4205006490753651</v>
      </c>
      <c r="P25" s="119" cm="1">
        <f t="array" ref="P25">NICCS_scenario!P25*_xlfn.XLOOKUP($B25,params!$O$2:$O$12,params!$P$2:$P$12,0)*_xlfn.XLOOKUP(1,(Population!$B:$B=$A25)*(Population!$A:$A=P$1),Population!$D:$D)</f>
        <v>1.3420470335688477</v>
      </c>
      <c r="Q25" s="18" cm="1">
        <f t="array" ref="Q25">NICCS_scenario!Q25*_xlfn.XLOOKUP($B25,params!$O$2:$O$12,params!$P$2:$P$12,0)*_xlfn.XLOOKUP(1,(Population!$B:$B=$A25)*(Population!$A:$A=Q$1),Population!$D:$D)</f>
        <v>1.2544225808000247</v>
      </c>
      <c r="R25" s="18" cm="1">
        <f t="array" ref="R25">NICCS_scenario!R25*_xlfn.XLOOKUP($B25,params!$O$2:$O$12,params!$P$2:$P$12,0)*_xlfn.XLOOKUP(1,(Population!$B:$B=$A25)*(Population!$A:$A=R$1),Population!$D:$D)</f>
        <v>1.1572723100826814</v>
      </c>
      <c r="S25" s="18" cm="1">
        <f t="array" ref="S25">NICCS_scenario!S25*_xlfn.XLOOKUP($B25,params!$O$2:$O$12,params!$P$2:$P$12,0)*_xlfn.XLOOKUP(1,(Population!$B:$B=$A25)*(Population!$A:$A=S$1),Population!$D:$D)</f>
        <v>1.050245933243551</v>
      </c>
      <c r="T25" s="18" cm="1">
        <f t="array" ref="T25">NICCS_scenario!T25*_xlfn.XLOOKUP($B25,params!$O$2:$O$12,params!$P$2:$P$12,0)*_xlfn.XLOOKUP(1,(Population!$B:$B=$A25)*(Population!$A:$A=T$1),Population!$D:$D)</f>
        <v>0.93299386223563108</v>
      </c>
      <c r="U25" s="18" cm="1">
        <f t="array" ref="U25">NICCS_scenario!U25*_xlfn.XLOOKUP($B25,params!$O$2:$O$12,params!$P$2:$P$12,0)*_xlfn.XLOOKUP(1,(Population!$B:$B=$A25)*(Population!$A:$A=U$1),Population!$D:$D)</f>
        <v>0.80546851347738602</v>
      </c>
      <c r="V25" s="18" cm="1">
        <f t="array" ref="V25">NICCS_scenario!V25*_xlfn.XLOOKUP($B25,params!$O$2:$O$12,params!$P$2:$P$12,0)*_xlfn.XLOOKUP(1,(Population!$B:$B=$A25)*(Population!$A:$A=V$1),Population!$D:$D)</f>
        <v>0.66724426854332952</v>
      </c>
      <c r="W25" s="18" cm="1">
        <f t="array" ref="W25">NICCS_scenario!W25*_xlfn.XLOOKUP($B25,params!$O$2:$O$12,params!$P$2:$P$12,0)*_xlfn.XLOOKUP(1,(Population!$B:$B=$A25)*(Population!$A:$A=W$1),Population!$D:$D)</f>
        <v>0.51795186083750022</v>
      </c>
      <c r="X25" s="18" cm="1">
        <f t="array" ref="X25">NICCS_scenario!X25*_xlfn.XLOOKUP($B25,params!$O$2:$O$12,params!$P$2:$P$12,0)*_xlfn.XLOOKUP(1,(Population!$B:$B=$A25)*(Population!$A:$A=X$1),Population!$D:$D)</f>
        <v>0.35722619118218329</v>
      </c>
      <c r="Y25" s="18" cm="1">
        <f t="array" ref="Y25">NICCS_scenario!Y25*_xlfn.XLOOKUP($B25,params!$O$2:$O$12,params!$P$2:$P$12,0)*_xlfn.XLOOKUP(1,(Population!$B:$B=$A25)*(Population!$A:$A=Y$1),Population!$D:$D)</f>
        <v>0.18469960160486079</v>
      </c>
      <c r="Z25" s="119" cm="1">
        <f t="array" ref="Z25">NICCS_scenario!Z25*_xlfn.XLOOKUP($B25,params!$O$2:$O$12,params!$P$2:$P$12,0)*_xlfn.XLOOKUP(1,(Population!$B:$B=$A25)*(Population!$A:$A=Z$1),Population!$D:$D)</f>
        <v>0</v>
      </c>
      <c r="AA25" s="18" cm="1">
        <f t="array" ref="AA25">NICCS_scenario!AA25*_xlfn.XLOOKUP($B25,params!$O$2:$O$12,params!$P$2:$P$12,0)*_xlfn.XLOOKUP(1,(Population!$B:$B=$A25)*(Population!$A:$A=AA$1),Population!$D:$D)</f>
        <v>0</v>
      </c>
      <c r="AB25" s="18" cm="1">
        <f t="array" ref="AB25">NICCS_scenario!AB25*_xlfn.XLOOKUP($B25,params!$O$2:$O$12,params!$P$2:$P$12,0)*_xlfn.XLOOKUP(1,(Population!$B:$B=$A25)*(Population!$A:$A=AB$1),Population!$D:$D)</f>
        <v>0</v>
      </c>
      <c r="AC25" s="18" cm="1">
        <f t="array" ref="AC25">NICCS_scenario!AC25*_xlfn.XLOOKUP($B25,params!$O$2:$O$12,params!$P$2:$P$12,0)*_xlfn.XLOOKUP(1,(Population!$B:$B=$A25)*(Population!$A:$A=AC$1),Population!$D:$D)</f>
        <v>0</v>
      </c>
      <c r="AD25" s="18" cm="1">
        <f t="array" ref="AD25">NICCS_scenario!AD25*_xlfn.XLOOKUP($B25,params!$O$2:$O$12,params!$P$2:$P$12,0)*_xlfn.XLOOKUP(1,(Population!$B:$B=$A25)*(Population!$A:$A=AD$1),Population!$D:$D)</f>
        <v>0</v>
      </c>
      <c r="AE25" s="18" cm="1">
        <f t="array" ref="AE25">NICCS_scenario!AE25*_xlfn.XLOOKUP($B25,params!$O$2:$O$12,params!$P$2:$P$12,0)*_xlfn.XLOOKUP(1,(Population!$B:$B=$A25)*(Population!$A:$A=AE$1),Population!$D:$D)</f>
        <v>0</v>
      </c>
      <c r="AF25" s="18" cm="1">
        <f t="array" ref="AF25">NICCS_scenario!AF25*_xlfn.XLOOKUP($B25,params!$O$2:$O$12,params!$P$2:$P$12,0)*_xlfn.XLOOKUP(1,(Population!$B:$B=$A25)*(Population!$A:$A=AF$1),Population!$D:$D)</f>
        <v>0</v>
      </c>
      <c r="AG25" s="18" cm="1">
        <f t="array" ref="AG25">NICCS_scenario!AG25*_xlfn.XLOOKUP($B25,params!$O$2:$O$12,params!$P$2:$P$12,0)*_xlfn.XLOOKUP(1,(Population!$B:$B=$A25)*(Population!$A:$A=AG$1),Population!$D:$D)</f>
        <v>0</v>
      </c>
      <c r="AH25" s="18" cm="1">
        <f t="array" ref="AH25">NICCS_scenario!AH25*_xlfn.XLOOKUP($B25,params!$O$2:$O$12,params!$P$2:$P$12,0)*_xlfn.XLOOKUP(1,(Population!$B:$B=$A25)*(Population!$A:$A=AH$1),Population!$D:$D)</f>
        <v>0</v>
      </c>
      <c r="AI25" s="18" cm="1">
        <f t="array" ref="AI25">NICCS_scenario!AI25*_xlfn.XLOOKUP($B25,params!$O$2:$O$12,params!$P$2:$P$12,0)*_xlfn.XLOOKUP(1,(Population!$B:$B=$A25)*(Population!$A:$A=AI$1),Population!$D:$D)</f>
        <v>0</v>
      </c>
      <c r="AJ25" s="111" cm="1">
        <f t="array" ref="AJ25">NICCS_scenario!AJ25*_xlfn.XLOOKUP($B25,params!$O$2:$O$12,params!$P$2:$P$12,0)*_xlfn.XLOOKUP(1,(Population!$B:$B=$A25)*(Population!$A:$A=AJ$1),Population!$D:$D)</f>
        <v>0</v>
      </c>
      <c r="AK25" s="55">
        <f t="shared" si="3"/>
        <v>15.986561904814661</v>
      </c>
      <c r="AT25" t="s">
        <v>16</v>
      </c>
      <c r="AU25" s="54">
        <f t="shared" si="10"/>
        <v>0</v>
      </c>
      <c r="AV25" s="54">
        <f t="shared" si="10"/>
        <v>0</v>
      </c>
      <c r="AW25" s="54">
        <f t="shared" si="10"/>
        <v>2.2939837121412721E-2</v>
      </c>
      <c r="AX25" s="54">
        <f t="shared" si="10"/>
        <v>5.0376637147981802E-2</v>
      </c>
      <c r="AY25" s="54">
        <f t="shared" si="10"/>
        <v>8.1914056081210745E-2</v>
      </c>
      <c r="AZ25" s="54">
        <f t="shared" si="10"/>
        <v>8.7721813489315265E-2</v>
      </c>
      <c r="BA25" s="54">
        <f t="shared" si="10"/>
        <v>9.2769405632349047E-2</v>
      </c>
    </row>
    <row r="26" spans="1:53">
      <c r="A26" s="90" t="s">
        <v>19</v>
      </c>
      <c r="B26" t="s">
        <v>37</v>
      </c>
      <c r="C26" s="4" t="s">
        <v>53</v>
      </c>
      <c r="D26" s="91" t="s">
        <v>57</v>
      </c>
      <c r="E26" s="110" cm="1">
        <f t="array" ref="E26">NICCS_scenario!E26*_xlfn.XLOOKUP($B26,params!$O$2:$O$12,params!$P$2:$P$12,0)*_xlfn.XLOOKUP(1,(Population!$B:$B=$A26)*(Population!$A:$A=E$1),Population!$D:$D)</f>
        <v>3.2045144559584314E-2</v>
      </c>
      <c r="F26" s="18" cm="1">
        <f t="array" ref="F26">NICCS_scenario!F26*_xlfn.XLOOKUP($B26,params!$O$2:$O$12,params!$P$2:$P$12,0)*_xlfn.XLOOKUP(1,(Population!$B:$B=$A26)*(Population!$A:$A=F$1),Population!$D:$D)</f>
        <v>3.961453347891325E-2</v>
      </c>
      <c r="G26" s="18" cm="1">
        <f t="array" ref="G26">NICCS_scenario!G26*_xlfn.XLOOKUP($B26,params!$O$2:$O$12,params!$P$2:$P$12,0)*_xlfn.XLOOKUP(1,(Population!$B:$B=$A26)*(Population!$A:$A=G$1),Population!$D:$D)</f>
        <v>4.7778312858962273E-2</v>
      </c>
      <c r="H26" s="18" cm="1">
        <f t="array" ref="H26">NICCS_scenario!H26*_xlfn.XLOOKUP($B26,params!$O$2:$O$12,params!$P$2:$P$12,0)*_xlfn.XLOOKUP(1,(Population!$B:$B=$A26)*(Population!$A:$A=H$1),Population!$D:$D)</f>
        <v>5.6563920870320167E-2</v>
      </c>
      <c r="I26" s="18" cm="1">
        <f t="array" ref="I26">NICCS_scenario!I26*_xlfn.XLOOKUP($B26,params!$O$2:$O$12,params!$P$2:$P$12,0)*_xlfn.XLOOKUP(1,(Population!$B:$B=$A26)*(Population!$A:$A=I$1),Population!$D:$D)</f>
        <v>6.5997794221163461E-2</v>
      </c>
      <c r="J26" s="119" cm="1">
        <f t="array" ref="J26">NICCS_scenario!J26*_xlfn.XLOOKUP($B26,params!$O$2:$O$12,params!$P$2:$P$12,0)*_xlfn.XLOOKUP(1,(Population!$B:$B=$A26)*(Population!$A:$A=J$1),Population!$D:$D)</f>
        <v>7.6105453178188398E-2</v>
      </c>
      <c r="K26" s="18" cm="1">
        <f t="array" ref="K26">NICCS_scenario!K26*_xlfn.XLOOKUP($B26,params!$O$2:$O$12,params!$P$2:$P$12,0)*_xlfn.XLOOKUP(1,(Population!$B:$B=$A26)*(Population!$A:$A=K$1),Population!$D:$D)</f>
        <v>8.6339020043873907E-2</v>
      </c>
      <c r="L26" s="18" cm="1">
        <f t="array" ref="L26">NICCS_scenario!L26*_xlfn.XLOOKUP($B26,params!$O$2:$O$12,params!$P$2:$P$12,0)*_xlfn.XLOOKUP(1,(Population!$B:$B=$A26)*(Population!$A:$A=L$1),Population!$D:$D)</f>
        <v>8.3950781514431541E-2</v>
      </c>
      <c r="M26" s="18" cm="1">
        <f t="array" ref="M26">NICCS_scenario!M26*_xlfn.XLOOKUP($B26,params!$O$2:$O$12,params!$P$2:$P$12,0)*_xlfn.XLOOKUP(1,(Population!$B:$B=$A26)*(Population!$A:$A=M$1),Population!$D:$D)</f>
        <v>8.1165295618947947E-2</v>
      </c>
      <c r="N26" s="18" cm="1">
        <f t="array" ref="N26">NICCS_scenario!N26*_xlfn.XLOOKUP($B26,params!$O$2:$O$12,params!$P$2:$P$12,0)*_xlfn.XLOOKUP(1,(Population!$B:$B=$A26)*(Population!$A:$A=N$1),Population!$D:$D)</f>
        <v>7.7961118801594842E-2</v>
      </c>
      <c r="O26" s="18" cm="1">
        <f t="array" ref="O26">NICCS_scenario!O26*_xlfn.XLOOKUP($B26,params!$O$2:$O$12,params!$P$2:$P$12,0)*_xlfn.XLOOKUP(1,(Population!$B:$B=$A26)*(Population!$A:$A=O$1),Population!$D:$D)</f>
        <v>7.43169631790149E-2</v>
      </c>
      <c r="P26" s="119" cm="1">
        <f t="array" ref="P26">NICCS_scenario!P26*_xlfn.XLOOKUP($B26,params!$O$2:$O$12,params!$P$2:$P$12,0)*_xlfn.XLOOKUP(1,(Population!$B:$B=$A26)*(Population!$A:$A=P$1),Population!$D:$D)</f>
        <v>7.0212470542102973E-2</v>
      </c>
      <c r="Q26" s="18" cm="1">
        <f t="array" ref="Q26">NICCS_scenario!Q26*_xlfn.XLOOKUP($B26,params!$O$2:$O$12,params!$P$2:$P$12,0)*_xlfn.XLOOKUP(1,(Population!$B:$B=$A26)*(Population!$A:$A=Q$1),Population!$D:$D)</f>
        <v>6.5628183140164248E-2</v>
      </c>
      <c r="R26" s="18" cm="1">
        <f t="array" ref="R26">NICCS_scenario!R26*_xlfn.XLOOKUP($B26,params!$O$2:$O$12,params!$P$2:$P$12,0)*_xlfn.XLOOKUP(1,(Population!$B:$B=$A26)*(Population!$A:$A=R$1),Population!$D:$D)</f>
        <v>6.0545529291021916E-2</v>
      </c>
      <c r="S26" s="18" cm="1">
        <f t="array" ref="S26">NICCS_scenario!S26*_xlfn.XLOOKUP($B26,params!$O$2:$O$12,params!$P$2:$P$12,0)*_xlfn.XLOOKUP(1,(Population!$B:$B=$A26)*(Population!$A:$A=S$1),Population!$D:$D)</f>
        <v>5.4946182812782435E-2</v>
      </c>
      <c r="T26" s="18" cm="1">
        <f t="array" ref="T26">NICCS_scenario!T26*_xlfn.XLOOKUP($B26,params!$O$2:$O$12,params!$P$2:$P$12,0)*_xlfn.XLOOKUP(1,(Population!$B:$B=$A26)*(Population!$A:$A=T$1),Population!$D:$D)</f>
        <v>4.881185415236905E-2</v>
      </c>
      <c r="U26" s="18" cm="1">
        <f t="array" ref="U26">NICCS_scenario!U26*_xlfn.XLOOKUP($B26,params!$O$2:$O$12,params!$P$2:$P$12,0)*_xlfn.XLOOKUP(1,(Population!$B:$B=$A26)*(Population!$A:$A=U$1),Population!$D:$D)</f>
        <v>4.2140053858418819E-2</v>
      </c>
      <c r="V26" s="18" cm="1">
        <f t="array" ref="V26">NICCS_scenario!V26*_xlfn.XLOOKUP($B26,params!$O$2:$O$12,params!$P$2:$P$12,0)*_xlfn.XLOOKUP(1,(Population!$B:$B=$A26)*(Population!$A:$A=V$1),Population!$D:$D)</f>
        <v>3.4908514662785259E-2</v>
      </c>
      <c r="W26" s="18" cm="1">
        <f t="array" ref="W26">NICCS_scenario!W26*_xlfn.XLOOKUP($B26,params!$O$2:$O$12,params!$P$2:$P$12,0)*_xlfn.XLOOKUP(1,(Population!$B:$B=$A26)*(Population!$A:$A=W$1),Population!$D:$D)</f>
        <v>2.7097917481008153E-2</v>
      </c>
      <c r="X26" s="18" cm="1">
        <f t="array" ref="X26">NICCS_scenario!X26*_xlfn.XLOOKUP($B26,params!$O$2:$O$12,params!$P$2:$P$12,0)*_xlfn.XLOOKUP(1,(Population!$B:$B=$A26)*(Population!$A:$A=X$1),Population!$D:$D)</f>
        <v>1.8689161257298057E-2</v>
      </c>
      <c r="Y26" s="18" cm="1">
        <f t="array" ref="Y26">NICCS_scenario!Y26*_xlfn.XLOOKUP($B26,params!$O$2:$O$12,params!$P$2:$P$12,0)*_xlfn.XLOOKUP(1,(Population!$B:$B=$A26)*(Population!$A:$A=Y$1),Population!$D:$D)</f>
        <v>9.6630110662616862E-3</v>
      </c>
      <c r="Z26" s="119" cm="1">
        <f t="array" ref="Z26">NICCS_scenario!Z26*_xlfn.XLOOKUP($B26,params!$O$2:$O$12,params!$P$2:$P$12,0)*_xlfn.XLOOKUP(1,(Population!$B:$B=$A26)*(Population!$A:$A=Z$1),Population!$D:$D)</f>
        <v>0</v>
      </c>
      <c r="AA26" s="18" cm="1">
        <f t="array" ref="AA26">NICCS_scenario!AA26*_xlfn.XLOOKUP($B26,params!$O$2:$O$12,params!$P$2:$P$12,0)*_xlfn.XLOOKUP(1,(Population!$B:$B=$A26)*(Population!$A:$A=AA$1),Population!$D:$D)</f>
        <v>0</v>
      </c>
      <c r="AB26" s="18" cm="1">
        <f t="array" ref="AB26">NICCS_scenario!AB26*_xlfn.XLOOKUP($B26,params!$O$2:$O$12,params!$P$2:$P$12,0)*_xlfn.XLOOKUP(1,(Population!$B:$B=$A26)*(Population!$A:$A=AB$1),Population!$D:$D)</f>
        <v>0</v>
      </c>
      <c r="AC26" s="18" cm="1">
        <f t="array" ref="AC26">NICCS_scenario!AC26*_xlfn.XLOOKUP($B26,params!$O$2:$O$12,params!$P$2:$P$12,0)*_xlfn.XLOOKUP(1,(Population!$B:$B=$A26)*(Population!$A:$A=AC$1),Population!$D:$D)</f>
        <v>0</v>
      </c>
      <c r="AD26" s="18" cm="1">
        <f t="array" ref="AD26">NICCS_scenario!AD26*_xlfn.XLOOKUP($B26,params!$O$2:$O$12,params!$P$2:$P$12,0)*_xlfn.XLOOKUP(1,(Population!$B:$B=$A26)*(Population!$A:$A=AD$1),Population!$D:$D)</f>
        <v>0</v>
      </c>
      <c r="AE26" s="18" cm="1">
        <f t="array" ref="AE26">NICCS_scenario!AE26*_xlfn.XLOOKUP($B26,params!$O$2:$O$12,params!$P$2:$P$12,0)*_xlfn.XLOOKUP(1,(Population!$B:$B=$A26)*(Population!$A:$A=AE$1),Population!$D:$D)</f>
        <v>0</v>
      </c>
      <c r="AF26" s="18" cm="1">
        <f t="array" ref="AF26">NICCS_scenario!AF26*_xlfn.XLOOKUP($B26,params!$O$2:$O$12,params!$P$2:$P$12,0)*_xlfn.XLOOKUP(1,(Population!$B:$B=$A26)*(Population!$A:$A=AF$1),Population!$D:$D)</f>
        <v>0</v>
      </c>
      <c r="AG26" s="18" cm="1">
        <f t="array" ref="AG26">NICCS_scenario!AG26*_xlfn.XLOOKUP($B26,params!$O$2:$O$12,params!$P$2:$P$12,0)*_xlfn.XLOOKUP(1,(Population!$B:$B=$A26)*(Population!$A:$A=AG$1),Population!$D:$D)</f>
        <v>0</v>
      </c>
      <c r="AH26" s="18" cm="1">
        <f t="array" ref="AH26">NICCS_scenario!AH26*_xlfn.XLOOKUP($B26,params!$O$2:$O$12,params!$P$2:$P$12,0)*_xlfn.XLOOKUP(1,(Population!$B:$B=$A26)*(Population!$A:$A=AH$1),Population!$D:$D)</f>
        <v>0</v>
      </c>
      <c r="AI26" s="18" cm="1">
        <f t="array" ref="AI26">NICCS_scenario!AI26*_xlfn.XLOOKUP($B26,params!$O$2:$O$12,params!$P$2:$P$12,0)*_xlfn.XLOOKUP(1,(Population!$B:$B=$A26)*(Population!$A:$A=AI$1),Population!$D:$D)</f>
        <v>0</v>
      </c>
      <c r="AJ26" s="111" cm="1">
        <f t="array" ref="AJ26">NICCS_scenario!AJ26*_xlfn.XLOOKUP($B26,params!$O$2:$O$12,params!$P$2:$P$12,0)*_xlfn.XLOOKUP(1,(Population!$B:$B=$A26)*(Population!$A:$A=AJ$1),Population!$D:$D)</f>
        <v>0</v>
      </c>
      <c r="AK26" s="55">
        <f t="shared" si="3"/>
        <v>0.83637605742207555</v>
      </c>
    </row>
    <row r="27" spans="1:53">
      <c r="A27" s="90" t="s">
        <v>19</v>
      </c>
      <c r="B27" t="s">
        <v>10</v>
      </c>
      <c r="C27" s="4" t="s">
        <v>53</v>
      </c>
      <c r="D27" s="91" t="s">
        <v>57</v>
      </c>
      <c r="E27" s="110" cm="1">
        <f t="array" ref="E27">NICCS_scenario!E27*_xlfn.XLOOKUP($B27,params!$O$2:$O$12,params!$P$2:$P$12,0)*_xlfn.XLOOKUP(1,(Population!$B:$B=$A27)*(Population!$A:$A=E$1),Population!$D:$D)</f>
        <v>3.5605716177314244E-3</v>
      </c>
      <c r="F27" s="18" cm="1">
        <f t="array" ref="F27">NICCS_scenario!F27*_xlfn.XLOOKUP($B27,params!$O$2:$O$12,params!$P$2:$P$12,0)*_xlfn.XLOOKUP(1,(Population!$B:$B=$A27)*(Population!$A:$A=F$1),Population!$D:$D)</f>
        <v>4.4016148309900137E-3</v>
      </c>
      <c r="G27" s="18" cm="1">
        <f t="array" ref="G27">NICCS_scenario!G27*_xlfn.XLOOKUP($B27,params!$O$2:$O$12,params!$P$2:$P$12,0)*_xlfn.XLOOKUP(1,(Population!$B:$B=$A27)*(Population!$A:$A=G$1),Population!$D:$D)</f>
        <v>5.308701428773494E-3</v>
      </c>
      <c r="H27" s="18" cm="1">
        <f t="array" ref="H27">NICCS_scenario!H27*_xlfn.XLOOKUP($B27,params!$O$2:$O$12,params!$P$2:$P$12,0)*_xlfn.XLOOKUP(1,(Population!$B:$B=$A27)*(Population!$A:$A=H$1),Population!$D:$D)</f>
        <v>6.2848800967019568E-3</v>
      </c>
      <c r="I27" s="18" cm="1">
        <f t="array" ref="I27">NICCS_scenario!I27*_xlfn.XLOOKUP($B27,params!$O$2:$O$12,params!$P$2:$P$12,0)*_xlfn.XLOOKUP(1,(Population!$B:$B=$A27)*(Population!$A:$A=I$1),Population!$D:$D)</f>
        <v>7.3330882467957425E-3</v>
      </c>
      <c r="J27" s="119" cm="1">
        <f t="array" ref="J27">NICCS_scenario!J27*_xlfn.XLOOKUP($B27,params!$O$2:$O$12,params!$P$2:$P$12,0)*_xlfn.XLOOKUP(1,(Population!$B:$B=$A27)*(Population!$A:$A=J$1),Population!$D:$D)</f>
        <v>8.4561614642430505E-3</v>
      </c>
      <c r="K27" s="18" cm="1">
        <f t="array" ref="K27">NICCS_scenario!K27*_xlfn.XLOOKUP($B27,params!$O$2:$O$12,params!$P$2:$P$12,0)*_xlfn.XLOOKUP(1,(Population!$B:$B=$A27)*(Population!$A:$A=K$1),Population!$D:$D)</f>
        <v>9.5932244493192181E-3</v>
      </c>
      <c r="L27" s="18" cm="1">
        <f t="array" ref="L27">NICCS_scenario!L27*_xlfn.XLOOKUP($B27,params!$O$2:$O$12,params!$P$2:$P$12,0)*_xlfn.XLOOKUP(1,(Population!$B:$B=$A27)*(Population!$A:$A=L$1),Population!$D:$D)</f>
        <v>2.0428822293772714E-2</v>
      </c>
      <c r="M27" s="18" cm="1">
        <f t="array" ref="M27">NICCS_scenario!M27*_xlfn.XLOOKUP($B27,params!$O$2:$O$12,params!$P$2:$P$12,0)*_xlfn.XLOOKUP(1,(Population!$B:$B=$A27)*(Population!$A:$A=M$1),Population!$D:$D)</f>
        <v>3.2134795808983527E-2</v>
      </c>
      <c r="N27" s="18" cm="1">
        <f t="array" ref="N27">NICCS_scenario!N27*_xlfn.XLOOKUP($B27,params!$O$2:$O$12,params!$P$2:$P$12,0)*_xlfn.XLOOKUP(1,(Population!$B:$B=$A27)*(Population!$A:$A=N$1),Population!$D:$D)</f>
        <v>4.4743616146526319E-2</v>
      </c>
      <c r="O27" s="18" cm="1">
        <f t="array" ref="O27">NICCS_scenario!O27*_xlfn.XLOOKUP($B27,params!$O$2:$O$12,params!$P$2:$P$12,0)*_xlfn.XLOOKUP(1,(Population!$B:$B=$A27)*(Population!$A:$A=O$1),Population!$D:$D)</f>
        <v>5.8286115280631191E-2</v>
      </c>
      <c r="P27" s="119" cm="1">
        <f t="array" ref="P27">NICCS_scenario!P27*_xlfn.XLOOKUP($B27,params!$O$2:$O$12,params!$P$2:$P$12,0)*_xlfn.XLOOKUP(1,(Population!$B:$B=$A27)*(Population!$A:$A=P$1),Population!$D:$D)</f>
        <v>7.2791604298328816E-2</v>
      </c>
      <c r="Q27" s="18" cm="1">
        <f t="array" ref="Q27">NICCS_scenario!Q27*_xlfn.XLOOKUP($B27,params!$O$2:$O$12,params!$P$2:$P$12,0)*_xlfn.XLOOKUP(1,(Population!$B:$B=$A27)*(Population!$A:$A=Q$1),Population!$D:$D)</f>
        <v>8.8287887912716606E-2</v>
      </c>
      <c r="R27" s="18" cm="1">
        <f t="array" ref="R27">NICCS_scenario!R27*_xlfn.XLOOKUP($B27,params!$O$2:$O$12,params!$P$2:$P$12,0)*_xlfn.XLOOKUP(1,(Population!$B:$B=$A27)*(Population!$A:$A=R$1),Population!$D:$D)</f>
        <v>0.10480127739455793</v>
      </c>
      <c r="S27" s="18" cm="1">
        <f t="array" ref="S27">NICCS_scenario!S27*_xlfn.XLOOKUP($B27,params!$O$2:$O$12,params!$P$2:$P$12,0)*_xlfn.XLOOKUP(1,(Population!$B:$B=$A27)*(Population!$A:$A=S$1),Population!$D:$D)</f>
        <v>0.12235519873919799</v>
      </c>
      <c r="T27" s="18" cm="1">
        <f t="array" ref="T27">NICCS_scenario!T27*_xlfn.XLOOKUP($B27,params!$O$2:$O$12,params!$P$2:$P$12,0)*_xlfn.XLOOKUP(1,(Population!$B:$B=$A27)*(Population!$A:$A=T$1),Population!$D:$D)</f>
        <v>0.14096754105692985</v>
      </c>
      <c r="U27" s="18" cm="1">
        <f t="array" ref="U27">NICCS_scenario!U27*_xlfn.XLOOKUP($B27,params!$O$2:$O$12,params!$P$2:$P$12,0)*_xlfn.XLOOKUP(1,(Population!$B:$B=$A27)*(Population!$A:$A=U$1),Population!$D:$D)</f>
        <v>0.16070529900331634</v>
      </c>
      <c r="V27" s="18" cm="1">
        <f t="array" ref="V27">NICCS_scenario!V27*_xlfn.XLOOKUP($B27,params!$O$2:$O$12,params!$P$2:$P$12,0)*_xlfn.XLOOKUP(1,(Population!$B:$B=$A27)*(Population!$A:$A=V$1),Population!$D:$D)</f>
        <v>0.18159524505702904</v>
      </c>
      <c r="W27" s="18" cm="1">
        <f t="array" ref="W27">NICCS_scenario!W27*_xlfn.XLOOKUP($B27,params!$O$2:$O$12,params!$P$2:$P$12,0)*_xlfn.XLOOKUP(1,(Population!$B:$B=$A27)*(Population!$A:$A=W$1),Population!$D:$D)</f>
        <v>0.20367034312709614</v>
      </c>
      <c r="X27" s="18" cm="1">
        <f t="array" ref="X27">NICCS_scenario!X27*_xlfn.XLOOKUP($B27,params!$O$2:$O$12,params!$P$2:$P$12,0)*_xlfn.XLOOKUP(1,(Population!$B:$B=$A27)*(Population!$A:$A=X$1),Population!$D:$D)</f>
        <v>0.22696489716329768</v>
      </c>
      <c r="Y27" s="18" cm="1">
        <f t="array" ref="Y27">NICCS_scenario!Y27*_xlfn.XLOOKUP($B27,params!$O$2:$O$12,params!$P$2:$P$12,0)*_xlfn.XLOOKUP(1,(Population!$B:$B=$A27)*(Population!$A:$A=Y$1),Population!$D:$D)</f>
        <v>0.25151398895921434</v>
      </c>
      <c r="Z27" s="119" cm="1">
        <f t="array" ref="Z27">NICCS_scenario!Z27*_xlfn.XLOOKUP($B27,params!$O$2:$O$12,params!$P$2:$P$12,0)*_xlfn.XLOOKUP(1,(Population!$B:$B=$A27)*(Population!$A:$A=Z$1),Population!$D:$D)</f>
        <v>0.27735249855238103</v>
      </c>
      <c r="AA27" s="18" cm="1">
        <f t="array" ref="AA27">NICCS_scenario!AA27*_xlfn.XLOOKUP($B27,params!$O$2:$O$12,params!$P$2:$P$12,0)*_xlfn.XLOOKUP(1,(Population!$B:$B=$A27)*(Population!$A:$A=AA$1),Population!$D:$D)</f>
        <v>0.28655664706428574</v>
      </c>
      <c r="AB27" s="18" cm="1">
        <f t="array" ref="AB27">NICCS_scenario!AB27*_xlfn.XLOOKUP($B27,params!$O$2:$O$12,params!$P$2:$P$12,0)*_xlfn.XLOOKUP(1,(Population!$B:$B=$A27)*(Population!$A:$A=AB$1),Population!$D:$D)</f>
        <v>0.29594002900000005</v>
      </c>
      <c r="AC27" s="18" cm="1">
        <f t="array" ref="AC27">NICCS_scenario!AC27*_xlfn.XLOOKUP($B27,params!$O$2:$O$12,params!$P$2:$P$12,0)*_xlfn.XLOOKUP(1,(Population!$B:$B=$A27)*(Population!$A:$A=AC$1),Population!$D:$D)</f>
        <v>0.30550183307460316</v>
      </c>
      <c r="AD27" s="18" cm="1">
        <f t="array" ref="AD27">NICCS_scenario!AD27*_xlfn.XLOOKUP($B27,params!$O$2:$O$12,params!$P$2:$P$12,0)*_xlfn.XLOOKUP(1,(Population!$B:$B=$A27)*(Population!$A:$A=AD$1),Population!$D:$D)</f>
        <v>0.31524109058968253</v>
      </c>
      <c r="AE27" s="18" cm="1">
        <f t="array" ref="AE27">NICCS_scenario!AE27*_xlfn.XLOOKUP($B27,params!$O$2:$O$12,params!$P$2:$P$12,0)*_xlfn.XLOOKUP(1,(Population!$B:$B=$A27)*(Population!$A:$A=AE$1),Population!$D:$D)</f>
        <v>0.32515634849761904</v>
      </c>
      <c r="AF27" s="18" cm="1">
        <f t="array" ref="AF27">NICCS_scenario!AF27*_xlfn.XLOOKUP($B27,params!$O$2:$O$12,params!$P$2:$P$12,0)*_xlfn.XLOOKUP(1,(Population!$B:$B=$A27)*(Population!$A:$A=AF$1),Population!$D:$D)</f>
        <v>0.33524558464047621</v>
      </c>
      <c r="AG27" s="18" cm="1">
        <f t="array" ref="AG27">NICCS_scenario!AG27*_xlfn.XLOOKUP($B27,params!$O$2:$O$12,params!$P$2:$P$12,0)*_xlfn.XLOOKUP(1,(Population!$B:$B=$A27)*(Population!$A:$A=AG$1),Population!$D:$D)</f>
        <v>0.34550597768412705</v>
      </c>
      <c r="AH27" s="18" cm="1">
        <f t="array" ref="AH27">NICCS_scenario!AH27*_xlfn.XLOOKUP($B27,params!$O$2:$O$12,params!$P$2:$P$12,0)*_xlfn.XLOOKUP(1,(Population!$B:$B=$A27)*(Population!$A:$A=AH$1),Population!$D:$D)</f>
        <v>0.35593452466349207</v>
      </c>
      <c r="AI27" s="18" cm="1">
        <f t="array" ref="AI27">NICCS_scenario!AI27*_xlfn.XLOOKUP($B27,params!$O$2:$O$12,params!$P$2:$P$12,0)*_xlfn.XLOOKUP(1,(Population!$B:$B=$A27)*(Population!$A:$A=AI$1),Population!$D:$D)</f>
        <v>0.36652742343730155</v>
      </c>
      <c r="AJ27" s="111" cm="1">
        <f t="array" ref="AJ27">NICCS_scenario!AJ27*_xlfn.XLOOKUP($B27,params!$O$2:$O$12,params!$P$2:$P$12,0)*_xlfn.XLOOKUP(1,(Population!$B:$B=$A27)*(Population!$A:$A=AJ$1),Population!$D:$D)</f>
        <v>0.37728067812460325</v>
      </c>
      <c r="AK27" s="55">
        <f t="shared" si="3"/>
        <v>5.3050824920194888</v>
      </c>
      <c r="AS27" t="s">
        <v>130</v>
      </c>
      <c r="AT27" t="s">
        <v>53</v>
      </c>
    </row>
    <row r="28" spans="1:53">
      <c r="A28" s="129" t="s">
        <v>19</v>
      </c>
      <c r="B28" s="34" t="s">
        <v>11</v>
      </c>
      <c r="C28" s="122" t="s">
        <v>53</v>
      </c>
      <c r="D28" s="123" t="s">
        <v>57</v>
      </c>
      <c r="E28" s="124" cm="1">
        <f t="array" ref="E28">NICCS_scenario!E28*_xlfn.XLOOKUP($B28,params!$O$2:$O$12,params!$P$2:$P$12,0)*_xlfn.XLOOKUP(1,(Population!$B:$B=$A28)*(Population!$A:$A=E$1),Population!$D:$D)</f>
        <v>1.4785918272879571E-3</v>
      </c>
      <c r="F28" s="125" cm="1">
        <f t="array" ref="F28">NICCS_scenario!F28*_xlfn.XLOOKUP($B28,params!$O$2:$O$12,params!$P$2:$P$12,0)*_xlfn.XLOOKUP(1,(Population!$B:$B=$A28)*(Population!$A:$A=F$1),Population!$D:$D)</f>
        <v>1.7427230150540796E-3</v>
      </c>
      <c r="G28" s="125" cm="1">
        <f t="array" ref="G28">NICCS_scenario!G28*_xlfn.XLOOKUP($B28,params!$O$2:$O$12,params!$P$2:$P$12,0)*_xlfn.XLOOKUP(1,(Population!$B:$B=$A28)*(Population!$A:$A=G$1),Population!$D:$D)</f>
        <v>2.0267035457160703E-3</v>
      </c>
      <c r="H28" s="125" cm="1">
        <f t="array" ref="H28">NICCS_scenario!H28*_xlfn.XLOOKUP($B28,params!$O$2:$O$12,params!$P$2:$P$12,0)*_xlfn.XLOOKUP(1,(Population!$B:$B=$A28)*(Population!$A:$A=H$1),Population!$D:$D)</f>
        <v>2.3314232227914186E-3</v>
      </c>
      <c r="I28" s="125" cm="1">
        <f t="array" ref="I28">NICCS_scenario!I28*_xlfn.XLOOKUP($B28,params!$O$2:$O$12,params!$P$2:$P$12,0)*_xlfn.XLOOKUP(1,(Population!$B:$B=$A28)*(Population!$A:$A=I$1),Population!$D:$D)</f>
        <v>2.6577294389464943E-3</v>
      </c>
      <c r="J28" s="126" cm="1">
        <f t="array" ref="J28">NICCS_scenario!J28*_xlfn.XLOOKUP($B28,params!$O$2:$O$12,params!$P$2:$P$12,0)*_xlfn.XLOOKUP(1,(Population!$B:$B=$A28)*(Population!$A:$A=J$1),Population!$D:$D)</f>
        <v>3.006435367166898E-3</v>
      </c>
      <c r="K28" s="125" cm="1">
        <f t="array" ref="K28">NICCS_scenario!K28*_xlfn.XLOOKUP($B28,params!$O$2:$O$12,params!$P$2:$P$12,0)*_xlfn.XLOOKUP(1,(Population!$B:$B=$A28)*(Population!$A:$A=K$1),Population!$D:$D)</f>
        <v>3.0133107736106681E-3</v>
      </c>
      <c r="L28" s="125" cm="1">
        <f t="array" ref="L28">NICCS_scenario!L28*_xlfn.XLOOKUP($B28,params!$O$2:$O$12,params!$P$2:$P$12,0)*_xlfn.XLOOKUP(1,(Population!$B:$B=$A28)*(Population!$A:$A=L$1),Population!$D:$D)</f>
        <v>1.5645601499084161E-2</v>
      </c>
      <c r="M28" s="125" cm="1">
        <f t="array" ref="M28">NICCS_scenario!M28*_xlfn.XLOOKUP($B28,params!$O$2:$O$12,params!$P$2:$P$12,0)*_xlfn.XLOOKUP(1,(Population!$B:$B=$A28)*(Population!$A:$A=M$1),Population!$D:$D)</f>
        <v>2.9311562452121666E-2</v>
      </c>
      <c r="N28" s="125" cm="1">
        <f t="array" ref="N28">NICCS_scenario!N28*_xlfn.XLOOKUP($B28,params!$O$2:$O$12,params!$P$2:$P$12,0)*_xlfn.XLOOKUP(1,(Population!$B:$B=$A28)*(Population!$A:$A=N$1),Population!$D:$D)</f>
        <v>4.4050368641010418E-2</v>
      </c>
      <c r="O28" s="125" cm="1">
        <f t="array" ref="O28">NICCS_scenario!O28*_xlfn.XLOOKUP($B28,params!$O$2:$O$12,params!$P$2:$P$12,0)*_xlfn.XLOOKUP(1,(Population!$B:$B=$A28)*(Population!$A:$A=O$1),Population!$D:$D)</f>
        <v>5.9899303091149263E-2</v>
      </c>
      <c r="P28" s="126" cm="1">
        <f t="array" ref="P28">NICCS_scenario!P28*_xlfn.XLOOKUP($B28,params!$O$2:$O$12,params!$P$2:$P$12,0)*_xlfn.XLOOKUP(1,(Population!$B:$B=$A28)*(Population!$A:$A=P$1),Population!$D:$D)</f>
        <v>7.6893820845085517E-2</v>
      </c>
      <c r="Q28" s="125" cm="1">
        <f t="array" ref="Q28">NICCS_scenario!Q28*_xlfn.XLOOKUP($B28,params!$O$2:$O$12,params!$P$2:$P$12,0)*_xlfn.XLOOKUP(1,(Population!$B:$B=$A28)*(Population!$A:$A=Q$1),Population!$D:$D)</f>
        <v>9.5067568285521972E-2</v>
      </c>
      <c r="R28" s="125" cm="1">
        <f t="array" ref="R28">NICCS_scenario!R28*_xlfn.XLOOKUP($B28,params!$O$2:$O$12,params!$P$2:$P$12,0)*_xlfn.XLOOKUP(1,(Population!$B:$B=$A28)*(Population!$A:$A=R$1),Population!$D:$D)</f>
        <v>0.11445239927709651</v>
      </c>
      <c r="S28" s="125" cm="1">
        <f t="array" ref="S28">NICCS_scenario!S28*_xlfn.XLOOKUP($B28,params!$O$2:$O$12,params!$P$2:$P$12,0)*_xlfn.XLOOKUP(1,(Population!$B:$B=$A28)*(Population!$A:$A=S$1),Population!$D:$D)</f>
        <v>0.1350768400552981</v>
      </c>
      <c r="T28" s="125" cm="1">
        <f t="array" ref="T28">NICCS_scenario!T28*_xlfn.XLOOKUP($B28,params!$O$2:$O$12,params!$P$2:$P$12,0)*_xlfn.XLOOKUP(1,(Population!$B:$B=$A28)*(Population!$A:$A=T$1),Population!$D:$D)</f>
        <v>0.15696307122199504</v>
      </c>
      <c r="U28" s="125" cm="1">
        <f t="array" ref="U28">NICCS_scenario!U28*_xlfn.XLOOKUP($B28,params!$O$2:$O$12,params!$P$2:$P$12,0)*_xlfn.XLOOKUP(1,(Population!$B:$B=$A28)*(Population!$A:$A=U$1),Population!$D:$D)</f>
        <v>0.18018806206505761</v>
      </c>
      <c r="V28" s="125" cm="1">
        <f t="array" ref="V28">NICCS_scenario!V28*_xlfn.XLOOKUP($B28,params!$O$2:$O$12,params!$P$2:$P$12,0)*_xlfn.XLOOKUP(1,(Population!$B:$B=$A28)*(Population!$A:$A=V$1),Population!$D:$D)</f>
        <v>0.20478453610979308</v>
      </c>
      <c r="W28" s="125" cm="1">
        <f t="array" ref="W28">NICCS_scenario!W28*_xlfn.XLOOKUP($B28,params!$O$2:$O$12,params!$P$2:$P$12,0)*_xlfn.XLOOKUP(1,(Population!$B:$B=$A28)*(Population!$A:$A=W$1),Population!$D:$D)</f>
        <v>0.23079203655448258</v>
      </c>
      <c r="X28" s="125" cm="1">
        <f t="array" ref="X28">NICCS_scenario!X28*_xlfn.XLOOKUP($B28,params!$O$2:$O$12,params!$P$2:$P$12,0)*_xlfn.XLOOKUP(1,(Population!$B:$B=$A28)*(Population!$A:$A=X$1),Population!$D:$D)</f>
        <v>0.25825162141347408</v>
      </c>
      <c r="Y28" s="125" cm="1">
        <f t="array" ref="Y28">NICCS_scenario!Y28*_xlfn.XLOOKUP($B28,params!$O$2:$O$12,params!$P$2:$P$12,0)*_xlfn.XLOOKUP(1,(Population!$B:$B=$A28)*(Population!$A:$A=Y$1),Population!$D:$D)</f>
        <v>0.28720525205161057</v>
      </c>
      <c r="Z28" s="126" cm="1">
        <f t="array" ref="Z28">NICCS_scenario!Z28*_xlfn.XLOOKUP($B28,params!$O$2:$O$12,params!$P$2:$P$12,0)*_xlfn.XLOOKUP(1,(Population!$B:$B=$A28)*(Population!$A:$A=Z$1),Population!$D:$D)</f>
        <v>0.31769468016000002</v>
      </c>
      <c r="AA28" s="125" cm="1">
        <f t="array" ref="AA28">NICCS_scenario!AA28*_xlfn.XLOOKUP($B28,params!$O$2:$O$12,params!$P$2:$P$12,0)*_xlfn.XLOOKUP(1,(Population!$B:$B=$A28)*(Population!$A:$A=AA$1),Population!$D:$D)</f>
        <v>0.32823761391</v>
      </c>
      <c r="AB28" s="125" cm="1">
        <f t="array" ref="AB28">NICCS_scenario!AB28*_xlfn.XLOOKUP($B28,params!$O$2:$O$12,params!$P$2:$P$12,0)*_xlfn.XLOOKUP(1,(Population!$B:$B=$A28)*(Population!$A:$A=AB$1),Population!$D:$D)</f>
        <v>0.33898585140000004</v>
      </c>
      <c r="AC28" s="125" cm="1">
        <f t="array" ref="AC28">NICCS_scenario!AC28*_xlfn.XLOOKUP($B28,params!$O$2:$O$12,params!$P$2:$P$12,0)*_xlfn.XLOOKUP(1,(Population!$B:$B=$A28)*(Population!$A:$A=AC$1),Population!$D:$D)</f>
        <v>0.34993846333999995</v>
      </c>
      <c r="AD28" s="125" cm="1">
        <f t="array" ref="AD28">NICCS_scenario!AD28*_xlfn.XLOOKUP($B28,params!$O$2:$O$12,params!$P$2:$P$12,0)*_xlfn.XLOOKUP(1,(Population!$B:$B=$A28)*(Population!$A:$A=AD$1),Population!$D:$D)</f>
        <v>0.36109434012999997</v>
      </c>
      <c r="AE28" s="125" cm="1">
        <f t="array" ref="AE28">NICCS_scenario!AE28*_xlfn.XLOOKUP($B28,params!$O$2:$O$12,params!$P$2:$P$12,0)*_xlfn.XLOOKUP(1,(Population!$B:$B=$A28)*(Population!$A:$A=AE$1),Population!$D:$D)</f>
        <v>0.37245181736999994</v>
      </c>
      <c r="AF28" s="125" cm="1">
        <f t="array" ref="AF28">NICCS_scenario!AF28*_xlfn.XLOOKUP($B28,params!$O$2:$O$12,params!$P$2:$P$12,0)*_xlfn.XLOOKUP(1,(Population!$B:$B=$A28)*(Population!$A:$A=AF$1),Population!$D:$D)</f>
        <v>0.38400857877</v>
      </c>
      <c r="AG28" s="125" cm="1">
        <f t="array" ref="AG28">NICCS_scenario!AG28*_xlfn.XLOOKUP($B28,params!$O$2:$O$12,params!$P$2:$P$12,0)*_xlfn.XLOOKUP(1,(Population!$B:$B=$A28)*(Population!$A:$A=AG$1),Population!$D:$D)</f>
        <v>0.39576139261999999</v>
      </c>
      <c r="AH28" s="125" cm="1">
        <f t="array" ref="AH28">NICCS_scenario!AH28*_xlfn.XLOOKUP($B28,params!$O$2:$O$12,params!$P$2:$P$12,0)*_xlfn.XLOOKUP(1,(Population!$B:$B=$A28)*(Population!$A:$A=AH$1),Population!$D:$D)</f>
        <v>0.40770681916000001</v>
      </c>
      <c r="AI28" s="125" cm="1">
        <f t="array" ref="AI28">NICCS_scenario!AI28*_xlfn.XLOOKUP($B28,params!$O$2:$O$12,params!$P$2:$P$12,0)*_xlfn.XLOOKUP(1,(Population!$B:$B=$A28)*(Population!$A:$A=AI$1),Population!$D:$D)</f>
        <v>0.41984050320999988</v>
      </c>
      <c r="AJ28" s="127" cm="1">
        <f t="array" ref="AJ28">NICCS_scenario!AJ28*_xlfn.XLOOKUP($B28,params!$O$2:$O$12,params!$P$2:$P$12,0)*_xlfn.XLOOKUP(1,(Population!$B:$B=$A28)*(Population!$A:$A=AJ$1),Population!$D:$D)</f>
        <v>0.43215786767000003</v>
      </c>
      <c r="AK28" s="128">
        <f t="shared" si="3"/>
        <v>5.9994732820763907</v>
      </c>
    </row>
    <row r="29" spans="1:53">
      <c r="A29" s="90" t="s">
        <v>19</v>
      </c>
      <c r="B29" s="3" t="s">
        <v>12</v>
      </c>
      <c r="C29" s="4" t="s">
        <v>53</v>
      </c>
      <c r="D29" s="91" t="s">
        <v>57</v>
      </c>
      <c r="E29" s="110" cm="1">
        <f t="array" ref="E29">NICCS_scenario!E29*_xlfn.XLOOKUP($B29,params!$O$2:$O$12,params!$P$2:$P$12,0)*_xlfn.XLOOKUP(1,(Population!$B:$B=$A29)*(Population!$A:$A=E$1),Population!$D:$D)</f>
        <v>1.7184263566835342E-4</v>
      </c>
      <c r="F29" s="18" cm="1">
        <f t="array" ref="F29">NICCS_scenario!F29*_xlfn.XLOOKUP($B29,params!$O$2:$O$12,params!$P$2:$P$12,0)*_xlfn.XLOOKUP(1,(Population!$B:$B=$A29)*(Population!$A:$A=F$1),Population!$D:$D)</f>
        <v>1.4109146447841009E-4</v>
      </c>
      <c r="G29" s="18" cm="1">
        <f t="array" ref="G29">NICCS_scenario!G29*_xlfn.XLOOKUP($B29,params!$O$2:$O$12,params!$P$2:$P$12,0)*_xlfn.XLOOKUP(1,(Population!$B:$B=$A29)*(Population!$A:$A=G$1),Population!$D:$D)</f>
        <v>1.0717823380847282E-4</v>
      </c>
      <c r="H29" s="18" cm="1">
        <f t="array" ref="H29">NICCS_scenario!H29*_xlfn.XLOOKUP($B29,params!$O$2:$O$12,params!$P$2:$P$12,0)*_xlfn.XLOOKUP(1,(Population!$B:$B=$A29)*(Population!$A:$A=H$1),Population!$D:$D)</f>
        <v>6.9934785886188616E-5</v>
      </c>
      <c r="I29" s="18" cm="1">
        <f t="array" ref="I29">NICCS_scenario!I29*_xlfn.XLOOKUP($B29,params!$O$2:$O$12,params!$P$2:$P$12,0)*_xlfn.XLOOKUP(1,(Population!$B:$B=$A29)*(Population!$A:$A=I$1),Population!$D:$D)</f>
        <v>2.9190775153562381E-5</v>
      </c>
      <c r="J29" s="119" cm="1">
        <f t="array" ref="J29">NICCS_scenario!J29*_xlfn.XLOOKUP($B29,params!$O$2:$O$12,params!$P$2:$P$12,0)*_xlfn.XLOOKUP(1,(Population!$B:$B=$A29)*(Population!$A:$A=J$1),Population!$D:$D)</f>
        <v>0</v>
      </c>
      <c r="K29" s="18" cm="1">
        <f t="array" ref="K29">NICCS_scenario!K29*_xlfn.XLOOKUP($B29,params!$O$2:$O$12,params!$P$2:$P$12,0)*_xlfn.XLOOKUP(1,(Population!$B:$B=$A29)*(Population!$A:$A=K$1),Population!$D:$D)</f>
        <v>0</v>
      </c>
      <c r="L29" s="18" cm="1">
        <f t="array" ref="L29">NICCS_scenario!L29*_xlfn.XLOOKUP($B29,params!$O$2:$O$12,params!$P$2:$P$12,0)*_xlfn.XLOOKUP(1,(Population!$B:$B=$A29)*(Population!$A:$A=L$1),Population!$D:$D)</f>
        <v>0</v>
      </c>
      <c r="M29" s="18" cm="1">
        <f t="array" ref="M29">NICCS_scenario!M29*_xlfn.XLOOKUP($B29,params!$O$2:$O$12,params!$P$2:$P$12,0)*_xlfn.XLOOKUP(1,(Population!$B:$B=$A29)*(Population!$A:$A=M$1),Population!$D:$D)</f>
        <v>0</v>
      </c>
      <c r="N29" s="18" cm="1">
        <f t="array" ref="N29">NICCS_scenario!N29*_xlfn.XLOOKUP($B29,params!$O$2:$O$12,params!$P$2:$P$12,0)*_xlfn.XLOOKUP(1,(Population!$B:$B=$A29)*(Population!$A:$A=N$1),Population!$D:$D)</f>
        <v>0</v>
      </c>
      <c r="O29" s="18" cm="1">
        <f t="array" ref="O29">NICCS_scenario!O29*_xlfn.XLOOKUP($B29,params!$O$2:$O$12,params!$P$2:$P$12,0)*_xlfn.XLOOKUP(1,(Population!$B:$B=$A29)*(Population!$A:$A=O$1),Population!$D:$D)</f>
        <v>0</v>
      </c>
      <c r="P29" s="119" cm="1">
        <f t="array" ref="P29">NICCS_scenario!P29*_xlfn.XLOOKUP($B29,params!$O$2:$O$12,params!$P$2:$P$12,0)*_xlfn.XLOOKUP(1,(Population!$B:$B=$A29)*(Population!$A:$A=P$1),Population!$D:$D)</f>
        <v>0</v>
      </c>
      <c r="Q29" s="18" cm="1">
        <f t="array" ref="Q29">NICCS_scenario!Q29*_xlfn.XLOOKUP($B29,params!$O$2:$O$12,params!$P$2:$P$12,0)*_xlfn.XLOOKUP(1,(Population!$B:$B=$A29)*(Population!$A:$A=Q$1),Population!$D:$D)</f>
        <v>0</v>
      </c>
      <c r="R29" s="18" cm="1">
        <f t="array" ref="R29">NICCS_scenario!R29*_xlfn.XLOOKUP($B29,params!$O$2:$O$12,params!$P$2:$P$12,0)*_xlfn.XLOOKUP(1,(Population!$B:$B=$A29)*(Population!$A:$A=R$1),Population!$D:$D)</f>
        <v>0</v>
      </c>
      <c r="S29" s="18" cm="1">
        <f t="array" ref="S29">NICCS_scenario!S29*_xlfn.XLOOKUP($B29,params!$O$2:$O$12,params!$P$2:$P$12,0)*_xlfn.XLOOKUP(1,(Population!$B:$B=$A29)*(Population!$A:$A=S$1),Population!$D:$D)</f>
        <v>0</v>
      </c>
      <c r="T29" s="18" cm="1">
        <f t="array" ref="T29">NICCS_scenario!T29*_xlfn.XLOOKUP($B29,params!$O$2:$O$12,params!$P$2:$P$12,0)*_xlfn.XLOOKUP(1,(Population!$B:$B=$A29)*(Population!$A:$A=T$1),Population!$D:$D)</f>
        <v>0</v>
      </c>
      <c r="U29" s="18" cm="1">
        <f t="array" ref="U29">NICCS_scenario!U29*_xlfn.XLOOKUP($B29,params!$O$2:$O$12,params!$P$2:$P$12,0)*_xlfn.XLOOKUP(1,(Population!$B:$B=$A29)*(Population!$A:$A=U$1),Population!$D:$D)</f>
        <v>0</v>
      </c>
      <c r="V29" s="18" cm="1">
        <f t="array" ref="V29">NICCS_scenario!V29*_xlfn.XLOOKUP($B29,params!$O$2:$O$12,params!$P$2:$P$12,0)*_xlfn.XLOOKUP(1,(Population!$B:$B=$A29)*(Population!$A:$A=V$1),Population!$D:$D)</f>
        <v>0</v>
      </c>
      <c r="W29" s="18" cm="1">
        <f t="array" ref="W29">NICCS_scenario!W29*_xlfn.XLOOKUP($B29,params!$O$2:$O$12,params!$P$2:$P$12,0)*_xlfn.XLOOKUP(1,(Population!$B:$B=$A29)*(Population!$A:$A=W$1),Population!$D:$D)</f>
        <v>0</v>
      </c>
      <c r="X29" s="18" cm="1">
        <f t="array" ref="X29">NICCS_scenario!X29*_xlfn.XLOOKUP($B29,params!$O$2:$O$12,params!$P$2:$P$12,0)*_xlfn.XLOOKUP(1,(Population!$B:$B=$A29)*(Population!$A:$A=X$1),Population!$D:$D)</f>
        <v>0</v>
      </c>
      <c r="Y29" s="18" cm="1">
        <f t="array" ref="Y29">NICCS_scenario!Y29*_xlfn.XLOOKUP($B29,params!$O$2:$O$12,params!$P$2:$P$12,0)*_xlfn.XLOOKUP(1,(Population!$B:$B=$A29)*(Population!$A:$A=Y$1),Population!$D:$D)</f>
        <v>0</v>
      </c>
      <c r="Z29" s="119" cm="1">
        <f t="array" ref="Z29">NICCS_scenario!Z29*_xlfn.XLOOKUP($B29,params!$O$2:$O$12,params!$P$2:$P$12,0)*_xlfn.XLOOKUP(1,(Population!$B:$B=$A29)*(Population!$A:$A=Z$1),Population!$D:$D)</f>
        <v>0</v>
      </c>
      <c r="AA29" s="18" cm="1">
        <f t="array" ref="AA29">NICCS_scenario!AA29*_xlfn.XLOOKUP($B29,params!$O$2:$O$12,params!$P$2:$P$12,0)*_xlfn.XLOOKUP(1,(Population!$B:$B=$A29)*(Population!$A:$A=AA$1),Population!$D:$D)</f>
        <v>0</v>
      </c>
      <c r="AB29" s="18" cm="1">
        <f t="array" ref="AB29">NICCS_scenario!AB29*_xlfn.XLOOKUP($B29,params!$O$2:$O$12,params!$P$2:$P$12,0)*_xlfn.XLOOKUP(1,(Population!$B:$B=$A29)*(Population!$A:$A=AB$1),Population!$D:$D)</f>
        <v>0</v>
      </c>
      <c r="AC29" s="18" cm="1">
        <f t="array" ref="AC29">NICCS_scenario!AC29*_xlfn.XLOOKUP($B29,params!$O$2:$O$12,params!$P$2:$P$12,0)*_xlfn.XLOOKUP(1,(Population!$B:$B=$A29)*(Population!$A:$A=AC$1),Population!$D:$D)</f>
        <v>0</v>
      </c>
      <c r="AD29" s="18" cm="1">
        <f t="array" ref="AD29">NICCS_scenario!AD29*_xlfn.XLOOKUP($B29,params!$O$2:$O$12,params!$P$2:$P$12,0)*_xlfn.XLOOKUP(1,(Population!$B:$B=$A29)*(Population!$A:$A=AD$1),Population!$D:$D)</f>
        <v>0</v>
      </c>
      <c r="AE29" s="18" cm="1">
        <f t="array" ref="AE29">NICCS_scenario!AE29*_xlfn.XLOOKUP($B29,params!$O$2:$O$12,params!$P$2:$P$12,0)*_xlfn.XLOOKUP(1,(Population!$B:$B=$A29)*(Population!$A:$A=AE$1),Population!$D:$D)</f>
        <v>0</v>
      </c>
      <c r="AF29" s="18" cm="1">
        <f t="array" ref="AF29">NICCS_scenario!AF29*_xlfn.XLOOKUP($B29,params!$O$2:$O$12,params!$P$2:$P$12,0)*_xlfn.XLOOKUP(1,(Population!$B:$B=$A29)*(Population!$A:$A=AF$1),Population!$D:$D)</f>
        <v>0</v>
      </c>
      <c r="AG29" s="18" cm="1">
        <f t="array" ref="AG29">NICCS_scenario!AG29*_xlfn.XLOOKUP($B29,params!$O$2:$O$12,params!$P$2:$P$12,0)*_xlfn.XLOOKUP(1,(Population!$B:$B=$A29)*(Population!$A:$A=AG$1),Population!$D:$D)</f>
        <v>0</v>
      </c>
      <c r="AH29" s="18" cm="1">
        <f t="array" ref="AH29">NICCS_scenario!AH29*_xlfn.XLOOKUP($B29,params!$O$2:$O$12,params!$P$2:$P$12,0)*_xlfn.XLOOKUP(1,(Population!$B:$B=$A29)*(Population!$A:$A=AH$1),Population!$D:$D)</f>
        <v>0</v>
      </c>
      <c r="AI29" s="18" cm="1">
        <f t="array" ref="AI29">NICCS_scenario!AI29*_xlfn.XLOOKUP($B29,params!$O$2:$O$12,params!$P$2:$P$12,0)*_xlfn.XLOOKUP(1,(Population!$B:$B=$A29)*(Population!$A:$A=AI$1),Population!$D:$D)</f>
        <v>0</v>
      </c>
      <c r="AJ29" s="111" cm="1">
        <f t="array" ref="AJ29">NICCS_scenario!AJ29*_xlfn.XLOOKUP($B29,params!$O$2:$O$12,params!$P$2:$P$12,0)*_xlfn.XLOOKUP(1,(Population!$B:$B=$A29)*(Population!$A:$A=AJ$1),Population!$D:$D)</f>
        <v>0</v>
      </c>
      <c r="AK29" s="55">
        <f t="shared" si="3"/>
        <v>0</v>
      </c>
    </row>
    <row r="30" spans="1:53">
      <c r="A30" s="90" t="s">
        <v>19</v>
      </c>
      <c r="B30" s="3" t="s">
        <v>13</v>
      </c>
      <c r="C30" s="4" t="s">
        <v>53</v>
      </c>
      <c r="D30" s="91" t="s">
        <v>123</v>
      </c>
      <c r="E30" s="110" cm="1">
        <f t="array" ref="E30">NICCS_scenario!E30*_xlfn.XLOOKUP($B30,params!$O$2:$O$12,params!$P$2:$P$12,0)*_xlfn.XLOOKUP(1,(Population!$B:$B=$A30)*(Population!$A:$A=E$1),Population!$D:$D)</f>
        <v>0.29275640156953359</v>
      </c>
      <c r="F30" s="18" cm="1">
        <f t="array" ref="F30">NICCS_scenario!F30*_xlfn.XLOOKUP($B30,params!$O$2:$O$12,params!$P$2:$P$12,0)*_xlfn.XLOOKUP(1,(Population!$B:$B=$A30)*(Population!$A:$A=F$1),Population!$D:$D)</f>
        <v>0.29160166041014457</v>
      </c>
      <c r="G30" s="18" cm="1">
        <f t="array" ref="G30">NICCS_scenario!G30*_xlfn.XLOOKUP($B30,params!$O$2:$O$12,params!$P$2:$P$12,0)*_xlfn.XLOOKUP(1,(Population!$B:$B=$A30)*(Population!$A:$A=G$1),Population!$D:$D)</f>
        <v>0.2896197813048656</v>
      </c>
      <c r="H30" s="18" cm="1">
        <f t="array" ref="H30">NICCS_scenario!H30*_xlfn.XLOOKUP($B30,params!$O$2:$O$12,params!$P$2:$P$12,0)*_xlfn.XLOOKUP(1,(Population!$B:$B=$A30)*(Population!$A:$A=H$1),Population!$D:$D)</f>
        <v>0.28675071286277637</v>
      </c>
      <c r="I30" s="18" cm="1">
        <f t="array" ref="I30">NICCS_scenario!I30*_xlfn.XLOOKUP($B30,params!$O$2:$O$12,params!$P$2:$P$12,0)*_xlfn.XLOOKUP(1,(Population!$B:$B=$A30)*(Population!$A:$A=I$1),Population!$D:$D)</f>
        <v>0.28292839096943623</v>
      </c>
      <c r="J30" s="119" cm="1">
        <f t="array" ref="J30">NICCS_scenario!J30*_xlfn.XLOOKUP($B30,params!$O$2:$O$12,params!$P$2:$P$12,0)*_xlfn.XLOOKUP(1,(Population!$B:$B=$A30)*(Population!$A:$A=J$1),Population!$D:$D)</f>
        <v>0.27808504065627787</v>
      </c>
      <c r="K30" s="18" cm="1">
        <f t="array" ref="K30">NICCS_scenario!K30*_xlfn.XLOOKUP($B30,params!$O$2:$O$12,params!$P$2:$P$12,0)*_xlfn.XLOOKUP(1,(Population!$B:$B=$A30)*(Population!$A:$A=K$1),Population!$D:$D)</f>
        <v>0.27872099235553094</v>
      </c>
      <c r="L30" s="18" cm="1">
        <f t="array" ref="L30">NICCS_scenario!L30*_xlfn.XLOOKUP($B30,params!$O$2:$O$12,params!$P$2:$P$12,0)*_xlfn.XLOOKUP(1,(Population!$B:$B=$A30)*(Population!$A:$A=L$1),Population!$D:$D)</f>
        <v>0.33588696960593611</v>
      </c>
      <c r="M30" s="18" cm="1">
        <f t="array" ref="M30">NICCS_scenario!M30*_xlfn.XLOOKUP($B30,params!$O$2:$O$12,params!$P$2:$P$12,0)*_xlfn.XLOOKUP(1,(Population!$B:$B=$A30)*(Population!$A:$A=M$1),Population!$D:$D)</f>
        <v>0.39711511051374443</v>
      </c>
      <c r="N30" s="18" cm="1">
        <f t="array" ref="N30">NICCS_scenario!N30*_xlfn.XLOOKUP($B30,params!$O$2:$O$12,params!$P$2:$P$12,0)*_xlfn.XLOOKUP(1,(Population!$B:$B=$A30)*(Population!$A:$A=N$1),Population!$D:$D)</f>
        <v>0.46253988150944852</v>
      </c>
      <c r="O30" s="18" cm="1">
        <f t="array" ref="O30">NICCS_scenario!O30*_xlfn.XLOOKUP($B30,params!$O$2:$O$12,params!$P$2:$P$12,0)*_xlfn.XLOOKUP(1,(Population!$B:$B=$A30)*(Population!$A:$A=O$1),Population!$D:$D)</f>
        <v>0.53228657087400033</v>
      </c>
      <c r="P30" s="119" cm="1">
        <f t="array" ref="P30">NICCS_scenario!P30*_xlfn.XLOOKUP($B30,params!$O$2:$O$12,params!$P$2:$P$12,0)*_xlfn.XLOOKUP(1,(Population!$B:$B=$A30)*(Population!$A:$A=P$1),Population!$D:$D)</f>
        <v>0.60647397609110665</v>
      </c>
      <c r="Q30" s="18" cm="1">
        <f t="array" ref="Q30">NICCS_scenario!Q30*_xlfn.XLOOKUP($B30,params!$O$2:$O$12,params!$P$2:$P$12,0)*_xlfn.XLOOKUP(1,(Population!$B:$B=$A30)*(Population!$A:$A=Q$1),Population!$D:$D)</f>
        <v>0.68521441332130173</v>
      </c>
      <c r="R30" s="18" cm="1">
        <f t="array" ref="R30">NICCS_scenario!R30*_xlfn.XLOOKUP($B30,params!$O$2:$O$12,params!$P$2:$P$12,0)*_xlfn.XLOOKUP(1,(Population!$B:$B=$A30)*(Population!$A:$A=R$1),Population!$D:$D)</f>
        <v>0.76861375586663538</v>
      </c>
      <c r="S30" s="18" cm="1">
        <f t="array" ref="S30">NICCS_scenario!S30*_xlfn.XLOOKUP($B30,params!$O$2:$O$12,params!$P$2:$P$12,0)*_xlfn.XLOOKUP(1,(Population!$B:$B=$A30)*(Population!$A:$A=S$1),Population!$D:$D)</f>
        <v>0.85676164814209566</v>
      </c>
      <c r="T30" s="18" cm="1">
        <f t="array" ref="T30">NICCS_scenario!T30*_xlfn.XLOOKUP($B30,params!$O$2:$O$12,params!$P$2:$P$12,0)*_xlfn.XLOOKUP(1,(Population!$B:$B=$A30)*(Population!$A:$A=T$1),Population!$D:$D)</f>
        <v>0.94971547060431549</v>
      </c>
      <c r="U30" s="18" cm="1">
        <f t="array" ref="U30">NICCS_scenario!U30*_xlfn.XLOOKUP($B30,params!$O$2:$O$12,params!$P$2:$P$12,0)*_xlfn.XLOOKUP(1,(Population!$B:$B=$A30)*(Population!$A:$A=U$1),Population!$D:$D)</f>
        <v>1.0478603305016594</v>
      </c>
      <c r="V30" s="18" cm="1">
        <f t="array" ref="V30">NICCS_scenario!V30*_xlfn.XLOOKUP($B30,params!$O$2:$O$12,params!$P$2:$P$12,0)*_xlfn.XLOOKUP(1,(Population!$B:$B=$A30)*(Population!$A:$A=V$1),Population!$D:$D)</f>
        <v>1.1512952660890423</v>
      </c>
      <c r="W30" s="18" cm="1">
        <f t="array" ref="W30">NICCS_scenario!W30*_xlfn.XLOOKUP($B30,params!$O$2:$O$12,params!$P$2:$P$12,0)*_xlfn.XLOOKUP(1,(Population!$B:$B=$A30)*(Population!$A:$A=W$1),Population!$D:$D)</f>
        <v>1.2601631022735742</v>
      </c>
      <c r="X30" s="18" cm="1">
        <f t="array" ref="X30">NICCS_scenario!X30*_xlfn.XLOOKUP($B30,params!$O$2:$O$12,params!$P$2:$P$12,0)*_xlfn.XLOOKUP(1,(Population!$B:$B=$A30)*(Population!$A:$A=X$1),Population!$D:$D)</f>
        <v>1.3746150576359066</v>
      </c>
      <c r="Y30" s="18" cm="1">
        <f t="array" ref="Y30">NICCS_scenario!Y30*_xlfn.XLOOKUP($B30,params!$O$2:$O$12,params!$P$2:$P$12,0)*_xlfn.XLOOKUP(1,(Population!$B:$B=$A30)*(Population!$A:$A=Y$1),Population!$D:$D)</f>
        <v>1.4948065513654232</v>
      </c>
      <c r="Z30" s="119" cm="1">
        <f t="array" ref="Z30">NICCS_scenario!Z30*_xlfn.XLOOKUP($B30,params!$O$2:$O$12,params!$P$2:$P$12,0)*_xlfn.XLOOKUP(1,(Population!$B:$B=$A30)*(Population!$A:$A=Z$1),Population!$D:$D)</f>
        <v>1.6208912253061227</v>
      </c>
      <c r="AA30" s="18" cm="1">
        <f t="array" ref="AA30">NICCS_scenario!AA30*_xlfn.XLOOKUP($B30,params!$O$2:$O$12,params!$P$2:$P$12,0)*_xlfn.XLOOKUP(1,(Population!$B:$B=$A30)*(Population!$A:$A=AA$1),Population!$D:$D)</f>
        <v>1.6746817036224493</v>
      </c>
      <c r="AB30" s="18" cm="1">
        <f t="array" ref="AB30">NICCS_scenario!AB30*_xlfn.XLOOKUP($B30,params!$O$2:$O$12,params!$P$2:$P$12,0)*_xlfn.XLOOKUP(1,(Population!$B:$B=$A30)*(Population!$A:$A=AB$1),Population!$D:$D)</f>
        <v>1.7295196500000003</v>
      </c>
      <c r="AC30" s="18" cm="1">
        <f t="array" ref="AC30">NICCS_scenario!AC30*_xlfn.XLOOKUP($B30,params!$O$2:$O$12,params!$P$2:$P$12,0)*_xlfn.XLOOKUP(1,(Population!$B:$B=$A30)*(Population!$A:$A=AC$1),Population!$D:$D)</f>
        <v>1.7854003231632651</v>
      </c>
      <c r="AD30" s="18" cm="1">
        <f t="array" ref="AD30">NICCS_scenario!AD30*_xlfn.XLOOKUP($B30,params!$O$2:$O$12,params!$P$2:$P$12,0)*_xlfn.XLOOKUP(1,(Population!$B:$B=$A30)*(Population!$A:$A=AD$1),Population!$D:$D)</f>
        <v>1.8423180618877553</v>
      </c>
      <c r="AE30" s="18" cm="1">
        <f t="array" ref="AE30">NICCS_scenario!AE30*_xlfn.XLOOKUP($B30,params!$O$2:$O$12,params!$P$2:$P$12,0)*_xlfn.XLOOKUP(1,(Population!$B:$B=$A30)*(Population!$A:$A=AE$1),Population!$D:$D)</f>
        <v>1.9002643743367347</v>
      </c>
      <c r="AF30" s="18" cm="1">
        <f t="array" ref="AF30">NICCS_scenario!AF30*_xlfn.XLOOKUP($B30,params!$O$2:$O$12,params!$P$2:$P$12,0)*_xlfn.XLOOKUP(1,(Population!$B:$B=$A30)*(Population!$A:$A=AF$1),Population!$D:$D)</f>
        <v>1.9592274427040821</v>
      </c>
      <c r="AG30" s="18" cm="1">
        <f t="array" ref="AG30">NICCS_scenario!AG30*_xlfn.XLOOKUP($B30,params!$O$2:$O$12,params!$P$2:$P$12,0)*_xlfn.XLOOKUP(1,(Population!$B:$B=$A30)*(Population!$A:$A=AG$1),Population!$D:$D)</f>
        <v>2.0191907786734697</v>
      </c>
      <c r="AH30" s="18" cm="1">
        <f t="array" ref="AH30">NICCS_scenario!AH30*_xlfn.XLOOKUP($B30,params!$O$2:$O$12,params!$P$2:$P$12,0)*_xlfn.XLOOKUP(1,(Population!$B:$B=$A30)*(Population!$A:$A=AH$1),Population!$D:$D)</f>
        <v>2.0801368324489795</v>
      </c>
      <c r="AI30" s="18" cm="1">
        <f t="array" ref="AI30">NICCS_scenario!AI30*_xlfn.XLOOKUP($B30,params!$O$2:$O$12,params!$P$2:$P$12,0)*_xlfn.XLOOKUP(1,(Population!$B:$B=$A30)*(Population!$A:$A=AI$1),Population!$D:$D)</f>
        <v>2.1420433837244897</v>
      </c>
      <c r="AJ30" s="111" cm="1">
        <f t="array" ref="AJ30">NICCS_scenario!AJ30*_xlfn.XLOOKUP($B30,params!$O$2:$O$12,params!$P$2:$P$12,0)*_xlfn.XLOOKUP(1,(Population!$B:$B=$A30)*(Population!$A:$A=AJ$1),Population!$D:$D)</f>
        <v>2.2048870799489801</v>
      </c>
      <c r="AK30" s="55">
        <f t="shared" si="3"/>
        <v>33.160629952566055</v>
      </c>
    </row>
    <row r="31" spans="1:53">
      <c r="A31" s="90" t="s">
        <v>19</v>
      </c>
      <c r="B31" t="s">
        <v>14</v>
      </c>
      <c r="C31" s="4" t="s">
        <v>53</v>
      </c>
      <c r="D31" s="91" t="s">
        <v>57</v>
      </c>
      <c r="E31" s="110" cm="1">
        <f t="array" ref="E31">NICCS_scenario!E31*_xlfn.XLOOKUP($B31,params!$O$2:$O$12,params!$P$2:$P$12,0)*_xlfn.XLOOKUP(1,(Population!$B:$B=$A31)*(Population!$A:$A=E$1),Population!$D:$D)</f>
        <v>0</v>
      </c>
      <c r="F31" s="18" cm="1">
        <f t="array" ref="F31">NICCS_scenario!F31*_xlfn.XLOOKUP($B31,params!$O$2:$O$12,params!$P$2:$P$12,0)*_xlfn.XLOOKUP(1,(Population!$B:$B=$A31)*(Population!$A:$A=F$1),Population!$D:$D)</f>
        <v>0</v>
      </c>
      <c r="G31" s="18" cm="1">
        <f t="array" ref="G31">NICCS_scenario!G31*_xlfn.XLOOKUP($B31,params!$O$2:$O$12,params!$P$2:$P$12,0)*_xlfn.XLOOKUP(1,(Population!$B:$B=$A31)*(Population!$A:$A=G$1),Population!$D:$D)</f>
        <v>0</v>
      </c>
      <c r="H31" s="18" cm="1">
        <f t="array" ref="H31">NICCS_scenario!H31*_xlfn.XLOOKUP($B31,params!$O$2:$O$12,params!$P$2:$P$12,0)*_xlfn.XLOOKUP(1,(Population!$B:$B=$A31)*(Population!$A:$A=H$1),Population!$D:$D)</f>
        <v>0</v>
      </c>
      <c r="I31" s="18" cm="1">
        <f t="array" ref="I31">NICCS_scenario!I31*_xlfn.XLOOKUP($B31,params!$O$2:$O$12,params!$P$2:$P$12,0)*_xlfn.XLOOKUP(1,(Population!$B:$B=$A31)*(Population!$A:$A=I$1),Population!$D:$D)</f>
        <v>0</v>
      </c>
      <c r="J31" s="119" cm="1">
        <f t="array" ref="J31">NICCS_scenario!J31*_xlfn.XLOOKUP($B31,params!$O$2:$O$12,params!$P$2:$P$12,0)*_xlfn.XLOOKUP(1,(Population!$B:$B=$A31)*(Population!$A:$A=J$1),Population!$D:$D)</f>
        <v>0</v>
      </c>
      <c r="K31" s="18" cm="1">
        <f t="array" ref="K31">NICCS_scenario!K31*_xlfn.XLOOKUP($B31,params!$O$2:$O$12,params!$P$2:$P$12,0)*_xlfn.XLOOKUP(1,(Population!$B:$B=$A31)*(Population!$A:$A=K$1),Population!$D:$D)</f>
        <v>0</v>
      </c>
      <c r="L31" s="18" cm="1">
        <f t="array" ref="L31">NICCS_scenario!L31*_xlfn.XLOOKUP($B31,params!$O$2:$O$12,params!$P$2:$P$12,0)*_xlfn.XLOOKUP(1,(Population!$B:$B=$A31)*(Population!$A:$A=L$1),Population!$D:$D)</f>
        <v>3.2586633030928375E-2</v>
      </c>
      <c r="M31" s="18" cm="1">
        <f t="array" ref="M31">NICCS_scenario!M31*_xlfn.XLOOKUP($B31,params!$O$2:$O$12,params!$P$2:$P$12,0)*_xlfn.XLOOKUP(1,(Population!$B:$B=$A31)*(Population!$A:$A=M$1),Population!$D:$D)</f>
        <v>6.785780388967047E-2</v>
      </c>
      <c r="N31" s="18" cm="1">
        <f t="array" ref="N31">NICCS_scenario!N31*_xlfn.XLOOKUP($B31,params!$O$2:$O$12,params!$P$2:$P$12,0)*_xlfn.XLOOKUP(1,(Population!$B:$B=$A31)*(Population!$A:$A=N$1),Population!$D:$D)</f>
        <v>0.10591582509818692</v>
      </c>
      <c r="O31" s="18" cm="1">
        <f t="array" ref="O31">NICCS_scenario!O31*_xlfn.XLOOKUP($B31,params!$O$2:$O$12,params!$P$2:$P$12,0)*_xlfn.XLOOKUP(1,(Population!$B:$B=$A31)*(Population!$A:$A=O$1),Population!$D:$D)</f>
        <v>0.14685814663223062</v>
      </c>
      <c r="P31" s="119" cm="1">
        <f t="array" ref="P31">NICCS_scenario!P31*_xlfn.XLOOKUP($B31,params!$O$2:$O$12,params!$P$2:$P$12,0)*_xlfn.XLOOKUP(1,(Population!$B:$B=$A31)*(Population!$A:$A=P$1),Population!$D:$D)</f>
        <v>0.19077745070782259</v>
      </c>
      <c r="Q31" s="18" cm="1">
        <f t="array" ref="Q31">NICCS_scenario!Q31*_xlfn.XLOOKUP($B31,params!$O$2:$O$12,params!$P$2:$P$12,0)*_xlfn.XLOOKUP(1,(Population!$B:$B=$A31)*(Population!$A:$A=Q$1),Population!$D:$D)</f>
        <v>0.23776170391381365</v>
      </c>
      <c r="R31" s="18" cm="1">
        <f t="array" ref="R31">NICCS_scenario!R31*_xlfn.XLOOKUP($B31,params!$O$2:$O$12,params!$P$2:$P$12,0)*_xlfn.XLOOKUP(1,(Population!$B:$B=$A31)*(Population!$A:$A=R$1),Population!$D:$D)</f>
        <v>0.28789419986579845</v>
      </c>
      <c r="S31" s="18" cm="1">
        <f t="array" ref="S31">NICCS_scenario!S31*_xlfn.XLOOKUP($B31,params!$O$2:$O$12,params!$P$2:$P$12,0)*_xlfn.XLOOKUP(1,(Population!$B:$B=$A31)*(Population!$A:$A=S$1),Population!$D:$D)</f>
        <v>0.3412496824392558</v>
      </c>
      <c r="T31" s="18" cm="1">
        <f t="array" ref="T31">NICCS_scenario!T31*_xlfn.XLOOKUP($B31,params!$O$2:$O$12,params!$P$2:$P$12,0)*_xlfn.XLOOKUP(1,(Population!$B:$B=$A31)*(Population!$A:$A=T$1),Population!$D:$D)</f>
        <v>0.39788663015042058</v>
      </c>
      <c r="U31" s="18" cm="1">
        <f t="array" ref="U31">NICCS_scenario!U31*_xlfn.XLOOKUP($B31,params!$O$2:$O$12,params!$P$2:$P$12,0)*_xlfn.XLOOKUP(1,(Population!$B:$B=$A31)*(Population!$A:$A=U$1),Population!$D:$D)</f>
        <v>0.458002516403616</v>
      </c>
      <c r="V31" s="18" cm="1">
        <f t="array" ref="V31">NICCS_scenario!V31*_xlfn.XLOOKUP($B31,params!$O$2:$O$12,params!$P$2:$P$12,0)*_xlfn.XLOOKUP(1,(Population!$B:$B=$A31)*(Population!$A:$A=V$1),Population!$D:$D)</f>
        <v>0.52168319404928298</v>
      </c>
      <c r="W31" s="18" cm="1">
        <f t="array" ref="W31">NICCS_scenario!W31*_xlfn.XLOOKUP($B31,params!$O$2:$O$12,params!$P$2:$P$12,0)*_xlfn.XLOOKUP(1,(Population!$B:$B=$A31)*(Population!$A:$A=W$1),Population!$D:$D)</f>
        <v>0.5890317291618643</v>
      </c>
      <c r="X31" s="18" cm="1">
        <f t="array" ref="X31">NICCS_scenario!X31*_xlfn.XLOOKUP($B31,params!$O$2:$O$12,params!$P$2:$P$12,0)*_xlfn.XLOOKUP(1,(Population!$B:$B=$A31)*(Population!$A:$A=X$1),Population!$D:$D)</f>
        <v>0.66015505036469158</v>
      </c>
      <c r="Y31" s="18" cm="1">
        <f t="array" ref="Y31">NICCS_scenario!Y31*_xlfn.XLOOKUP($B31,params!$O$2:$O$12,params!$P$2:$P$12,0)*_xlfn.XLOOKUP(1,(Population!$B:$B=$A31)*(Population!$A:$A=Y$1),Population!$D:$D)</f>
        <v>0.7351624132890765</v>
      </c>
      <c r="Z31" s="119" cm="1">
        <f t="array" ref="Z31">NICCS_scenario!Z31*_xlfn.XLOOKUP($B31,params!$O$2:$O$12,params!$P$2:$P$12,0)*_xlfn.XLOOKUP(1,(Population!$B:$B=$A31)*(Population!$A:$A=Z$1),Population!$D:$D)</f>
        <v>0.81416255698003726</v>
      </c>
      <c r="AA31" s="18" cm="1">
        <f t="array" ref="AA31">NICCS_scenario!AA31*_xlfn.XLOOKUP($B31,params!$O$2:$O$12,params!$P$2:$P$12,0)*_xlfn.XLOOKUP(1,(Population!$B:$B=$A31)*(Population!$A:$A=AA$1),Population!$D:$D)</f>
        <v>0.84118114569435931</v>
      </c>
      <c r="AB31" s="18" cm="1">
        <f t="array" ref="AB31">NICCS_scenario!AB31*_xlfn.XLOOKUP($B31,params!$O$2:$O$12,params!$P$2:$P$12,0)*_xlfn.XLOOKUP(1,(Population!$B:$B=$A31)*(Population!$A:$A=AB$1),Population!$D:$D)</f>
        <v>0.86872587043913607</v>
      </c>
      <c r="AC31" s="18" cm="1">
        <f t="array" ref="AC31">NICCS_scenario!AC31*_xlfn.XLOOKUP($B31,params!$O$2:$O$12,params!$P$2:$P$12,0)*_xlfn.XLOOKUP(1,(Population!$B:$B=$A31)*(Population!$A:$A=AC$1),Population!$D:$D)</f>
        <v>0.89679434970416372</v>
      </c>
      <c r="AD31" s="18" cm="1">
        <f t="array" ref="AD31">NICCS_scenario!AD31*_xlfn.XLOOKUP($B31,params!$O$2:$O$12,params!$P$2:$P$12,0)*_xlfn.XLOOKUP(1,(Population!$B:$B=$A31)*(Population!$A:$A=AD$1),Population!$D:$D)</f>
        <v>0.92538373989516831</v>
      </c>
      <c r="AE31" s="18" cm="1">
        <f t="array" ref="AE31">NICCS_scenario!AE31*_xlfn.XLOOKUP($B31,params!$O$2:$O$12,params!$P$2:$P$12,0)*_xlfn.XLOOKUP(1,(Population!$B:$B=$A31)*(Population!$A:$A=AE$1),Population!$D:$D)</f>
        <v>0.95448977562073956</v>
      </c>
      <c r="AF31" s="18" cm="1">
        <f t="array" ref="AF31">NICCS_scenario!AF31*_xlfn.XLOOKUP($B31,params!$O$2:$O$12,params!$P$2:$P$12,0)*_xlfn.XLOOKUP(1,(Population!$B:$B=$A31)*(Population!$A:$A=AF$1),Population!$D:$D)</f>
        <v>0.98410652087783235</v>
      </c>
      <c r="AG31" s="18" cm="1">
        <f t="array" ref="AG31">NICCS_scenario!AG31*_xlfn.XLOOKUP($B31,params!$O$2:$O$12,params!$P$2:$P$12,0)*_xlfn.XLOOKUP(1,(Population!$B:$B=$A31)*(Population!$A:$A=AG$1),Population!$D:$D)</f>
        <v>1.0142256936981244</v>
      </c>
      <c r="AH31" s="18" cm="1">
        <f t="array" ref="AH31">NICCS_scenario!AH31*_xlfn.XLOOKUP($B31,params!$O$2:$O$12,params!$P$2:$P$12,0)*_xlfn.XLOOKUP(1,(Population!$B:$B=$A31)*(Population!$A:$A=AH$1),Population!$D:$D)</f>
        <v>1.0448384789393677</v>
      </c>
      <c r="AI31" s="18" cm="1">
        <f t="array" ref="AI31">NICCS_scenario!AI31*_xlfn.XLOOKUP($B31,params!$O$2:$O$12,params!$P$2:$P$12,0)*_xlfn.XLOOKUP(1,(Population!$B:$B=$A31)*(Population!$A:$A=AI$1),Population!$D:$D)</f>
        <v>1.0759337154940389</v>
      </c>
      <c r="AJ31" s="111" cm="1">
        <f t="array" ref="AJ31">NICCS_scenario!AJ31*_xlfn.XLOOKUP($B31,params!$O$2:$O$12,params!$P$2:$P$12,0)*_xlfn.XLOOKUP(1,(Population!$B:$B=$A31)*(Population!$A:$A=AJ$1),Population!$D:$D)</f>
        <v>1.1074996735357605</v>
      </c>
      <c r="AK31" s="55">
        <f t="shared" si="3"/>
        <v>15.300164499875388</v>
      </c>
    </row>
    <row r="32" spans="1:53">
      <c r="A32" s="90" t="s">
        <v>19</v>
      </c>
      <c r="B32" t="s">
        <v>15</v>
      </c>
      <c r="C32" s="4" t="s">
        <v>53</v>
      </c>
      <c r="D32" s="91" t="s">
        <v>57</v>
      </c>
      <c r="E32" s="110" cm="1">
        <f t="array" ref="E32">NICCS_scenario!E32*_xlfn.XLOOKUP($B32,params!$O$2:$O$12,params!$P$2:$P$12,0)*_xlfn.XLOOKUP(1,(Population!$B:$B=$A32)*(Population!$A:$A=E$1),Population!$D:$D)</f>
        <v>0</v>
      </c>
      <c r="F32" s="18" cm="1">
        <f t="array" ref="F32">NICCS_scenario!F32*_xlfn.XLOOKUP($B32,params!$O$2:$O$12,params!$P$2:$P$12,0)*_xlfn.XLOOKUP(1,(Population!$B:$B=$A32)*(Population!$A:$A=F$1),Population!$D:$D)</f>
        <v>0</v>
      </c>
      <c r="G32" s="18" cm="1">
        <f t="array" ref="G32">NICCS_scenario!G32*_xlfn.XLOOKUP($B32,params!$O$2:$O$12,params!$P$2:$P$12,0)*_xlfn.XLOOKUP(1,(Population!$B:$B=$A32)*(Population!$A:$A=G$1),Population!$D:$D)</f>
        <v>0</v>
      </c>
      <c r="H32" s="18" cm="1">
        <f t="array" ref="H32">NICCS_scenario!H32*_xlfn.XLOOKUP($B32,params!$O$2:$O$12,params!$P$2:$P$12,0)*_xlfn.XLOOKUP(1,(Population!$B:$B=$A32)*(Population!$A:$A=H$1),Population!$D:$D)</f>
        <v>0</v>
      </c>
      <c r="I32" s="18" cm="1">
        <f t="array" ref="I32">NICCS_scenario!I32*_xlfn.XLOOKUP($B32,params!$O$2:$O$12,params!$P$2:$P$12,0)*_xlfn.XLOOKUP(1,(Population!$B:$B=$A32)*(Population!$A:$A=I$1),Population!$D:$D)</f>
        <v>0</v>
      </c>
      <c r="J32" s="119" cm="1">
        <f t="array" ref="J32">NICCS_scenario!J32*_xlfn.XLOOKUP($B32,params!$O$2:$O$12,params!$P$2:$P$12,0)*_xlfn.XLOOKUP(1,(Population!$B:$B=$A32)*(Population!$A:$A=J$1),Population!$D:$D)</f>
        <v>0</v>
      </c>
      <c r="K32" s="18" cm="1">
        <f t="array" ref="K32">NICCS_scenario!K32*_xlfn.XLOOKUP($B32,params!$O$2:$O$12,params!$P$2:$P$12,0)*_xlfn.XLOOKUP(1,(Population!$B:$B=$A32)*(Population!$A:$A=K$1),Population!$D:$D)</f>
        <v>0</v>
      </c>
      <c r="L32" s="18" cm="1">
        <f t="array" ref="L32">NICCS_scenario!L32*_xlfn.XLOOKUP($B32,params!$O$2:$O$12,params!$P$2:$P$12,0)*_xlfn.XLOOKUP(1,(Population!$B:$B=$A32)*(Population!$A:$A=L$1),Population!$D:$D)</f>
        <v>8.4562154122167499E-3</v>
      </c>
      <c r="M32" s="18" cm="1">
        <f t="array" ref="M32">NICCS_scenario!M32*_xlfn.XLOOKUP($B32,params!$O$2:$O$12,params!$P$2:$P$12,0)*_xlfn.XLOOKUP(1,(Population!$B:$B=$A32)*(Population!$A:$A=M$1),Population!$D:$D)</f>
        <v>1.7609067084236454E-2</v>
      </c>
      <c r="N32" s="18" cm="1">
        <f t="array" ref="N32">NICCS_scenario!N32*_xlfn.XLOOKUP($B32,params!$O$2:$O$12,params!$P$2:$P$12,0)*_xlfn.XLOOKUP(1,(Population!$B:$B=$A32)*(Population!$A:$A=N$1),Population!$D:$D)</f>
        <v>2.7485105065714284E-2</v>
      </c>
      <c r="O32" s="18" cm="1">
        <f t="array" ref="O32">NICCS_scenario!O32*_xlfn.XLOOKUP($B32,params!$O$2:$O$12,params!$P$2:$P$12,0)*_xlfn.XLOOKUP(1,(Population!$B:$B=$A32)*(Population!$A:$A=O$1),Population!$D:$D)</f>
        <v>3.8109617577931035E-2</v>
      </c>
      <c r="P32" s="119" cm="1">
        <f t="array" ref="P32">NICCS_scenario!P32*_xlfn.XLOOKUP($B32,params!$O$2:$O$12,params!$P$2:$P$12,0)*_xlfn.XLOOKUP(1,(Population!$B:$B=$A32)*(Population!$A:$A=P$1),Population!$D:$D)</f>
        <v>4.950665561083744E-2</v>
      </c>
      <c r="Q32" s="18" cm="1">
        <f t="array" ref="Q32">NICCS_scenario!Q32*_xlfn.XLOOKUP($B32,params!$O$2:$O$12,params!$P$2:$P$12,0)*_xlfn.XLOOKUP(1,(Population!$B:$B=$A32)*(Population!$A:$A=Q$1),Population!$D:$D)</f>
        <v>6.1699046451428582E-2</v>
      </c>
      <c r="R32" s="18" cm="1">
        <f t="array" ref="R32">NICCS_scenario!R32*_xlfn.XLOOKUP($B32,params!$O$2:$O$12,params!$P$2:$P$12,0)*_xlfn.XLOOKUP(1,(Population!$B:$B=$A32)*(Population!$A:$A=R$1),Population!$D:$D)</f>
        <v>7.4708404752413804E-2</v>
      </c>
      <c r="S32" s="18" cm="1">
        <f t="array" ref="S32">NICCS_scenario!S32*_xlfn.XLOOKUP($B32,params!$O$2:$O$12,params!$P$2:$P$12,0)*_xlfn.XLOOKUP(1,(Population!$B:$B=$A32)*(Population!$A:$A=S$1),Population!$D:$D)</f>
        <v>8.8554126513103446E-2</v>
      </c>
      <c r="T32" s="18" cm="1">
        <f t="array" ref="T32">NICCS_scenario!T32*_xlfn.XLOOKUP($B32,params!$O$2:$O$12,params!$P$2:$P$12,0)*_xlfn.XLOOKUP(1,(Population!$B:$B=$A32)*(Population!$A:$A=T$1),Population!$D:$D)</f>
        <v>0.10325138688</v>
      </c>
      <c r="U32" s="18" cm="1">
        <f t="array" ref="U32">NICCS_scenario!U32*_xlfn.XLOOKUP($B32,params!$O$2:$O$12,params!$P$2:$P$12,0)*_xlfn.XLOOKUP(1,(Population!$B:$B=$A32)*(Population!$A:$A=U$1),Population!$D:$D)</f>
        <v>0.11885143010541872</v>
      </c>
      <c r="V32" s="18" cm="1">
        <f t="array" ref="V32">NICCS_scenario!V32*_xlfn.XLOOKUP($B32,params!$O$2:$O$12,params!$P$2:$P$12,0)*_xlfn.XLOOKUP(1,(Population!$B:$B=$A32)*(Population!$A:$A=V$1),Population!$D:$D)</f>
        <v>0.13537653496226601</v>
      </c>
      <c r="W32" s="18" cm="1">
        <f t="array" ref="W32">NICCS_scenario!W32*_xlfn.XLOOKUP($B32,params!$O$2:$O$12,params!$P$2:$P$12,0)*_xlfn.XLOOKUP(1,(Population!$B:$B=$A32)*(Population!$A:$A=W$1),Population!$D:$D)</f>
        <v>0.15285344704669951</v>
      </c>
      <c r="X32" s="18" cm="1">
        <f t="array" ref="X32">NICCS_scenario!X32*_xlfn.XLOOKUP($B32,params!$O$2:$O$12,params!$P$2:$P$12,0)*_xlfn.XLOOKUP(1,(Population!$B:$B=$A32)*(Population!$A:$A=X$1),Population!$D:$D)</f>
        <v>0.17130991428443348</v>
      </c>
      <c r="Y32" s="18" cm="1">
        <f t="array" ref="Y32">NICCS_scenario!Y32*_xlfn.XLOOKUP($B32,params!$O$2:$O$12,params!$P$2:$P$12,0)*_xlfn.XLOOKUP(1,(Population!$B:$B=$A32)*(Population!$A:$A=Y$1),Population!$D:$D)</f>
        <v>0.19077428845862068</v>
      </c>
      <c r="Z32" s="119" cm="1">
        <f t="array" ref="Z32">NICCS_scenario!Z32*_xlfn.XLOOKUP($B32,params!$O$2:$O$12,params!$P$2:$P$12,0)*_xlfn.XLOOKUP(1,(Population!$B:$B=$A32)*(Population!$A:$A=Z$1),Population!$D:$D)</f>
        <v>0.2112747872985222</v>
      </c>
      <c r="AA32" s="18" cm="1">
        <f t="array" ref="AA32">NICCS_scenario!AA32*_xlfn.XLOOKUP($B32,params!$O$2:$O$12,params!$P$2:$P$12,0)*_xlfn.XLOOKUP(1,(Population!$B:$B=$A32)*(Population!$A:$A=AA$1),Population!$D:$D)</f>
        <v>0.21828609792044332</v>
      </c>
      <c r="AB32" s="18" cm="1">
        <f t="array" ref="AB32">NICCS_scenario!AB32*_xlfn.XLOOKUP($B32,params!$O$2:$O$12,params!$P$2:$P$12,0)*_xlfn.XLOOKUP(1,(Population!$B:$B=$A32)*(Population!$A:$A=AB$1),Population!$D:$D)</f>
        <v>0.22543394058620692</v>
      </c>
      <c r="AC32" s="18" cm="1">
        <f t="array" ref="AC32">NICCS_scenario!AC32*_xlfn.XLOOKUP($B32,params!$O$2:$O$12,params!$P$2:$P$12,0)*_xlfn.XLOOKUP(1,(Population!$B:$B=$A32)*(Population!$A:$A=AC$1),Population!$D:$D)</f>
        <v>0.23271769729507386</v>
      </c>
      <c r="AD32" s="18" cm="1">
        <f t="array" ref="AD32">NICCS_scenario!AD32*_xlfn.XLOOKUP($B32,params!$O$2:$O$12,params!$P$2:$P$12,0)*_xlfn.XLOOKUP(1,(Population!$B:$B=$A32)*(Population!$A:$A=AD$1),Population!$D:$D)</f>
        <v>0.24013663013571429</v>
      </c>
      <c r="AE32" s="18" cm="1">
        <f t="array" ref="AE32">NICCS_scenario!AE32*_xlfn.XLOOKUP($B32,params!$O$2:$O$12,params!$P$2:$P$12,0)*_xlfn.XLOOKUP(1,(Population!$B:$B=$A32)*(Population!$A:$A=AE$1),Population!$D:$D)</f>
        <v>0.247689632241133</v>
      </c>
      <c r="AF32" s="18" cm="1">
        <f t="array" ref="AF32">NICCS_scenario!AF32*_xlfn.XLOOKUP($B32,params!$O$2:$O$12,params!$P$2:$P$12,0)*_xlfn.XLOOKUP(1,(Population!$B:$B=$A32)*(Population!$A:$A=AF$1),Population!$D:$D)</f>
        <v>0.25537516322142861</v>
      </c>
      <c r="AG32" s="18" cm="1">
        <f t="array" ref="AG32">NICCS_scenario!AG32*_xlfn.XLOOKUP($B32,params!$O$2:$O$12,params!$P$2:$P$12,0)*_xlfn.XLOOKUP(1,(Population!$B:$B=$A32)*(Population!$A:$A=AG$1),Population!$D:$D)</f>
        <v>0.26319107390985225</v>
      </c>
      <c r="AH32" s="18" cm="1">
        <f t="array" ref="AH32">NICCS_scenario!AH32*_xlfn.XLOOKUP($B32,params!$O$2:$O$12,params!$P$2:$P$12,0)*_xlfn.XLOOKUP(1,(Population!$B:$B=$A32)*(Population!$A:$A=AH$1),Population!$D:$D)</f>
        <v>0.27113507678128079</v>
      </c>
      <c r="AI32" s="18" cm="1">
        <f t="array" ref="AI32">NICCS_scenario!AI32*_xlfn.XLOOKUP($B32,params!$O$2:$O$12,params!$P$2:$P$12,0)*_xlfn.XLOOKUP(1,(Population!$B:$B=$A32)*(Population!$A:$A=AI$1),Population!$D:$D)</f>
        <v>0.27920427553374383</v>
      </c>
      <c r="AJ32" s="111" cm="1">
        <f t="array" ref="AJ32">NICCS_scenario!AJ32*_xlfn.XLOOKUP($B32,params!$O$2:$O$12,params!$P$2:$P$12,0)*_xlfn.XLOOKUP(1,(Population!$B:$B=$A32)*(Population!$A:$A=AJ$1),Population!$D:$D)</f>
        <v>0.28739562628300491</v>
      </c>
      <c r="AK32" s="55">
        <f t="shared" si="3"/>
        <v>3.9703852414117251</v>
      </c>
    </row>
    <row r="33" spans="1:53">
      <c r="A33" s="90" t="s">
        <v>19</v>
      </c>
      <c r="B33" t="s">
        <v>16</v>
      </c>
      <c r="C33" s="4" t="s">
        <v>53</v>
      </c>
      <c r="D33" s="91" t="s">
        <v>57</v>
      </c>
      <c r="E33" s="110" cm="1">
        <f t="array" ref="E33">NICCS_scenario!E33*_xlfn.XLOOKUP($B33,params!$O$2:$O$12,params!$P$2:$P$12,0)*_xlfn.XLOOKUP(1,(Population!$B:$B=$A33)*(Population!$A:$A=E$1),Population!$D:$D)</f>
        <v>0</v>
      </c>
      <c r="F33" s="18" cm="1">
        <f t="array" ref="F33">NICCS_scenario!F33*_xlfn.XLOOKUP($B33,params!$O$2:$O$12,params!$P$2:$P$12,0)*_xlfn.XLOOKUP(1,(Population!$B:$B=$A33)*(Population!$A:$A=F$1),Population!$D:$D)</f>
        <v>0</v>
      </c>
      <c r="G33" s="18" cm="1">
        <f t="array" ref="G33">NICCS_scenario!G33*_xlfn.XLOOKUP($B33,params!$O$2:$O$12,params!$P$2:$P$12,0)*_xlfn.XLOOKUP(1,(Population!$B:$B=$A33)*(Population!$A:$A=G$1),Population!$D:$D)</f>
        <v>0</v>
      </c>
      <c r="H33" s="18" cm="1">
        <f t="array" ref="H33">NICCS_scenario!H33*_xlfn.XLOOKUP($B33,params!$O$2:$O$12,params!$P$2:$P$12,0)*_xlfn.XLOOKUP(1,(Population!$B:$B=$A33)*(Population!$A:$A=H$1),Population!$D:$D)</f>
        <v>0</v>
      </c>
      <c r="I33" s="18" cm="1">
        <f t="array" ref="I33">NICCS_scenario!I33*_xlfn.XLOOKUP($B33,params!$O$2:$O$12,params!$P$2:$P$12,0)*_xlfn.XLOOKUP(1,(Population!$B:$B=$A33)*(Population!$A:$A=I$1),Population!$D:$D)</f>
        <v>0</v>
      </c>
      <c r="J33" s="119" cm="1">
        <f t="array" ref="J33">NICCS_scenario!J33*_xlfn.XLOOKUP($B33,params!$O$2:$O$12,params!$P$2:$P$12,0)*_xlfn.XLOOKUP(1,(Population!$B:$B=$A33)*(Population!$A:$A=J$1),Population!$D:$D)</f>
        <v>0</v>
      </c>
      <c r="K33" s="18" cm="1">
        <f t="array" ref="K33">NICCS_scenario!K33*_xlfn.XLOOKUP($B33,params!$O$2:$O$12,params!$P$2:$P$12,0)*_xlfn.XLOOKUP(1,(Population!$B:$B=$A33)*(Population!$A:$A=K$1),Population!$D:$D)</f>
        <v>0</v>
      </c>
      <c r="L33" s="18" cm="1">
        <f t="array" ref="L33">NICCS_scenario!L33*_xlfn.XLOOKUP($B33,params!$O$2:$O$12,params!$P$2:$P$12,0)*_xlfn.XLOOKUP(1,(Population!$B:$B=$A33)*(Population!$A:$A=L$1),Population!$D:$D)</f>
        <v>0</v>
      </c>
      <c r="M33" s="18" cm="1">
        <f t="array" ref="M33">NICCS_scenario!M33*_xlfn.XLOOKUP($B33,params!$O$2:$O$12,params!$P$2:$P$12,0)*_xlfn.XLOOKUP(1,(Population!$B:$B=$A33)*(Population!$A:$A=M$1),Population!$D:$D)</f>
        <v>0</v>
      </c>
      <c r="N33" s="18" cm="1">
        <f t="array" ref="N33">NICCS_scenario!N33*_xlfn.XLOOKUP($B33,params!$O$2:$O$12,params!$P$2:$P$12,0)*_xlfn.XLOOKUP(1,(Population!$B:$B=$A33)*(Population!$A:$A=N$1),Population!$D:$D)</f>
        <v>0</v>
      </c>
      <c r="O33" s="18" cm="1">
        <f t="array" ref="O33">NICCS_scenario!O33*_xlfn.XLOOKUP($B33,params!$O$2:$O$12,params!$P$2:$P$12,0)*_xlfn.XLOOKUP(1,(Population!$B:$B=$A33)*(Population!$A:$A=O$1),Population!$D:$D)</f>
        <v>0</v>
      </c>
      <c r="P33" s="119" cm="1">
        <f t="array" ref="P33">NICCS_scenario!P33*_xlfn.XLOOKUP($B33,params!$O$2:$O$12,params!$P$2:$P$12,0)*_xlfn.XLOOKUP(1,(Population!$B:$B=$A33)*(Population!$A:$A=P$1),Population!$D:$D)</f>
        <v>0</v>
      </c>
      <c r="Q33" s="18" cm="1">
        <f t="array" ref="Q33">NICCS_scenario!Q33*_xlfn.XLOOKUP($B33,params!$O$2:$O$12,params!$P$2:$P$12,0)*_xlfn.XLOOKUP(1,(Population!$B:$B=$A33)*(Population!$A:$A=Q$1),Population!$D:$D)</f>
        <v>0</v>
      </c>
      <c r="R33" s="18" cm="1">
        <f t="array" ref="R33">NICCS_scenario!R33*_xlfn.XLOOKUP($B33,params!$O$2:$O$12,params!$P$2:$P$12,0)*_xlfn.XLOOKUP(1,(Population!$B:$B=$A33)*(Population!$A:$A=R$1),Population!$D:$D)</f>
        <v>0</v>
      </c>
      <c r="S33" s="18" cm="1">
        <f t="array" ref="S33">NICCS_scenario!S33*_xlfn.XLOOKUP($B33,params!$O$2:$O$12,params!$P$2:$P$12,0)*_xlfn.XLOOKUP(1,(Population!$B:$B=$A33)*(Population!$A:$A=S$1),Population!$D:$D)</f>
        <v>0</v>
      </c>
      <c r="T33" s="18" cm="1">
        <f t="array" ref="T33">NICCS_scenario!T33*_xlfn.XLOOKUP($B33,params!$O$2:$O$12,params!$P$2:$P$12,0)*_xlfn.XLOOKUP(1,(Population!$B:$B=$A33)*(Population!$A:$A=T$1),Population!$D:$D)</f>
        <v>0</v>
      </c>
      <c r="U33" s="18" cm="1">
        <f t="array" ref="U33">NICCS_scenario!U33*_xlfn.XLOOKUP($B33,params!$O$2:$O$12,params!$P$2:$P$12,0)*_xlfn.XLOOKUP(1,(Population!$B:$B=$A33)*(Population!$A:$A=U$1),Population!$D:$D)</f>
        <v>0</v>
      </c>
      <c r="V33" s="18" cm="1">
        <f t="array" ref="V33">NICCS_scenario!V33*_xlfn.XLOOKUP($B33,params!$O$2:$O$12,params!$P$2:$P$12,0)*_xlfn.XLOOKUP(1,(Population!$B:$B=$A33)*(Population!$A:$A=V$1),Population!$D:$D)</f>
        <v>0</v>
      </c>
      <c r="W33" s="18" cm="1">
        <f t="array" ref="W33">NICCS_scenario!W33*_xlfn.XLOOKUP($B33,params!$O$2:$O$12,params!$P$2:$P$12,0)*_xlfn.XLOOKUP(1,(Population!$B:$B=$A33)*(Population!$A:$A=W$1),Population!$D:$D)</f>
        <v>0</v>
      </c>
      <c r="X33" s="18" cm="1">
        <f t="array" ref="X33">NICCS_scenario!X33*_xlfn.XLOOKUP($B33,params!$O$2:$O$12,params!$P$2:$P$12,0)*_xlfn.XLOOKUP(1,(Population!$B:$B=$A33)*(Population!$A:$A=X$1),Population!$D:$D)</f>
        <v>0</v>
      </c>
      <c r="Y33" s="18" cm="1">
        <f t="array" ref="Y33">NICCS_scenario!Y33*_xlfn.XLOOKUP($B33,params!$O$2:$O$12,params!$P$2:$P$12,0)*_xlfn.XLOOKUP(1,(Population!$B:$B=$A33)*(Population!$A:$A=Y$1),Population!$D:$D)</f>
        <v>0</v>
      </c>
      <c r="Z33" s="119" cm="1">
        <f t="array" ref="Z33">NICCS_scenario!Z33*_xlfn.XLOOKUP($B33,params!$O$2:$O$12,params!$P$2:$P$12,0)*_xlfn.XLOOKUP(1,(Population!$B:$B=$A33)*(Population!$A:$A=Z$1),Population!$D:$D)</f>
        <v>0</v>
      </c>
      <c r="AA33" s="18" cm="1">
        <f t="array" ref="AA33">NICCS_scenario!AA33*_xlfn.XLOOKUP($B33,params!$O$2:$O$12,params!$P$2:$P$12,0)*_xlfn.XLOOKUP(1,(Population!$B:$B=$A33)*(Population!$A:$A=AA$1),Population!$D:$D)</f>
        <v>0</v>
      </c>
      <c r="AB33" s="18" cm="1">
        <f t="array" ref="AB33">NICCS_scenario!AB33*_xlfn.XLOOKUP($B33,params!$O$2:$O$12,params!$P$2:$P$12,0)*_xlfn.XLOOKUP(1,(Population!$B:$B=$A33)*(Population!$A:$A=AB$1),Population!$D:$D)</f>
        <v>0</v>
      </c>
      <c r="AC33" s="18" cm="1">
        <f t="array" ref="AC33">NICCS_scenario!AC33*_xlfn.XLOOKUP($B33,params!$O$2:$O$12,params!$P$2:$P$12,0)*_xlfn.XLOOKUP(1,(Population!$B:$B=$A33)*(Population!$A:$A=AC$1),Population!$D:$D)</f>
        <v>0</v>
      </c>
      <c r="AD33" s="18" cm="1">
        <f t="array" ref="AD33">NICCS_scenario!AD33*_xlfn.XLOOKUP($B33,params!$O$2:$O$12,params!$P$2:$P$12,0)*_xlfn.XLOOKUP(1,(Population!$B:$B=$A33)*(Population!$A:$A=AD$1),Population!$D:$D)</f>
        <v>0</v>
      </c>
      <c r="AE33" s="18" cm="1">
        <f t="array" ref="AE33">NICCS_scenario!AE33*_xlfn.XLOOKUP($B33,params!$O$2:$O$12,params!$P$2:$P$12,0)*_xlfn.XLOOKUP(1,(Population!$B:$B=$A33)*(Population!$A:$A=AE$1),Population!$D:$D)</f>
        <v>0</v>
      </c>
      <c r="AF33" s="18" cm="1">
        <f t="array" ref="AF33">NICCS_scenario!AF33*_xlfn.XLOOKUP($B33,params!$O$2:$O$12,params!$P$2:$P$12,0)*_xlfn.XLOOKUP(1,(Population!$B:$B=$A33)*(Population!$A:$A=AF$1),Population!$D:$D)</f>
        <v>0</v>
      </c>
      <c r="AG33" s="18" cm="1">
        <f t="array" ref="AG33">NICCS_scenario!AG33*_xlfn.XLOOKUP($B33,params!$O$2:$O$12,params!$P$2:$P$12,0)*_xlfn.XLOOKUP(1,(Population!$B:$B=$A33)*(Population!$A:$A=AG$1),Population!$D:$D)</f>
        <v>0</v>
      </c>
      <c r="AH33" s="18" cm="1">
        <f t="array" ref="AH33">NICCS_scenario!AH33*_xlfn.XLOOKUP($B33,params!$O$2:$O$12,params!$P$2:$P$12,0)*_xlfn.XLOOKUP(1,(Population!$B:$B=$A33)*(Population!$A:$A=AH$1),Population!$D:$D)</f>
        <v>0</v>
      </c>
      <c r="AI33" s="18" cm="1">
        <f t="array" ref="AI33">NICCS_scenario!AI33*_xlfn.XLOOKUP($B33,params!$O$2:$O$12,params!$P$2:$P$12,0)*_xlfn.XLOOKUP(1,(Population!$B:$B=$A33)*(Population!$A:$A=AI$1),Population!$D:$D)</f>
        <v>0</v>
      </c>
      <c r="AJ33" s="111" cm="1">
        <f t="array" ref="AJ33">NICCS_scenario!AJ33*_xlfn.XLOOKUP($B33,params!$O$2:$O$12,params!$P$2:$P$12,0)*_xlfn.XLOOKUP(1,(Population!$B:$B=$A33)*(Population!$A:$A=AJ$1),Population!$D:$D)</f>
        <v>0</v>
      </c>
      <c r="AK33" s="55">
        <f t="shared" si="3"/>
        <v>0</v>
      </c>
    </row>
    <row r="34" spans="1:53" ht="17" thickBot="1">
      <c r="A34" s="92" t="s">
        <v>19</v>
      </c>
      <c r="B34" s="31" t="s">
        <v>17</v>
      </c>
      <c r="C34" s="32" t="s">
        <v>53</v>
      </c>
      <c r="D34" s="93" t="s">
        <v>57</v>
      </c>
      <c r="E34" s="112" cm="1">
        <f t="array" ref="E34">NICCS_scenario!E34*_xlfn.XLOOKUP($B34,params!$O$2:$O$12,params!$P$2:$P$12,0)*_xlfn.XLOOKUP(1,(Population!$B:$B=$A34)*(Population!$A:$A=E$1),Population!$D:$D)</f>
        <v>0</v>
      </c>
      <c r="F34" s="113" cm="1">
        <f t="array" ref="F34">NICCS_scenario!F34*_xlfn.XLOOKUP($B34,params!$O$2:$O$12,params!$P$2:$P$12,0)*_xlfn.XLOOKUP(1,(Population!$B:$B=$A34)*(Population!$A:$A=F$1),Population!$D:$D)</f>
        <v>0</v>
      </c>
      <c r="G34" s="113" cm="1">
        <f t="array" ref="G34">NICCS_scenario!G34*_xlfn.XLOOKUP($B34,params!$O$2:$O$12,params!$P$2:$P$12,0)*_xlfn.XLOOKUP(1,(Population!$B:$B=$A34)*(Population!$A:$A=G$1),Population!$D:$D)</f>
        <v>0</v>
      </c>
      <c r="H34" s="113" cm="1">
        <f t="array" ref="H34">NICCS_scenario!H34*_xlfn.XLOOKUP($B34,params!$O$2:$O$12,params!$P$2:$P$12,0)*_xlfn.XLOOKUP(1,(Population!$B:$B=$A34)*(Population!$A:$A=H$1),Population!$D:$D)</f>
        <v>0</v>
      </c>
      <c r="I34" s="113" cm="1">
        <f t="array" ref="I34">NICCS_scenario!I34*_xlfn.XLOOKUP($B34,params!$O$2:$O$12,params!$P$2:$P$12,0)*_xlfn.XLOOKUP(1,(Population!$B:$B=$A34)*(Population!$A:$A=I$1),Population!$D:$D)</f>
        <v>0</v>
      </c>
      <c r="J34" s="120" cm="1">
        <f t="array" ref="J34">NICCS_scenario!J34*_xlfn.XLOOKUP($B34,params!$O$2:$O$12,params!$P$2:$P$12,0)*_xlfn.XLOOKUP(1,(Population!$B:$B=$A34)*(Population!$A:$A=J$1),Population!$D:$D)</f>
        <v>0</v>
      </c>
      <c r="K34" s="113" cm="1">
        <f t="array" ref="K34">NICCS_scenario!K34*_xlfn.XLOOKUP($B34,params!$O$2:$O$12,params!$P$2:$P$12,0)*_xlfn.XLOOKUP(1,(Population!$B:$B=$A34)*(Population!$A:$A=K$1),Population!$D:$D)</f>
        <v>0</v>
      </c>
      <c r="L34" s="113" cm="1">
        <f t="array" ref="L34">NICCS_scenario!L34*_xlfn.XLOOKUP($B34,params!$O$2:$O$12,params!$P$2:$P$12,0)*_xlfn.XLOOKUP(1,(Population!$B:$B=$A34)*(Population!$A:$A=L$1),Population!$D:$D)</f>
        <v>0</v>
      </c>
      <c r="M34" s="113" cm="1">
        <f t="array" ref="M34">NICCS_scenario!M34*_xlfn.XLOOKUP($B34,params!$O$2:$O$12,params!$P$2:$P$12,0)*_xlfn.XLOOKUP(1,(Population!$B:$B=$A34)*(Population!$A:$A=M$1),Population!$D:$D)</f>
        <v>0</v>
      </c>
      <c r="N34" s="113" cm="1">
        <f t="array" ref="N34">NICCS_scenario!N34*_xlfn.XLOOKUP($B34,params!$O$2:$O$12,params!$P$2:$P$12,0)*_xlfn.XLOOKUP(1,(Population!$B:$B=$A34)*(Population!$A:$A=N$1),Population!$D:$D)</f>
        <v>0</v>
      </c>
      <c r="O34" s="113" cm="1">
        <f t="array" ref="O34">NICCS_scenario!O34*_xlfn.XLOOKUP($B34,params!$O$2:$O$12,params!$P$2:$P$12,0)*_xlfn.XLOOKUP(1,(Population!$B:$B=$A34)*(Population!$A:$A=O$1),Population!$D:$D)</f>
        <v>0</v>
      </c>
      <c r="P34" s="120" cm="1">
        <f t="array" ref="P34">NICCS_scenario!P34*_xlfn.XLOOKUP($B34,params!$O$2:$O$12,params!$P$2:$P$12,0)*_xlfn.XLOOKUP(1,(Population!$B:$B=$A34)*(Population!$A:$A=P$1),Population!$D:$D)</f>
        <v>0</v>
      </c>
      <c r="Q34" s="113" cm="1">
        <f t="array" ref="Q34">NICCS_scenario!Q34*_xlfn.XLOOKUP($B34,params!$O$2:$O$12,params!$P$2:$P$12,0)*_xlfn.XLOOKUP(1,(Population!$B:$B=$A34)*(Population!$A:$A=Q$1),Population!$D:$D)</f>
        <v>0</v>
      </c>
      <c r="R34" s="113" cm="1">
        <f t="array" ref="R34">NICCS_scenario!R34*_xlfn.XLOOKUP($B34,params!$O$2:$O$12,params!$P$2:$P$12,0)*_xlfn.XLOOKUP(1,(Population!$B:$B=$A34)*(Population!$A:$A=R$1),Population!$D:$D)</f>
        <v>0</v>
      </c>
      <c r="S34" s="113" cm="1">
        <f t="array" ref="S34">NICCS_scenario!S34*_xlfn.XLOOKUP($B34,params!$O$2:$O$12,params!$P$2:$P$12,0)*_xlfn.XLOOKUP(1,(Population!$B:$B=$A34)*(Population!$A:$A=S$1),Population!$D:$D)</f>
        <v>0</v>
      </c>
      <c r="T34" s="113" cm="1">
        <f t="array" ref="T34">NICCS_scenario!T34*_xlfn.XLOOKUP($B34,params!$O$2:$O$12,params!$P$2:$P$12,0)*_xlfn.XLOOKUP(1,(Population!$B:$B=$A34)*(Population!$A:$A=T$1),Population!$D:$D)</f>
        <v>0</v>
      </c>
      <c r="U34" s="113" cm="1">
        <f t="array" ref="U34">NICCS_scenario!U34*_xlfn.XLOOKUP($B34,params!$O$2:$O$12,params!$P$2:$P$12,0)*_xlfn.XLOOKUP(1,(Population!$B:$B=$A34)*(Population!$A:$A=U$1),Population!$D:$D)</f>
        <v>0</v>
      </c>
      <c r="V34" s="113" cm="1">
        <f t="array" ref="V34">NICCS_scenario!V34*_xlfn.XLOOKUP($B34,params!$O$2:$O$12,params!$P$2:$P$12,0)*_xlfn.XLOOKUP(1,(Population!$B:$B=$A34)*(Population!$A:$A=V$1),Population!$D:$D)</f>
        <v>0</v>
      </c>
      <c r="W34" s="113" cm="1">
        <f t="array" ref="W34">NICCS_scenario!W34*_xlfn.XLOOKUP($B34,params!$O$2:$O$12,params!$P$2:$P$12,0)*_xlfn.XLOOKUP(1,(Population!$B:$B=$A34)*(Population!$A:$A=W$1),Population!$D:$D)</f>
        <v>0</v>
      </c>
      <c r="X34" s="113" cm="1">
        <f t="array" ref="X34">NICCS_scenario!X34*_xlfn.XLOOKUP($B34,params!$O$2:$O$12,params!$P$2:$P$12,0)*_xlfn.XLOOKUP(1,(Population!$B:$B=$A34)*(Population!$A:$A=X$1),Population!$D:$D)</f>
        <v>0</v>
      </c>
      <c r="Y34" s="113" cm="1">
        <f t="array" ref="Y34">NICCS_scenario!Y34*_xlfn.XLOOKUP($B34,params!$O$2:$O$12,params!$P$2:$P$12,0)*_xlfn.XLOOKUP(1,(Population!$B:$B=$A34)*(Population!$A:$A=Y$1),Population!$D:$D)</f>
        <v>0</v>
      </c>
      <c r="Z34" s="120" cm="1">
        <f t="array" ref="Z34">NICCS_scenario!Z34*_xlfn.XLOOKUP($B34,params!$O$2:$O$12,params!$P$2:$P$12,0)*_xlfn.XLOOKUP(1,(Population!$B:$B=$A34)*(Population!$A:$A=Z$1),Population!$D:$D)</f>
        <v>0</v>
      </c>
      <c r="AA34" s="113" cm="1">
        <f t="array" ref="AA34">NICCS_scenario!AA34*_xlfn.XLOOKUP($B34,params!$O$2:$O$12,params!$P$2:$P$12,0)*_xlfn.XLOOKUP(1,(Population!$B:$B=$A34)*(Population!$A:$A=AA$1),Population!$D:$D)</f>
        <v>0</v>
      </c>
      <c r="AB34" s="113" cm="1">
        <f t="array" ref="AB34">NICCS_scenario!AB34*_xlfn.XLOOKUP($B34,params!$O$2:$O$12,params!$P$2:$P$12,0)*_xlfn.XLOOKUP(1,(Population!$B:$B=$A34)*(Population!$A:$A=AB$1),Population!$D:$D)</f>
        <v>0</v>
      </c>
      <c r="AC34" s="113" cm="1">
        <f t="array" ref="AC34">NICCS_scenario!AC34*_xlfn.XLOOKUP($B34,params!$O$2:$O$12,params!$P$2:$P$12,0)*_xlfn.XLOOKUP(1,(Population!$B:$B=$A34)*(Population!$A:$A=AC$1),Population!$D:$D)</f>
        <v>0</v>
      </c>
      <c r="AD34" s="113" cm="1">
        <f t="array" ref="AD34">NICCS_scenario!AD34*_xlfn.XLOOKUP($B34,params!$O$2:$O$12,params!$P$2:$P$12,0)*_xlfn.XLOOKUP(1,(Population!$B:$B=$A34)*(Population!$A:$A=AD$1),Population!$D:$D)</f>
        <v>0</v>
      </c>
      <c r="AE34" s="113" cm="1">
        <f t="array" ref="AE34">NICCS_scenario!AE34*_xlfn.XLOOKUP($B34,params!$O$2:$O$12,params!$P$2:$P$12,0)*_xlfn.XLOOKUP(1,(Population!$B:$B=$A34)*(Population!$A:$A=AE$1),Population!$D:$D)</f>
        <v>0</v>
      </c>
      <c r="AF34" s="113" cm="1">
        <f t="array" ref="AF34">NICCS_scenario!AF34*_xlfn.XLOOKUP($B34,params!$O$2:$O$12,params!$P$2:$P$12,0)*_xlfn.XLOOKUP(1,(Population!$B:$B=$A34)*(Population!$A:$A=AF$1),Population!$D:$D)</f>
        <v>0</v>
      </c>
      <c r="AG34" s="113" cm="1">
        <f t="array" ref="AG34">NICCS_scenario!AG34*_xlfn.XLOOKUP($B34,params!$O$2:$O$12,params!$P$2:$P$12,0)*_xlfn.XLOOKUP(1,(Population!$B:$B=$A34)*(Population!$A:$A=AG$1),Population!$D:$D)</f>
        <v>0</v>
      </c>
      <c r="AH34" s="113" cm="1">
        <f t="array" ref="AH34">NICCS_scenario!AH34*_xlfn.XLOOKUP($B34,params!$O$2:$O$12,params!$P$2:$P$12,0)*_xlfn.XLOOKUP(1,(Population!$B:$B=$A34)*(Population!$A:$A=AH$1),Population!$D:$D)</f>
        <v>0</v>
      </c>
      <c r="AI34" s="113" cm="1">
        <f t="array" ref="AI34">NICCS_scenario!AI34*_xlfn.XLOOKUP($B34,params!$O$2:$O$12,params!$P$2:$P$12,0)*_xlfn.XLOOKUP(1,(Population!$B:$B=$A34)*(Population!$A:$A=AI$1),Population!$D:$D)</f>
        <v>0</v>
      </c>
      <c r="AJ34" s="114" cm="1">
        <f t="array" ref="AJ34">NICCS_scenario!AJ34*_xlfn.XLOOKUP($B34,params!$O$2:$O$12,params!$P$2:$P$12,0)*_xlfn.XLOOKUP(1,(Population!$B:$B=$A34)*(Population!$A:$A=AJ$1),Population!$D:$D)</f>
        <v>0</v>
      </c>
      <c r="AK34" s="55">
        <f t="shared" si="3"/>
        <v>0</v>
      </c>
    </row>
    <row r="35" spans="1:53">
      <c r="D35" t="s">
        <v>4</v>
      </c>
      <c r="E35" s="54">
        <f>SUM(E2:E12)</f>
        <v>11.058958038677082</v>
      </c>
      <c r="F35" s="54">
        <f t="shared" ref="F35:AJ35" si="11">SUM(F2:F12)</f>
        <v>11.279116293681486</v>
      </c>
      <c r="G35" s="54">
        <f t="shared" si="11"/>
        <v>11.497464806656996</v>
      </c>
      <c r="H35" s="54">
        <f t="shared" si="11"/>
        <v>11.713694435397825</v>
      </c>
      <c r="I35" s="54">
        <f t="shared" si="11"/>
        <v>11.927631560444738</v>
      </c>
      <c r="J35" s="54">
        <f t="shared" si="11"/>
        <v>12.13920066341182</v>
      </c>
      <c r="K35" s="54">
        <f>SUM(K2:K12)</f>
        <v>12.28550735014737</v>
      </c>
      <c r="L35" s="54">
        <f t="shared" si="11"/>
        <v>12.145721258872886</v>
      </c>
      <c r="M35" s="54">
        <f t="shared" si="11"/>
        <v>11.984779703202221</v>
      </c>
      <c r="N35" s="54">
        <f t="shared" si="11"/>
        <v>11.80157090956676</v>
      </c>
      <c r="O35" s="54">
        <f t="shared" si="11"/>
        <v>11.594975735191461</v>
      </c>
      <c r="P35" s="54">
        <f t="shared" si="11"/>
        <v>11.364113136164441</v>
      </c>
      <c r="Q35" s="54">
        <f t="shared" si="11"/>
        <v>11.10843297118897</v>
      </c>
      <c r="R35" s="54">
        <f t="shared" si="11"/>
        <v>10.827607068402685</v>
      </c>
      <c r="S35" s="54">
        <f t="shared" si="11"/>
        <v>10.521331795343649</v>
      </c>
      <c r="T35" s="54">
        <f t="shared" si="11"/>
        <v>10.189382768183116</v>
      </c>
      <c r="U35" s="54">
        <f t="shared" si="11"/>
        <v>9.8334777142837861</v>
      </c>
      <c r="V35" s="54">
        <f t="shared" si="11"/>
        <v>9.4532797339058678</v>
      </c>
      <c r="W35" s="54">
        <f t="shared" si="11"/>
        <v>9.0485472317759896</v>
      </c>
      <c r="X35" s="54">
        <f t="shared" si="11"/>
        <v>8.6191404630276942</v>
      </c>
      <c r="Y35" s="54">
        <f t="shared" si="11"/>
        <v>8.1649589893127938</v>
      </c>
      <c r="Z35" s="54">
        <f t="shared" si="11"/>
        <v>7.6859361675928319</v>
      </c>
      <c r="AA35" s="54">
        <f t="shared" si="11"/>
        <v>7.8592636099968329</v>
      </c>
      <c r="AB35" s="54">
        <f t="shared" si="11"/>
        <v>8.0334271928801826</v>
      </c>
      <c r="AC35" s="54">
        <f t="shared" si="11"/>
        <v>8.2083094642374359</v>
      </c>
      <c r="AD35" s="54">
        <f t="shared" si="11"/>
        <v>8.3837842066474622</v>
      </c>
      <c r="AE35" s="54">
        <f t="shared" si="11"/>
        <v>8.5597344591717519</v>
      </c>
      <c r="AF35" s="54">
        <f t="shared" si="11"/>
        <v>8.7360410493499661</v>
      </c>
      <c r="AG35" s="54">
        <f t="shared" si="11"/>
        <v>8.9125951766191083</v>
      </c>
      <c r="AH35" s="54">
        <f t="shared" si="11"/>
        <v>9.0893010123035154</v>
      </c>
      <c r="AI35" s="54">
        <f t="shared" si="11"/>
        <v>9.2660640428767902</v>
      </c>
      <c r="AJ35" s="54">
        <f t="shared" si="11"/>
        <v>9.4427798545250834</v>
      </c>
      <c r="AK35" s="55">
        <f t="shared" si="3"/>
        <v>253.12006306477068</v>
      </c>
    </row>
    <row r="36" spans="1:53">
      <c r="D36" t="s">
        <v>18</v>
      </c>
      <c r="E36" s="54">
        <f>SUM(E13:E23)</f>
        <v>8.2706273276719759</v>
      </c>
      <c r="F36" s="54">
        <f t="shared" ref="F36:AJ36" si="12">SUM(F13:F23)</f>
        <v>8.4052637521553812</v>
      </c>
      <c r="G36" s="54">
        <f t="shared" si="12"/>
        <v>8.5373780967140274</v>
      </c>
      <c r="H36" s="54">
        <f t="shared" si="12"/>
        <v>8.6668066041855791</v>
      </c>
      <c r="I36" s="54">
        <f t="shared" si="12"/>
        <v>8.793582613531818</v>
      </c>
      <c r="J36" s="54">
        <f t="shared" si="12"/>
        <v>8.9178477825752562</v>
      </c>
      <c r="K36" s="54">
        <f t="shared" si="12"/>
        <v>8.9686549825362452</v>
      </c>
      <c r="L36" s="54">
        <f t="shared" si="12"/>
        <v>8.7908817415900398</v>
      </c>
      <c r="M36" s="54">
        <f t="shared" si="12"/>
        <v>8.5965261461770339</v>
      </c>
      <c r="N36" s="54">
        <f t="shared" si="12"/>
        <v>8.3848928808210736</v>
      </c>
      <c r="O36" s="54">
        <f t="shared" si="12"/>
        <v>8.155292639389911</v>
      </c>
      <c r="P36" s="54">
        <f t="shared" si="12"/>
        <v>7.9072574812734002</v>
      </c>
      <c r="Q36" s="54">
        <f t="shared" si="12"/>
        <v>7.6406345499568911</v>
      </c>
      <c r="R36" s="54">
        <f t="shared" si="12"/>
        <v>7.3554775228358888</v>
      </c>
      <c r="S36" s="54">
        <f t="shared" si="12"/>
        <v>7.0518892239769784</v>
      </c>
      <c r="T36" s="54">
        <f t="shared" si="12"/>
        <v>6.7301150752080705</v>
      </c>
      <c r="U36" s="54">
        <f t="shared" si="12"/>
        <v>6.3911822513467049</v>
      </c>
      <c r="V36" s="54">
        <f t="shared" si="12"/>
        <v>6.0352674848662202</v>
      </c>
      <c r="W36" s="54">
        <f t="shared" si="12"/>
        <v>5.6624610235274559</v>
      </c>
      <c r="X36" s="54">
        <f t="shared" si="12"/>
        <v>5.2729312118456004</v>
      </c>
      <c r="Y36" s="54">
        <f t="shared" si="12"/>
        <v>4.8668815792953293</v>
      </c>
      <c r="Z36" s="54">
        <f t="shared" si="12"/>
        <v>4.444560419295768</v>
      </c>
      <c r="AA36" s="54">
        <f t="shared" si="12"/>
        <v>4.5103204017852958</v>
      </c>
      <c r="AB36" s="54">
        <f t="shared" si="12"/>
        <v>4.57482185145484</v>
      </c>
      <c r="AC36" s="54">
        <f t="shared" si="12"/>
        <v>4.6379567976603306</v>
      </c>
      <c r="AD36" s="54">
        <f t="shared" si="12"/>
        <v>4.6996103440091392</v>
      </c>
      <c r="AE36" s="54">
        <f t="shared" si="12"/>
        <v>4.7596825111055274</v>
      </c>
      <c r="AF36" s="54">
        <f t="shared" si="12"/>
        <v>4.8180777591361466</v>
      </c>
      <c r="AG36" s="54">
        <f t="shared" si="12"/>
        <v>4.8747202600335342</v>
      </c>
      <c r="AH36" s="54">
        <f t="shared" si="12"/>
        <v>4.929549280310396</v>
      </c>
      <c r="AI36" s="54">
        <f t="shared" si="12"/>
        <v>4.9825147414772157</v>
      </c>
      <c r="AJ36" s="54">
        <f t="shared" si="12"/>
        <v>5.0335589289627336</v>
      </c>
      <c r="AK36" s="55">
        <f t="shared" si="3"/>
        <v>160.07571908987779</v>
      </c>
    </row>
    <row r="37" spans="1:53">
      <c r="D37" t="s">
        <v>19</v>
      </c>
      <c r="E37" s="54">
        <f>SUM(E24:E34)</f>
        <v>2.7883307110051057</v>
      </c>
      <c r="F37" s="54">
        <f t="shared" ref="F37:AJ37" si="13">SUM(F24:F34)</f>
        <v>2.8738525415261069</v>
      </c>
      <c r="G37" s="54">
        <f t="shared" si="13"/>
        <v>2.9600867099429693</v>
      </c>
      <c r="H37" s="54">
        <f t="shared" si="13"/>
        <v>3.0468878312122447</v>
      </c>
      <c r="I37" s="54">
        <f t="shared" si="13"/>
        <v>3.1340489469129196</v>
      </c>
      <c r="J37" s="54">
        <f t="shared" si="13"/>
        <v>3.2213528808365646</v>
      </c>
      <c r="K37" s="54">
        <f t="shared" si="13"/>
        <v>3.3168523676111272</v>
      </c>
      <c r="L37" s="54">
        <f t="shared" si="13"/>
        <v>3.3548395172828451</v>
      </c>
      <c r="M37" s="54">
        <f t="shared" si="13"/>
        <v>3.3882535570251897</v>
      </c>
      <c r="N37" s="54">
        <f t="shared" si="13"/>
        <v>3.4166780287456864</v>
      </c>
      <c r="O37" s="54">
        <f t="shared" si="13"/>
        <v>3.4396830958015499</v>
      </c>
      <c r="P37" s="54">
        <f t="shared" si="13"/>
        <v>3.4568556548910414</v>
      </c>
      <c r="Q37" s="54">
        <f t="shared" si="13"/>
        <v>3.4677984212320783</v>
      </c>
      <c r="R37" s="54">
        <f t="shared" si="13"/>
        <v>3.4721295455667978</v>
      </c>
      <c r="S37" s="54">
        <f t="shared" si="13"/>
        <v>3.4694425713666712</v>
      </c>
      <c r="T37" s="54">
        <f t="shared" si="13"/>
        <v>3.4592676929750437</v>
      </c>
      <c r="U37" s="54">
        <f t="shared" si="13"/>
        <v>3.4422954629370803</v>
      </c>
      <c r="V37" s="54">
        <f t="shared" si="13"/>
        <v>3.4180122490396472</v>
      </c>
      <c r="W37" s="54">
        <f t="shared" si="13"/>
        <v>3.3860862082485337</v>
      </c>
      <c r="X37" s="54">
        <f t="shared" si="13"/>
        <v>3.3462092511820942</v>
      </c>
      <c r="Y37" s="54">
        <f t="shared" si="13"/>
        <v>3.2980774100174646</v>
      </c>
      <c r="Z37" s="54">
        <f t="shared" si="13"/>
        <v>3.2413757482970631</v>
      </c>
      <c r="AA37" s="54">
        <f t="shared" si="13"/>
        <v>3.348943208211538</v>
      </c>
      <c r="AB37" s="54">
        <f t="shared" si="13"/>
        <v>3.4586053414253435</v>
      </c>
      <c r="AC37" s="54">
        <f t="shared" si="13"/>
        <v>3.5703526665771057</v>
      </c>
      <c r="AD37" s="54">
        <f t="shared" si="13"/>
        <v>3.6841738626383207</v>
      </c>
      <c r="AE37" s="54">
        <f t="shared" si="13"/>
        <v>3.8000519480662267</v>
      </c>
      <c r="AF37" s="54">
        <f t="shared" si="13"/>
        <v>3.9179632902138191</v>
      </c>
      <c r="AG37" s="54">
        <f t="shared" si="13"/>
        <v>4.0378749165855732</v>
      </c>
      <c r="AH37" s="54">
        <f t="shared" si="13"/>
        <v>4.1597517319931203</v>
      </c>
      <c r="AI37" s="54">
        <f t="shared" si="13"/>
        <v>4.2835493013995745</v>
      </c>
      <c r="AJ37" s="54">
        <f t="shared" si="13"/>
        <v>4.4092209255623489</v>
      </c>
      <c r="AK37" s="55">
        <f>SUM(K37:AJ37)</f>
        <v>93.044343974892897</v>
      </c>
    </row>
    <row r="38" spans="1:53" ht="17" thickBot="1">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row>
    <row r="39" spans="1:53" ht="17" thickBot="1">
      <c r="A39" s="1" t="s">
        <v>63</v>
      </c>
      <c r="B39" s="102" t="s">
        <v>1</v>
      </c>
      <c r="C39" s="102" t="s">
        <v>2</v>
      </c>
      <c r="D39" s="103" t="s">
        <v>3</v>
      </c>
      <c r="E39" s="98">
        <v>2019</v>
      </c>
      <c r="F39" s="9">
        <v>2020</v>
      </c>
      <c r="G39" s="2">
        <v>2021</v>
      </c>
      <c r="H39" s="2">
        <v>2022</v>
      </c>
      <c r="I39" s="7">
        <v>2023</v>
      </c>
      <c r="J39" s="8">
        <v>2024</v>
      </c>
      <c r="K39" s="9">
        <v>2025</v>
      </c>
      <c r="L39" s="99">
        <v>2026</v>
      </c>
      <c r="M39" s="99">
        <v>2027</v>
      </c>
      <c r="N39" s="99">
        <v>2028</v>
      </c>
      <c r="O39" s="100">
        <v>2029</v>
      </c>
      <c r="P39" s="105">
        <v>2030</v>
      </c>
      <c r="Q39" s="106">
        <v>2031</v>
      </c>
      <c r="R39" s="99">
        <v>2032</v>
      </c>
      <c r="S39" s="99">
        <v>2033</v>
      </c>
      <c r="T39" s="99">
        <v>2034</v>
      </c>
      <c r="U39" s="99">
        <v>2035</v>
      </c>
      <c r="V39" s="99">
        <v>2036</v>
      </c>
      <c r="W39" s="99">
        <v>2037</v>
      </c>
      <c r="X39" s="99">
        <v>2038</v>
      </c>
      <c r="Y39" s="99">
        <v>2039</v>
      </c>
      <c r="Z39" s="99">
        <v>2040</v>
      </c>
      <c r="AA39" s="99">
        <v>2041</v>
      </c>
      <c r="AB39" s="99">
        <v>2042</v>
      </c>
      <c r="AC39" s="99">
        <v>2043</v>
      </c>
      <c r="AD39" s="99">
        <v>2044</v>
      </c>
      <c r="AE39" s="99">
        <v>2045</v>
      </c>
      <c r="AF39" s="99">
        <v>2046</v>
      </c>
      <c r="AG39" s="99">
        <v>2047</v>
      </c>
      <c r="AH39" s="99">
        <v>2048</v>
      </c>
      <c r="AI39" s="100">
        <v>2049</v>
      </c>
      <c r="AJ39" s="105">
        <v>2050</v>
      </c>
      <c r="AK39" s="25" t="s">
        <v>73</v>
      </c>
      <c r="AU39">
        <v>2020</v>
      </c>
      <c r="AV39">
        <v>2025</v>
      </c>
      <c r="AW39">
        <v>2030</v>
      </c>
      <c r="AX39">
        <v>2035</v>
      </c>
      <c r="AY39">
        <v>2040</v>
      </c>
      <c r="AZ39">
        <v>2045</v>
      </c>
      <c r="BA39">
        <v>2050</v>
      </c>
    </row>
    <row r="40" spans="1:53">
      <c r="A40" s="94" t="s">
        <v>4</v>
      </c>
      <c r="B40" s="88" t="s">
        <v>36</v>
      </c>
      <c r="C40" s="88" t="s">
        <v>53</v>
      </c>
      <c r="D40" s="89" t="s">
        <v>58</v>
      </c>
      <c r="E40" s="107">
        <f>SUM(E51,E62)</f>
        <v>166.3000740237791</v>
      </c>
      <c r="F40" s="108">
        <f t="shared" ref="F40:AJ40" si="14">SUM(F51,F62)</f>
        <v>168.03567106001867</v>
      </c>
      <c r="G40" s="108">
        <f t="shared" si="14"/>
        <v>169.64208200049791</v>
      </c>
      <c r="H40" s="108">
        <f t="shared" si="14"/>
        <v>171.11203081283898</v>
      </c>
      <c r="I40" s="108">
        <f t="shared" si="14"/>
        <v>172.44113625923254</v>
      </c>
      <c r="J40" s="108">
        <f t="shared" si="14"/>
        <v>173.62667285676594</v>
      </c>
      <c r="K40" s="108">
        <f t="shared" si="14"/>
        <v>173.18935748204655</v>
      </c>
      <c r="L40" s="108">
        <f t="shared" si="14"/>
        <v>165.75296491854095</v>
      </c>
      <c r="M40" s="108">
        <f t="shared" si="14"/>
        <v>157.76094441879991</v>
      </c>
      <c r="N40" s="108">
        <f t="shared" si="14"/>
        <v>149.19601968132594</v>
      </c>
      <c r="O40" s="108">
        <f t="shared" si="14"/>
        <v>140.04245850442805</v>
      </c>
      <c r="P40" s="108">
        <f t="shared" si="14"/>
        <v>130.2896694842361</v>
      </c>
      <c r="Q40" s="108">
        <f t="shared" si="14"/>
        <v>119.93316494264784</v>
      </c>
      <c r="R40" s="108">
        <f t="shared" si="14"/>
        <v>108.9724363970785</v>
      </c>
      <c r="S40" s="108">
        <f t="shared" si="14"/>
        <v>97.408381982537776</v>
      </c>
      <c r="T40" s="108">
        <f t="shared" si="14"/>
        <v>85.244261376901576</v>
      </c>
      <c r="U40" s="108">
        <f t="shared" si="14"/>
        <v>72.495527347425678</v>
      </c>
      <c r="V40" s="108">
        <f t="shared" si="14"/>
        <v>59.161811301212438</v>
      </c>
      <c r="W40" s="108">
        <f t="shared" si="14"/>
        <v>45.243257062202055</v>
      </c>
      <c r="X40" s="108">
        <f t="shared" si="14"/>
        <v>30.741516849642917</v>
      </c>
      <c r="Y40" s="108">
        <f t="shared" si="14"/>
        <v>15.659222200964907</v>
      </c>
      <c r="Z40" s="108">
        <f t="shared" si="14"/>
        <v>0</v>
      </c>
      <c r="AA40" s="108">
        <f t="shared" si="14"/>
        <v>0</v>
      </c>
      <c r="AB40" s="108">
        <f t="shared" si="14"/>
        <v>0</v>
      </c>
      <c r="AC40" s="108">
        <f t="shared" si="14"/>
        <v>0</v>
      </c>
      <c r="AD40" s="108">
        <f t="shared" si="14"/>
        <v>0</v>
      </c>
      <c r="AE40" s="108">
        <f t="shared" si="14"/>
        <v>0</v>
      </c>
      <c r="AF40" s="108">
        <f t="shared" si="14"/>
        <v>0</v>
      </c>
      <c r="AG40" s="108">
        <f t="shared" si="14"/>
        <v>0</v>
      </c>
      <c r="AH40" s="108">
        <f t="shared" si="14"/>
        <v>0</v>
      </c>
      <c r="AI40" s="108">
        <f t="shared" si="14"/>
        <v>0</v>
      </c>
      <c r="AJ40" s="109">
        <f t="shared" si="14"/>
        <v>0</v>
      </c>
      <c r="AK40" s="55">
        <f>SUM(K40:AJ40)</f>
        <v>1551.0909939499911</v>
      </c>
      <c r="AU40" s="54">
        <f>_xlfn.XLOOKUP(AU$1,$E$1:$AJ$1,$E42:$AJ42)+_xlfn.XLOOKUP(AU$1,$E$1:$AJ$1,$E40:$AJ40)</f>
        <v>168.7487326626391</v>
      </c>
      <c r="AV40" s="54">
        <f t="shared" ref="AV40:BA40" si="15">_xlfn.XLOOKUP(AV$1,$E$1:$AJ$1,$E42:$AJ42)+_xlfn.XLOOKUP(AV$1,$E$1:$AJ$1,$E40:$AJ40)</f>
        <v>174.74345984283627</v>
      </c>
      <c r="AW40" s="54">
        <f t="shared" si="15"/>
        <v>138.63633014280825</v>
      </c>
      <c r="AX40" s="54">
        <f t="shared" si="15"/>
        <v>88.808189646391497</v>
      </c>
      <c r="AY40" s="54">
        <f t="shared" si="15"/>
        <v>25.291541422628576</v>
      </c>
      <c r="AZ40" s="54">
        <f t="shared" si="15"/>
        <v>27.084727404214288</v>
      </c>
      <c r="BA40" s="54">
        <f t="shared" si="15"/>
        <v>28.643207009271432</v>
      </c>
    </row>
    <row r="41" spans="1:53">
      <c r="A41" s="95" t="s">
        <v>4</v>
      </c>
      <c r="B41" s="4" t="s">
        <v>8</v>
      </c>
      <c r="C41" s="4" t="s">
        <v>53</v>
      </c>
      <c r="D41" s="91" t="s">
        <v>58</v>
      </c>
      <c r="E41" s="110">
        <f t="shared" ref="E41:AJ48" si="16">SUM(E52,E63)</f>
        <v>39.750894395597555</v>
      </c>
      <c r="F41" s="18">
        <f t="shared" si="16"/>
        <v>42.915140456717225</v>
      </c>
      <c r="G41" s="18">
        <f t="shared" si="16"/>
        <v>46.230171541960033</v>
      </c>
      <c r="H41" s="18">
        <f t="shared" si="16"/>
        <v>49.69935694455453</v>
      </c>
      <c r="I41" s="18">
        <f t="shared" si="16"/>
        <v>53.32556608110643</v>
      </c>
      <c r="J41" s="18">
        <f t="shared" si="16"/>
        <v>57.111494073707888</v>
      </c>
      <c r="K41" s="18">
        <f t="shared" si="16"/>
        <v>61.398753054032241</v>
      </c>
      <c r="L41" s="18">
        <f t="shared" si="16"/>
        <v>59.40332259866959</v>
      </c>
      <c r="M41" s="18">
        <f t="shared" si="16"/>
        <v>57.152479654591616</v>
      </c>
      <c r="N41" s="18">
        <f t="shared" si="16"/>
        <v>54.633864802288009</v>
      </c>
      <c r="O41" s="18">
        <f t="shared" si="16"/>
        <v>51.835367637477447</v>
      </c>
      <c r="P41" s="18">
        <f t="shared" si="16"/>
        <v>48.745906705397758</v>
      </c>
      <c r="Q41" s="18">
        <f t="shared" si="16"/>
        <v>45.355523422718385</v>
      </c>
      <c r="R41" s="18">
        <f t="shared" si="16"/>
        <v>41.655136541743666</v>
      </c>
      <c r="S41" s="18">
        <f t="shared" si="16"/>
        <v>37.635942041594824</v>
      </c>
      <c r="T41" s="18">
        <f t="shared" si="16"/>
        <v>33.289418855219907</v>
      </c>
      <c r="U41" s="18">
        <f t="shared" si="16"/>
        <v>28.616092381372269</v>
      </c>
      <c r="V41" s="18">
        <f t="shared" si="16"/>
        <v>23.605101359297912</v>
      </c>
      <c r="W41" s="18">
        <f t="shared" si="16"/>
        <v>18.247074612899006</v>
      </c>
      <c r="X41" s="18">
        <f t="shared" si="16"/>
        <v>12.532916271846466</v>
      </c>
      <c r="Y41" s="18">
        <f t="shared" si="16"/>
        <v>6.4535753757828722</v>
      </c>
      <c r="Z41" s="18">
        <f t="shared" si="16"/>
        <v>0</v>
      </c>
      <c r="AA41" s="18">
        <f t="shared" si="16"/>
        <v>0</v>
      </c>
      <c r="AB41" s="18">
        <f t="shared" si="16"/>
        <v>0</v>
      </c>
      <c r="AC41" s="18">
        <f t="shared" si="16"/>
        <v>0</v>
      </c>
      <c r="AD41" s="18">
        <f t="shared" si="16"/>
        <v>0</v>
      </c>
      <c r="AE41" s="18">
        <f t="shared" si="16"/>
        <v>0</v>
      </c>
      <c r="AF41" s="18">
        <f t="shared" si="16"/>
        <v>0</v>
      </c>
      <c r="AG41" s="18">
        <f t="shared" si="16"/>
        <v>0</v>
      </c>
      <c r="AH41" s="18">
        <f t="shared" si="16"/>
        <v>0</v>
      </c>
      <c r="AI41" s="18">
        <f t="shared" si="16"/>
        <v>0</v>
      </c>
      <c r="AJ41" s="111">
        <f t="shared" si="16"/>
        <v>0</v>
      </c>
      <c r="AK41" s="55">
        <f t="shared" ref="AK41:AK74" si="17">SUM(K41:AJ41)</f>
        <v>580.56047531493198</v>
      </c>
      <c r="AU41" s="54">
        <f>_xlfn.XLOOKUP(AU$1,$E$1:$AJ$1,$E43:$AJ43)+_xlfn.XLOOKUP(AU$1,$E$1:$AJ$1,$E41:$AJ41)</f>
        <v>43.033984057153958</v>
      </c>
      <c r="AV41" s="54">
        <f t="shared" ref="AV41:BA41" si="18">_xlfn.XLOOKUP(AV$1,$E$1:$AJ$1,$E43:$AJ43)+_xlfn.XLOOKUP(AV$1,$E$1:$AJ$1,$E41:$AJ41)</f>
        <v>61.65777011416386</v>
      </c>
      <c r="AW41" s="54">
        <f t="shared" si="18"/>
        <v>57.585797498831212</v>
      </c>
      <c r="AX41" s="54">
        <f t="shared" si="18"/>
        <v>48.051802038990374</v>
      </c>
      <c r="AY41" s="54">
        <f t="shared" si="18"/>
        <v>32.036190018171439</v>
      </c>
      <c r="AZ41" s="54">
        <f t="shared" si="18"/>
        <v>35.067339184114289</v>
      </c>
      <c r="BA41" s="54">
        <f t="shared" si="18"/>
        <v>37.987338053657147</v>
      </c>
    </row>
    <row r="42" spans="1:53">
      <c r="A42" s="95" t="s">
        <v>4</v>
      </c>
      <c r="B42" s="4" t="s">
        <v>37</v>
      </c>
      <c r="C42" s="4" t="s">
        <v>53</v>
      </c>
      <c r="D42" s="91" t="s">
        <v>58</v>
      </c>
      <c r="E42" s="110">
        <f t="shared" si="16"/>
        <v>0.57681260207251761</v>
      </c>
      <c r="F42" s="18">
        <f t="shared" si="16"/>
        <v>0.71306160262043849</v>
      </c>
      <c r="G42" s="18">
        <f t="shared" si="16"/>
        <v>0.86000963146132092</v>
      </c>
      <c r="H42" s="18">
        <f t="shared" si="16"/>
        <v>1.0181505756657629</v>
      </c>
      <c r="I42" s="18">
        <f t="shared" si="16"/>
        <v>1.1879602959809423</v>
      </c>
      <c r="J42" s="18">
        <f t="shared" si="16"/>
        <v>1.3698981572073912</v>
      </c>
      <c r="K42" s="18">
        <f t="shared" si="16"/>
        <v>1.5541023607897304</v>
      </c>
      <c r="L42" s="18">
        <f t="shared" si="16"/>
        <v>2.8114670835111966</v>
      </c>
      <c r="M42" s="18">
        <f t="shared" si="16"/>
        <v>4.1200585113182058</v>
      </c>
      <c r="N42" s="18">
        <f t="shared" si="16"/>
        <v>5.4794518559087084</v>
      </c>
      <c r="O42" s="18">
        <f t="shared" si="16"/>
        <v>6.8887481615994126</v>
      </c>
      <c r="P42" s="18">
        <f t="shared" si="16"/>
        <v>8.3466606585721408</v>
      </c>
      <c r="Q42" s="18">
        <f t="shared" si="16"/>
        <v>9.8517172184943878</v>
      </c>
      <c r="R42" s="18">
        <f t="shared" si="16"/>
        <v>11.402363977838398</v>
      </c>
      <c r="S42" s="18">
        <f t="shared" si="16"/>
        <v>12.996874986424373</v>
      </c>
      <c r="T42" s="18">
        <f t="shared" si="16"/>
        <v>14.633536203942645</v>
      </c>
      <c r="U42" s="18">
        <f t="shared" si="16"/>
        <v>16.312662298965826</v>
      </c>
      <c r="V42" s="18">
        <f t="shared" si="16"/>
        <v>18.032947633384421</v>
      </c>
      <c r="W42" s="18">
        <f t="shared" si="16"/>
        <v>19.792742700772436</v>
      </c>
      <c r="X42" s="18">
        <f t="shared" si="16"/>
        <v>21.590353009637081</v>
      </c>
      <c r="Y42" s="18">
        <f t="shared" si="16"/>
        <v>23.423936412192717</v>
      </c>
      <c r="Z42" s="18">
        <f t="shared" si="16"/>
        <v>25.291541422628576</v>
      </c>
      <c r="AA42" s="18">
        <f t="shared" si="16"/>
        <v>25.665745205271438</v>
      </c>
      <c r="AB42" s="18">
        <f t="shared" si="16"/>
        <v>26.032787371928574</v>
      </c>
      <c r="AC42" s="18">
        <f t="shared" si="16"/>
        <v>26.392053521228579</v>
      </c>
      <c r="AD42" s="18">
        <f t="shared" si="16"/>
        <v>26.742889841185711</v>
      </c>
      <c r="AE42" s="18">
        <f t="shared" si="16"/>
        <v>27.084727404214288</v>
      </c>
      <c r="AF42" s="18">
        <f t="shared" si="16"/>
        <v>27.41702254594286</v>
      </c>
      <c r="AG42" s="18">
        <f t="shared" si="16"/>
        <v>27.739343770671436</v>
      </c>
      <c r="AH42" s="18">
        <f t="shared" si="16"/>
        <v>28.051345477628573</v>
      </c>
      <c r="AI42" s="18">
        <f t="shared" si="16"/>
        <v>28.352742697757144</v>
      </c>
      <c r="AJ42" s="111">
        <f t="shared" si="16"/>
        <v>28.643207009271432</v>
      </c>
      <c r="AK42" s="55">
        <f t="shared" si="17"/>
        <v>474.65102934108029</v>
      </c>
      <c r="AU42" s="54">
        <f>_xlfn.XLOOKUP(AU$1,$E$1:$AJ$1,$E44:$AJ44)</f>
        <v>8.2715540564961401E-2</v>
      </c>
      <c r="AV42" s="54">
        <f t="shared" ref="AV42:BA42" si="19">_xlfn.XLOOKUP(AV$1,$E$1:$AJ$1,$E44:$AJ44)</f>
        <v>0.13955213920550635</v>
      </c>
      <c r="AW42" s="54">
        <f t="shared" si="19"/>
        <v>6.8379217537363362</v>
      </c>
      <c r="AX42" s="54">
        <f t="shared" si="19"/>
        <v>15.521165928910376</v>
      </c>
      <c r="AY42" s="54">
        <f t="shared" si="19"/>
        <v>26.346936226217146</v>
      </c>
      <c r="AZ42" s="54">
        <f t="shared" si="19"/>
        <v>29.665407780128575</v>
      </c>
      <c r="BA42" s="54">
        <f t="shared" si="19"/>
        <v>33.094749737802857</v>
      </c>
    </row>
    <row r="43" spans="1:53">
      <c r="A43" s="95" t="s">
        <v>4</v>
      </c>
      <c r="B43" s="4" t="s">
        <v>10</v>
      </c>
      <c r="C43" s="4" t="s">
        <v>53</v>
      </c>
      <c r="D43" s="91" t="s">
        <v>58</v>
      </c>
      <c r="E43" s="110">
        <f t="shared" si="16"/>
        <v>9.6135433678748453E-2</v>
      </c>
      <c r="F43" s="18">
        <f t="shared" si="16"/>
        <v>0.11884360043673037</v>
      </c>
      <c r="G43" s="18">
        <f t="shared" si="16"/>
        <v>0.14333493857688434</v>
      </c>
      <c r="H43" s="18">
        <f t="shared" si="16"/>
        <v>0.16969176261095284</v>
      </c>
      <c r="I43" s="18">
        <f t="shared" si="16"/>
        <v>0.19799338266348504</v>
      </c>
      <c r="J43" s="18">
        <f t="shared" si="16"/>
        <v>0.22831635953456236</v>
      </c>
      <c r="K43" s="18">
        <f t="shared" si="16"/>
        <v>0.2590170601316189</v>
      </c>
      <c r="L43" s="18">
        <f t="shared" si="16"/>
        <v>1.8136855412347206</v>
      </c>
      <c r="M43" s="18">
        <f t="shared" si="16"/>
        <v>3.448514347896841</v>
      </c>
      <c r="N43" s="18">
        <f t="shared" si="16"/>
        <v>5.1643425382162125</v>
      </c>
      <c r="O43" s="18">
        <f t="shared" si="16"/>
        <v>6.9615019715313284</v>
      </c>
      <c r="P43" s="18">
        <f t="shared" si="16"/>
        <v>8.839890793433451</v>
      </c>
      <c r="Q43" s="18">
        <f t="shared" si="16"/>
        <v>10.799170839086207</v>
      </c>
      <c r="R43" s="18">
        <f t="shared" si="16"/>
        <v>12.838868809353064</v>
      </c>
      <c r="S43" s="18">
        <f t="shared" si="16"/>
        <v>14.958262188346918</v>
      </c>
      <c r="T43" s="18">
        <f t="shared" si="16"/>
        <v>17.156489883937105</v>
      </c>
      <c r="U43" s="18">
        <f t="shared" si="16"/>
        <v>19.435709657618109</v>
      </c>
      <c r="V43" s="18">
        <f t="shared" si="16"/>
        <v>21.795766151598354</v>
      </c>
      <c r="W43" s="18">
        <f t="shared" si="16"/>
        <v>24.236285915660169</v>
      </c>
      <c r="X43" s="18">
        <f t="shared" si="16"/>
        <v>26.756884209620466</v>
      </c>
      <c r="Y43" s="18">
        <f t="shared" si="16"/>
        <v>29.357056320398787</v>
      </c>
      <c r="Z43" s="18">
        <f t="shared" si="16"/>
        <v>32.036190018171439</v>
      </c>
      <c r="AA43" s="18">
        <f t="shared" si="16"/>
        <v>32.647899817028573</v>
      </c>
      <c r="AB43" s="18">
        <f t="shared" si="16"/>
        <v>33.257497938107143</v>
      </c>
      <c r="AC43" s="18">
        <f t="shared" si="16"/>
        <v>33.864366145971431</v>
      </c>
      <c r="AD43" s="18">
        <f t="shared" si="16"/>
        <v>34.467843703542854</v>
      </c>
      <c r="AE43" s="18">
        <f t="shared" si="16"/>
        <v>35.067339184114289</v>
      </c>
      <c r="AF43" s="18">
        <f t="shared" si="16"/>
        <v>35.662270315178574</v>
      </c>
      <c r="AG43" s="18">
        <f t="shared" si="16"/>
        <v>36.252142116064292</v>
      </c>
      <c r="AH43" s="18">
        <f t="shared" si="16"/>
        <v>36.83653807067143</v>
      </c>
      <c r="AI43" s="18">
        <f t="shared" si="16"/>
        <v>37.415078933571429</v>
      </c>
      <c r="AJ43" s="111">
        <f t="shared" si="16"/>
        <v>37.987338053657147</v>
      </c>
      <c r="AK43" s="55">
        <f t="shared" si="17"/>
        <v>589.31595052414195</v>
      </c>
      <c r="AU43" s="54">
        <f t="shared" ref="AU43:BA43" si="20">_xlfn.XLOOKUP(AU$1,$E$1:$AJ$1,$E45:$AJ45)</f>
        <v>6.066932972571634E-3</v>
      </c>
      <c r="AV43" s="54">
        <f t="shared" si="20"/>
        <v>0</v>
      </c>
      <c r="AW43" s="54">
        <f t="shared" si="20"/>
        <v>0</v>
      </c>
      <c r="AX43" s="54">
        <f t="shared" si="20"/>
        <v>0</v>
      </c>
      <c r="AY43" s="54">
        <f t="shared" si="20"/>
        <v>0</v>
      </c>
      <c r="AZ43" s="54">
        <f t="shared" si="20"/>
        <v>0</v>
      </c>
      <c r="BA43" s="54">
        <f t="shared" si="20"/>
        <v>0</v>
      </c>
    </row>
    <row r="44" spans="1:53">
      <c r="A44" s="95" t="s">
        <v>4</v>
      </c>
      <c r="B44" s="4" t="s">
        <v>11</v>
      </c>
      <c r="C44" s="4" t="s">
        <v>53</v>
      </c>
      <c r="D44" s="91" t="s">
        <v>58</v>
      </c>
      <c r="E44" s="110">
        <f t="shared" si="16"/>
        <v>7.0879800684360963E-2</v>
      </c>
      <c r="F44" s="18">
        <f t="shared" si="16"/>
        <v>8.2715540564961401E-2</v>
      </c>
      <c r="G44" s="18">
        <f t="shared" si="16"/>
        <v>9.5437125479099938E-2</v>
      </c>
      <c r="H44" s="18">
        <f t="shared" si="16"/>
        <v>0.10908446060340668</v>
      </c>
      <c r="I44" s="18">
        <f t="shared" si="16"/>
        <v>0.12369564228853819</v>
      </c>
      <c r="J44" s="18">
        <f t="shared" si="16"/>
        <v>0.13930727177938129</v>
      </c>
      <c r="K44" s="18">
        <f t="shared" si="16"/>
        <v>0.13955213920550635</v>
      </c>
      <c r="L44" s="18">
        <f t="shared" si="16"/>
        <v>1.327406106906722</v>
      </c>
      <c r="M44" s="18">
        <f t="shared" si="16"/>
        <v>2.5895784026095763</v>
      </c>
      <c r="N44" s="18">
        <f t="shared" si="16"/>
        <v>3.9278131091091097</v>
      </c>
      <c r="O44" s="18">
        <f t="shared" si="16"/>
        <v>5.3435419476331347</v>
      </c>
      <c r="P44" s="18">
        <f t="shared" si="16"/>
        <v>6.8379217537363362</v>
      </c>
      <c r="Q44" s="18">
        <f t="shared" si="16"/>
        <v>8.411932087139089</v>
      </c>
      <c r="R44" s="18">
        <f t="shared" si="16"/>
        <v>10.066425399093092</v>
      </c>
      <c r="S44" s="18">
        <f t="shared" si="16"/>
        <v>11.802020333118547</v>
      </c>
      <c r="T44" s="18">
        <f t="shared" si="16"/>
        <v>13.619055401761583</v>
      </c>
      <c r="U44" s="18">
        <f t="shared" si="16"/>
        <v>15.521165928910376</v>
      </c>
      <c r="V44" s="18">
        <f t="shared" si="16"/>
        <v>17.509393497601916</v>
      </c>
      <c r="W44" s="18">
        <f t="shared" si="16"/>
        <v>19.584897440633142</v>
      </c>
      <c r="X44" s="18">
        <f t="shared" si="16"/>
        <v>21.748881991757827</v>
      </c>
      <c r="Y44" s="18">
        <f t="shared" si="16"/>
        <v>24.002522856509241</v>
      </c>
      <c r="Z44" s="18">
        <f t="shared" si="16"/>
        <v>26.346936226217146</v>
      </c>
      <c r="AA44" s="18">
        <f t="shared" si="16"/>
        <v>26.999665341402856</v>
      </c>
      <c r="AB44" s="18">
        <f t="shared" si="16"/>
        <v>27.658220825507147</v>
      </c>
      <c r="AC44" s="18">
        <f t="shared" si="16"/>
        <v>28.322268116297145</v>
      </c>
      <c r="AD44" s="18">
        <f t="shared" si="16"/>
        <v>28.991445759591429</v>
      </c>
      <c r="AE44" s="18">
        <f t="shared" si="16"/>
        <v>29.665407780128575</v>
      </c>
      <c r="AF44" s="18">
        <f t="shared" si="16"/>
        <v>30.343790904775716</v>
      </c>
      <c r="AG44" s="18">
        <f t="shared" si="16"/>
        <v>31.026244111572858</v>
      </c>
      <c r="AH44" s="18">
        <f t="shared" si="16"/>
        <v>31.712447942717141</v>
      </c>
      <c r="AI44" s="18">
        <f t="shared" si="16"/>
        <v>32.402070635734283</v>
      </c>
      <c r="AJ44" s="111">
        <f t="shared" si="16"/>
        <v>33.094749737802857</v>
      </c>
      <c r="AK44" s="55">
        <f t="shared" si="17"/>
        <v>488.99535577747235</v>
      </c>
      <c r="AU44" s="54">
        <f t="shared" ref="AU44:BA44" si="21">_xlfn.XLOOKUP(AU$1,$E$1:$AJ$1,$E46:$AJ46)</f>
        <v>1.1100824112543575</v>
      </c>
      <c r="AV44" s="54">
        <f t="shared" si="21"/>
        <v>1.0469343056049953</v>
      </c>
      <c r="AW44" s="54">
        <f t="shared" si="21"/>
        <v>3.6441212139753931</v>
      </c>
      <c r="AX44" s="54">
        <f t="shared" si="21"/>
        <v>6.9270238467918865</v>
      </c>
      <c r="AY44" s="54">
        <f t="shared" si="21"/>
        <v>10.936023487934694</v>
      </c>
      <c r="AZ44" s="54">
        <f t="shared" si="21"/>
        <v>12.303417778714286</v>
      </c>
      <c r="BA44" s="54">
        <f t="shared" si="21"/>
        <v>13.714374733383675</v>
      </c>
    </row>
    <row r="45" spans="1:53">
      <c r="A45" s="95" t="s">
        <v>4</v>
      </c>
      <c r="B45" s="4" t="s">
        <v>12</v>
      </c>
      <c r="C45" s="4" t="s">
        <v>53</v>
      </c>
      <c r="D45" s="91" t="s">
        <v>58</v>
      </c>
      <c r="E45" s="110">
        <f t="shared" si="16"/>
        <v>7.3892333337391971E-3</v>
      </c>
      <c r="F45" s="18">
        <f t="shared" si="16"/>
        <v>6.066932972571634E-3</v>
      </c>
      <c r="G45" s="18">
        <f t="shared" si="16"/>
        <v>4.6086640537643317E-3</v>
      </c>
      <c r="H45" s="18">
        <f t="shared" si="16"/>
        <v>3.0071957931061106E-3</v>
      </c>
      <c r="I45" s="18">
        <f t="shared" si="16"/>
        <v>1.2552033316031823E-3</v>
      </c>
      <c r="J45" s="18">
        <f t="shared" si="16"/>
        <v>0</v>
      </c>
      <c r="K45" s="18">
        <f t="shared" si="16"/>
        <v>0</v>
      </c>
      <c r="L45" s="18">
        <f t="shared" si="16"/>
        <v>0</v>
      </c>
      <c r="M45" s="18">
        <f t="shared" si="16"/>
        <v>0</v>
      </c>
      <c r="N45" s="18">
        <f t="shared" si="16"/>
        <v>0</v>
      </c>
      <c r="O45" s="18">
        <f t="shared" si="16"/>
        <v>0</v>
      </c>
      <c r="P45" s="18">
        <f t="shared" si="16"/>
        <v>0</v>
      </c>
      <c r="Q45" s="18">
        <f t="shared" si="16"/>
        <v>0</v>
      </c>
      <c r="R45" s="18">
        <f t="shared" si="16"/>
        <v>0</v>
      </c>
      <c r="S45" s="18">
        <f t="shared" si="16"/>
        <v>0</v>
      </c>
      <c r="T45" s="18">
        <f t="shared" si="16"/>
        <v>0</v>
      </c>
      <c r="U45" s="18">
        <f t="shared" si="16"/>
        <v>0</v>
      </c>
      <c r="V45" s="18">
        <f t="shared" si="16"/>
        <v>0</v>
      </c>
      <c r="W45" s="18">
        <f t="shared" si="16"/>
        <v>0</v>
      </c>
      <c r="X45" s="18">
        <f t="shared" si="16"/>
        <v>0</v>
      </c>
      <c r="Y45" s="18">
        <f t="shared" si="16"/>
        <v>0</v>
      </c>
      <c r="Z45" s="18">
        <f t="shared" si="16"/>
        <v>0</v>
      </c>
      <c r="AA45" s="18">
        <f t="shared" si="16"/>
        <v>0</v>
      </c>
      <c r="AB45" s="18">
        <f t="shared" si="16"/>
        <v>0</v>
      </c>
      <c r="AC45" s="18">
        <f t="shared" si="16"/>
        <v>0</v>
      </c>
      <c r="AD45" s="18">
        <f t="shared" si="16"/>
        <v>0</v>
      </c>
      <c r="AE45" s="18">
        <f t="shared" si="16"/>
        <v>0</v>
      </c>
      <c r="AF45" s="18">
        <f t="shared" si="16"/>
        <v>0</v>
      </c>
      <c r="AG45" s="18">
        <f t="shared" si="16"/>
        <v>0</v>
      </c>
      <c r="AH45" s="18">
        <f t="shared" si="16"/>
        <v>0</v>
      </c>
      <c r="AI45" s="18">
        <f t="shared" si="16"/>
        <v>0</v>
      </c>
      <c r="AJ45" s="111">
        <f t="shared" si="16"/>
        <v>0</v>
      </c>
      <c r="AK45" s="55">
        <f t="shared" si="17"/>
        <v>0</v>
      </c>
      <c r="AU45" s="54">
        <f t="shared" ref="AU45:BA45" si="22">_xlfn.XLOOKUP(AU$1,$E$1:$AJ$1,$E47:$AJ47)</f>
        <v>0</v>
      </c>
      <c r="AV45" s="54">
        <f t="shared" si="22"/>
        <v>0</v>
      </c>
      <c r="AW45" s="54">
        <f t="shared" si="22"/>
        <v>5.2258059560165391</v>
      </c>
      <c r="AX45" s="54">
        <f t="shared" si="22"/>
        <v>12.194542645066912</v>
      </c>
      <c r="AY45" s="54">
        <f t="shared" si="22"/>
        <v>21.106337851027575</v>
      </c>
      <c r="AZ45" s="54">
        <f t="shared" si="22"/>
        <v>24.122677923666053</v>
      </c>
      <c r="BA45" s="54">
        <f t="shared" si="22"/>
        <v>27.315532153390183</v>
      </c>
    </row>
    <row r="46" spans="1:53">
      <c r="A46" s="95" t="s">
        <v>4</v>
      </c>
      <c r="B46" s="4" t="s">
        <v>13</v>
      </c>
      <c r="C46" s="4" t="s">
        <v>53</v>
      </c>
      <c r="D46" s="91" t="s">
        <v>58</v>
      </c>
      <c r="E46" s="110">
        <f t="shared" si="16"/>
        <v>1.1176452859538411</v>
      </c>
      <c r="F46" s="18">
        <f t="shared" si="16"/>
        <v>1.1100824112543575</v>
      </c>
      <c r="G46" s="18">
        <f t="shared" si="16"/>
        <v>1.0992999684883802</v>
      </c>
      <c r="H46" s="18">
        <f t="shared" si="16"/>
        <v>1.0850786733650268</v>
      </c>
      <c r="I46" s="18">
        <f t="shared" si="16"/>
        <v>1.0671789732154044</v>
      </c>
      <c r="J46" s="18">
        <f t="shared" si="16"/>
        <v>1.0453555459798789</v>
      </c>
      <c r="K46" s="18">
        <f t="shared" si="16"/>
        <v>1.0469343056049953</v>
      </c>
      <c r="L46" s="18">
        <f t="shared" si="16"/>
        <v>1.513015549753534</v>
      </c>
      <c r="M46" s="18">
        <f t="shared" si="16"/>
        <v>2.0053638259112598</v>
      </c>
      <c r="N46" s="18">
        <f t="shared" si="16"/>
        <v>2.5244520448155172</v>
      </c>
      <c r="O46" s="18">
        <f t="shared" si="16"/>
        <v>3.070624316415981</v>
      </c>
      <c r="P46" s="18">
        <f t="shared" si="16"/>
        <v>3.6441212139753931</v>
      </c>
      <c r="Q46" s="18">
        <f t="shared" si="16"/>
        <v>4.2451210274193798</v>
      </c>
      <c r="R46" s="18">
        <f t="shared" si="16"/>
        <v>4.873760237284797</v>
      </c>
      <c r="S46" s="18">
        <f t="shared" si="16"/>
        <v>5.5300816914978679</v>
      </c>
      <c r="T46" s="18">
        <f t="shared" si="16"/>
        <v>6.2140150394027716</v>
      </c>
      <c r="U46" s="18">
        <f t="shared" si="16"/>
        <v>6.9270238467918865</v>
      </c>
      <c r="V46" s="18">
        <f t="shared" si="16"/>
        <v>7.669283795075625</v>
      </c>
      <c r="W46" s="18">
        <f t="shared" si="16"/>
        <v>8.4410480621525412</v>
      </c>
      <c r="X46" s="18">
        <f t="shared" si="16"/>
        <v>9.2425905998775058</v>
      </c>
      <c r="Y46" s="18">
        <f t="shared" si="16"/>
        <v>10.074171483574258</v>
      </c>
      <c r="Z46" s="18">
        <f t="shared" si="16"/>
        <v>10.936023487934694</v>
      </c>
      <c r="AA46" s="18">
        <f t="shared" si="16"/>
        <v>11.205138880322451</v>
      </c>
      <c r="AB46" s="18">
        <f t="shared" si="16"/>
        <v>11.476580798204083</v>
      </c>
      <c r="AC46" s="18">
        <f t="shared" si="16"/>
        <v>11.750208260106122</v>
      </c>
      <c r="AD46" s="18">
        <f t="shared" si="16"/>
        <v>12.025869024379592</v>
      </c>
      <c r="AE46" s="18">
        <f t="shared" si="16"/>
        <v>12.303417778714286</v>
      </c>
      <c r="AF46" s="18">
        <f t="shared" si="16"/>
        <v>12.582702332412246</v>
      </c>
      <c r="AG46" s="18">
        <f t="shared" si="16"/>
        <v>12.863576303191838</v>
      </c>
      <c r="AH46" s="18">
        <f t="shared" si="16"/>
        <v>13.145906810791836</v>
      </c>
      <c r="AI46" s="18">
        <f t="shared" si="16"/>
        <v>13.429556389359183</v>
      </c>
      <c r="AJ46" s="111">
        <f t="shared" si="16"/>
        <v>13.714374733383675</v>
      </c>
      <c r="AK46" s="55">
        <f t="shared" si="17"/>
        <v>212.45496183835334</v>
      </c>
      <c r="AU46" s="54">
        <f t="shared" ref="AU46:BA46" si="23">_xlfn.XLOOKUP(AU$1,$E$1:$AJ$1,$E48:$AJ48)</f>
        <v>0</v>
      </c>
      <c r="AV46" s="54">
        <f t="shared" si="23"/>
        <v>0</v>
      </c>
      <c r="AW46" s="54">
        <f t="shared" si="23"/>
        <v>1.6856754664371429</v>
      </c>
      <c r="AX46" s="54">
        <f t="shared" si="23"/>
        <v>3.9956611670400006</v>
      </c>
      <c r="AY46" s="54">
        <f t="shared" si="23"/>
        <v>7.0196114701028582</v>
      </c>
      <c r="AZ46" s="54">
        <f t="shared" si="23"/>
        <v>8.1389308904357147</v>
      </c>
      <c r="BA46" s="54">
        <f t="shared" si="23"/>
        <v>9.3454098801814283</v>
      </c>
    </row>
    <row r="47" spans="1:53">
      <c r="A47" s="95" t="s">
        <v>4</v>
      </c>
      <c r="B47" s="4" t="s">
        <v>14</v>
      </c>
      <c r="C47" s="4" t="s">
        <v>53</v>
      </c>
      <c r="D47" s="91" t="s">
        <v>58</v>
      </c>
      <c r="E47" s="110">
        <f t="shared" si="16"/>
        <v>0</v>
      </c>
      <c r="F47" s="18">
        <f t="shared" si="16"/>
        <v>0</v>
      </c>
      <c r="G47" s="18">
        <f t="shared" si="16"/>
        <v>0</v>
      </c>
      <c r="H47" s="18">
        <f t="shared" si="16"/>
        <v>0</v>
      </c>
      <c r="I47" s="18">
        <f t="shared" si="16"/>
        <v>0</v>
      </c>
      <c r="J47" s="18">
        <f t="shared" si="16"/>
        <v>0</v>
      </c>
      <c r="K47" s="18">
        <f t="shared" si="16"/>
        <v>0</v>
      </c>
      <c r="L47" s="18">
        <f t="shared" si="16"/>
        <v>0.91454651343493076</v>
      </c>
      <c r="M47" s="18">
        <f t="shared" si="16"/>
        <v>1.8926277831781102</v>
      </c>
      <c r="N47" s="18">
        <f t="shared" si="16"/>
        <v>2.9361169610249975</v>
      </c>
      <c r="O47" s="18">
        <f t="shared" si="16"/>
        <v>4.0466822033565801</v>
      </c>
      <c r="P47" s="18">
        <f t="shared" si="16"/>
        <v>5.2258059560165391</v>
      </c>
      <c r="Q47" s="18">
        <f t="shared" si="16"/>
        <v>6.4748350767583123</v>
      </c>
      <c r="R47" s="18">
        <f t="shared" si="16"/>
        <v>7.7950067809355907</v>
      </c>
      <c r="S47" s="18">
        <f t="shared" si="16"/>
        <v>9.1873582180683488</v>
      </c>
      <c r="T47" s="18">
        <f t="shared" si="16"/>
        <v>10.652629980010296</v>
      </c>
      <c r="U47" s="18">
        <f t="shared" si="16"/>
        <v>12.194542645066912</v>
      </c>
      <c r="V47" s="18">
        <f t="shared" si="16"/>
        <v>13.814456751671845</v>
      </c>
      <c r="W47" s="18">
        <f t="shared" si="16"/>
        <v>15.513953421646395</v>
      </c>
      <c r="X47" s="18">
        <f t="shared" si="16"/>
        <v>17.294673001548475</v>
      </c>
      <c r="Y47" s="18">
        <f t="shared" si="16"/>
        <v>19.158263475368631</v>
      </c>
      <c r="Z47" s="18">
        <f t="shared" si="16"/>
        <v>21.106337851027575</v>
      </c>
      <c r="AA47" s="18">
        <f t="shared" si="16"/>
        <v>21.694114043888995</v>
      </c>
      <c r="AB47" s="18">
        <f t="shared" si="16"/>
        <v>22.289836557959003</v>
      </c>
      <c r="AC47" s="18">
        <f t="shared" si="16"/>
        <v>22.893312762146756</v>
      </c>
      <c r="AD47" s="18">
        <f t="shared" si="16"/>
        <v>23.504331977552631</v>
      </c>
      <c r="AE47" s="18">
        <f t="shared" si="16"/>
        <v>24.122677923666053</v>
      </c>
      <c r="AF47" s="18">
        <f t="shared" si="16"/>
        <v>24.748109699608182</v>
      </c>
      <c r="AG47" s="18">
        <f t="shared" si="16"/>
        <v>25.38037040659211</v>
      </c>
      <c r="AH47" s="18">
        <f t="shared" si="16"/>
        <v>26.019214139642479</v>
      </c>
      <c r="AI47" s="18">
        <f t="shared" si="16"/>
        <v>26.664366513348838</v>
      </c>
      <c r="AJ47" s="111">
        <f t="shared" si="16"/>
        <v>27.315532153390183</v>
      </c>
      <c r="AK47" s="55">
        <f t="shared" si="17"/>
        <v>392.8397027969088</v>
      </c>
      <c r="AU47" s="54">
        <f t="shared" ref="AU47:BA47" si="24">_xlfn.XLOOKUP(AU$1,$E$1:$AJ$1,$E49:$AJ49)</f>
        <v>0</v>
      </c>
      <c r="AV47" s="54">
        <f t="shared" si="24"/>
        <v>0</v>
      </c>
      <c r="AW47" s="54">
        <f t="shared" si="24"/>
        <v>0.42887521574815096</v>
      </c>
      <c r="AX47" s="54">
        <f t="shared" si="24"/>
        <v>0.94182408581009469</v>
      </c>
      <c r="AY47" s="54">
        <f t="shared" si="24"/>
        <v>1.5314367006487228</v>
      </c>
      <c r="AZ47" s="54">
        <f t="shared" si="24"/>
        <v>1.6400165130611117</v>
      </c>
      <c r="BA47" s="54">
        <f t="shared" si="24"/>
        <v>1.7343845400830478</v>
      </c>
    </row>
    <row r="48" spans="1:53">
      <c r="A48" s="95" t="s">
        <v>4</v>
      </c>
      <c r="B48" s="4" t="s">
        <v>15</v>
      </c>
      <c r="C48" s="4" t="s">
        <v>53</v>
      </c>
      <c r="D48" s="91" t="s">
        <v>58</v>
      </c>
      <c r="E48" s="110">
        <f t="shared" si="16"/>
        <v>0</v>
      </c>
      <c r="F48" s="18">
        <f t="shared" si="16"/>
        <v>0</v>
      </c>
      <c r="G48" s="18">
        <f t="shared" si="16"/>
        <v>0</v>
      </c>
      <c r="H48" s="18">
        <f t="shared" si="16"/>
        <v>0</v>
      </c>
      <c r="I48" s="18">
        <f t="shared" si="16"/>
        <v>0</v>
      </c>
      <c r="J48" s="18">
        <f t="shared" si="16"/>
        <v>0</v>
      </c>
      <c r="K48" s="18">
        <f t="shared" si="16"/>
        <v>0</v>
      </c>
      <c r="L48" s="18">
        <f t="shared" si="16"/>
        <v>0.29112505929257149</v>
      </c>
      <c r="M48" s="18">
        <f t="shared" si="16"/>
        <v>0.60451294039028569</v>
      </c>
      <c r="N48" s="18">
        <f t="shared" si="16"/>
        <v>0.9409322251697142</v>
      </c>
      <c r="O48" s="18">
        <f t="shared" si="16"/>
        <v>1.3010980682674287</v>
      </c>
      <c r="P48" s="18">
        <f t="shared" si="16"/>
        <v>1.6856754664371429</v>
      </c>
      <c r="Q48" s="18">
        <f t="shared" si="16"/>
        <v>2.0952868149257147</v>
      </c>
      <c r="R48" s="18">
        <f t="shared" si="16"/>
        <v>2.5305158949000006</v>
      </c>
      <c r="S48" s="18">
        <f t="shared" si="16"/>
        <v>2.991875916966857</v>
      </c>
      <c r="T48" s="18">
        <f t="shared" si="16"/>
        <v>3.4797580840800002</v>
      </c>
      <c r="U48" s="18">
        <f t="shared" si="16"/>
        <v>3.9956611670400006</v>
      </c>
      <c r="V48" s="18">
        <f t="shared" si="16"/>
        <v>4.5401993151805717</v>
      </c>
      <c r="W48" s="18">
        <f t="shared" si="16"/>
        <v>5.1141022062171428</v>
      </c>
      <c r="X48" s="18">
        <f t="shared" si="16"/>
        <v>5.718126859201714</v>
      </c>
      <c r="Y48" s="18">
        <f t="shared" si="16"/>
        <v>6.3530426786999996</v>
      </c>
      <c r="Z48" s="18">
        <f t="shared" si="16"/>
        <v>7.0196114701028582</v>
      </c>
      <c r="AA48" s="18">
        <f t="shared" si="16"/>
        <v>7.236146670467142</v>
      </c>
      <c r="AB48" s="18">
        <f t="shared" si="16"/>
        <v>7.456388537185715</v>
      </c>
      <c r="AC48" s="18">
        <f t="shared" si="16"/>
        <v>7.680297463482856</v>
      </c>
      <c r="AD48" s="18">
        <f t="shared" si="16"/>
        <v>7.9078289742128574</v>
      </c>
      <c r="AE48" s="18">
        <f t="shared" si="16"/>
        <v>8.1389308904357147</v>
      </c>
      <c r="AF48" s="18">
        <f t="shared" si="16"/>
        <v>8.3735393526900008</v>
      </c>
      <c r="AG48" s="18">
        <f t="shared" si="16"/>
        <v>8.6115768058800022</v>
      </c>
      <c r="AH48" s="18">
        <f t="shared" si="16"/>
        <v>8.8529647141028569</v>
      </c>
      <c r="AI48" s="18">
        <f t="shared" si="16"/>
        <v>9.0976090268699998</v>
      </c>
      <c r="AJ48" s="111">
        <f t="shared" ref="AJ48" si="25">SUM(AJ59,AJ70)</f>
        <v>9.3454098801814283</v>
      </c>
      <c r="AK48" s="55">
        <f t="shared" si="17"/>
        <v>131.3622164823806</v>
      </c>
    </row>
    <row r="49" spans="1:37">
      <c r="A49" s="95" t="s">
        <v>4</v>
      </c>
      <c r="B49" s="4" t="s">
        <v>16</v>
      </c>
      <c r="C49" s="4" t="s">
        <v>53</v>
      </c>
      <c r="D49" s="91" t="s">
        <v>58</v>
      </c>
      <c r="E49" s="110">
        <f t="shared" ref="E49:AJ49" si="26">SUM(E60,E71)</f>
        <v>0</v>
      </c>
      <c r="F49" s="18">
        <f t="shared" si="26"/>
        <v>0</v>
      </c>
      <c r="G49" s="18">
        <f t="shared" si="26"/>
        <v>0</v>
      </c>
      <c r="H49" s="18">
        <f t="shared" si="26"/>
        <v>0</v>
      </c>
      <c r="I49" s="18">
        <f t="shared" si="26"/>
        <v>0</v>
      </c>
      <c r="J49" s="18">
        <f t="shared" si="26"/>
        <v>0</v>
      </c>
      <c r="K49" s="18">
        <f t="shared" si="26"/>
        <v>0</v>
      </c>
      <c r="L49" s="18">
        <f t="shared" si="26"/>
        <v>7.8738116416462167E-2</v>
      </c>
      <c r="M49" s="18">
        <f t="shared" si="26"/>
        <v>0.1610110479020434</v>
      </c>
      <c r="N49" s="18">
        <f t="shared" si="26"/>
        <v>0.24681644480458964</v>
      </c>
      <c r="O49" s="18">
        <f t="shared" si="26"/>
        <v>0.33612307633088406</v>
      </c>
      <c r="P49" s="18">
        <f t="shared" si="26"/>
        <v>0.42887521574815096</v>
      </c>
      <c r="Q49" s="18">
        <f t="shared" si="26"/>
        <v>0.52500493118603531</v>
      </c>
      <c r="R49" s="18">
        <f t="shared" si="26"/>
        <v>0.62443837585122475</v>
      </c>
      <c r="S49" s="18">
        <f t="shared" si="26"/>
        <v>0.72709101529651066</v>
      </c>
      <c r="T49" s="18">
        <f t="shared" si="26"/>
        <v>0.83287899631063922</v>
      </c>
      <c r="U49" s="18">
        <f t="shared" si="26"/>
        <v>0.94182408581009469</v>
      </c>
      <c r="V49" s="18">
        <f t="shared" si="26"/>
        <v>1.0538714952912596</v>
      </c>
      <c r="W49" s="18">
        <f t="shared" si="26"/>
        <v>1.1689424012670233</v>
      </c>
      <c r="X49" s="18">
        <f t="shared" si="26"/>
        <v>1.2869550187095378</v>
      </c>
      <c r="Y49" s="18">
        <f t="shared" si="26"/>
        <v>1.4078187677124057</v>
      </c>
      <c r="Z49" s="18">
        <f t="shared" si="26"/>
        <v>1.5314367006487228</v>
      </c>
      <c r="AA49" s="18">
        <f t="shared" si="26"/>
        <v>1.5540952407781958</v>
      </c>
      <c r="AB49" s="18">
        <f t="shared" si="26"/>
        <v>1.5763201354697252</v>
      </c>
      <c r="AC49" s="18">
        <f t="shared" si="26"/>
        <v>1.5980741818975361</v>
      </c>
      <c r="AD49" s="18">
        <f t="shared" si="26"/>
        <v>1.6193177908703835</v>
      </c>
      <c r="AE49" s="18">
        <f t="shared" si="26"/>
        <v>1.6400165130611117</v>
      </c>
      <c r="AF49" s="18">
        <f t="shared" si="26"/>
        <v>1.6601374288640172</v>
      </c>
      <c r="AG49" s="18">
        <f t="shared" si="26"/>
        <v>1.6796544106366558</v>
      </c>
      <c r="AH49" s="18">
        <f t="shared" si="26"/>
        <v>1.6985465317895287</v>
      </c>
      <c r="AI49" s="18">
        <f t="shared" si="26"/>
        <v>1.7167965370646296</v>
      </c>
      <c r="AJ49" s="111">
        <f t="shared" si="26"/>
        <v>1.7343845400830478</v>
      </c>
      <c r="AK49" s="55">
        <f t="shared" si="17"/>
        <v>27.829168999800416</v>
      </c>
    </row>
    <row r="50" spans="1:37" ht="17" thickBot="1">
      <c r="A50" s="96" t="s">
        <v>4</v>
      </c>
      <c r="B50" s="32" t="s">
        <v>17</v>
      </c>
      <c r="C50" s="32" t="s">
        <v>53</v>
      </c>
      <c r="D50" s="93" t="s">
        <v>58</v>
      </c>
      <c r="E50" s="112">
        <f t="shared" ref="E50:AJ50" si="27">SUM(E61,E72)</f>
        <v>0</v>
      </c>
      <c r="F50" s="113">
        <f t="shared" si="27"/>
        <v>0</v>
      </c>
      <c r="G50" s="113">
        <f t="shared" si="27"/>
        <v>0</v>
      </c>
      <c r="H50" s="113">
        <f t="shared" si="27"/>
        <v>0</v>
      </c>
      <c r="I50" s="113">
        <f t="shared" si="27"/>
        <v>0</v>
      </c>
      <c r="J50" s="113">
        <f t="shared" si="27"/>
        <v>0</v>
      </c>
      <c r="K50" s="113">
        <f t="shared" si="27"/>
        <v>0</v>
      </c>
      <c r="L50" s="113">
        <f t="shared" si="27"/>
        <v>0</v>
      </c>
      <c r="M50" s="113">
        <f t="shared" si="27"/>
        <v>0</v>
      </c>
      <c r="N50" s="113">
        <f t="shared" si="27"/>
        <v>0</v>
      </c>
      <c r="O50" s="113">
        <f t="shared" si="27"/>
        <v>0</v>
      </c>
      <c r="P50" s="113">
        <f t="shared" si="27"/>
        <v>0</v>
      </c>
      <c r="Q50" s="113">
        <f t="shared" si="27"/>
        <v>0</v>
      </c>
      <c r="R50" s="113">
        <f t="shared" si="27"/>
        <v>0</v>
      </c>
      <c r="S50" s="113">
        <f t="shared" si="27"/>
        <v>0</v>
      </c>
      <c r="T50" s="113">
        <f t="shared" si="27"/>
        <v>0</v>
      </c>
      <c r="U50" s="113">
        <f t="shared" si="27"/>
        <v>0</v>
      </c>
      <c r="V50" s="113">
        <f t="shared" si="27"/>
        <v>0</v>
      </c>
      <c r="W50" s="113">
        <f t="shared" si="27"/>
        <v>0</v>
      </c>
      <c r="X50" s="113">
        <f t="shared" si="27"/>
        <v>0</v>
      </c>
      <c r="Y50" s="113">
        <f t="shared" si="27"/>
        <v>0</v>
      </c>
      <c r="Z50" s="113">
        <f t="shared" si="27"/>
        <v>0</v>
      </c>
      <c r="AA50" s="113">
        <f t="shared" si="27"/>
        <v>0</v>
      </c>
      <c r="AB50" s="113">
        <f t="shared" si="27"/>
        <v>0</v>
      </c>
      <c r="AC50" s="113">
        <f t="shared" si="27"/>
        <v>0</v>
      </c>
      <c r="AD50" s="113">
        <f t="shared" si="27"/>
        <v>0</v>
      </c>
      <c r="AE50" s="113">
        <f t="shared" si="27"/>
        <v>0</v>
      </c>
      <c r="AF50" s="113">
        <f t="shared" si="27"/>
        <v>0</v>
      </c>
      <c r="AG50" s="113">
        <f t="shared" si="27"/>
        <v>0</v>
      </c>
      <c r="AH50" s="113">
        <f t="shared" si="27"/>
        <v>0</v>
      </c>
      <c r="AI50" s="113">
        <f t="shared" si="27"/>
        <v>0</v>
      </c>
      <c r="AJ50" s="114">
        <f t="shared" si="27"/>
        <v>0</v>
      </c>
      <c r="AK50" s="55">
        <f t="shared" si="17"/>
        <v>0</v>
      </c>
    </row>
    <row r="51" spans="1:37">
      <c r="A51" s="94" t="s">
        <v>18</v>
      </c>
      <c r="B51" s="88" t="s">
        <v>36</v>
      </c>
      <c r="C51" s="88" t="s">
        <v>53</v>
      </c>
      <c r="D51" s="89" t="s">
        <v>58</v>
      </c>
      <c r="E51" s="107">
        <f>E13*_xlfn.XLOOKUP($B51,params!$O$16:$O$26,params!$P$16:$P$26,0)</f>
        <v>142.82479535730187</v>
      </c>
      <c r="F51" s="108">
        <f>F13*_xlfn.XLOOKUP($B51,params!$O$16:$O$26,params!$P$16:$P$26,0)</f>
        <v>144.51002303462442</v>
      </c>
      <c r="G51" s="108">
        <f>G13*_xlfn.XLOOKUP($B51,params!$O$16:$O$26,params!$P$16:$P$26,0)</f>
        <v>146.11966645583419</v>
      </c>
      <c r="H51" s="108">
        <f>H13*_xlfn.XLOOKUP($B51,params!$O$16:$O$26,params!$P$16:$P$26,0)</f>
        <v>147.65063310379333</v>
      </c>
      <c r="I51" s="108">
        <f>I13*_xlfn.XLOOKUP($B51,params!$O$16:$O$26,params!$P$16:$P$26,0)</f>
        <v>149.1032137762804</v>
      </c>
      <c r="J51" s="108">
        <f>J13*_xlfn.XLOOKUP($B51,params!$O$16:$O$26,params!$P$16:$P$26,0)</f>
        <v>150.47950576017209</v>
      </c>
      <c r="K51" s="108">
        <f>K13*_xlfn.XLOOKUP($B51,params!$O$16:$O$26,params!$P$16:$P$26,0)</f>
        <v>149.98925521061111</v>
      </c>
      <c r="L51" s="108">
        <f>L13*_xlfn.XLOOKUP($B51,params!$O$16:$O$26,params!$P$16:$P$26,0)</f>
        <v>143.19460467873256</v>
      </c>
      <c r="M51" s="108">
        <f>M13*_xlfn.XLOOKUP($B51,params!$O$16:$O$26,params!$P$16:$P$26,0)</f>
        <v>135.95107029358979</v>
      </c>
      <c r="N51" s="108">
        <f>N13*_xlfn.XLOOKUP($B51,params!$O$16:$O$26,params!$P$16:$P$26,0)</f>
        <v>128.24713783771202</v>
      </c>
      <c r="O51" s="108">
        <f>O13*_xlfn.XLOOKUP($B51,params!$O$16:$O$26,params!$P$16:$P$26,0)</f>
        <v>120.07279536278595</v>
      </c>
      <c r="P51" s="108">
        <f>P13*_xlfn.XLOOKUP($B51,params!$O$16:$O$26,params!$P$16:$P$26,0)</f>
        <v>111.42292190615173</v>
      </c>
      <c r="Q51" s="108">
        <f>Q13*_xlfn.XLOOKUP($B51,params!$O$16:$O$26,params!$P$16:$P$26,0)</f>
        <v>102.2982582693199</v>
      </c>
      <c r="R51" s="108">
        <f>R13*_xlfn.XLOOKUP($B51,params!$O$16:$O$26,params!$P$16:$P$26,0)</f>
        <v>92.703286354419831</v>
      </c>
      <c r="S51" s="108">
        <f>S13*_xlfn.XLOOKUP($B51,params!$O$16:$O$26,params!$P$16:$P$26,0)</f>
        <v>82.643828712952811</v>
      </c>
      <c r="T51" s="108">
        <f>T13*_xlfn.XLOOKUP($B51,params!$O$16:$O$26,params!$P$16:$P$26,0)</f>
        <v>72.128059596780687</v>
      </c>
      <c r="U51" s="108">
        <f>U13*_xlfn.XLOOKUP($B51,params!$O$16:$O$26,params!$P$16:$P$26,0)</f>
        <v>61.172100712025937</v>
      </c>
      <c r="V51" s="108">
        <f>V13*_xlfn.XLOOKUP($B51,params!$O$16:$O$26,params!$P$16:$P$26,0)</f>
        <v>49.781566889022294</v>
      </c>
      <c r="W51" s="108">
        <f>W13*_xlfn.XLOOKUP($B51,params!$O$16:$O$26,params!$P$16:$P$26,0)</f>
        <v>37.961793170408512</v>
      </c>
      <c r="X51" s="108">
        <f>X13*_xlfn.XLOOKUP($B51,params!$O$16:$O$26,params!$P$16:$P$26,0)</f>
        <v>25.719564407788347</v>
      </c>
      <c r="Y51" s="108">
        <f>Y13*_xlfn.XLOOKUP($B51,params!$O$16:$O$26,params!$P$16:$P$26,0)</f>
        <v>13.062680742961767</v>
      </c>
      <c r="Z51" s="108">
        <f>Z13*_xlfn.XLOOKUP($B51,params!$O$16:$O$26,params!$P$16:$P$26,0)</f>
        <v>0</v>
      </c>
      <c r="AA51" s="108">
        <f>AA13*_xlfn.XLOOKUP($B51,params!$O$16:$O$26,params!$P$16:$P$26,0)</f>
        <v>0</v>
      </c>
      <c r="AB51" s="108">
        <f>AB13*_xlfn.XLOOKUP($B51,params!$O$16:$O$26,params!$P$16:$P$26,0)</f>
        <v>0</v>
      </c>
      <c r="AC51" s="108">
        <f>AC13*_xlfn.XLOOKUP($B51,params!$O$16:$O$26,params!$P$16:$P$26,0)</f>
        <v>0</v>
      </c>
      <c r="AD51" s="108">
        <f>AD13*_xlfn.XLOOKUP($B51,params!$O$16:$O$26,params!$P$16:$P$26,0)</f>
        <v>0</v>
      </c>
      <c r="AE51" s="108">
        <f>AE13*_xlfn.XLOOKUP($B51,params!$O$16:$O$26,params!$P$16:$P$26,0)</f>
        <v>0</v>
      </c>
      <c r="AF51" s="108">
        <f>AF13*_xlfn.XLOOKUP($B51,params!$O$16:$O$26,params!$P$16:$P$26,0)</f>
        <v>0</v>
      </c>
      <c r="AG51" s="108">
        <f>AG13*_xlfn.XLOOKUP($B51,params!$O$16:$O$26,params!$P$16:$P$26,0)</f>
        <v>0</v>
      </c>
      <c r="AH51" s="108">
        <f>AH13*_xlfn.XLOOKUP($B51,params!$O$16:$O$26,params!$P$16:$P$26,0)</f>
        <v>0</v>
      </c>
      <c r="AI51" s="108">
        <f>AI13*_xlfn.XLOOKUP($B51,params!$O$16:$O$26,params!$P$16:$P$26,0)</f>
        <v>0</v>
      </c>
      <c r="AJ51" s="109">
        <f>AJ13*_xlfn.XLOOKUP($B51,params!$O$16:$O$26,params!$P$16:$P$26,0)</f>
        <v>0</v>
      </c>
      <c r="AK51" s="55">
        <f t="shared" si="17"/>
        <v>1326.3489241452633</v>
      </c>
    </row>
    <row r="52" spans="1:37">
      <c r="A52" s="95" t="s">
        <v>18</v>
      </c>
      <c r="B52" s="4" t="s">
        <v>8</v>
      </c>
      <c r="C52" s="4" t="s">
        <v>53</v>
      </c>
      <c r="D52" s="91" t="s">
        <v>58</v>
      </c>
      <c r="E52" s="110">
        <f>E14*_xlfn.XLOOKUP($B52,params!$O$16:$O$26,params!$P$16:$P$26,0)</f>
        <v>8.5892221078403246</v>
      </c>
      <c r="F52" s="18">
        <f>F14*_xlfn.XLOOKUP($B52,params!$O$16:$O$26,params!$P$16:$P$26,0)</f>
        <v>9.7221376999923574</v>
      </c>
      <c r="G52" s="18">
        <f>G14*_xlfn.XLOOKUP($B52,params!$O$16:$O$26,params!$P$16:$P$26,0)</f>
        <v>10.902151979542859</v>
      </c>
      <c r="H52" s="18">
        <f>H14*_xlfn.XLOOKUP($B52,params!$O$16:$O$26,params!$P$16:$P$26,0)</f>
        <v>12.129505605031271</v>
      </c>
      <c r="I52" s="18">
        <f>I14*_xlfn.XLOOKUP($B52,params!$O$16:$O$26,params!$P$16:$P$26,0)</f>
        <v>13.404675467476194</v>
      </c>
      <c r="J52" s="18">
        <f>J14*_xlfn.XLOOKUP($B52,params!$O$16:$O$26,params!$P$16:$P$26,0)</f>
        <v>14.728350383990081</v>
      </c>
      <c r="K52" s="18">
        <f>K14*_xlfn.XLOOKUP($B52,params!$O$16:$O$26,params!$P$16:$P$26,0)</f>
        <v>16.84088932148801</v>
      </c>
      <c r="L52" s="18">
        <f>L14*_xlfn.XLOOKUP($B52,params!$O$16:$O$26,params!$P$16:$P$26,0)</f>
        <v>16.077981622367307</v>
      </c>
      <c r="M52" s="18">
        <f>M14*_xlfn.XLOOKUP($B52,params!$O$16:$O$26,params!$P$16:$P$26,0)</f>
        <v>15.264672957654692</v>
      </c>
      <c r="N52" s="18">
        <f>N14*_xlfn.XLOOKUP($B52,params!$O$16:$O$26,params!$P$16:$P$26,0)</f>
        <v>14.39967050366238</v>
      </c>
      <c r="O52" s="18">
        <f>O14*_xlfn.XLOOKUP($B52,params!$O$16:$O$26,params!$P$16:$P$26,0)</f>
        <v>13.48185011244259</v>
      </c>
      <c r="P52" s="18">
        <f>P14*_xlfn.XLOOKUP($B52,params!$O$16:$O$26,params!$P$16:$P$26,0)</f>
        <v>12.510636799038869</v>
      </c>
      <c r="Q52" s="18">
        <f>Q14*_xlfn.XLOOKUP($B52,params!$O$16:$O$26,params!$P$16:$P$26,0)</f>
        <v>11.486113741117718</v>
      </c>
      <c r="R52" s="18">
        <f>R14*_xlfn.XLOOKUP($B52,params!$O$16:$O$26,params!$P$16:$P$26,0)</f>
        <v>10.40878416951127</v>
      </c>
      <c r="S52" s="18">
        <f>S14*_xlfn.XLOOKUP($B52,params!$O$16:$O$26,params!$P$16:$P$26,0)</f>
        <v>9.2793018440189439</v>
      </c>
      <c r="T52" s="18">
        <f>T14*_xlfn.XLOOKUP($B52,params!$O$16:$O$26,params!$P$16:$P$26,0)</f>
        <v>8.0985845748578651</v>
      </c>
      <c r="U52" s="18">
        <f>U14*_xlfn.XLOOKUP($B52,params!$O$16:$O$26,params!$P$16:$P$26,0)</f>
        <v>6.8684425174828476</v>
      </c>
      <c r="V52" s="18">
        <f>V14*_xlfn.XLOOKUP($B52,params!$O$16:$O$26,params!$P$16:$P$26,0)</f>
        <v>5.5895061086280133</v>
      </c>
      <c r="W52" s="18">
        <f>W14*_xlfn.XLOOKUP($B52,params!$O$16:$O$26,params!$P$16:$P$26,0)</f>
        <v>4.2623743702864978</v>
      </c>
      <c r="X52" s="18">
        <f>X14*_xlfn.XLOOKUP($B52,params!$O$16:$O$26,params!$P$16:$P$26,0)</f>
        <v>2.8878091099275167</v>
      </c>
      <c r="Y52" s="18">
        <f>Y14*_xlfn.XLOOKUP($B52,params!$O$16:$O$26,params!$P$16:$P$26,0)</f>
        <v>1.4666861324516316</v>
      </c>
      <c r="Z52" s="18">
        <f>Z14*_xlfn.XLOOKUP($B52,params!$O$16:$O$26,params!$P$16:$P$26,0)</f>
        <v>0</v>
      </c>
      <c r="AA52" s="18">
        <f>AA14*_xlfn.XLOOKUP($B52,params!$O$16:$O$26,params!$P$16:$P$26,0)</f>
        <v>0</v>
      </c>
      <c r="AB52" s="18">
        <f>AB14*_xlfn.XLOOKUP($B52,params!$O$16:$O$26,params!$P$16:$P$26,0)</f>
        <v>0</v>
      </c>
      <c r="AC52" s="18">
        <f>AC14*_xlfn.XLOOKUP($B52,params!$O$16:$O$26,params!$P$16:$P$26,0)</f>
        <v>0</v>
      </c>
      <c r="AD52" s="18">
        <f>AD14*_xlfn.XLOOKUP($B52,params!$O$16:$O$26,params!$P$16:$P$26,0)</f>
        <v>0</v>
      </c>
      <c r="AE52" s="18">
        <f>AE14*_xlfn.XLOOKUP($B52,params!$O$16:$O$26,params!$P$16:$P$26,0)</f>
        <v>0</v>
      </c>
      <c r="AF52" s="18">
        <f>AF14*_xlfn.XLOOKUP($B52,params!$O$16:$O$26,params!$P$16:$P$26,0)</f>
        <v>0</v>
      </c>
      <c r="AG52" s="18">
        <f>AG14*_xlfn.XLOOKUP($B52,params!$O$16:$O$26,params!$P$16:$P$26,0)</f>
        <v>0</v>
      </c>
      <c r="AH52" s="18">
        <f>AH14*_xlfn.XLOOKUP($B52,params!$O$16:$O$26,params!$P$16:$P$26,0)</f>
        <v>0</v>
      </c>
      <c r="AI52" s="18">
        <f>AI14*_xlfn.XLOOKUP($B52,params!$O$16:$O$26,params!$P$16:$P$26,0)</f>
        <v>0</v>
      </c>
      <c r="AJ52" s="111">
        <f>AJ14*_xlfn.XLOOKUP($B52,params!$O$16:$O$26,params!$P$16:$P$26,0)</f>
        <v>0</v>
      </c>
      <c r="AK52" s="55">
        <f t="shared" si="17"/>
        <v>148.9233038849361</v>
      </c>
    </row>
    <row r="53" spans="1:37">
      <c r="A53" s="95" t="s">
        <v>18</v>
      </c>
      <c r="B53" s="4" t="s">
        <v>37</v>
      </c>
      <c r="C53" s="4" t="s">
        <v>53</v>
      </c>
      <c r="D53" s="91" t="s">
        <v>58</v>
      </c>
      <c r="E53" s="110">
        <f>E15*_xlfn.XLOOKUP($B53,params!$O$16:$O$26,params!$P$16:$P$26,0)</f>
        <v>0</v>
      </c>
      <c r="F53" s="18">
        <f>F15*_xlfn.XLOOKUP($B53,params!$O$16:$O$26,params!$P$16:$P$26,0)</f>
        <v>0</v>
      </c>
      <c r="G53" s="18">
        <f>G15*_xlfn.XLOOKUP($B53,params!$O$16:$O$26,params!$P$16:$P$26,0)</f>
        <v>0</v>
      </c>
      <c r="H53" s="18">
        <f>H15*_xlfn.XLOOKUP($B53,params!$O$16:$O$26,params!$P$16:$P$26,0)</f>
        <v>0</v>
      </c>
      <c r="I53" s="18">
        <f>I15*_xlfn.XLOOKUP($B53,params!$O$16:$O$26,params!$P$16:$P$26,0)</f>
        <v>0</v>
      </c>
      <c r="J53" s="18">
        <f>J15*_xlfn.XLOOKUP($B53,params!$O$16:$O$26,params!$P$16:$P$26,0)</f>
        <v>0</v>
      </c>
      <c r="K53" s="18">
        <f>K15*_xlfn.XLOOKUP($B53,params!$O$16:$O$26,params!$P$16:$P$26,0)</f>
        <v>0</v>
      </c>
      <c r="L53" s="18">
        <f>L15*_xlfn.XLOOKUP($B53,params!$O$16:$O$26,params!$P$16:$P$26,0)</f>
        <v>1.300353016251429</v>
      </c>
      <c r="M53" s="18">
        <f>M15*_xlfn.XLOOKUP($B53,params!$O$16:$O$26,params!$P$16:$P$26,0)</f>
        <v>2.6590831901771432</v>
      </c>
      <c r="N53" s="18">
        <f>N15*_xlfn.XLOOKUP($B53,params!$O$16:$O$26,params!$P$16:$P$26,0)</f>
        <v>4.076151717480001</v>
      </c>
      <c r="O53" s="18">
        <f>O15*_xlfn.XLOOKUP($B53,params!$O$16:$O$26,params!$P$16:$P$26,0)</f>
        <v>5.5510428243771441</v>
      </c>
      <c r="P53" s="18">
        <f>P15*_xlfn.XLOOKUP($B53,params!$O$16:$O$26,params!$P$16:$P$26,0)</f>
        <v>7.0828361888142872</v>
      </c>
      <c r="Q53" s="18">
        <f>Q15*_xlfn.XLOOKUP($B53,params!$O$16:$O$26,params!$P$16:$P$26,0)</f>
        <v>8.6704099219714319</v>
      </c>
      <c r="R53" s="18">
        <f>R15*_xlfn.XLOOKUP($B53,params!$O$16:$O$26,params!$P$16:$P$26,0)</f>
        <v>10.312544450600003</v>
      </c>
      <c r="S53" s="18">
        <f>S15*_xlfn.XLOOKUP($B53,params!$O$16:$O$26,params!$P$16:$P$26,0)</f>
        <v>12.007843695794289</v>
      </c>
      <c r="T53" s="18">
        <f>T15*_xlfn.XLOOKUP($B53,params!$O$16:$O$26,params!$P$16:$P$26,0)</f>
        <v>13.754922829200002</v>
      </c>
      <c r="U53" s="18">
        <f>U15*_xlfn.XLOOKUP($B53,params!$O$16:$O$26,params!$P$16:$P$26,0)</f>
        <v>15.554141329514287</v>
      </c>
      <c r="V53" s="18">
        <f>V15*_xlfn.XLOOKUP($B53,params!$O$16:$O$26,params!$P$16:$P$26,0)</f>
        <v>17.404594369454287</v>
      </c>
      <c r="W53" s="18">
        <f>W15*_xlfn.XLOOKUP($B53,params!$O$16:$O$26,params!$P$16:$P$26,0)</f>
        <v>19.304980186114289</v>
      </c>
      <c r="X53" s="18">
        <f>X15*_xlfn.XLOOKUP($B53,params!$O$16:$O$26,params!$P$16:$P$26,0)</f>
        <v>21.253948107005716</v>
      </c>
      <c r="Y53" s="18">
        <f>Y15*_xlfn.XLOOKUP($B53,params!$O$16:$O$26,params!$P$16:$P$26,0)</f>
        <v>23.250002213000005</v>
      </c>
      <c r="Z53" s="18">
        <f>Z15*_xlfn.XLOOKUP($B53,params!$O$16:$O$26,params!$P$16:$P$26,0)</f>
        <v>25.291541422628576</v>
      </c>
      <c r="AA53" s="18">
        <f>AA15*_xlfn.XLOOKUP($B53,params!$O$16:$O$26,params!$P$16:$P$26,0)</f>
        <v>25.665745205271438</v>
      </c>
      <c r="AB53" s="18">
        <f>AB15*_xlfn.XLOOKUP($B53,params!$O$16:$O$26,params!$P$16:$P$26,0)</f>
        <v>26.032787371928574</v>
      </c>
      <c r="AC53" s="18">
        <f>AC15*_xlfn.XLOOKUP($B53,params!$O$16:$O$26,params!$P$16:$P$26,0)</f>
        <v>26.392053521228579</v>
      </c>
      <c r="AD53" s="18">
        <f>AD15*_xlfn.XLOOKUP($B53,params!$O$16:$O$26,params!$P$16:$P$26,0)</f>
        <v>26.742889841185711</v>
      </c>
      <c r="AE53" s="18">
        <f>AE15*_xlfn.XLOOKUP($B53,params!$O$16:$O$26,params!$P$16:$P$26,0)</f>
        <v>27.084727404214288</v>
      </c>
      <c r="AF53" s="18">
        <f>AF15*_xlfn.XLOOKUP($B53,params!$O$16:$O$26,params!$P$16:$P$26,0)</f>
        <v>27.41702254594286</v>
      </c>
      <c r="AG53" s="18">
        <f>AG15*_xlfn.XLOOKUP($B53,params!$O$16:$O$26,params!$P$16:$P$26,0)</f>
        <v>27.739343770671436</v>
      </c>
      <c r="AH53" s="18">
        <f>AH15*_xlfn.XLOOKUP($B53,params!$O$16:$O$26,params!$P$16:$P$26,0)</f>
        <v>28.051345477628573</v>
      </c>
      <c r="AI53" s="18">
        <f>AI15*_xlfn.XLOOKUP($B53,params!$O$16:$O$26,params!$P$16:$P$26,0)</f>
        <v>28.352742697757144</v>
      </c>
      <c r="AJ53" s="111">
        <f>AJ15*_xlfn.XLOOKUP($B53,params!$O$16:$O$26,params!$P$16:$P$26,0)</f>
        <v>28.643207009271432</v>
      </c>
      <c r="AK53" s="55">
        <f t="shared" si="17"/>
        <v>459.59626030748291</v>
      </c>
    </row>
    <row r="54" spans="1:37">
      <c r="A54" s="95" t="s">
        <v>18</v>
      </c>
      <c r="B54" s="4" t="s">
        <v>10</v>
      </c>
      <c r="C54" s="4" t="s">
        <v>53</v>
      </c>
      <c r="D54" s="91" t="s">
        <v>58</v>
      </c>
      <c r="E54" s="110">
        <f>E16*_xlfn.XLOOKUP($B54,params!$O$16:$O$26,params!$P$16:$P$26,0)</f>
        <v>0</v>
      </c>
      <c r="F54" s="18">
        <f>F16*_xlfn.XLOOKUP($B54,params!$O$16:$O$26,params!$P$16:$P$26,0)</f>
        <v>0</v>
      </c>
      <c r="G54" s="18">
        <f>G16*_xlfn.XLOOKUP($B54,params!$O$16:$O$26,params!$P$16:$P$26,0)</f>
        <v>0</v>
      </c>
      <c r="H54" s="18">
        <f>H16*_xlfn.XLOOKUP($B54,params!$O$16:$O$26,params!$P$16:$P$26,0)</f>
        <v>0</v>
      </c>
      <c r="I54" s="18">
        <f>I16*_xlfn.XLOOKUP($B54,params!$O$16:$O$26,params!$P$16:$P$26,0)</f>
        <v>0</v>
      </c>
      <c r="J54" s="18">
        <f>J16*_xlfn.XLOOKUP($B54,params!$O$16:$O$26,params!$P$16:$P$26,0)</f>
        <v>0</v>
      </c>
      <c r="K54" s="18">
        <f>K16*_xlfn.XLOOKUP($B54,params!$O$16:$O$26,params!$P$16:$P$26,0)</f>
        <v>0</v>
      </c>
      <c r="L54" s="18">
        <f>L16*_xlfn.XLOOKUP($B54,params!$O$16:$O$26,params!$P$16:$P$26,0)</f>
        <v>1.2621073393028575</v>
      </c>
      <c r="M54" s="18">
        <f>M16*_xlfn.XLOOKUP($B54,params!$O$16:$O$26,params!$P$16:$P$26,0)</f>
        <v>2.5808748610542858</v>
      </c>
      <c r="N54" s="18">
        <f>N16*_xlfn.XLOOKUP($B54,params!$O$16:$O$26,params!$P$16:$P$26,0)</f>
        <v>3.9562649022600014</v>
      </c>
      <c r="O54" s="18">
        <f>O16*_xlfn.XLOOKUP($B54,params!$O$16:$O$26,params!$P$16:$P$26,0)</f>
        <v>5.387776858954286</v>
      </c>
      <c r="P54" s="18">
        <f>P16*_xlfn.XLOOKUP($B54,params!$O$16:$O$26,params!$P$16:$P$26,0)</f>
        <v>6.8745174773785731</v>
      </c>
      <c r="Q54" s="18">
        <f>Q16*_xlfn.XLOOKUP($B54,params!$O$16:$O$26,params!$P$16:$P$26,0)</f>
        <v>8.4153978654428592</v>
      </c>
      <c r="R54" s="18">
        <f>R16*_xlfn.XLOOKUP($B54,params!$O$16:$O$26,params!$P$16:$P$26,0)</f>
        <v>10.009234319700001</v>
      </c>
      <c r="S54" s="18">
        <f>S16*_xlfn.XLOOKUP($B54,params!$O$16:$O$26,params!$P$16:$P$26,0)</f>
        <v>11.654671822388572</v>
      </c>
      <c r="T54" s="18">
        <f>T16*_xlfn.XLOOKUP($B54,params!$O$16:$O$26,params!$P$16:$P$26,0)</f>
        <v>13.350366275400001</v>
      </c>
      <c r="U54" s="18">
        <f>U16*_xlfn.XLOOKUP($B54,params!$O$16:$O$26,params!$P$16:$P$26,0)</f>
        <v>15.096666584528569</v>
      </c>
      <c r="V54" s="18">
        <f>V16*_xlfn.XLOOKUP($B54,params!$O$16:$O$26,params!$P$16:$P$26,0)</f>
        <v>16.89269453505857</v>
      </c>
      <c r="W54" s="18">
        <f>W16*_xlfn.XLOOKUP($B54,params!$O$16:$O$26,params!$P$16:$P$26,0)</f>
        <v>18.737186651228573</v>
      </c>
      <c r="X54" s="18">
        <f>X16*_xlfn.XLOOKUP($B54,params!$O$16:$O$26,params!$P$16:$P$26,0)</f>
        <v>20.628831986211431</v>
      </c>
      <c r="Y54" s="18">
        <f>Y16*_xlfn.XLOOKUP($B54,params!$O$16:$O$26,params!$P$16:$P$26,0)</f>
        <v>22.5661786185</v>
      </c>
      <c r="Z54" s="18">
        <f>Z16*_xlfn.XLOOKUP($B54,params!$O$16:$O$26,params!$P$16:$P$26,0)</f>
        <v>24.547672557257147</v>
      </c>
      <c r="AA54" s="18">
        <f>AA16*_xlfn.XLOOKUP($B54,params!$O$16:$O$26,params!$P$16:$P$26,0)</f>
        <v>24.91087034629286</v>
      </c>
      <c r="AB54" s="18">
        <f>AB16*_xlfn.XLOOKUP($B54,params!$O$16:$O$26,params!$P$16:$P$26,0)</f>
        <v>25.26711715510714</v>
      </c>
      <c r="AC54" s="18">
        <f>AC16*_xlfn.XLOOKUP($B54,params!$O$16:$O$26,params!$P$16:$P$26,0)</f>
        <v>25.615816652957147</v>
      </c>
      <c r="AD54" s="18">
        <f>AD16*_xlfn.XLOOKUP($B54,params!$O$16:$O$26,params!$P$16:$P$26,0)</f>
        <v>25.956334257621425</v>
      </c>
      <c r="AE54" s="18">
        <f>AE16*_xlfn.XLOOKUP($B54,params!$O$16:$O$26,params!$P$16:$P$26,0)</f>
        <v>26.288117774678572</v>
      </c>
      <c r="AF54" s="18">
        <f>AF16*_xlfn.XLOOKUP($B54,params!$O$16:$O$26,params!$P$16:$P$26,0)</f>
        <v>26.610639529885713</v>
      </c>
      <c r="AG54" s="18">
        <f>AG16*_xlfn.XLOOKUP($B54,params!$O$16:$O$26,params!$P$16:$P$26,0)</f>
        <v>26.92348071859286</v>
      </c>
      <c r="AH54" s="18">
        <f>AH16*_xlfn.XLOOKUP($B54,params!$O$16:$O$26,params!$P$16:$P$26,0)</f>
        <v>27.226305904757144</v>
      </c>
      <c r="AI54" s="18">
        <f>AI16*_xlfn.XLOOKUP($B54,params!$O$16:$O$26,params!$P$16:$P$26,0)</f>
        <v>27.518838500764289</v>
      </c>
      <c r="AJ54" s="111">
        <f>AJ16*_xlfn.XLOOKUP($B54,params!$O$16:$O$26,params!$P$16:$P$26,0)</f>
        <v>27.800759744292858</v>
      </c>
      <c r="AK54" s="55">
        <f t="shared" si="17"/>
        <v>446.07872323961584</v>
      </c>
    </row>
    <row r="55" spans="1:37">
      <c r="A55" s="95" t="s">
        <v>18</v>
      </c>
      <c r="B55" s="4" t="s">
        <v>11</v>
      </c>
      <c r="C55" s="4" t="s">
        <v>53</v>
      </c>
      <c r="D55" s="91" t="s">
        <v>58</v>
      </c>
      <c r="E55" s="110">
        <f>E17*_xlfn.XLOOKUP($B55,params!$O$16:$O$26,params!$P$16:$P$26,0)</f>
        <v>4.3431684564029021E-3</v>
      </c>
      <c r="F55" s="18">
        <f>F17*_xlfn.XLOOKUP($B55,params!$O$16:$O$26,params!$P$16:$P$26,0)</f>
        <v>4.2930048875278147E-3</v>
      </c>
      <c r="G55" s="18">
        <f>G17*_xlfn.XLOOKUP($B55,params!$O$16:$O$26,params!$P$16:$P$26,0)</f>
        <v>4.2354659218767779E-3</v>
      </c>
      <c r="H55" s="18">
        <f>H17*_xlfn.XLOOKUP($B55,params!$O$16:$O$26,params!$P$16:$P$26,0)</f>
        <v>4.1704155777928364E-3</v>
      </c>
      <c r="I55" s="18">
        <f>I17*_xlfn.XLOOKUP($B55,params!$O$16:$O$26,params!$P$16:$P$26,0)</f>
        <v>4.0978175359459397E-3</v>
      </c>
      <c r="J55" s="18">
        <f>J17*_xlfn.XLOOKUP($B55,params!$O$16:$O$26,params!$P$16:$P$26,0)</f>
        <v>4.0176802568708944E-3</v>
      </c>
      <c r="K55" s="18">
        <f>K17*_xlfn.XLOOKUP($B55,params!$O$16:$O$26,params!$P$16:$P$26,0)</f>
        <v>3.9531543930262786E-3</v>
      </c>
      <c r="L55" s="18">
        <f>L17*_xlfn.XLOOKUP($B55,params!$O$16:$O$26,params!$P$16:$P$26,0)</f>
        <v>0.62335403944793488</v>
      </c>
      <c r="M55" s="18">
        <f>M17*_xlfn.XLOOKUP($B55,params!$O$16:$O$26,params!$P$16:$P$26,0)</f>
        <v>1.2705580922641015</v>
      </c>
      <c r="N55" s="18">
        <f>N17*_xlfn.XLOOKUP($B55,params!$O$16:$O$26,params!$P$16:$P$26,0)</f>
        <v>1.9455465202636406</v>
      </c>
      <c r="O55" s="18">
        <f>O17*_xlfn.XLOOKUP($B55,params!$O$16:$O$26,params!$P$16:$P$26,0)</f>
        <v>2.6480733085314174</v>
      </c>
      <c r="P55" s="18">
        <f>P17*_xlfn.XLOOKUP($B55,params!$O$16:$O$26,params!$P$16:$P$26,0)</f>
        <v>3.377699815707488</v>
      </c>
      <c r="Q55" s="18">
        <f>Q17*_xlfn.XLOOKUP($B55,params!$O$16:$O$26,params!$P$16:$P$26,0)</f>
        <v>4.1338915142906014</v>
      </c>
      <c r="R55" s="18">
        <f>R17*_xlfn.XLOOKUP($B55,params!$O$16:$O$26,params!$P$16:$P$26,0)</f>
        <v>4.9160674316237492</v>
      </c>
      <c r="S55" s="18">
        <f>S17*_xlfn.XLOOKUP($B55,params!$O$16:$O$26,params!$P$16:$P$26,0)</f>
        <v>5.7235625306301321</v>
      </c>
      <c r="T55" s="18">
        <f>T17*_xlfn.XLOOKUP($B55,params!$O$16:$O$26,params!$P$16:$P$26,0)</f>
        <v>6.5557171967718064</v>
      </c>
      <c r="U55" s="18">
        <f>U17*_xlfn.XLOOKUP($B55,params!$O$16:$O$26,params!$P$16:$P$26,0)</f>
        <v>7.4127031359827829</v>
      </c>
      <c r="V55" s="18">
        <f>V17*_xlfn.XLOOKUP($B55,params!$O$16:$O$26,params!$P$16:$P$26,0)</f>
        <v>8.2940893726612277</v>
      </c>
      <c r="W55" s="18">
        <f>W17*_xlfn.XLOOKUP($B55,params!$O$16:$O$26,params!$P$16:$P$26,0)</f>
        <v>9.1992557956814274</v>
      </c>
      <c r="X55" s="18">
        <f>X17*_xlfn.XLOOKUP($B55,params!$O$16:$O$26,params!$P$16:$P$26,0)</f>
        <v>10.127559028151492</v>
      </c>
      <c r="Y55" s="18">
        <f>Y17*_xlfn.XLOOKUP($B55,params!$O$16:$O$26,params!$P$16:$P$26,0)</f>
        <v>11.078286514186766</v>
      </c>
      <c r="Z55" s="18">
        <f>Z17*_xlfn.XLOOKUP($B55,params!$O$16:$O$26,params!$P$16:$P$26,0)</f>
        <v>12.050675619017145</v>
      </c>
      <c r="AA55" s="18">
        <f>AA17*_xlfn.XLOOKUP($B55,params!$O$16:$O$26,params!$P$16:$P$26,0)</f>
        <v>12.228972715452857</v>
      </c>
      <c r="AB55" s="18">
        <f>AB17*_xlfn.XLOOKUP($B55,params!$O$16:$O$26,params!$P$16:$P$26,0)</f>
        <v>12.403857512507145</v>
      </c>
      <c r="AC55" s="18">
        <f>AC17*_xlfn.XLOOKUP($B55,params!$O$16:$O$26,params!$P$16:$P$26,0)</f>
        <v>12.575037265997146</v>
      </c>
      <c r="AD55" s="18">
        <f>AD17*_xlfn.XLOOKUP($B55,params!$O$16:$O$26,params!$P$16:$P$26,0)</f>
        <v>12.742200453741429</v>
      </c>
      <c r="AE55" s="18">
        <f>AE17*_xlfn.XLOOKUP($B55,params!$O$16:$O$26,params!$P$16:$P$26,0)</f>
        <v>12.905075998478575</v>
      </c>
      <c r="AF55" s="18">
        <f>AF17*_xlfn.XLOOKUP($B55,params!$O$16:$O$26,params!$P$16:$P$26,0)</f>
        <v>13.063404860125717</v>
      </c>
      <c r="AG55" s="18">
        <f>AG17*_xlfn.XLOOKUP($B55,params!$O$16:$O$26,params!$P$16:$P$26,0)</f>
        <v>13.216981443672859</v>
      </c>
      <c r="AH55" s="18">
        <f>AH17*_xlfn.XLOOKUP($B55,params!$O$16:$O$26,params!$P$16:$P$26,0)</f>
        <v>13.365641080517142</v>
      </c>
      <c r="AI55" s="18">
        <f>AI17*_xlfn.XLOOKUP($B55,params!$O$16:$O$26,params!$P$16:$P$26,0)</f>
        <v>13.509247991284287</v>
      </c>
      <c r="AJ55" s="111">
        <f>AJ17*_xlfn.XLOOKUP($B55,params!$O$16:$O$26,params!$P$16:$P$26,0)</f>
        <v>13.647645692652858</v>
      </c>
      <c r="AK55" s="55">
        <f t="shared" si="17"/>
        <v>219.01905808403478</v>
      </c>
    </row>
    <row r="56" spans="1:37">
      <c r="A56" s="95" t="s">
        <v>18</v>
      </c>
      <c r="B56" s="4" t="s">
        <v>12</v>
      </c>
      <c r="C56" s="4" t="s">
        <v>53</v>
      </c>
      <c r="D56" s="91" t="s">
        <v>58</v>
      </c>
      <c r="E56" s="110">
        <f>E18*_xlfn.XLOOKUP($B56,params!$O$16:$O$26,params!$P$16:$P$26,0)</f>
        <v>0</v>
      </c>
      <c r="F56" s="18">
        <f>F18*_xlfn.XLOOKUP($B56,params!$O$16:$O$26,params!$P$16:$P$26,0)</f>
        <v>0</v>
      </c>
      <c r="G56" s="18">
        <f>G18*_xlfn.XLOOKUP($B56,params!$O$16:$O$26,params!$P$16:$P$26,0)</f>
        <v>0</v>
      </c>
      <c r="H56" s="18">
        <f>H18*_xlfn.XLOOKUP($B56,params!$O$16:$O$26,params!$P$16:$P$26,0)</f>
        <v>0</v>
      </c>
      <c r="I56" s="18">
        <f>I18*_xlfn.XLOOKUP($B56,params!$O$16:$O$26,params!$P$16:$P$26,0)</f>
        <v>0</v>
      </c>
      <c r="J56" s="18">
        <f>J18*_xlfn.XLOOKUP($B56,params!$O$16:$O$26,params!$P$16:$P$26,0)</f>
        <v>0</v>
      </c>
      <c r="K56" s="18">
        <f>K18*_xlfn.XLOOKUP($B56,params!$O$16:$O$26,params!$P$16:$P$26,0)</f>
        <v>0</v>
      </c>
      <c r="L56" s="18">
        <f>L18*_xlfn.XLOOKUP($B56,params!$O$16:$O$26,params!$P$16:$P$26,0)</f>
        <v>0</v>
      </c>
      <c r="M56" s="18">
        <f>M18*_xlfn.XLOOKUP($B56,params!$O$16:$O$26,params!$P$16:$P$26,0)</f>
        <v>0</v>
      </c>
      <c r="N56" s="18">
        <f>N18*_xlfn.XLOOKUP($B56,params!$O$16:$O$26,params!$P$16:$P$26,0)</f>
        <v>0</v>
      </c>
      <c r="O56" s="18">
        <f>O18*_xlfn.XLOOKUP($B56,params!$O$16:$O$26,params!$P$16:$P$26,0)</f>
        <v>0</v>
      </c>
      <c r="P56" s="18">
        <f>P18*_xlfn.XLOOKUP($B56,params!$O$16:$O$26,params!$P$16:$P$26,0)</f>
        <v>0</v>
      </c>
      <c r="Q56" s="18">
        <f>Q18*_xlfn.XLOOKUP($B56,params!$O$16:$O$26,params!$P$16:$P$26,0)</f>
        <v>0</v>
      </c>
      <c r="R56" s="18">
        <f>R18*_xlfn.XLOOKUP($B56,params!$O$16:$O$26,params!$P$16:$P$26,0)</f>
        <v>0</v>
      </c>
      <c r="S56" s="18">
        <f>S18*_xlfn.XLOOKUP($B56,params!$O$16:$O$26,params!$P$16:$P$26,0)</f>
        <v>0</v>
      </c>
      <c r="T56" s="18">
        <f>T18*_xlfn.XLOOKUP($B56,params!$O$16:$O$26,params!$P$16:$P$26,0)</f>
        <v>0</v>
      </c>
      <c r="U56" s="18">
        <f>U18*_xlfn.XLOOKUP($B56,params!$O$16:$O$26,params!$P$16:$P$26,0)</f>
        <v>0</v>
      </c>
      <c r="V56" s="18">
        <f>V18*_xlfn.XLOOKUP($B56,params!$O$16:$O$26,params!$P$16:$P$26,0)</f>
        <v>0</v>
      </c>
      <c r="W56" s="18">
        <f>W18*_xlfn.XLOOKUP($B56,params!$O$16:$O$26,params!$P$16:$P$26,0)</f>
        <v>0</v>
      </c>
      <c r="X56" s="18">
        <f>X18*_xlfn.XLOOKUP($B56,params!$O$16:$O$26,params!$P$16:$P$26,0)</f>
        <v>0</v>
      </c>
      <c r="Y56" s="18">
        <f>Y18*_xlfn.XLOOKUP($B56,params!$O$16:$O$26,params!$P$16:$P$26,0)</f>
        <v>0</v>
      </c>
      <c r="Z56" s="18">
        <f>Z18*_xlfn.XLOOKUP($B56,params!$O$16:$O$26,params!$P$16:$P$26,0)</f>
        <v>0</v>
      </c>
      <c r="AA56" s="18">
        <f>AA18*_xlfn.XLOOKUP($B56,params!$O$16:$O$26,params!$P$16:$P$26,0)</f>
        <v>0</v>
      </c>
      <c r="AB56" s="18">
        <f>AB18*_xlfn.XLOOKUP($B56,params!$O$16:$O$26,params!$P$16:$P$26,0)</f>
        <v>0</v>
      </c>
      <c r="AC56" s="18">
        <f>AC18*_xlfn.XLOOKUP($B56,params!$O$16:$O$26,params!$P$16:$P$26,0)</f>
        <v>0</v>
      </c>
      <c r="AD56" s="18">
        <f>AD18*_xlfn.XLOOKUP($B56,params!$O$16:$O$26,params!$P$16:$P$26,0)</f>
        <v>0</v>
      </c>
      <c r="AE56" s="18">
        <f>AE18*_xlfn.XLOOKUP($B56,params!$O$16:$O$26,params!$P$16:$P$26,0)</f>
        <v>0</v>
      </c>
      <c r="AF56" s="18">
        <f>AF18*_xlfn.XLOOKUP($B56,params!$O$16:$O$26,params!$P$16:$P$26,0)</f>
        <v>0</v>
      </c>
      <c r="AG56" s="18">
        <f>AG18*_xlfn.XLOOKUP($B56,params!$O$16:$O$26,params!$P$16:$P$26,0)</f>
        <v>0</v>
      </c>
      <c r="AH56" s="18">
        <f>AH18*_xlfn.XLOOKUP($B56,params!$O$16:$O$26,params!$P$16:$P$26,0)</f>
        <v>0</v>
      </c>
      <c r="AI56" s="18">
        <f>AI18*_xlfn.XLOOKUP($B56,params!$O$16:$O$26,params!$P$16:$P$26,0)</f>
        <v>0</v>
      </c>
      <c r="AJ56" s="111">
        <f>AJ18*_xlfn.XLOOKUP($B56,params!$O$16:$O$26,params!$P$16:$P$26,0)</f>
        <v>0</v>
      </c>
      <c r="AK56" s="55">
        <f t="shared" si="17"/>
        <v>0</v>
      </c>
    </row>
    <row r="57" spans="1:37">
      <c r="A57" s="95" t="s">
        <v>18</v>
      </c>
      <c r="B57" s="4" t="s">
        <v>13</v>
      </c>
      <c r="C57" s="4" t="s">
        <v>53</v>
      </c>
      <c r="D57" s="91" t="s">
        <v>58</v>
      </c>
      <c r="E57" s="110">
        <f>E19*_xlfn.XLOOKUP($B57,params!$O$16:$O$26,params!$P$16:$P$26,0)</f>
        <v>6.3722240303520056E-2</v>
      </c>
      <c r="F57" s="18">
        <f>F19*_xlfn.XLOOKUP($B57,params!$O$16:$O$26,params!$P$16:$P$26,0)</f>
        <v>6.0316433777836909E-2</v>
      </c>
      <c r="G57" s="18">
        <f>G19*_xlfn.XLOOKUP($B57,params!$O$16:$O$26,params!$P$16:$P$26,0)</f>
        <v>5.6668755790864084E-2</v>
      </c>
      <c r="H57" s="18">
        <f>H19*_xlfn.XLOOKUP($B57,params!$O$16:$O$26,params!$P$16:$P$26,0)</f>
        <v>5.277610705903181E-2</v>
      </c>
      <c r="I57" s="18">
        <f>I19*_xlfn.XLOOKUP($B57,params!$O$16:$O$26,params!$P$16:$P$26,0)</f>
        <v>4.8636765725434059E-2</v>
      </c>
      <c r="J57" s="18">
        <f>J19*_xlfn.XLOOKUP($B57,params!$O$16:$O$26,params!$P$16:$P$26,0)</f>
        <v>4.4249399617278626E-2</v>
      </c>
      <c r="K57" s="18">
        <f>K19*_xlfn.XLOOKUP($B57,params!$O$16:$O$26,params!$P$16:$P$26,0)</f>
        <v>4.3538733125083877E-2</v>
      </c>
      <c r="L57" s="18">
        <f>L19*_xlfn.XLOOKUP($B57,params!$O$16:$O$26,params!$P$16:$P$26,0)</f>
        <v>0.30382245917216399</v>
      </c>
      <c r="M57" s="18">
        <f>M19*_xlfn.XLOOKUP($B57,params!$O$16:$O$26,params!$P$16:$P$26,0)</f>
        <v>0.57574942806177987</v>
      </c>
      <c r="N57" s="18">
        <f>N19*_xlfn.XLOOKUP($B57,params!$O$16:$O$26,params!$P$16:$P$26,0)</f>
        <v>0.85930847138150246</v>
      </c>
      <c r="O57" s="18">
        <f>O19*_xlfn.XLOOKUP($B57,params!$O$16:$O$26,params!$P$16:$P$26,0)</f>
        <v>1.1543926612695801</v>
      </c>
      <c r="P57" s="18">
        <f>P19*_xlfn.XLOOKUP($B57,params!$O$16:$O$26,params!$P$16:$P$26,0)</f>
        <v>1.4608149000474093</v>
      </c>
      <c r="Q57" s="18">
        <f>Q19*_xlfn.XLOOKUP($B57,params!$O$16:$O$26,params!$P$16:$P$26,0)</f>
        <v>1.7783491394626931</v>
      </c>
      <c r="R57" s="18">
        <f>R19*_xlfn.XLOOKUP($B57,params!$O$16:$O$26,params!$P$16:$P$26,0)</f>
        <v>2.1067507161649095</v>
      </c>
      <c r="S57" s="18">
        <f>S19*_xlfn.XLOOKUP($B57,params!$O$16:$O$26,params!$P$16:$P$26,0)</f>
        <v>2.4457397581863232</v>
      </c>
      <c r="T57" s="18">
        <f>T19*_xlfn.XLOOKUP($B57,params!$O$16:$O$26,params!$P$16:$P$26,0)</f>
        <v>2.7950393452272357</v>
      </c>
      <c r="U57" s="18">
        <f>U19*_xlfn.XLOOKUP($B57,params!$O$16:$O$26,params!$P$16:$P$26,0)</f>
        <v>3.1547266569859125</v>
      </c>
      <c r="V57" s="18">
        <f>V19*_xlfn.XLOOKUP($B57,params!$O$16:$O$26,params!$P$16:$P$26,0)</f>
        <v>3.5246208371550725</v>
      </c>
      <c r="W57" s="18">
        <f>W19*_xlfn.XLOOKUP($B57,params!$O$16:$O$26,params!$P$16:$P$26,0)</f>
        <v>3.9044608939676744</v>
      </c>
      <c r="X57" s="18">
        <f>X19*_xlfn.XLOOKUP($B57,params!$O$16:$O$26,params!$P$16:$P$26,0)</f>
        <v>4.2939763923882417</v>
      </c>
      <c r="Y57" s="18">
        <f>Y19*_xlfn.XLOOKUP($B57,params!$O$16:$O$26,params!$P$16:$P$26,0)</f>
        <v>4.6928678986587347</v>
      </c>
      <c r="Z57" s="18">
        <f>Z19*_xlfn.XLOOKUP($B57,params!$O$16:$O$26,params!$P$16:$P$26,0)</f>
        <v>5.100815076832653</v>
      </c>
      <c r="AA57" s="18">
        <f>AA19*_xlfn.XLOOKUP($B57,params!$O$16:$O$26,params!$P$16:$P$26,0)</f>
        <v>5.1762847472816329</v>
      </c>
      <c r="AB57" s="18">
        <f>AB19*_xlfn.XLOOKUP($B57,params!$O$16:$O$26,params!$P$16:$P$26,0)</f>
        <v>5.2503100582040814</v>
      </c>
      <c r="AC57" s="18">
        <f>AC19*_xlfn.XLOOKUP($B57,params!$O$16:$O$26,params!$P$16:$P$26,0)</f>
        <v>5.3227670967183673</v>
      </c>
      <c r="AD57" s="18">
        <f>AD19*_xlfn.XLOOKUP($B57,params!$O$16:$O$26,params!$P$16:$P$26,0)</f>
        <v>5.3935240015836721</v>
      </c>
      <c r="AE57" s="18">
        <f>AE19*_xlfn.XLOOKUP($B57,params!$O$16:$O$26,params!$P$16:$P$26,0)</f>
        <v>5.462466031102041</v>
      </c>
      <c r="AF57" s="18">
        <f>AF19*_xlfn.XLOOKUP($B57,params!$O$16:$O$26,params!$P$16:$P$26,0)</f>
        <v>5.5294835386775514</v>
      </c>
      <c r="AG57" s="18">
        <f>AG19*_xlfn.XLOOKUP($B57,params!$O$16:$O$26,params!$P$16:$P$26,0)</f>
        <v>5.5944894999673478</v>
      </c>
      <c r="AH57" s="18">
        <f>AH19*_xlfn.XLOOKUP($B57,params!$O$16:$O$26,params!$P$16:$P$26,0)</f>
        <v>5.6574142139755095</v>
      </c>
      <c r="AI57" s="18">
        <f>AI19*_xlfn.XLOOKUP($B57,params!$O$16:$O$26,params!$P$16:$P$26,0)</f>
        <v>5.7182002079510204</v>
      </c>
      <c r="AJ57" s="111">
        <f>AJ19*_xlfn.XLOOKUP($B57,params!$O$16:$O$26,params!$P$16:$P$26,0)</f>
        <v>5.7767812455673466</v>
      </c>
      <c r="AK57" s="55">
        <f t="shared" si="17"/>
        <v>93.076694009115542</v>
      </c>
    </row>
    <row r="58" spans="1:37">
      <c r="A58" s="95" t="s">
        <v>18</v>
      </c>
      <c r="B58" s="4" t="s">
        <v>14</v>
      </c>
      <c r="C58" s="4" t="s">
        <v>53</v>
      </c>
      <c r="D58" s="91" t="s">
        <v>58</v>
      </c>
      <c r="E58" s="110">
        <f>E20*_xlfn.XLOOKUP($B58,params!$O$16:$O$26,params!$P$16:$P$26,0)</f>
        <v>0</v>
      </c>
      <c r="F58" s="18">
        <f>F20*_xlfn.XLOOKUP($B58,params!$O$16:$O$26,params!$P$16:$P$26,0)</f>
        <v>0</v>
      </c>
      <c r="G58" s="18">
        <f>G20*_xlfn.XLOOKUP($B58,params!$O$16:$O$26,params!$P$16:$P$26,0)</f>
        <v>0</v>
      </c>
      <c r="H58" s="18">
        <f>H20*_xlfn.XLOOKUP($B58,params!$O$16:$O$26,params!$P$16:$P$26,0)</f>
        <v>0</v>
      </c>
      <c r="I58" s="18">
        <f>I20*_xlfn.XLOOKUP($B58,params!$O$16:$O$26,params!$P$16:$P$26,0)</f>
        <v>0</v>
      </c>
      <c r="J58" s="18">
        <f>J20*_xlfn.XLOOKUP($B58,params!$O$16:$O$26,params!$P$16:$P$26,0)</f>
        <v>0</v>
      </c>
      <c r="K58" s="18">
        <f>K20*_xlfn.XLOOKUP($B58,params!$O$16:$O$26,params!$P$16:$P$26,0)</f>
        <v>0</v>
      </c>
      <c r="L58" s="18">
        <f>L20*_xlfn.XLOOKUP($B58,params!$O$16:$O$26,params!$P$16:$P$26,0)</f>
        <v>0.31495246566584867</v>
      </c>
      <c r="M58" s="18">
        <f>M20*_xlfn.XLOOKUP($B58,params!$O$16:$O$26,params!$P$16:$P$26,0)</f>
        <v>0.64404419160817361</v>
      </c>
      <c r="N58" s="18">
        <f>N20*_xlfn.XLOOKUP($B58,params!$O$16:$O$26,params!$P$16:$P$26,0)</f>
        <v>0.98726577921835856</v>
      </c>
      <c r="O58" s="18">
        <f>O20*_xlfn.XLOOKUP($B58,params!$O$16:$O$26,params!$P$16:$P$26,0)</f>
        <v>1.3444923053235365</v>
      </c>
      <c r="P58" s="18">
        <f>P20*_xlfn.XLOOKUP($B58,params!$O$16:$O$26,params!$P$16:$P$26,0)</f>
        <v>1.7155008629926036</v>
      </c>
      <c r="Q58" s="18">
        <f>Q20*_xlfn.XLOOKUP($B58,params!$O$16:$O$26,params!$P$16:$P$26,0)</f>
        <v>2.1000197247441412</v>
      </c>
      <c r="R58" s="18">
        <f>R20*_xlfn.XLOOKUP($B58,params!$O$16:$O$26,params!$P$16:$P$26,0)</f>
        <v>2.497753503404899</v>
      </c>
      <c r="S58" s="18">
        <f>S20*_xlfn.XLOOKUP($B58,params!$O$16:$O$26,params!$P$16:$P$26,0)</f>
        <v>2.9083640611860431</v>
      </c>
      <c r="T58" s="18">
        <f>T20*_xlfn.XLOOKUP($B58,params!$O$16:$O$26,params!$P$16:$P$26,0)</f>
        <v>3.3315159852425573</v>
      </c>
      <c r="U58" s="18">
        <f>U20*_xlfn.XLOOKUP($B58,params!$O$16:$O$26,params!$P$16:$P$26,0)</f>
        <v>3.7672963432403788</v>
      </c>
      <c r="V58" s="18">
        <f>V20*_xlfn.XLOOKUP($B58,params!$O$16:$O$26,params!$P$16:$P$26,0)</f>
        <v>4.2154859811650383</v>
      </c>
      <c r="W58" s="18">
        <f>W20*_xlfn.XLOOKUP($B58,params!$O$16:$O$26,params!$P$16:$P$26,0)</f>
        <v>4.6757696050680932</v>
      </c>
      <c r="X58" s="18">
        <f>X20*_xlfn.XLOOKUP($B58,params!$O$16:$O$26,params!$P$16:$P$26,0)</f>
        <v>5.1478200748381502</v>
      </c>
      <c r="Y58" s="18">
        <f>Y20*_xlfn.XLOOKUP($B58,params!$O$16:$O$26,params!$P$16:$P$26,0)</f>
        <v>5.6312750708496244</v>
      </c>
      <c r="Z58" s="18">
        <f>Z20*_xlfn.XLOOKUP($B58,params!$O$16:$O$26,params!$P$16:$P$26,0)</f>
        <v>6.1257468025948922</v>
      </c>
      <c r="AA58" s="18">
        <f>AA20*_xlfn.XLOOKUP($B58,params!$O$16:$O$26,params!$P$16:$P$26,0)</f>
        <v>6.2163809631127833</v>
      </c>
      <c r="AB58" s="18">
        <f>AB20*_xlfn.XLOOKUP($B58,params!$O$16:$O$26,params!$P$16:$P$26,0)</f>
        <v>6.3052805418789006</v>
      </c>
      <c r="AC58" s="18">
        <f>AC20*_xlfn.XLOOKUP($B58,params!$O$16:$O$26,params!$P$16:$P$26,0)</f>
        <v>6.3922967275901446</v>
      </c>
      <c r="AD58" s="18">
        <f>AD20*_xlfn.XLOOKUP($B58,params!$O$16:$O$26,params!$P$16:$P$26,0)</f>
        <v>6.4772711634815341</v>
      </c>
      <c r="AE58" s="18">
        <f>AE20*_xlfn.XLOOKUP($B58,params!$O$16:$O$26,params!$P$16:$P$26,0)</f>
        <v>6.5600660522444469</v>
      </c>
      <c r="AF58" s="18">
        <f>AF20*_xlfn.XLOOKUP($B58,params!$O$16:$O$26,params!$P$16:$P$26,0)</f>
        <v>6.6405497154560686</v>
      </c>
      <c r="AG58" s="18">
        <f>AG20*_xlfn.XLOOKUP($B58,params!$O$16:$O$26,params!$P$16:$P$26,0)</f>
        <v>6.7186176425466231</v>
      </c>
      <c r="AH58" s="18">
        <f>AH20*_xlfn.XLOOKUP($B58,params!$O$16:$O$26,params!$P$16:$P$26,0)</f>
        <v>6.7941861271581168</v>
      </c>
      <c r="AI58" s="18">
        <f>AI20*_xlfn.XLOOKUP($B58,params!$O$16:$O$26,params!$P$16:$P$26,0)</f>
        <v>6.8671861482585204</v>
      </c>
      <c r="AJ58" s="111">
        <f>AJ20*_xlfn.XLOOKUP($B58,params!$O$16:$O$26,params!$P$16:$P$26,0)</f>
        <v>6.9375381603321919</v>
      </c>
      <c r="AK58" s="55">
        <f t="shared" si="17"/>
        <v>111.31667599920168</v>
      </c>
    </row>
    <row r="59" spans="1:37">
      <c r="A59" s="95" t="s">
        <v>18</v>
      </c>
      <c r="B59" s="4" t="s">
        <v>15</v>
      </c>
      <c r="C59" s="4" t="s">
        <v>53</v>
      </c>
      <c r="D59" s="91" t="s">
        <v>58</v>
      </c>
      <c r="E59" s="110">
        <f>E21*_xlfn.XLOOKUP($B59,params!$O$16:$O$26,params!$P$16:$P$26,0)</f>
        <v>0</v>
      </c>
      <c r="F59" s="18">
        <f>F21*_xlfn.XLOOKUP($B59,params!$O$16:$O$26,params!$P$16:$P$26,0)</f>
        <v>0</v>
      </c>
      <c r="G59" s="18">
        <f>G21*_xlfn.XLOOKUP($B59,params!$O$16:$O$26,params!$P$16:$P$26,0)</f>
        <v>0</v>
      </c>
      <c r="H59" s="18">
        <f>H21*_xlfn.XLOOKUP($B59,params!$O$16:$O$26,params!$P$16:$P$26,0)</f>
        <v>0</v>
      </c>
      <c r="I59" s="18">
        <f>I21*_xlfn.XLOOKUP($B59,params!$O$16:$O$26,params!$P$16:$P$26,0)</f>
        <v>0</v>
      </c>
      <c r="J59" s="18">
        <f>J21*_xlfn.XLOOKUP($B59,params!$O$16:$O$26,params!$P$16:$P$26,0)</f>
        <v>0</v>
      </c>
      <c r="K59" s="18">
        <f>K21*_xlfn.XLOOKUP($B59,params!$O$16:$O$26,params!$P$16:$P$26,0)</f>
        <v>0</v>
      </c>
      <c r="L59" s="18">
        <f>L21*_xlfn.XLOOKUP($B59,params!$O$16:$O$26,params!$P$16:$P$26,0)</f>
        <v>4.5894812338285726E-2</v>
      </c>
      <c r="M59" s="18">
        <f>M21*_xlfn.XLOOKUP($B59,params!$O$16:$O$26,params!$P$16:$P$26,0)</f>
        <v>9.3849994947428558E-2</v>
      </c>
      <c r="N59" s="18">
        <f>N21*_xlfn.XLOOKUP($B59,params!$O$16:$O$26,params!$P$16:$P$26,0)</f>
        <v>0.143864178264</v>
      </c>
      <c r="O59" s="18">
        <f>O21*_xlfn.XLOOKUP($B59,params!$O$16:$O$26,params!$P$16:$P$26,0)</f>
        <v>0.19591915850742858</v>
      </c>
      <c r="P59" s="18">
        <f>P21*_xlfn.XLOOKUP($B59,params!$O$16:$O$26,params!$P$16:$P$26,0)</f>
        <v>0.24998245372285721</v>
      </c>
      <c r="Q59" s="18">
        <f>Q21*_xlfn.XLOOKUP($B59,params!$O$16:$O$26,params!$P$16:$P$26,0)</f>
        <v>0.30601446783428576</v>
      </c>
      <c r="R59" s="18">
        <f>R21*_xlfn.XLOOKUP($B59,params!$O$16:$O$26,params!$P$16:$P$26,0)</f>
        <v>0.36397215708000002</v>
      </c>
      <c r="S59" s="18">
        <f>S21*_xlfn.XLOOKUP($B59,params!$O$16:$O$26,params!$P$16:$P$26,0)</f>
        <v>0.42380624808685724</v>
      </c>
      <c r="T59" s="18">
        <f>T21*_xlfn.XLOOKUP($B59,params!$O$16:$O$26,params!$P$16:$P$26,0)</f>
        <v>0.48546786456000002</v>
      </c>
      <c r="U59" s="18">
        <f>U21*_xlfn.XLOOKUP($B59,params!$O$16:$O$26,params!$P$16:$P$26,0)</f>
        <v>0.54896969398285722</v>
      </c>
      <c r="V59" s="18">
        <f>V21*_xlfn.XLOOKUP($B59,params!$O$16:$O$26,params!$P$16:$P$26,0)</f>
        <v>0.61427980127485737</v>
      </c>
      <c r="W59" s="18">
        <f>W21*_xlfn.XLOOKUP($B59,params!$O$16:$O$26,params!$P$16:$P$26,0)</f>
        <v>0.68135224186285737</v>
      </c>
      <c r="X59" s="18">
        <f>X21*_xlfn.XLOOKUP($B59,params!$O$16:$O$26,params!$P$16:$P$26,0)</f>
        <v>0.75013934495314294</v>
      </c>
      <c r="Y59" s="18">
        <f>Y21*_xlfn.XLOOKUP($B59,params!$O$16:$O$26,params!$P$16:$P$26,0)</f>
        <v>0.82058831340000016</v>
      </c>
      <c r="Z59" s="18">
        <f>Z21*_xlfn.XLOOKUP($B59,params!$O$16:$O$26,params!$P$16:$P$26,0)</f>
        <v>0.89264263844571434</v>
      </c>
      <c r="AA59" s="18">
        <f>AA21*_xlfn.XLOOKUP($B59,params!$O$16:$O$26,params!$P$16:$P$26,0)</f>
        <v>0.90584983077428582</v>
      </c>
      <c r="AB59" s="18">
        <f>AB21*_xlfn.XLOOKUP($B59,params!$O$16:$O$26,params!$P$16:$P$26,0)</f>
        <v>0.91880426018571426</v>
      </c>
      <c r="AC59" s="18">
        <f>AC21*_xlfn.XLOOKUP($B59,params!$O$16:$O$26,params!$P$16:$P$26,0)</f>
        <v>0.93148424192571433</v>
      </c>
      <c r="AD59" s="18">
        <f>AD21*_xlfn.XLOOKUP($B59,params!$O$16:$O$26,params!$P$16:$P$26,0)</f>
        <v>0.94386670027714281</v>
      </c>
      <c r="AE59" s="18">
        <f>AE21*_xlfn.XLOOKUP($B59,params!$O$16:$O$26,params!$P$16:$P$26,0)</f>
        <v>0.95593155544285713</v>
      </c>
      <c r="AF59" s="18">
        <f>AF21*_xlfn.XLOOKUP($B59,params!$O$16:$O$26,params!$P$16:$P$26,0)</f>
        <v>0.96765961926857147</v>
      </c>
      <c r="AG59" s="18">
        <f>AG21*_xlfn.XLOOKUP($B59,params!$O$16:$O$26,params!$P$16:$P$26,0)</f>
        <v>0.97903566249428586</v>
      </c>
      <c r="AH59" s="18">
        <f>AH21*_xlfn.XLOOKUP($B59,params!$O$16:$O$26,params!$P$16:$P$26,0)</f>
        <v>0.99004748744571414</v>
      </c>
      <c r="AI59" s="18">
        <f>AI21*_xlfn.XLOOKUP($B59,params!$O$16:$O$26,params!$P$16:$P$26,0)</f>
        <v>1.0006850363914284</v>
      </c>
      <c r="AJ59" s="111">
        <f>AJ21*_xlfn.XLOOKUP($B59,params!$O$16:$O$26,params!$P$16:$P$26,0)</f>
        <v>1.0109367179742856</v>
      </c>
      <c r="AK59" s="55">
        <f t="shared" si="17"/>
        <v>16.221044481440575</v>
      </c>
    </row>
    <row r="60" spans="1:37">
      <c r="A60" s="97" t="s">
        <v>18</v>
      </c>
      <c r="B60" s="40" t="s">
        <v>16</v>
      </c>
      <c r="C60" s="4" t="s">
        <v>53</v>
      </c>
      <c r="D60" s="91" t="s">
        <v>58</v>
      </c>
      <c r="E60" s="110">
        <f>E22*_xlfn.XLOOKUP($B60,params!$O$16:$O$26,params!$P$16:$P$26,0)</f>
        <v>0</v>
      </c>
      <c r="F60" s="18">
        <f>F22*_xlfn.XLOOKUP($B60,params!$O$16:$O$26,params!$P$16:$P$26,0)</f>
        <v>0</v>
      </c>
      <c r="G60" s="18">
        <f>G22*_xlfn.XLOOKUP($B60,params!$O$16:$O$26,params!$P$16:$P$26,0)</f>
        <v>0</v>
      </c>
      <c r="H60" s="18">
        <f>H22*_xlfn.XLOOKUP($B60,params!$O$16:$O$26,params!$P$16:$P$26,0)</f>
        <v>0</v>
      </c>
      <c r="I60" s="18">
        <f>I22*_xlfn.XLOOKUP($B60,params!$O$16:$O$26,params!$P$16:$P$26,0)</f>
        <v>0</v>
      </c>
      <c r="J60" s="18">
        <f>J22*_xlfn.XLOOKUP($B60,params!$O$16:$O$26,params!$P$16:$P$26,0)</f>
        <v>0</v>
      </c>
      <c r="K60" s="18">
        <f>K22*_xlfn.XLOOKUP($B60,params!$O$16:$O$26,params!$P$16:$P$26,0)</f>
        <v>0</v>
      </c>
      <c r="L60" s="18">
        <f>L22*_xlfn.XLOOKUP($B60,params!$O$16:$O$26,params!$P$16:$P$26,0)</f>
        <v>7.8738116416462167E-2</v>
      </c>
      <c r="M60" s="18">
        <f>M22*_xlfn.XLOOKUP($B60,params!$O$16:$O$26,params!$P$16:$P$26,0)</f>
        <v>0.1610110479020434</v>
      </c>
      <c r="N60" s="18">
        <f>N22*_xlfn.XLOOKUP($B60,params!$O$16:$O$26,params!$P$16:$P$26,0)</f>
        <v>0.24681644480458964</v>
      </c>
      <c r="O60" s="18">
        <f>O22*_xlfn.XLOOKUP($B60,params!$O$16:$O$26,params!$P$16:$P$26,0)</f>
        <v>0.33612307633088406</v>
      </c>
      <c r="P60" s="18">
        <f>P22*_xlfn.XLOOKUP($B60,params!$O$16:$O$26,params!$P$16:$P$26,0)</f>
        <v>0.42887521574815096</v>
      </c>
      <c r="Q60" s="18">
        <f>Q22*_xlfn.XLOOKUP($B60,params!$O$16:$O$26,params!$P$16:$P$26,0)</f>
        <v>0.52500493118603531</v>
      </c>
      <c r="R60" s="18">
        <f>R22*_xlfn.XLOOKUP($B60,params!$O$16:$O$26,params!$P$16:$P$26,0)</f>
        <v>0.62443837585122475</v>
      </c>
      <c r="S60" s="18">
        <f>S22*_xlfn.XLOOKUP($B60,params!$O$16:$O$26,params!$P$16:$P$26,0)</f>
        <v>0.72709101529651066</v>
      </c>
      <c r="T60" s="18">
        <f>T22*_xlfn.XLOOKUP($B60,params!$O$16:$O$26,params!$P$16:$P$26,0)</f>
        <v>0.83287899631063922</v>
      </c>
      <c r="U60" s="18">
        <f>U22*_xlfn.XLOOKUP($B60,params!$O$16:$O$26,params!$P$16:$P$26,0)</f>
        <v>0.94182408581009469</v>
      </c>
      <c r="V60" s="18">
        <f>V22*_xlfn.XLOOKUP($B60,params!$O$16:$O$26,params!$P$16:$P$26,0)</f>
        <v>1.0538714952912596</v>
      </c>
      <c r="W60" s="18">
        <f>W22*_xlfn.XLOOKUP($B60,params!$O$16:$O$26,params!$P$16:$P$26,0)</f>
        <v>1.1689424012670233</v>
      </c>
      <c r="X60" s="18">
        <f>X22*_xlfn.XLOOKUP($B60,params!$O$16:$O$26,params!$P$16:$P$26,0)</f>
        <v>1.2869550187095378</v>
      </c>
      <c r="Y60" s="18">
        <f>Y22*_xlfn.XLOOKUP($B60,params!$O$16:$O$26,params!$P$16:$P$26,0)</f>
        <v>1.4078187677124057</v>
      </c>
      <c r="Z60" s="18">
        <f>Z22*_xlfn.XLOOKUP($B60,params!$O$16:$O$26,params!$P$16:$P$26,0)</f>
        <v>1.5314367006487228</v>
      </c>
      <c r="AA60" s="18">
        <f>AA22*_xlfn.XLOOKUP($B60,params!$O$16:$O$26,params!$P$16:$P$26,0)</f>
        <v>1.5540952407781958</v>
      </c>
      <c r="AB60" s="18">
        <f>AB22*_xlfn.XLOOKUP($B60,params!$O$16:$O$26,params!$P$16:$P$26,0)</f>
        <v>1.5763201354697252</v>
      </c>
      <c r="AC60" s="18">
        <f>AC22*_xlfn.XLOOKUP($B60,params!$O$16:$O$26,params!$P$16:$P$26,0)</f>
        <v>1.5980741818975361</v>
      </c>
      <c r="AD60" s="18">
        <f>AD22*_xlfn.XLOOKUP($B60,params!$O$16:$O$26,params!$P$16:$P$26,0)</f>
        <v>1.6193177908703835</v>
      </c>
      <c r="AE60" s="18">
        <f>AE22*_xlfn.XLOOKUP($B60,params!$O$16:$O$26,params!$P$16:$P$26,0)</f>
        <v>1.6400165130611117</v>
      </c>
      <c r="AF60" s="18">
        <f>AF22*_xlfn.XLOOKUP($B60,params!$O$16:$O$26,params!$P$16:$P$26,0)</f>
        <v>1.6601374288640172</v>
      </c>
      <c r="AG60" s="18">
        <f>AG22*_xlfn.XLOOKUP($B60,params!$O$16:$O$26,params!$P$16:$P$26,0)</f>
        <v>1.6796544106366558</v>
      </c>
      <c r="AH60" s="18">
        <f>AH22*_xlfn.XLOOKUP($B60,params!$O$16:$O$26,params!$P$16:$P$26,0)</f>
        <v>1.6985465317895287</v>
      </c>
      <c r="AI60" s="18">
        <f>AI22*_xlfn.XLOOKUP($B60,params!$O$16:$O$26,params!$P$16:$P$26,0)</f>
        <v>1.7167965370646296</v>
      </c>
      <c r="AJ60" s="111">
        <f>AJ22*_xlfn.XLOOKUP($B60,params!$O$16:$O$26,params!$P$16:$P$26,0)</f>
        <v>1.7343845400830478</v>
      </c>
      <c r="AK60" s="55">
        <f t="shared" si="17"/>
        <v>27.829168999800416</v>
      </c>
    </row>
    <row r="61" spans="1:37" ht="17" thickBot="1">
      <c r="A61" s="96" t="s">
        <v>18</v>
      </c>
      <c r="B61" s="32" t="s">
        <v>17</v>
      </c>
      <c r="C61" s="32" t="s">
        <v>53</v>
      </c>
      <c r="D61" s="93" t="s">
        <v>58</v>
      </c>
      <c r="E61" s="112">
        <f>E23*_xlfn.XLOOKUP($B61,params!$O$16:$O$26,params!$P$16:$P$26,0)</f>
        <v>0</v>
      </c>
      <c r="F61" s="113">
        <f>F23*_xlfn.XLOOKUP($B61,params!$O$16:$O$26,params!$P$16:$P$26,0)</f>
        <v>0</v>
      </c>
      <c r="G61" s="113">
        <f>G23*_xlfn.XLOOKUP($B61,params!$O$16:$O$26,params!$P$16:$P$26,0)</f>
        <v>0</v>
      </c>
      <c r="H61" s="113">
        <f>H23*_xlfn.XLOOKUP($B61,params!$O$16:$O$26,params!$P$16:$P$26,0)</f>
        <v>0</v>
      </c>
      <c r="I61" s="113">
        <f>I23*_xlfn.XLOOKUP($B61,params!$O$16:$O$26,params!$P$16:$P$26,0)</f>
        <v>0</v>
      </c>
      <c r="J61" s="113">
        <f>J23*_xlfn.XLOOKUP($B61,params!$O$16:$O$26,params!$P$16:$P$26,0)</f>
        <v>0</v>
      </c>
      <c r="K61" s="113">
        <f>K23*_xlfn.XLOOKUP($B61,params!$O$16:$O$26,params!$P$16:$P$26,0)</f>
        <v>0</v>
      </c>
      <c r="L61" s="113">
        <f>L23*_xlfn.XLOOKUP($B61,params!$O$16:$O$26,params!$P$16:$P$26,0)</f>
        <v>0</v>
      </c>
      <c r="M61" s="113">
        <f>M23*_xlfn.XLOOKUP($B61,params!$O$16:$O$26,params!$P$16:$P$26,0)</f>
        <v>0</v>
      </c>
      <c r="N61" s="113">
        <f>N23*_xlfn.XLOOKUP($B61,params!$O$16:$O$26,params!$P$16:$P$26,0)</f>
        <v>0</v>
      </c>
      <c r="O61" s="113">
        <f>O23*_xlfn.XLOOKUP($B61,params!$O$16:$O$26,params!$P$16:$P$26,0)</f>
        <v>0</v>
      </c>
      <c r="P61" s="113">
        <f>P23*_xlfn.XLOOKUP($B61,params!$O$16:$O$26,params!$P$16:$P$26,0)</f>
        <v>0</v>
      </c>
      <c r="Q61" s="113">
        <f>Q23*_xlfn.XLOOKUP($B61,params!$O$16:$O$26,params!$P$16:$P$26,0)</f>
        <v>0</v>
      </c>
      <c r="R61" s="113">
        <f>R23*_xlfn.XLOOKUP($B61,params!$O$16:$O$26,params!$P$16:$P$26,0)</f>
        <v>0</v>
      </c>
      <c r="S61" s="113">
        <f>S23*_xlfn.XLOOKUP($B61,params!$O$16:$O$26,params!$P$16:$P$26,0)</f>
        <v>0</v>
      </c>
      <c r="T61" s="113">
        <f>T23*_xlfn.XLOOKUP($B61,params!$O$16:$O$26,params!$P$16:$P$26,0)</f>
        <v>0</v>
      </c>
      <c r="U61" s="113">
        <f>U23*_xlfn.XLOOKUP($B61,params!$O$16:$O$26,params!$P$16:$P$26,0)</f>
        <v>0</v>
      </c>
      <c r="V61" s="113">
        <f>V23*_xlfn.XLOOKUP($B61,params!$O$16:$O$26,params!$P$16:$P$26,0)</f>
        <v>0</v>
      </c>
      <c r="W61" s="113">
        <f>W23*_xlfn.XLOOKUP($B61,params!$O$16:$O$26,params!$P$16:$P$26,0)</f>
        <v>0</v>
      </c>
      <c r="X61" s="113">
        <f>X23*_xlfn.XLOOKUP($B61,params!$O$16:$O$26,params!$P$16:$P$26,0)</f>
        <v>0</v>
      </c>
      <c r="Y61" s="113">
        <f>Y23*_xlfn.XLOOKUP($B61,params!$O$16:$O$26,params!$P$16:$P$26,0)</f>
        <v>0</v>
      </c>
      <c r="Z61" s="113">
        <f>Z23*_xlfn.XLOOKUP($B61,params!$O$16:$O$26,params!$P$16:$P$26,0)</f>
        <v>0</v>
      </c>
      <c r="AA61" s="113">
        <f>AA23*_xlfn.XLOOKUP($B61,params!$O$16:$O$26,params!$P$16:$P$26,0)</f>
        <v>0</v>
      </c>
      <c r="AB61" s="113">
        <f>AB23*_xlfn.XLOOKUP($B61,params!$O$16:$O$26,params!$P$16:$P$26,0)</f>
        <v>0</v>
      </c>
      <c r="AC61" s="113">
        <f>AC23*_xlfn.XLOOKUP($B61,params!$O$16:$O$26,params!$P$16:$P$26,0)</f>
        <v>0</v>
      </c>
      <c r="AD61" s="113">
        <f>AD23*_xlfn.XLOOKUP($B61,params!$O$16:$O$26,params!$P$16:$P$26,0)</f>
        <v>0</v>
      </c>
      <c r="AE61" s="113">
        <f>AE23*_xlfn.XLOOKUP($B61,params!$O$16:$O$26,params!$P$16:$P$26,0)</f>
        <v>0</v>
      </c>
      <c r="AF61" s="113">
        <f>AF23*_xlfn.XLOOKUP($B61,params!$O$16:$O$26,params!$P$16:$P$26,0)</f>
        <v>0</v>
      </c>
      <c r="AG61" s="113">
        <f>AG23*_xlfn.XLOOKUP($B61,params!$O$16:$O$26,params!$P$16:$P$26,0)</f>
        <v>0</v>
      </c>
      <c r="AH61" s="113">
        <f>AH23*_xlfn.XLOOKUP($B61,params!$O$16:$O$26,params!$P$16:$P$26,0)</f>
        <v>0</v>
      </c>
      <c r="AI61" s="113">
        <f>AI23*_xlfn.XLOOKUP($B61,params!$O$16:$O$26,params!$P$16:$P$26,0)</f>
        <v>0</v>
      </c>
      <c r="AJ61" s="114">
        <f>AJ23*_xlfn.XLOOKUP($B61,params!$O$16:$O$26,params!$P$16:$P$26,0)</f>
        <v>0</v>
      </c>
      <c r="AK61" s="55">
        <f t="shared" si="17"/>
        <v>0</v>
      </c>
    </row>
    <row r="62" spans="1:37">
      <c r="A62" s="29" t="s">
        <v>19</v>
      </c>
      <c r="B62" s="29" t="s">
        <v>36</v>
      </c>
      <c r="C62" s="88" t="s">
        <v>53</v>
      </c>
      <c r="D62" s="89" t="s">
        <v>58</v>
      </c>
      <c r="E62" s="107">
        <f>E24*_xlfn.XLOOKUP($B62,params!$O$16:$O$26,params!$P$16:$P$26,0)</f>
        <v>23.475278666477237</v>
      </c>
      <c r="F62" s="108">
        <f>F24*_xlfn.XLOOKUP($B62,params!$O$16:$O$26,params!$P$16:$P$26,0)</f>
        <v>23.525648025394233</v>
      </c>
      <c r="G62" s="108">
        <f>G24*_xlfn.XLOOKUP($B62,params!$O$16:$O$26,params!$P$16:$P$26,0)</f>
        <v>23.522415544663723</v>
      </c>
      <c r="H62" s="108">
        <f>H24*_xlfn.XLOOKUP($B62,params!$O$16:$O$26,params!$P$16:$P$26,0)</f>
        <v>23.461397709045663</v>
      </c>
      <c r="I62" s="108">
        <f>I24*_xlfn.XLOOKUP($B62,params!$O$16:$O$26,params!$P$16:$P$26,0)</f>
        <v>23.337922482952148</v>
      </c>
      <c r="J62" s="108">
        <f>J24*_xlfn.XLOOKUP($B62,params!$O$16:$O$26,params!$P$16:$P$26,0)</f>
        <v>23.147167096593851</v>
      </c>
      <c r="K62" s="108">
        <f>K24*_xlfn.XLOOKUP($B62,params!$O$16:$O$26,params!$P$16:$P$26,0)</f>
        <v>23.200102271435448</v>
      </c>
      <c r="L62" s="108">
        <f>L24*_xlfn.XLOOKUP($B62,params!$O$16:$O$26,params!$P$16:$P$26,0)</f>
        <v>22.55836023980838</v>
      </c>
      <c r="M62" s="108">
        <f>M24*_xlfn.XLOOKUP($B62,params!$O$16:$O$26,params!$P$16:$P$26,0)</f>
        <v>21.809874125210122</v>
      </c>
      <c r="N62" s="108">
        <f>N24*_xlfn.XLOOKUP($B62,params!$O$16:$O$26,params!$P$16:$P$26,0)</f>
        <v>20.948881843613929</v>
      </c>
      <c r="O62" s="108">
        <f>O24*_xlfn.XLOOKUP($B62,params!$O$16:$O$26,params!$P$16:$P$26,0)</f>
        <v>19.969663141642105</v>
      </c>
      <c r="P62" s="108">
        <f>P24*_xlfn.XLOOKUP($B62,params!$O$16:$O$26,params!$P$16:$P$26,0)</f>
        <v>18.866747578084382</v>
      </c>
      <c r="Q62" s="108">
        <f>Q24*_xlfn.XLOOKUP($B62,params!$O$16:$O$26,params!$P$16:$P$26,0)</f>
        <v>17.634906673327926</v>
      </c>
      <c r="R62" s="108">
        <f>R24*_xlfn.XLOOKUP($B62,params!$O$16:$O$26,params!$P$16:$P$26,0)</f>
        <v>16.269150042658659</v>
      </c>
      <c r="S62" s="108">
        <f>S24*_xlfn.XLOOKUP($B62,params!$O$16:$O$26,params!$P$16:$P$26,0)</f>
        <v>14.764553269584965</v>
      </c>
      <c r="T62" s="108">
        <f>T24*_xlfn.XLOOKUP($B62,params!$O$16:$O$26,params!$P$16:$P$26,0)</f>
        <v>13.116201780120893</v>
      </c>
      <c r="U62" s="108">
        <f>U24*_xlfn.XLOOKUP($B62,params!$O$16:$O$26,params!$P$16:$P$26,0)</f>
        <v>11.323426635399738</v>
      </c>
      <c r="V62" s="108">
        <f>V24*_xlfn.XLOOKUP($B62,params!$O$16:$O$26,params!$P$16:$P$26,0)</f>
        <v>9.3802444121901445</v>
      </c>
      <c r="W62" s="108">
        <f>W24*_xlfn.XLOOKUP($B62,params!$O$16:$O$26,params!$P$16:$P$26,0)</f>
        <v>7.2814638917935417</v>
      </c>
      <c r="X62" s="108">
        <f>X24*_xlfn.XLOOKUP($B62,params!$O$16:$O$26,params!$P$16:$P$26,0)</f>
        <v>5.0219524418545687</v>
      </c>
      <c r="Y62" s="108">
        <f>Y24*_xlfn.XLOOKUP($B62,params!$O$16:$O$26,params!$P$16:$P$26,0)</f>
        <v>2.5965414580031396</v>
      </c>
      <c r="Z62" s="108">
        <f>Z24*_xlfn.XLOOKUP($B62,params!$O$16:$O$26,params!$P$16:$P$26,0)</f>
        <v>0</v>
      </c>
      <c r="AA62" s="108">
        <f>AA24*_xlfn.XLOOKUP($B62,params!$O$16:$O$26,params!$P$16:$P$26,0)</f>
        <v>0</v>
      </c>
      <c r="AB62" s="108">
        <f>AB24*_xlfn.XLOOKUP($B62,params!$O$16:$O$26,params!$P$16:$P$26,0)</f>
        <v>0</v>
      </c>
      <c r="AC62" s="108">
        <f>AC24*_xlfn.XLOOKUP($B62,params!$O$16:$O$26,params!$P$16:$P$26,0)</f>
        <v>0</v>
      </c>
      <c r="AD62" s="108">
        <f>AD24*_xlfn.XLOOKUP($B62,params!$O$16:$O$26,params!$P$16:$P$26,0)</f>
        <v>0</v>
      </c>
      <c r="AE62" s="108">
        <f>AE24*_xlfn.XLOOKUP($B62,params!$O$16:$O$26,params!$P$16:$P$26,0)</f>
        <v>0</v>
      </c>
      <c r="AF62" s="108">
        <f>AF24*_xlfn.XLOOKUP($B62,params!$O$16:$O$26,params!$P$16:$P$26,0)</f>
        <v>0</v>
      </c>
      <c r="AG62" s="108">
        <f>AG24*_xlfn.XLOOKUP($B62,params!$O$16:$O$26,params!$P$16:$P$26,0)</f>
        <v>0</v>
      </c>
      <c r="AH62" s="108">
        <f>AH24*_xlfn.XLOOKUP($B62,params!$O$16:$O$26,params!$P$16:$P$26,0)</f>
        <v>0</v>
      </c>
      <c r="AI62" s="108">
        <f>AI24*_xlfn.XLOOKUP($B62,params!$O$16:$O$26,params!$P$16:$P$26,0)</f>
        <v>0</v>
      </c>
      <c r="AJ62" s="109">
        <f>AJ24*_xlfn.XLOOKUP($B62,params!$O$16:$O$26,params!$P$16:$P$26,0)</f>
        <v>0</v>
      </c>
      <c r="AK62" s="55">
        <f t="shared" si="17"/>
        <v>224.74206980472792</v>
      </c>
    </row>
    <row r="63" spans="1:37">
      <c r="A63" s="4" t="s">
        <v>19</v>
      </c>
      <c r="B63" s="4" t="s">
        <v>8</v>
      </c>
      <c r="C63" s="4" t="s">
        <v>53</v>
      </c>
      <c r="D63" s="91" t="s">
        <v>58</v>
      </c>
      <c r="E63" s="110">
        <f>E25*_xlfn.XLOOKUP($B63,params!$O$16:$O$26,params!$P$16:$P$26,0)</f>
        <v>31.161672287757231</v>
      </c>
      <c r="F63" s="18">
        <f>F25*_xlfn.XLOOKUP($B63,params!$O$16:$O$26,params!$P$16:$P$26,0)</f>
        <v>33.193002756724866</v>
      </c>
      <c r="G63" s="18">
        <f>G25*_xlfn.XLOOKUP($B63,params!$O$16:$O$26,params!$P$16:$P$26,0)</f>
        <v>35.328019562417175</v>
      </c>
      <c r="H63" s="18">
        <f>H25*_xlfn.XLOOKUP($B63,params!$O$16:$O$26,params!$P$16:$P$26,0)</f>
        <v>37.569851339523261</v>
      </c>
      <c r="I63" s="18">
        <f>I25*_xlfn.XLOOKUP($B63,params!$O$16:$O$26,params!$P$16:$P$26,0)</f>
        <v>39.920890613630235</v>
      </c>
      <c r="J63" s="18">
        <f>J25*_xlfn.XLOOKUP($B63,params!$O$16:$O$26,params!$P$16:$P$26,0)</f>
        <v>42.383143689717805</v>
      </c>
      <c r="K63" s="18">
        <f>K25*_xlfn.XLOOKUP($B63,params!$O$16:$O$26,params!$P$16:$P$26,0)</f>
        <v>44.557863732544234</v>
      </c>
      <c r="L63" s="18">
        <f>L25*_xlfn.XLOOKUP($B63,params!$O$16:$O$26,params!$P$16:$P$26,0)</f>
        <v>43.325340976302286</v>
      </c>
      <c r="M63" s="18">
        <f>M25*_xlfn.XLOOKUP($B63,params!$O$16:$O$26,params!$P$16:$P$26,0)</f>
        <v>41.88780669693692</v>
      </c>
      <c r="N63" s="18">
        <f>N25*_xlfn.XLOOKUP($B63,params!$O$16:$O$26,params!$P$16:$P$26,0)</f>
        <v>40.234194298625631</v>
      </c>
      <c r="O63" s="18">
        <f>O25*_xlfn.XLOOKUP($B63,params!$O$16:$O$26,params!$P$16:$P$26,0)</f>
        <v>38.35351752503486</v>
      </c>
      <c r="P63" s="18">
        <f>P25*_xlfn.XLOOKUP($B63,params!$O$16:$O$26,params!$P$16:$P$26,0)</f>
        <v>36.235269906358887</v>
      </c>
      <c r="Q63" s="18">
        <f>Q25*_xlfn.XLOOKUP($B63,params!$O$16:$O$26,params!$P$16:$P$26,0)</f>
        <v>33.869409681600665</v>
      </c>
      <c r="R63" s="18">
        <f>R25*_xlfn.XLOOKUP($B63,params!$O$16:$O$26,params!$P$16:$P$26,0)</f>
        <v>31.246352372232398</v>
      </c>
      <c r="S63" s="18">
        <f>S25*_xlfn.XLOOKUP($B63,params!$O$16:$O$26,params!$P$16:$P$26,0)</f>
        <v>28.356640197575878</v>
      </c>
      <c r="T63" s="18">
        <f>T25*_xlfn.XLOOKUP($B63,params!$O$16:$O$26,params!$P$16:$P$26,0)</f>
        <v>25.19083428036204</v>
      </c>
      <c r="U63" s="18">
        <f>U25*_xlfn.XLOOKUP($B63,params!$O$16:$O$26,params!$P$16:$P$26,0)</f>
        <v>21.747649863889421</v>
      </c>
      <c r="V63" s="18">
        <f>V25*_xlfn.XLOOKUP($B63,params!$O$16:$O$26,params!$P$16:$P$26,0)</f>
        <v>18.015595250669897</v>
      </c>
      <c r="W63" s="18">
        <f>W25*_xlfn.XLOOKUP($B63,params!$O$16:$O$26,params!$P$16:$P$26,0)</f>
        <v>13.984700242612506</v>
      </c>
      <c r="X63" s="18">
        <f>X25*_xlfn.XLOOKUP($B63,params!$O$16:$O$26,params!$P$16:$P$26,0)</f>
        <v>9.6451071619189488</v>
      </c>
      <c r="Y63" s="18">
        <f>Y25*_xlfn.XLOOKUP($B63,params!$O$16:$O$26,params!$P$16:$P$26,0)</f>
        <v>4.9868892433312411</v>
      </c>
      <c r="Z63" s="18">
        <f>Z25*_xlfn.XLOOKUP($B63,params!$O$16:$O$26,params!$P$16:$P$26,0)</f>
        <v>0</v>
      </c>
      <c r="AA63" s="18">
        <f>AA25*_xlfn.XLOOKUP($B63,params!$O$16:$O$26,params!$P$16:$P$26,0)</f>
        <v>0</v>
      </c>
      <c r="AB63" s="18">
        <f>AB25*_xlfn.XLOOKUP($B63,params!$O$16:$O$26,params!$P$16:$P$26,0)</f>
        <v>0</v>
      </c>
      <c r="AC63" s="18">
        <f>AC25*_xlfn.XLOOKUP($B63,params!$O$16:$O$26,params!$P$16:$P$26,0)</f>
        <v>0</v>
      </c>
      <c r="AD63" s="18">
        <f>AD25*_xlfn.XLOOKUP($B63,params!$O$16:$O$26,params!$P$16:$P$26,0)</f>
        <v>0</v>
      </c>
      <c r="AE63" s="18">
        <f>AE25*_xlfn.XLOOKUP($B63,params!$O$16:$O$26,params!$P$16:$P$26,0)</f>
        <v>0</v>
      </c>
      <c r="AF63" s="18">
        <f>AF25*_xlfn.XLOOKUP($B63,params!$O$16:$O$26,params!$P$16:$P$26,0)</f>
        <v>0</v>
      </c>
      <c r="AG63" s="18">
        <f>AG25*_xlfn.XLOOKUP($B63,params!$O$16:$O$26,params!$P$16:$P$26,0)</f>
        <v>0</v>
      </c>
      <c r="AH63" s="18">
        <f>AH25*_xlfn.XLOOKUP($B63,params!$O$16:$O$26,params!$P$16:$P$26,0)</f>
        <v>0</v>
      </c>
      <c r="AI63" s="18">
        <f>AI25*_xlfn.XLOOKUP($B63,params!$O$16:$O$26,params!$P$16:$P$26,0)</f>
        <v>0</v>
      </c>
      <c r="AJ63" s="111">
        <f>AJ25*_xlfn.XLOOKUP($B63,params!$O$16:$O$26,params!$P$16:$P$26,0)</f>
        <v>0</v>
      </c>
      <c r="AK63" s="55">
        <f t="shared" si="17"/>
        <v>431.63717142999576</v>
      </c>
    </row>
    <row r="64" spans="1:37">
      <c r="A64" s="4" t="s">
        <v>19</v>
      </c>
      <c r="B64" s="4" t="s">
        <v>37</v>
      </c>
      <c r="C64" s="4" t="s">
        <v>53</v>
      </c>
      <c r="D64" s="91" t="s">
        <v>58</v>
      </c>
      <c r="E64" s="110">
        <f>E26*_xlfn.XLOOKUP($B64,params!$O$16:$O$26,params!$P$16:$P$26,0)</f>
        <v>0.57681260207251761</v>
      </c>
      <c r="F64" s="18">
        <f>F26*_xlfn.XLOOKUP($B64,params!$O$16:$O$26,params!$P$16:$P$26,0)</f>
        <v>0.71306160262043849</v>
      </c>
      <c r="G64" s="18">
        <f>G26*_xlfn.XLOOKUP($B64,params!$O$16:$O$26,params!$P$16:$P$26,0)</f>
        <v>0.86000963146132092</v>
      </c>
      <c r="H64" s="18">
        <f>H26*_xlfn.XLOOKUP($B64,params!$O$16:$O$26,params!$P$16:$P$26,0)</f>
        <v>1.0181505756657629</v>
      </c>
      <c r="I64" s="18">
        <f>I26*_xlfn.XLOOKUP($B64,params!$O$16:$O$26,params!$P$16:$P$26,0)</f>
        <v>1.1879602959809423</v>
      </c>
      <c r="J64" s="18">
        <f>J26*_xlfn.XLOOKUP($B64,params!$O$16:$O$26,params!$P$16:$P$26,0)</f>
        <v>1.3698981572073912</v>
      </c>
      <c r="K64" s="18">
        <f>K26*_xlfn.XLOOKUP($B64,params!$O$16:$O$26,params!$P$16:$P$26,0)</f>
        <v>1.5541023607897304</v>
      </c>
      <c r="L64" s="18">
        <f>L26*_xlfn.XLOOKUP($B64,params!$O$16:$O$26,params!$P$16:$P$26,0)</f>
        <v>1.5111140672597678</v>
      </c>
      <c r="M64" s="18">
        <f>M26*_xlfn.XLOOKUP($B64,params!$O$16:$O$26,params!$P$16:$P$26,0)</f>
        <v>1.460975321141063</v>
      </c>
      <c r="N64" s="18">
        <f>N26*_xlfn.XLOOKUP($B64,params!$O$16:$O$26,params!$P$16:$P$26,0)</f>
        <v>1.4033001384287072</v>
      </c>
      <c r="O64" s="18">
        <f>O26*_xlfn.XLOOKUP($B64,params!$O$16:$O$26,params!$P$16:$P$26,0)</f>
        <v>1.3377053372222683</v>
      </c>
      <c r="P64" s="18">
        <f>P26*_xlfn.XLOOKUP($B64,params!$O$16:$O$26,params!$P$16:$P$26,0)</f>
        <v>1.2638244697578536</v>
      </c>
      <c r="Q64" s="18">
        <f>Q26*_xlfn.XLOOKUP($B64,params!$O$16:$O$26,params!$P$16:$P$26,0)</f>
        <v>1.1813072965229565</v>
      </c>
      <c r="R64" s="18">
        <f>R26*_xlfn.XLOOKUP($B64,params!$O$16:$O$26,params!$P$16:$P$26,0)</f>
        <v>1.0898195272383946</v>
      </c>
      <c r="S64" s="18">
        <f>S26*_xlfn.XLOOKUP($B64,params!$O$16:$O$26,params!$P$16:$P$26,0)</f>
        <v>0.98903129063008377</v>
      </c>
      <c r="T64" s="18">
        <f>T26*_xlfn.XLOOKUP($B64,params!$O$16:$O$26,params!$P$16:$P$26,0)</f>
        <v>0.87861337474264289</v>
      </c>
      <c r="U64" s="18">
        <f>U26*_xlfn.XLOOKUP($B64,params!$O$16:$O$26,params!$P$16:$P$26,0)</f>
        <v>0.75852096945153868</v>
      </c>
      <c r="V64" s="18">
        <f>V26*_xlfn.XLOOKUP($B64,params!$O$16:$O$26,params!$P$16:$P$26,0)</f>
        <v>0.62835326393013469</v>
      </c>
      <c r="W64" s="18">
        <f>W26*_xlfn.XLOOKUP($B64,params!$O$16:$O$26,params!$P$16:$P$26,0)</f>
        <v>0.48776251465814674</v>
      </c>
      <c r="X64" s="18">
        <f>X26*_xlfn.XLOOKUP($B64,params!$O$16:$O$26,params!$P$16:$P$26,0)</f>
        <v>0.33640490263136502</v>
      </c>
      <c r="Y64" s="18">
        <f>Y26*_xlfn.XLOOKUP($B64,params!$O$16:$O$26,params!$P$16:$P$26,0)</f>
        <v>0.17393419919271036</v>
      </c>
      <c r="Z64" s="18">
        <f>Z26*_xlfn.XLOOKUP($B64,params!$O$16:$O$26,params!$P$16:$P$26,0)</f>
        <v>0</v>
      </c>
      <c r="AA64" s="18">
        <f>AA26*_xlfn.XLOOKUP($B64,params!$O$16:$O$26,params!$P$16:$P$26,0)</f>
        <v>0</v>
      </c>
      <c r="AB64" s="18">
        <f>AB26*_xlfn.XLOOKUP($B64,params!$O$16:$O$26,params!$P$16:$P$26,0)</f>
        <v>0</v>
      </c>
      <c r="AC64" s="18">
        <f>AC26*_xlfn.XLOOKUP($B64,params!$O$16:$O$26,params!$P$16:$P$26,0)</f>
        <v>0</v>
      </c>
      <c r="AD64" s="18">
        <f>AD26*_xlfn.XLOOKUP($B64,params!$O$16:$O$26,params!$P$16:$P$26,0)</f>
        <v>0</v>
      </c>
      <c r="AE64" s="18">
        <f>AE26*_xlfn.XLOOKUP($B64,params!$O$16:$O$26,params!$P$16:$P$26,0)</f>
        <v>0</v>
      </c>
      <c r="AF64" s="18">
        <f>AF26*_xlfn.XLOOKUP($B64,params!$O$16:$O$26,params!$P$16:$P$26,0)</f>
        <v>0</v>
      </c>
      <c r="AG64" s="18">
        <f>AG26*_xlfn.XLOOKUP($B64,params!$O$16:$O$26,params!$P$16:$P$26,0)</f>
        <v>0</v>
      </c>
      <c r="AH64" s="18">
        <f>AH26*_xlfn.XLOOKUP($B64,params!$O$16:$O$26,params!$P$16:$P$26,0)</f>
        <v>0</v>
      </c>
      <c r="AI64" s="18">
        <f>AI26*_xlfn.XLOOKUP($B64,params!$O$16:$O$26,params!$P$16:$P$26,0)</f>
        <v>0</v>
      </c>
      <c r="AJ64" s="111">
        <f>AJ26*_xlfn.XLOOKUP($B64,params!$O$16:$O$26,params!$P$16:$P$26,0)</f>
        <v>0</v>
      </c>
      <c r="AK64" s="55">
        <f t="shared" si="17"/>
        <v>15.054769033597367</v>
      </c>
    </row>
    <row r="65" spans="1:37">
      <c r="A65" s="4" t="s">
        <v>19</v>
      </c>
      <c r="B65" s="4" t="s">
        <v>10</v>
      </c>
      <c r="C65" s="4" t="s">
        <v>53</v>
      </c>
      <c r="D65" s="91" t="s">
        <v>58</v>
      </c>
      <c r="E65" s="110">
        <f>E27*_xlfn.XLOOKUP($B65,params!$O$16:$O$26,params!$P$16:$P$26,0)</f>
        <v>9.6135433678748453E-2</v>
      </c>
      <c r="F65" s="18">
        <f>F27*_xlfn.XLOOKUP($B65,params!$O$16:$O$26,params!$P$16:$P$26,0)</f>
        <v>0.11884360043673037</v>
      </c>
      <c r="G65" s="18">
        <f>G27*_xlfn.XLOOKUP($B65,params!$O$16:$O$26,params!$P$16:$P$26,0)</f>
        <v>0.14333493857688434</v>
      </c>
      <c r="H65" s="18">
        <f>H27*_xlfn.XLOOKUP($B65,params!$O$16:$O$26,params!$P$16:$P$26,0)</f>
        <v>0.16969176261095284</v>
      </c>
      <c r="I65" s="18">
        <f>I27*_xlfn.XLOOKUP($B65,params!$O$16:$O$26,params!$P$16:$P$26,0)</f>
        <v>0.19799338266348504</v>
      </c>
      <c r="J65" s="18">
        <f>J27*_xlfn.XLOOKUP($B65,params!$O$16:$O$26,params!$P$16:$P$26,0)</f>
        <v>0.22831635953456236</v>
      </c>
      <c r="K65" s="18">
        <f>K27*_xlfn.XLOOKUP($B65,params!$O$16:$O$26,params!$P$16:$P$26,0)</f>
        <v>0.2590170601316189</v>
      </c>
      <c r="L65" s="18">
        <f>L27*_xlfn.XLOOKUP($B65,params!$O$16:$O$26,params!$P$16:$P$26,0)</f>
        <v>0.55157820193186324</v>
      </c>
      <c r="M65" s="18">
        <f>M27*_xlfn.XLOOKUP($B65,params!$O$16:$O$26,params!$P$16:$P$26,0)</f>
        <v>0.86763948684255521</v>
      </c>
      <c r="N65" s="18">
        <f>N27*_xlfn.XLOOKUP($B65,params!$O$16:$O$26,params!$P$16:$P$26,0)</f>
        <v>1.2080776359562106</v>
      </c>
      <c r="O65" s="18">
        <f>O27*_xlfn.XLOOKUP($B65,params!$O$16:$O$26,params!$P$16:$P$26,0)</f>
        <v>1.5737251125770422</v>
      </c>
      <c r="P65" s="18">
        <f>P27*_xlfn.XLOOKUP($B65,params!$O$16:$O$26,params!$P$16:$P$26,0)</f>
        <v>1.9653733160548781</v>
      </c>
      <c r="Q65" s="18">
        <f>Q27*_xlfn.XLOOKUP($B65,params!$O$16:$O$26,params!$P$16:$P$26,0)</f>
        <v>2.3837729736433482</v>
      </c>
      <c r="R65" s="18">
        <f>R27*_xlfn.XLOOKUP($B65,params!$O$16:$O$26,params!$P$16:$P$26,0)</f>
        <v>2.8296344896530639</v>
      </c>
      <c r="S65" s="18">
        <f>S27*_xlfn.XLOOKUP($B65,params!$O$16:$O$26,params!$P$16:$P$26,0)</f>
        <v>3.3035903659583457</v>
      </c>
      <c r="T65" s="18">
        <f>T27*_xlfn.XLOOKUP($B65,params!$O$16:$O$26,params!$P$16:$P$26,0)</f>
        <v>3.806123608537106</v>
      </c>
      <c r="U65" s="18">
        <f>U27*_xlfn.XLOOKUP($B65,params!$O$16:$O$26,params!$P$16:$P$26,0)</f>
        <v>4.3390430730895408</v>
      </c>
      <c r="V65" s="18">
        <f>V27*_xlfn.XLOOKUP($B65,params!$O$16:$O$26,params!$P$16:$P$26,0)</f>
        <v>4.9030716165397843</v>
      </c>
      <c r="W65" s="18">
        <f>W27*_xlfn.XLOOKUP($B65,params!$O$16:$O$26,params!$P$16:$P$26,0)</f>
        <v>5.4990992644315959</v>
      </c>
      <c r="X65" s="18">
        <f>X27*_xlfn.XLOOKUP($B65,params!$O$16:$O$26,params!$P$16:$P$26,0)</f>
        <v>6.1280522234090373</v>
      </c>
      <c r="Y65" s="18">
        <f>Y27*_xlfn.XLOOKUP($B65,params!$O$16:$O$26,params!$P$16:$P$26,0)</f>
        <v>6.7908777018987871</v>
      </c>
      <c r="Z65" s="18">
        <f>Z27*_xlfn.XLOOKUP($B65,params!$O$16:$O$26,params!$P$16:$P$26,0)</f>
        <v>7.4885174609142879</v>
      </c>
      <c r="AA65" s="18">
        <f>AA27*_xlfn.XLOOKUP($B65,params!$O$16:$O$26,params!$P$16:$P$26,0)</f>
        <v>7.737029470735715</v>
      </c>
      <c r="AB65" s="18">
        <f>AB27*_xlfn.XLOOKUP($B65,params!$O$16:$O$26,params!$P$16:$P$26,0)</f>
        <v>7.9903807830000009</v>
      </c>
      <c r="AC65" s="18">
        <f>AC27*_xlfn.XLOOKUP($B65,params!$O$16:$O$26,params!$P$16:$P$26,0)</f>
        <v>8.248549493014286</v>
      </c>
      <c r="AD65" s="18">
        <f>AD27*_xlfn.XLOOKUP($B65,params!$O$16:$O$26,params!$P$16:$P$26,0)</f>
        <v>8.511509445921428</v>
      </c>
      <c r="AE65" s="18">
        <f>AE27*_xlfn.XLOOKUP($B65,params!$O$16:$O$26,params!$P$16:$P$26,0)</f>
        <v>8.7792214094357135</v>
      </c>
      <c r="AF65" s="18">
        <f>AF27*_xlfn.XLOOKUP($B65,params!$O$16:$O$26,params!$P$16:$P$26,0)</f>
        <v>9.0516307852928577</v>
      </c>
      <c r="AG65" s="18">
        <f>AG27*_xlfn.XLOOKUP($B65,params!$O$16:$O$26,params!$P$16:$P$26,0)</f>
        <v>9.3286613974714303</v>
      </c>
      <c r="AH65" s="18">
        <f>AH27*_xlfn.XLOOKUP($B65,params!$O$16:$O$26,params!$P$16:$P$26,0)</f>
        <v>9.6102321659142866</v>
      </c>
      <c r="AI65" s="18">
        <f>AI27*_xlfn.XLOOKUP($B65,params!$O$16:$O$26,params!$P$16:$P$26,0)</f>
        <v>9.8962404328071418</v>
      </c>
      <c r="AJ65" s="111">
        <f>AJ27*_xlfn.XLOOKUP($B65,params!$O$16:$O$26,params!$P$16:$P$26,0)</f>
        <v>10.186578309364288</v>
      </c>
      <c r="AK65" s="55">
        <f t="shared" si="17"/>
        <v>143.2372272845262</v>
      </c>
    </row>
    <row r="66" spans="1:37">
      <c r="A66" s="4" t="s">
        <v>19</v>
      </c>
      <c r="B66" s="4" t="s">
        <v>11</v>
      </c>
      <c r="C66" s="4" t="s">
        <v>53</v>
      </c>
      <c r="D66" s="91" t="s">
        <v>58</v>
      </c>
      <c r="E66" s="110">
        <f>E28*_xlfn.XLOOKUP($B66,params!$O$16:$O$26,params!$P$16:$P$26,0)</f>
        <v>6.6536632227958067E-2</v>
      </c>
      <c r="F66" s="18">
        <f>F28*_xlfn.XLOOKUP($B66,params!$O$16:$O$26,params!$P$16:$P$26,0)</f>
        <v>7.8422535677433583E-2</v>
      </c>
      <c r="G66" s="18">
        <f>G28*_xlfn.XLOOKUP($B66,params!$O$16:$O$26,params!$P$16:$P$26,0)</f>
        <v>9.1201659557223161E-2</v>
      </c>
      <c r="H66" s="18">
        <f>H28*_xlfn.XLOOKUP($B66,params!$O$16:$O$26,params!$P$16:$P$26,0)</f>
        <v>0.10491404502561384</v>
      </c>
      <c r="I66" s="18">
        <f>I28*_xlfn.XLOOKUP($B66,params!$O$16:$O$26,params!$P$16:$P$26,0)</f>
        <v>0.11959782475259224</v>
      </c>
      <c r="J66" s="18">
        <f>J28*_xlfn.XLOOKUP($B66,params!$O$16:$O$26,params!$P$16:$P$26,0)</f>
        <v>0.13528959152251041</v>
      </c>
      <c r="K66" s="18">
        <f>K28*_xlfn.XLOOKUP($B66,params!$O$16:$O$26,params!$P$16:$P$26,0)</f>
        <v>0.13559898481248006</v>
      </c>
      <c r="L66" s="18">
        <f>L28*_xlfn.XLOOKUP($B66,params!$O$16:$O$26,params!$P$16:$P$26,0)</f>
        <v>0.70405206745878723</v>
      </c>
      <c r="M66" s="18">
        <f>M28*_xlfn.XLOOKUP($B66,params!$O$16:$O$26,params!$P$16:$P$26,0)</f>
        <v>1.319020310345475</v>
      </c>
      <c r="N66" s="18">
        <f>N28*_xlfn.XLOOKUP($B66,params!$O$16:$O$26,params!$P$16:$P$26,0)</f>
        <v>1.9822665888454689</v>
      </c>
      <c r="O66" s="18">
        <f>O28*_xlfn.XLOOKUP($B66,params!$O$16:$O$26,params!$P$16:$P$26,0)</f>
        <v>2.6954686391017169</v>
      </c>
      <c r="P66" s="18">
        <f>P28*_xlfn.XLOOKUP($B66,params!$O$16:$O$26,params!$P$16:$P$26,0)</f>
        <v>3.4602219380288481</v>
      </c>
      <c r="Q66" s="18">
        <f>Q28*_xlfn.XLOOKUP($B66,params!$O$16:$O$26,params!$P$16:$P$26,0)</f>
        <v>4.2780405728484885</v>
      </c>
      <c r="R66" s="18">
        <f>R28*_xlfn.XLOOKUP($B66,params!$O$16:$O$26,params!$P$16:$P$26,0)</f>
        <v>5.1503579674693425</v>
      </c>
      <c r="S66" s="18">
        <f>S28*_xlfn.XLOOKUP($B66,params!$O$16:$O$26,params!$P$16:$P$26,0)</f>
        <v>6.0784578024884146</v>
      </c>
      <c r="T66" s="18">
        <f>T28*_xlfn.XLOOKUP($B66,params!$O$16:$O$26,params!$P$16:$P$26,0)</f>
        <v>7.063338204989777</v>
      </c>
      <c r="U66" s="18">
        <f>U28*_xlfn.XLOOKUP($B66,params!$O$16:$O$26,params!$P$16:$P$26,0)</f>
        <v>8.1084627929275932</v>
      </c>
      <c r="V66" s="18">
        <f>V28*_xlfn.XLOOKUP($B66,params!$O$16:$O$26,params!$P$16:$P$26,0)</f>
        <v>9.2153041249406886</v>
      </c>
      <c r="W66" s="18">
        <f>W28*_xlfn.XLOOKUP($B66,params!$O$16:$O$26,params!$P$16:$P$26,0)</f>
        <v>10.385641644951717</v>
      </c>
      <c r="X66" s="18">
        <f>X28*_xlfn.XLOOKUP($B66,params!$O$16:$O$26,params!$P$16:$P$26,0)</f>
        <v>11.621322963606334</v>
      </c>
      <c r="Y66" s="18">
        <f>Y28*_xlfn.XLOOKUP($B66,params!$O$16:$O$26,params!$P$16:$P$26,0)</f>
        <v>12.924236342322475</v>
      </c>
      <c r="Z66" s="18">
        <f>Z28*_xlfn.XLOOKUP($B66,params!$O$16:$O$26,params!$P$16:$P$26,0)</f>
        <v>14.296260607200001</v>
      </c>
      <c r="AA66" s="18">
        <f>AA28*_xlfn.XLOOKUP($B66,params!$O$16:$O$26,params!$P$16:$P$26,0)</f>
        <v>14.77069262595</v>
      </c>
      <c r="AB66" s="18">
        <f>AB28*_xlfn.XLOOKUP($B66,params!$O$16:$O$26,params!$P$16:$P$26,0)</f>
        <v>15.254363313000002</v>
      </c>
      <c r="AC66" s="18">
        <f>AC28*_xlfn.XLOOKUP($B66,params!$O$16:$O$26,params!$P$16:$P$26,0)</f>
        <v>15.747230850299998</v>
      </c>
      <c r="AD66" s="18">
        <f>AD28*_xlfn.XLOOKUP($B66,params!$O$16:$O$26,params!$P$16:$P$26,0)</f>
        <v>16.24924530585</v>
      </c>
      <c r="AE66" s="18">
        <f>AE28*_xlfn.XLOOKUP($B66,params!$O$16:$O$26,params!$P$16:$P$26,0)</f>
        <v>16.760331781649999</v>
      </c>
      <c r="AF66" s="18">
        <f>AF28*_xlfn.XLOOKUP($B66,params!$O$16:$O$26,params!$P$16:$P$26,0)</f>
        <v>17.280386044650001</v>
      </c>
      <c r="AG66" s="18">
        <f>AG28*_xlfn.XLOOKUP($B66,params!$O$16:$O$26,params!$P$16:$P$26,0)</f>
        <v>17.809262667900001</v>
      </c>
      <c r="AH66" s="18">
        <f>AH28*_xlfn.XLOOKUP($B66,params!$O$16:$O$26,params!$P$16:$P$26,0)</f>
        <v>18.346806862200001</v>
      </c>
      <c r="AI66" s="18">
        <f>AI28*_xlfn.XLOOKUP($B66,params!$O$16:$O$26,params!$P$16:$P$26,0)</f>
        <v>18.892822644449996</v>
      </c>
      <c r="AJ66" s="111">
        <f>AJ28*_xlfn.XLOOKUP($B66,params!$O$16:$O$26,params!$P$16:$P$26,0)</f>
        <v>19.447104045150002</v>
      </c>
      <c r="AK66" s="55">
        <f t="shared" si="17"/>
        <v>269.97629769343757</v>
      </c>
    </row>
    <row r="67" spans="1:37">
      <c r="A67" s="4" t="s">
        <v>19</v>
      </c>
      <c r="B67" s="4" t="s">
        <v>12</v>
      </c>
      <c r="C67" s="4" t="s">
        <v>53</v>
      </c>
      <c r="D67" s="91" t="s">
        <v>58</v>
      </c>
      <c r="E67" s="110">
        <f>E29*_xlfn.XLOOKUP($B67,params!$O$16:$O$26,params!$P$16:$P$26,0)</f>
        <v>7.3892333337391971E-3</v>
      </c>
      <c r="F67" s="18">
        <f>F29*_xlfn.XLOOKUP($B67,params!$O$16:$O$26,params!$P$16:$P$26,0)</f>
        <v>6.066932972571634E-3</v>
      </c>
      <c r="G67" s="18">
        <f>G29*_xlfn.XLOOKUP($B67,params!$O$16:$O$26,params!$P$16:$P$26,0)</f>
        <v>4.6086640537643317E-3</v>
      </c>
      <c r="H67" s="18">
        <f>H29*_xlfn.XLOOKUP($B67,params!$O$16:$O$26,params!$P$16:$P$26,0)</f>
        <v>3.0071957931061106E-3</v>
      </c>
      <c r="I67" s="18">
        <f>I29*_xlfn.XLOOKUP($B67,params!$O$16:$O$26,params!$P$16:$P$26,0)</f>
        <v>1.2552033316031823E-3</v>
      </c>
      <c r="J67" s="18">
        <f>J29*_xlfn.XLOOKUP($B67,params!$O$16:$O$26,params!$P$16:$P$26,0)</f>
        <v>0</v>
      </c>
      <c r="K67" s="18">
        <f>K29*_xlfn.XLOOKUP($B67,params!$O$16:$O$26,params!$P$16:$P$26,0)</f>
        <v>0</v>
      </c>
      <c r="L67" s="18">
        <f>L29*_xlfn.XLOOKUP($B67,params!$O$16:$O$26,params!$P$16:$P$26,0)</f>
        <v>0</v>
      </c>
      <c r="M67" s="18">
        <f>M29*_xlfn.XLOOKUP($B67,params!$O$16:$O$26,params!$P$16:$P$26,0)</f>
        <v>0</v>
      </c>
      <c r="N67" s="18">
        <f>N29*_xlfn.XLOOKUP($B67,params!$O$16:$O$26,params!$P$16:$P$26,0)</f>
        <v>0</v>
      </c>
      <c r="O67" s="18">
        <f>O29*_xlfn.XLOOKUP($B67,params!$O$16:$O$26,params!$P$16:$P$26,0)</f>
        <v>0</v>
      </c>
      <c r="P67" s="18">
        <f>P29*_xlfn.XLOOKUP($B67,params!$O$16:$O$26,params!$P$16:$P$26,0)</f>
        <v>0</v>
      </c>
      <c r="Q67" s="18">
        <f>Q29*_xlfn.XLOOKUP($B67,params!$O$16:$O$26,params!$P$16:$P$26,0)</f>
        <v>0</v>
      </c>
      <c r="R67" s="18">
        <f>R29*_xlfn.XLOOKUP($B67,params!$O$16:$O$26,params!$P$16:$P$26,0)</f>
        <v>0</v>
      </c>
      <c r="S67" s="18">
        <f>S29*_xlfn.XLOOKUP($B67,params!$O$16:$O$26,params!$P$16:$P$26,0)</f>
        <v>0</v>
      </c>
      <c r="T67" s="18">
        <f>T29*_xlfn.XLOOKUP($B67,params!$O$16:$O$26,params!$P$16:$P$26,0)</f>
        <v>0</v>
      </c>
      <c r="U67" s="18">
        <f>U29*_xlfn.XLOOKUP($B67,params!$O$16:$O$26,params!$P$16:$P$26,0)</f>
        <v>0</v>
      </c>
      <c r="V67" s="18">
        <f>V29*_xlfn.XLOOKUP($B67,params!$O$16:$O$26,params!$P$16:$P$26,0)</f>
        <v>0</v>
      </c>
      <c r="W67" s="18">
        <f>W29*_xlfn.XLOOKUP($B67,params!$O$16:$O$26,params!$P$16:$P$26,0)</f>
        <v>0</v>
      </c>
      <c r="X67" s="18">
        <f>X29*_xlfn.XLOOKUP($B67,params!$O$16:$O$26,params!$P$16:$P$26,0)</f>
        <v>0</v>
      </c>
      <c r="Y67" s="18">
        <f>Y29*_xlfn.XLOOKUP($B67,params!$O$16:$O$26,params!$P$16:$P$26,0)</f>
        <v>0</v>
      </c>
      <c r="Z67" s="18">
        <f>Z29*_xlfn.XLOOKUP($B67,params!$O$16:$O$26,params!$P$16:$P$26,0)</f>
        <v>0</v>
      </c>
      <c r="AA67" s="18">
        <f>AA29*_xlfn.XLOOKUP($B67,params!$O$16:$O$26,params!$P$16:$P$26,0)</f>
        <v>0</v>
      </c>
      <c r="AB67" s="18">
        <f>AB29*_xlfn.XLOOKUP($B67,params!$O$16:$O$26,params!$P$16:$P$26,0)</f>
        <v>0</v>
      </c>
      <c r="AC67" s="18">
        <f>AC29*_xlfn.XLOOKUP($B67,params!$O$16:$O$26,params!$P$16:$P$26,0)</f>
        <v>0</v>
      </c>
      <c r="AD67" s="18">
        <f>AD29*_xlfn.XLOOKUP($B67,params!$O$16:$O$26,params!$P$16:$P$26,0)</f>
        <v>0</v>
      </c>
      <c r="AE67" s="18">
        <f>AE29*_xlfn.XLOOKUP($B67,params!$O$16:$O$26,params!$P$16:$P$26,0)</f>
        <v>0</v>
      </c>
      <c r="AF67" s="18">
        <f>AF29*_xlfn.XLOOKUP($B67,params!$O$16:$O$26,params!$P$16:$P$26,0)</f>
        <v>0</v>
      </c>
      <c r="AG67" s="18">
        <f>AG29*_xlfn.XLOOKUP($B67,params!$O$16:$O$26,params!$P$16:$P$26,0)</f>
        <v>0</v>
      </c>
      <c r="AH67" s="18">
        <f>AH29*_xlfn.XLOOKUP($B67,params!$O$16:$O$26,params!$P$16:$P$26,0)</f>
        <v>0</v>
      </c>
      <c r="AI67" s="18">
        <f>AI29*_xlfn.XLOOKUP($B67,params!$O$16:$O$26,params!$P$16:$P$26,0)</f>
        <v>0</v>
      </c>
      <c r="AJ67" s="111">
        <f>AJ29*_xlfn.XLOOKUP($B67,params!$O$16:$O$26,params!$P$16:$P$26,0)</f>
        <v>0</v>
      </c>
      <c r="AK67" s="55">
        <f t="shared" si="17"/>
        <v>0</v>
      </c>
    </row>
    <row r="68" spans="1:37">
      <c r="A68" s="4" t="s">
        <v>19</v>
      </c>
      <c r="B68" s="4" t="s">
        <v>13</v>
      </c>
      <c r="C68" s="4" t="s">
        <v>53</v>
      </c>
      <c r="D68" s="91" t="s">
        <v>58</v>
      </c>
      <c r="E68" s="110">
        <f>E30*_xlfn.XLOOKUP($B68,params!$O$16:$O$26,params!$P$16:$P$26,0)</f>
        <v>1.053923045650321</v>
      </c>
      <c r="F68" s="18">
        <f>F30*_xlfn.XLOOKUP($B68,params!$O$16:$O$26,params!$P$16:$P$26,0)</f>
        <v>1.0497659774765205</v>
      </c>
      <c r="G68" s="18">
        <f>G30*_xlfn.XLOOKUP($B68,params!$O$16:$O$26,params!$P$16:$P$26,0)</f>
        <v>1.0426312126975161</v>
      </c>
      <c r="H68" s="18">
        <f>H30*_xlfn.XLOOKUP($B68,params!$O$16:$O$26,params!$P$16:$P$26,0)</f>
        <v>1.032302566305995</v>
      </c>
      <c r="I68" s="18">
        <f>I30*_xlfn.XLOOKUP($B68,params!$O$16:$O$26,params!$P$16:$P$26,0)</f>
        <v>1.0185422074899704</v>
      </c>
      <c r="J68" s="18">
        <f>J30*_xlfn.XLOOKUP($B68,params!$O$16:$O$26,params!$P$16:$P$26,0)</f>
        <v>1.0011061463626003</v>
      </c>
      <c r="K68" s="18">
        <f>K30*_xlfn.XLOOKUP($B68,params!$O$16:$O$26,params!$P$16:$P$26,0)</f>
        <v>1.0033955724799115</v>
      </c>
      <c r="L68" s="18">
        <f>L30*_xlfn.XLOOKUP($B68,params!$O$16:$O$26,params!$P$16:$P$26,0)</f>
        <v>1.2091930905813701</v>
      </c>
      <c r="M68" s="18">
        <f>M30*_xlfn.XLOOKUP($B68,params!$O$16:$O$26,params!$P$16:$P$26,0)</f>
        <v>1.42961439784948</v>
      </c>
      <c r="N68" s="18">
        <f>N30*_xlfn.XLOOKUP($B68,params!$O$16:$O$26,params!$P$16:$P$26,0)</f>
        <v>1.6651435734340148</v>
      </c>
      <c r="O68" s="18">
        <f>O30*_xlfn.XLOOKUP($B68,params!$O$16:$O$26,params!$P$16:$P$26,0)</f>
        <v>1.9162316551464011</v>
      </c>
      <c r="P68" s="18">
        <f>P30*_xlfn.XLOOKUP($B68,params!$O$16:$O$26,params!$P$16:$P$26,0)</f>
        <v>2.183306313927984</v>
      </c>
      <c r="Q68" s="18">
        <f>Q30*_xlfn.XLOOKUP($B68,params!$O$16:$O$26,params!$P$16:$P$26,0)</f>
        <v>2.4667718879566864</v>
      </c>
      <c r="R68" s="18">
        <f>R30*_xlfn.XLOOKUP($B68,params!$O$16:$O$26,params!$P$16:$P$26,0)</f>
        <v>2.7670095211198875</v>
      </c>
      <c r="S68" s="18">
        <f>S30*_xlfn.XLOOKUP($B68,params!$O$16:$O$26,params!$P$16:$P$26,0)</f>
        <v>3.0843419333115443</v>
      </c>
      <c r="T68" s="18">
        <f>T30*_xlfn.XLOOKUP($B68,params!$O$16:$O$26,params!$P$16:$P$26,0)</f>
        <v>3.4189756941755358</v>
      </c>
      <c r="U68" s="18">
        <f>U30*_xlfn.XLOOKUP($B68,params!$O$16:$O$26,params!$P$16:$P$26,0)</f>
        <v>3.7722971898059741</v>
      </c>
      <c r="V68" s="18">
        <f>V30*_xlfn.XLOOKUP($B68,params!$O$16:$O$26,params!$P$16:$P$26,0)</f>
        <v>4.1446629579205521</v>
      </c>
      <c r="W68" s="18">
        <f>W30*_xlfn.XLOOKUP($B68,params!$O$16:$O$26,params!$P$16:$P$26,0)</f>
        <v>4.5365871681848668</v>
      </c>
      <c r="X68" s="18">
        <f>X30*_xlfn.XLOOKUP($B68,params!$O$16:$O$26,params!$P$16:$P$26,0)</f>
        <v>4.9486142074892641</v>
      </c>
      <c r="Y68" s="18">
        <f>Y30*_xlfn.XLOOKUP($B68,params!$O$16:$O$26,params!$P$16:$P$26,0)</f>
        <v>5.381303584915524</v>
      </c>
      <c r="Z68" s="18">
        <f>Z30*_xlfn.XLOOKUP($B68,params!$O$16:$O$26,params!$P$16:$P$26,0)</f>
        <v>5.8352084111020419</v>
      </c>
      <c r="AA68" s="18">
        <f>AA30*_xlfn.XLOOKUP($B68,params!$O$16:$O$26,params!$P$16:$P$26,0)</f>
        <v>6.0288541330408174</v>
      </c>
      <c r="AB68" s="18">
        <f>AB30*_xlfn.XLOOKUP($B68,params!$O$16:$O$26,params!$P$16:$P$26,0)</f>
        <v>6.2262707400000012</v>
      </c>
      <c r="AC68" s="18">
        <f>AC30*_xlfn.XLOOKUP($B68,params!$O$16:$O$26,params!$P$16:$P$26,0)</f>
        <v>6.4274411633877548</v>
      </c>
      <c r="AD68" s="18">
        <f>AD30*_xlfn.XLOOKUP($B68,params!$O$16:$O$26,params!$P$16:$P$26,0)</f>
        <v>6.6323450227959189</v>
      </c>
      <c r="AE68" s="18">
        <f>AE30*_xlfn.XLOOKUP($B68,params!$O$16:$O$26,params!$P$16:$P$26,0)</f>
        <v>6.8409517476122446</v>
      </c>
      <c r="AF68" s="18">
        <f>AF30*_xlfn.XLOOKUP($B68,params!$O$16:$O$26,params!$P$16:$P$26,0)</f>
        <v>7.053218793734696</v>
      </c>
      <c r="AG68" s="18">
        <f>AG30*_xlfn.XLOOKUP($B68,params!$O$16:$O$26,params!$P$16:$P$26,0)</f>
        <v>7.2690868032244911</v>
      </c>
      <c r="AH68" s="18">
        <f>AH30*_xlfn.XLOOKUP($B68,params!$O$16:$O$26,params!$P$16:$P$26,0)</f>
        <v>7.4884925968163261</v>
      </c>
      <c r="AI68" s="18">
        <f>AI30*_xlfn.XLOOKUP($B68,params!$O$16:$O$26,params!$P$16:$P$26,0)</f>
        <v>7.7113561814081626</v>
      </c>
      <c r="AJ68" s="111">
        <f>AJ30*_xlfn.XLOOKUP($B68,params!$O$16:$O$26,params!$P$16:$P$26,0)</f>
        <v>7.9375934878163283</v>
      </c>
      <c r="AK68" s="55">
        <f t="shared" si="17"/>
        <v>119.37826782923779</v>
      </c>
    </row>
    <row r="69" spans="1:37">
      <c r="A69" s="4" t="s">
        <v>19</v>
      </c>
      <c r="B69" s="4" t="s">
        <v>14</v>
      </c>
      <c r="C69" s="4" t="s">
        <v>53</v>
      </c>
      <c r="D69" s="91" t="s">
        <v>58</v>
      </c>
      <c r="E69" s="110">
        <f>E31*_xlfn.XLOOKUP($B69,params!$O$16:$O$26,params!$P$16:$P$26,0)</f>
        <v>0</v>
      </c>
      <c r="F69" s="18">
        <f>F31*_xlfn.XLOOKUP($B69,params!$O$16:$O$26,params!$P$16:$P$26,0)</f>
        <v>0</v>
      </c>
      <c r="G69" s="18">
        <f>G31*_xlfn.XLOOKUP($B69,params!$O$16:$O$26,params!$P$16:$P$26,0)</f>
        <v>0</v>
      </c>
      <c r="H69" s="18">
        <f>H31*_xlfn.XLOOKUP($B69,params!$O$16:$O$26,params!$P$16:$P$26,0)</f>
        <v>0</v>
      </c>
      <c r="I69" s="18">
        <f>I31*_xlfn.XLOOKUP($B69,params!$O$16:$O$26,params!$P$16:$P$26,0)</f>
        <v>0</v>
      </c>
      <c r="J69" s="18">
        <f>J31*_xlfn.XLOOKUP($B69,params!$O$16:$O$26,params!$P$16:$P$26,0)</f>
        <v>0</v>
      </c>
      <c r="K69" s="18">
        <f>K31*_xlfn.XLOOKUP($B69,params!$O$16:$O$26,params!$P$16:$P$26,0)</f>
        <v>0</v>
      </c>
      <c r="L69" s="18">
        <f>L31*_xlfn.XLOOKUP($B69,params!$O$16:$O$26,params!$P$16:$P$26,0)</f>
        <v>0.59959404776908209</v>
      </c>
      <c r="M69" s="18">
        <f>M31*_xlfn.XLOOKUP($B69,params!$O$16:$O$26,params!$P$16:$P$26,0)</f>
        <v>1.2485835915699366</v>
      </c>
      <c r="N69" s="18">
        <f>N31*_xlfn.XLOOKUP($B69,params!$O$16:$O$26,params!$P$16:$P$26,0)</f>
        <v>1.9488511818066392</v>
      </c>
      <c r="O69" s="18">
        <f>O31*_xlfn.XLOOKUP($B69,params!$O$16:$O$26,params!$P$16:$P$26,0)</f>
        <v>2.7021898980330432</v>
      </c>
      <c r="P69" s="18">
        <f>P31*_xlfn.XLOOKUP($B69,params!$O$16:$O$26,params!$P$16:$P$26,0)</f>
        <v>3.5103050930239355</v>
      </c>
      <c r="Q69" s="18">
        <f>Q31*_xlfn.XLOOKUP($B69,params!$O$16:$O$26,params!$P$16:$P$26,0)</f>
        <v>4.3748153520141706</v>
      </c>
      <c r="R69" s="18">
        <f>R31*_xlfn.XLOOKUP($B69,params!$O$16:$O$26,params!$P$16:$P$26,0)</f>
        <v>5.2972532775306913</v>
      </c>
      <c r="S69" s="18">
        <f>S31*_xlfn.XLOOKUP($B69,params!$O$16:$O$26,params!$P$16:$P$26,0)</f>
        <v>6.2789941568823062</v>
      </c>
      <c r="T69" s="18">
        <f>T31*_xlfn.XLOOKUP($B69,params!$O$16:$O$26,params!$P$16:$P$26,0)</f>
        <v>7.3211139947677379</v>
      </c>
      <c r="U69" s="18">
        <f>U31*_xlfn.XLOOKUP($B69,params!$O$16:$O$26,params!$P$16:$P$26,0)</f>
        <v>8.4272463018265338</v>
      </c>
      <c r="V69" s="18">
        <f>V31*_xlfn.XLOOKUP($B69,params!$O$16:$O$26,params!$P$16:$P$26,0)</f>
        <v>9.5989707705068064</v>
      </c>
      <c r="W69" s="18">
        <f>W31*_xlfn.XLOOKUP($B69,params!$O$16:$O$26,params!$P$16:$P$26,0)</f>
        <v>10.838183816578303</v>
      </c>
      <c r="X69" s="18">
        <f>X31*_xlfn.XLOOKUP($B69,params!$O$16:$O$26,params!$P$16:$P$26,0)</f>
        <v>12.146852926710324</v>
      </c>
      <c r="Y69" s="18">
        <f>Y31*_xlfn.XLOOKUP($B69,params!$O$16:$O$26,params!$P$16:$P$26,0)</f>
        <v>13.526988404519006</v>
      </c>
      <c r="Z69" s="18">
        <f>Z31*_xlfn.XLOOKUP($B69,params!$O$16:$O$26,params!$P$16:$P$26,0)</f>
        <v>14.980591048432684</v>
      </c>
      <c r="AA69" s="18">
        <f>AA31*_xlfn.XLOOKUP($B69,params!$O$16:$O$26,params!$P$16:$P$26,0)</f>
        <v>15.477733080776209</v>
      </c>
      <c r="AB69" s="18">
        <f>AB31*_xlfn.XLOOKUP($B69,params!$O$16:$O$26,params!$P$16:$P$26,0)</f>
        <v>15.984556016080102</v>
      </c>
      <c r="AC69" s="18">
        <f>AC31*_xlfn.XLOOKUP($B69,params!$O$16:$O$26,params!$P$16:$P$26,0)</f>
        <v>16.50101603455661</v>
      </c>
      <c r="AD69" s="18">
        <f>AD31*_xlfn.XLOOKUP($B69,params!$O$16:$O$26,params!$P$16:$P$26,0)</f>
        <v>17.027060814071096</v>
      </c>
      <c r="AE69" s="18">
        <f>AE31*_xlfn.XLOOKUP($B69,params!$O$16:$O$26,params!$P$16:$P$26,0)</f>
        <v>17.562611871421606</v>
      </c>
      <c r="AF69" s="18">
        <f>AF31*_xlfn.XLOOKUP($B69,params!$O$16:$O$26,params!$P$16:$P$26,0)</f>
        <v>18.107559984152115</v>
      </c>
      <c r="AG69" s="18">
        <f>AG31*_xlfn.XLOOKUP($B69,params!$O$16:$O$26,params!$P$16:$P$26,0)</f>
        <v>18.661752764045488</v>
      </c>
      <c r="AH69" s="18">
        <f>AH31*_xlfn.XLOOKUP($B69,params!$O$16:$O$26,params!$P$16:$P$26,0)</f>
        <v>19.225028012484362</v>
      </c>
      <c r="AI69" s="18">
        <f>AI31*_xlfn.XLOOKUP($B69,params!$O$16:$O$26,params!$P$16:$P$26,0)</f>
        <v>19.797180365090316</v>
      </c>
      <c r="AJ69" s="111">
        <f>AJ31*_xlfn.XLOOKUP($B69,params!$O$16:$O$26,params!$P$16:$P$26,0)</f>
        <v>20.377993993057991</v>
      </c>
      <c r="AK69" s="55">
        <f t="shared" si="17"/>
        <v>281.52302679770708</v>
      </c>
    </row>
    <row r="70" spans="1:37">
      <c r="A70" s="4" t="s">
        <v>19</v>
      </c>
      <c r="B70" s="4" t="s">
        <v>15</v>
      </c>
      <c r="C70" s="4" t="s">
        <v>53</v>
      </c>
      <c r="D70" s="91" t="s">
        <v>58</v>
      </c>
      <c r="E70" s="110">
        <f>E32*_xlfn.XLOOKUP($B70,params!$O$16:$O$26,params!$P$16:$P$26,0)</f>
        <v>0</v>
      </c>
      <c r="F70" s="18">
        <f>F32*_xlfn.XLOOKUP($B70,params!$O$16:$O$26,params!$P$16:$P$26,0)</f>
        <v>0</v>
      </c>
      <c r="G70" s="18">
        <f>G32*_xlfn.XLOOKUP($B70,params!$O$16:$O$26,params!$P$16:$P$26,0)</f>
        <v>0</v>
      </c>
      <c r="H70" s="18">
        <f>H32*_xlfn.XLOOKUP($B70,params!$O$16:$O$26,params!$P$16:$P$26,0)</f>
        <v>0</v>
      </c>
      <c r="I70" s="18">
        <f>I32*_xlfn.XLOOKUP($B70,params!$O$16:$O$26,params!$P$16:$P$26,0)</f>
        <v>0</v>
      </c>
      <c r="J70" s="18">
        <f>J32*_xlfn.XLOOKUP($B70,params!$O$16:$O$26,params!$P$16:$P$26,0)</f>
        <v>0</v>
      </c>
      <c r="K70" s="18">
        <f>K32*_xlfn.XLOOKUP($B70,params!$O$16:$O$26,params!$P$16:$P$26,0)</f>
        <v>0</v>
      </c>
      <c r="L70" s="18">
        <f>L32*_xlfn.XLOOKUP($B70,params!$O$16:$O$26,params!$P$16:$P$26,0)</f>
        <v>0.24523024695428575</v>
      </c>
      <c r="M70" s="18">
        <f>M32*_xlfn.XLOOKUP($B70,params!$O$16:$O$26,params!$P$16:$P$26,0)</f>
        <v>0.51066294544285717</v>
      </c>
      <c r="N70" s="18">
        <f>N32*_xlfn.XLOOKUP($B70,params!$O$16:$O$26,params!$P$16:$P$26,0)</f>
        <v>0.7970680469057142</v>
      </c>
      <c r="O70" s="18">
        <f>O32*_xlfn.XLOOKUP($B70,params!$O$16:$O$26,params!$P$16:$P$26,0)</f>
        <v>1.10517890976</v>
      </c>
      <c r="P70" s="18">
        <f>P32*_xlfn.XLOOKUP($B70,params!$O$16:$O$26,params!$P$16:$P$26,0)</f>
        <v>1.4356930127142857</v>
      </c>
      <c r="Q70" s="18">
        <f>Q32*_xlfn.XLOOKUP($B70,params!$O$16:$O$26,params!$P$16:$P$26,0)</f>
        <v>1.7892723470914289</v>
      </c>
      <c r="R70" s="18">
        <f>R32*_xlfn.XLOOKUP($B70,params!$O$16:$O$26,params!$P$16:$P$26,0)</f>
        <v>2.1665437378200005</v>
      </c>
      <c r="S70" s="18">
        <f>S32*_xlfn.XLOOKUP($B70,params!$O$16:$O$26,params!$P$16:$P$26,0)</f>
        <v>2.5680696688799998</v>
      </c>
      <c r="T70" s="18">
        <f>T32*_xlfn.XLOOKUP($B70,params!$O$16:$O$26,params!$P$16:$P$26,0)</f>
        <v>2.9942902195200003</v>
      </c>
      <c r="U70" s="18">
        <f>U32*_xlfn.XLOOKUP($B70,params!$O$16:$O$26,params!$P$16:$P$26,0)</f>
        <v>3.4466914730571432</v>
      </c>
      <c r="V70" s="18">
        <f>V32*_xlfn.XLOOKUP($B70,params!$O$16:$O$26,params!$P$16:$P$26,0)</f>
        <v>3.9259195139057144</v>
      </c>
      <c r="W70" s="18">
        <f>W32*_xlfn.XLOOKUP($B70,params!$O$16:$O$26,params!$P$16:$P$26,0)</f>
        <v>4.4327499643542856</v>
      </c>
      <c r="X70" s="18">
        <f>X32*_xlfn.XLOOKUP($B70,params!$O$16:$O$26,params!$P$16:$P$26,0)</f>
        <v>4.9679875142485708</v>
      </c>
      <c r="Y70" s="18">
        <f>Y32*_xlfn.XLOOKUP($B70,params!$O$16:$O$26,params!$P$16:$P$26,0)</f>
        <v>5.5324543652999996</v>
      </c>
      <c r="Z70" s="18">
        <f>Z32*_xlfn.XLOOKUP($B70,params!$O$16:$O$26,params!$P$16:$P$26,0)</f>
        <v>6.1269688316571438</v>
      </c>
      <c r="AA70" s="18">
        <f>AA32*_xlfn.XLOOKUP($B70,params!$O$16:$O$26,params!$P$16:$P$26,0)</f>
        <v>6.3302968396928563</v>
      </c>
      <c r="AB70" s="18">
        <f>AB32*_xlfn.XLOOKUP($B70,params!$O$16:$O$26,params!$P$16:$P$26,0)</f>
        <v>6.5375842770000006</v>
      </c>
      <c r="AC70" s="18">
        <f>AC32*_xlfn.XLOOKUP($B70,params!$O$16:$O$26,params!$P$16:$P$26,0)</f>
        <v>6.7488132215571417</v>
      </c>
      <c r="AD70" s="18">
        <f>AD32*_xlfn.XLOOKUP($B70,params!$O$16:$O$26,params!$P$16:$P$26,0)</f>
        <v>6.9639622739357145</v>
      </c>
      <c r="AE70" s="18">
        <f>AE32*_xlfn.XLOOKUP($B70,params!$O$16:$O$26,params!$P$16:$P$26,0)</f>
        <v>7.1829993349928571</v>
      </c>
      <c r="AF70" s="18">
        <f>AF32*_xlfn.XLOOKUP($B70,params!$O$16:$O$26,params!$P$16:$P$26,0)</f>
        <v>7.4058797334214299</v>
      </c>
      <c r="AG70" s="18">
        <f>AG32*_xlfn.XLOOKUP($B70,params!$O$16:$O$26,params!$P$16:$P$26,0)</f>
        <v>7.6325411433857155</v>
      </c>
      <c r="AH70" s="18">
        <f>AH32*_xlfn.XLOOKUP($B70,params!$O$16:$O$26,params!$P$16:$P$26,0)</f>
        <v>7.8629172266571432</v>
      </c>
      <c r="AI70" s="18">
        <f>AI32*_xlfn.XLOOKUP($B70,params!$O$16:$O$26,params!$P$16:$P$26,0)</f>
        <v>8.0969239904785706</v>
      </c>
      <c r="AJ70" s="111">
        <f>AJ32*_xlfn.XLOOKUP($B70,params!$O$16:$O$26,params!$P$16:$P$26,0)</f>
        <v>8.3344731622071428</v>
      </c>
      <c r="AK70" s="55">
        <f t="shared" si="17"/>
        <v>115.14117200094</v>
      </c>
    </row>
    <row r="71" spans="1:37">
      <c r="A71" s="40" t="s">
        <v>19</v>
      </c>
      <c r="B71" s="40" t="s">
        <v>16</v>
      </c>
      <c r="C71" s="4" t="s">
        <v>53</v>
      </c>
      <c r="D71" s="91" t="s">
        <v>58</v>
      </c>
      <c r="E71" s="110">
        <f>E33*_xlfn.XLOOKUP($B71,params!$O$16:$O$26,params!$P$16:$P$26,0)</f>
        <v>0</v>
      </c>
      <c r="F71" s="18">
        <f>F33*_xlfn.XLOOKUP($B71,params!$O$16:$O$26,params!$P$16:$P$26,0)</f>
        <v>0</v>
      </c>
      <c r="G71" s="18">
        <f>G33*_xlfn.XLOOKUP($B71,params!$O$16:$O$26,params!$P$16:$P$26,0)</f>
        <v>0</v>
      </c>
      <c r="H71" s="18">
        <f>H33*_xlfn.XLOOKUP($B71,params!$O$16:$O$26,params!$P$16:$P$26,0)</f>
        <v>0</v>
      </c>
      <c r="I71" s="18">
        <f>I33*_xlfn.XLOOKUP($B71,params!$O$16:$O$26,params!$P$16:$P$26,0)</f>
        <v>0</v>
      </c>
      <c r="J71" s="18">
        <f>J33*_xlfn.XLOOKUP($B71,params!$O$16:$O$26,params!$P$16:$P$26,0)</f>
        <v>0</v>
      </c>
      <c r="K71" s="18">
        <f>K33*_xlfn.XLOOKUP($B71,params!$O$16:$O$26,params!$P$16:$P$26,0)</f>
        <v>0</v>
      </c>
      <c r="L71" s="18">
        <f>L33*_xlfn.XLOOKUP($B71,params!$O$16:$O$26,params!$P$16:$P$26,0)</f>
        <v>0</v>
      </c>
      <c r="M71" s="18">
        <f>M33*_xlfn.XLOOKUP($B71,params!$O$16:$O$26,params!$P$16:$P$26,0)</f>
        <v>0</v>
      </c>
      <c r="N71" s="18">
        <f>N33*_xlfn.XLOOKUP($B71,params!$O$16:$O$26,params!$P$16:$P$26,0)</f>
        <v>0</v>
      </c>
      <c r="O71" s="18">
        <f>O33*_xlfn.XLOOKUP($B71,params!$O$16:$O$26,params!$P$16:$P$26,0)</f>
        <v>0</v>
      </c>
      <c r="P71" s="18">
        <f>P33*_xlfn.XLOOKUP($B71,params!$O$16:$O$26,params!$P$16:$P$26,0)</f>
        <v>0</v>
      </c>
      <c r="Q71" s="18">
        <f>Q33*_xlfn.XLOOKUP($B71,params!$O$16:$O$26,params!$P$16:$P$26,0)</f>
        <v>0</v>
      </c>
      <c r="R71" s="18">
        <f>R33*_xlfn.XLOOKUP($B71,params!$O$16:$O$26,params!$P$16:$P$26,0)</f>
        <v>0</v>
      </c>
      <c r="S71" s="18">
        <f>S33*_xlfn.XLOOKUP($B71,params!$O$16:$O$26,params!$P$16:$P$26,0)</f>
        <v>0</v>
      </c>
      <c r="T71" s="18">
        <f>T33*_xlfn.XLOOKUP($B71,params!$O$16:$O$26,params!$P$16:$P$26,0)</f>
        <v>0</v>
      </c>
      <c r="U71" s="18">
        <f>U33*_xlfn.XLOOKUP($B71,params!$O$16:$O$26,params!$P$16:$P$26,0)</f>
        <v>0</v>
      </c>
      <c r="V71" s="18">
        <f>V33*_xlfn.XLOOKUP($B71,params!$O$16:$O$26,params!$P$16:$P$26,0)</f>
        <v>0</v>
      </c>
      <c r="W71" s="18">
        <f>W33*_xlfn.XLOOKUP($B71,params!$O$16:$O$26,params!$P$16:$P$26,0)</f>
        <v>0</v>
      </c>
      <c r="X71" s="18">
        <f>X33*_xlfn.XLOOKUP($B71,params!$O$16:$O$26,params!$P$16:$P$26,0)</f>
        <v>0</v>
      </c>
      <c r="Y71" s="18">
        <f>Y33*_xlfn.XLOOKUP($B71,params!$O$16:$O$26,params!$P$16:$P$26,0)</f>
        <v>0</v>
      </c>
      <c r="Z71" s="18">
        <f>Z33*_xlfn.XLOOKUP($B71,params!$O$16:$O$26,params!$P$16:$P$26,0)</f>
        <v>0</v>
      </c>
      <c r="AA71" s="18">
        <f>AA33*_xlfn.XLOOKUP($B71,params!$O$16:$O$26,params!$P$16:$P$26,0)</f>
        <v>0</v>
      </c>
      <c r="AB71" s="18">
        <f>AB33*_xlfn.XLOOKUP($B71,params!$O$16:$O$26,params!$P$16:$P$26,0)</f>
        <v>0</v>
      </c>
      <c r="AC71" s="18">
        <f>AC33*_xlfn.XLOOKUP($B71,params!$O$16:$O$26,params!$P$16:$P$26,0)</f>
        <v>0</v>
      </c>
      <c r="AD71" s="18">
        <f>AD33*_xlfn.XLOOKUP($B71,params!$O$16:$O$26,params!$P$16:$P$26,0)</f>
        <v>0</v>
      </c>
      <c r="AE71" s="18">
        <f>AE33*_xlfn.XLOOKUP($B71,params!$O$16:$O$26,params!$P$16:$P$26,0)</f>
        <v>0</v>
      </c>
      <c r="AF71" s="18">
        <f>AF33*_xlfn.XLOOKUP($B71,params!$O$16:$O$26,params!$P$16:$P$26,0)</f>
        <v>0</v>
      </c>
      <c r="AG71" s="18">
        <f>AG33*_xlfn.XLOOKUP($B71,params!$O$16:$O$26,params!$P$16:$P$26,0)</f>
        <v>0</v>
      </c>
      <c r="AH71" s="18">
        <f>AH33*_xlfn.XLOOKUP($B71,params!$O$16:$O$26,params!$P$16:$P$26,0)</f>
        <v>0</v>
      </c>
      <c r="AI71" s="18">
        <f>AI33*_xlfn.XLOOKUP($B71,params!$O$16:$O$26,params!$P$16:$P$26,0)</f>
        <v>0</v>
      </c>
      <c r="AJ71" s="111">
        <f>AJ33*_xlfn.XLOOKUP($B71,params!$O$16:$O$26,params!$P$16:$P$26,0)</f>
        <v>0</v>
      </c>
      <c r="AK71" s="55">
        <f t="shared" si="17"/>
        <v>0</v>
      </c>
    </row>
    <row r="72" spans="1:37" ht="17" thickBot="1">
      <c r="A72" s="32" t="s">
        <v>19</v>
      </c>
      <c r="B72" s="32" t="s">
        <v>17</v>
      </c>
      <c r="C72" s="32" t="s">
        <v>53</v>
      </c>
      <c r="D72" s="93" t="s">
        <v>58</v>
      </c>
      <c r="E72" s="112">
        <f>E34*_xlfn.XLOOKUP($B72,params!$O$16:$O$26,params!$P$16:$P$26,0)</f>
        <v>0</v>
      </c>
      <c r="F72" s="113">
        <f>F34*_xlfn.XLOOKUP($B72,params!$O$16:$O$26,params!$P$16:$P$26,0)</f>
        <v>0</v>
      </c>
      <c r="G72" s="113">
        <f>G34*_xlfn.XLOOKUP($B72,params!$O$16:$O$26,params!$P$16:$P$26,0)</f>
        <v>0</v>
      </c>
      <c r="H72" s="113">
        <f>H34*_xlfn.XLOOKUP($B72,params!$O$16:$O$26,params!$P$16:$P$26,0)</f>
        <v>0</v>
      </c>
      <c r="I72" s="113">
        <f>I34*_xlfn.XLOOKUP($B72,params!$O$16:$O$26,params!$P$16:$P$26,0)</f>
        <v>0</v>
      </c>
      <c r="J72" s="113">
        <f>J34*_xlfn.XLOOKUP($B72,params!$O$16:$O$26,params!$P$16:$P$26,0)</f>
        <v>0</v>
      </c>
      <c r="K72" s="113">
        <f>K34*_xlfn.XLOOKUP($B72,params!$O$16:$O$26,params!$P$16:$P$26,0)</f>
        <v>0</v>
      </c>
      <c r="L72" s="113">
        <f>L34*_xlfn.XLOOKUP($B72,params!$O$16:$O$26,params!$P$16:$P$26,0)</f>
        <v>0</v>
      </c>
      <c r="M72" s="113">
        <f>M34*_xlfn.XLOOKUP($B72,params!$O$16:$O$26,params!$P$16:$P$26,0)</f>
        <v>0</v>
      </c>
      <c r="N72" s="113">
        <f>N34*_xlfn.XLOOKUP($B72,params!$O$16:$O$26,params!$P$16:$P$26,0)</f>
        <v>0</v>
      </c>
      <c r="O72" s="113">
        <f>O34*_xlfn.XLOOKUP($B72,params!$O$16:$O$26,params!$P$16:$P$26,0)</f>
        <v>0</v>
      </c>
      <c r="P72" s="113">
        <f>P34*_xlfn.XLOOKUP($B72,params!$O$16:$O$26,params!$P$16:$P$26,0)</f>
        <v>0</v>
      </c>
      <c r="Q72" s="113">
        <f>Q34*_xlfn.XLOOKUP($B72,params!$O$16:$O$26,params!$P$16:$P$26,0)</f>
        <v>0</v>
      </c>
      <c r="R72" s="113">
        <f>R34*_xlfn.XLOOKUP($B72,params!$O$16:$O$26,params!$P$16:$P$26,0)</f>
        <v>0</v>
      </c>
      <c r="S72" s="113">
        <f>S34*_xlfn.XLOOKUP($B72,params!$O$16:$O$26,params!$P$16:$P$26,0)</f>
        <v>0</v>
      </c>
      <c r="T72" s="113">
        <f>T34*_xlfn.XLOOKUP($B72,params!$O$16:$O$26,params!$P$16:$P$26,0)</f>
        <v>0</v>
      </c>
      <c r="U72" s="113">
        <f>U34*_xlfn.XLOOKUP($B72,params!$O$16:$O$26,params!$P$16:$P$26,0)</f>
        <v>0</v>
      </c>
      <c r="V72" s="113">
        <f>V34*_xlfn.XLOOKUP($B72,params!$O$16:$O$26,params!$P$16:$P$26,0)</f>
        <v>0</v>
      </c>
      <c r="W72" s="113">
        <f>W34*_xlfn.XLOOKUP($B72,params!$O$16:$O$26,params!$P$16:$P$26,0)</f>
        <v>0</v>
      </c>
      <c r="X72" s="113">
        <f>X34*_xlfn.XLOOKUP($B72,params!$O$16:$O$26,params!$P$16:$P$26,0)</f>
        <v>0</v>
      </c>
      <c r="Y72" s="113">
        <f>Y34*_xlfn.XLOOKUP($B72,params!$O$16:$O$26,params!$P$16:$P$26,0)</f>
        <v>0</v>
      </c>
      <c r="Z72" s="113">
        <f>Z34*_xlfn.XLOOKUP($B72,params!$O$16:$O$26,params!$P$16:$P$26,0)</f>
        <v>0</v>
      </c>
      <c r="AA72" s="113">
        <f>AA34*_xlfn.XLOOKUP($B72,params!$O$16:$O$26,params!$P$16:$P$26,0)</f>
        <v>0</v>
      </c>
      <c r="AB72" s="113">
        <f>AB34*_xlfn.XLOOKUP($B72,params!$O$16:$O$26,params!$P$16:$P$26,0)</f>
        <v>0</v>
      </c>
      <c r="AC72" s="113">
        <f>AC34*_xlfn.XLOOKUP($B72,params!$O$16:$O$26,params!$P$16:$P$26,0)</f>
        <v>0</v>
      </c>
      <c r="AD72" s="113">
        <f>AD34*_xlfn.XLOOKUP($B72,params!$O$16:$O$26,params!$P$16:$P$26,0)</f>
        <v>0</v>
      </c>
      <c r="AE72" s="113">
        <f>AE34*_xlfn.XLOOKUP($B72,params!$O$16:$O$26,params!$P$16:$P$26,0)</f>
        <v>0</v>
      </c>
      <c r="AF72" s="113">
        <f>AF34*_xlfn.XLOOKUP($B72,params!$O$16:$O$26,params!$P$16:$P$26,0)</f>
        <v>0</v>
      </c>
      <c r="AG72" s="113">
        <f>AG34*_xlfn.XLOOKUP($B72,params!$O$16:$O$26,params!$P$16:$P$26,0)</f>
        <v>0</v>
      </c>
      <c r="AH72" s="113">
        <f>AH34*_xlfn.XLOOKUP($B72,params!$O$16:$O$26,params!$P$16:$P$26,0)</f>
        <v>0</v>
      </c>
      <c r="AI72" s="113">
        <f>AI34*_xlfn.XLOOKUP($B72,params!$O$16:$O$26,params!$P$16:$P$26,0)</f>
        <v>0</v>
      </c>
      <c r="AJ72" s="114">
        <f>AJ34*_xlfn.XLOOKUP($B72,params!$O$16:$O$26,params!$P$16:$P$26,0)</f>
        <v>0</v>
      </c>
      <c r="AK72" s="55">
        <f t="shared" si="17"/>
        <v>0</v>
      </c>
    </row>
    <row r="73" spans="1:37">
      <c r="D73" t="s">
        <v>4</v>
      </c>
      <c r="E73" s="54">
        <f>SUM(E40:E50)</f>
        <v>207.91983077509985</v>
      </c>
      <c r="F73" s="54">
        <f t="shared" ref="F73:AJ73" si="28">SUM(F40:F50)</f>
        <v>212.9815816045849</v>
      </c>
      <c r="G73" s="54">
        <f t="shared" si="28"/>
        <v>218.07494387051736</v>
      </c>
      <c r="H73" s="54">
        <f t="shared" si="28"/>
        <v>223.19640042543179</v>
      </c>
      <c r="I73" s="54">
        <f t="shared" si="28"/>
        <v>228.3447858378189</v>
      </c>
      <c r="J73" s="54">
        <f t="shared" si="28"/>
        <v>233.52104426497505</v>
      </c>
      <c r="K73" s="54">
        <f t="shared" si="28"/>
        <v>237.58771640181061</v>
      </c>
      <c r="L73" s="54">
        <f t="shared" si="28"/>
        <v>233.9062714877607</v>
      </c>
      <c r="M73" s="54">
        <f t="shared" si="28"/>
        <v>229.73509093259784</v>
      </c>
      <c r="N73" s="54">
        <f t="shared" si="28"/>
        <v>225.04980966266277</v>
      </c>
      <c r="O73" s="54">
        <f t="shared" si="28"/>
        <v>219.82614588704024</v>
      </c>
      <c r="P73" s="54">
        <f t="shared" si="28"/>
        <v>214.04452724755299</v>
      </c>
      <c r="Q73" s="54">
        <f t="shared" si="28"/>
        <v>207.69175636037536</v>
      </c>
      <c r="R73" s="54">
        <f t="shared" si="28"/>
        <v>200.75895241407829</v>
      </c>
      <c r="S73" s="54">
        <f t="shared" si="28"/>
        <v>193.23788837385197</v>
      </c>
      <c r="T73" s="54">
        <f t="shared" si="28"/>
        <v>185.12204382156651</v>
      </c>
      <c r="U73" s="54">
        <f t="shared" si="28"/>
        <v>176.44020935900113</v>
      </c>
      <c r="V73" s="54">
        <f t="shared" si="28"/>
        <v>167.18283130031432</v>
      </c>
      <c r="W73" s="54">
        <f t="shared" si="28"/>
        <v>157.34230382344992</v>
      </c>
      <c r="X73" s="54">
        <f t="shared" si="28"/>
        <v>146.91289781184199</v>
      </c>
      <c r="Y73" s="54">
        <f t="shared" si="28"/>
        <v>135.88960957120383</v>
      </c>
      <c r="Z73" s="54">
        <f t="shared" si="28"/>
        <v>124.26807717673101</v>
      </c>
      <c r="AA73" s="54">
        <f t="shared" si="28"/>
        <v>127.00280519915965</v>
      </c>
      <c r="AB73" s="54">
        <f t="shared" si="28"/>
        <v>129.74763216436139</v>
      </c>
      <c r="AC73" s="54">
        <f t="shared" si="28"/>
        <v>132.50058045113042</v>
      </c>
      <c r="AD73" s="54">
        <f t="shared" si="28"/>
        <v>135.25952707133547</v>
      </c>
      <c r="AE73" s="54">
        <f t="shared" si="28"/>
        <v>138.02251747433434</v>
      </c>
      <c r="AF73" s="54">
        <f t="shared" si="28"/>
        <v>140.78757257947157</v>
      </c>
      <c r="AG73" s="54">
        <f t="shared" si="28"/>
        <v>143.5529079246092</v>
      </c>
      <c r="AH73" s="54">
        <f t="shared" si="28"/>
        <v>146.31696368734387</v>
      </c>
      <c r="AI73" s="54">
        <f t="shared" si="28"/>
        <v>149.07822073370551</v>
      </c>
      <c r="AJ73" s="54">
        <f t="shared" si="28"/>
        <v>151.83499610776977</v>
      </c>
      <c r="AK73" s="55">
        <f t="shared" si="17"/>
        <v>4449.0998550250606</v>
      </c>
    </row>
    <row r="74" spans="1:37">
      <c r="D74" t="s">
        <v>18</v>
      </c>
      <c r="E74" s="54">
        <f>SUM(E51:E61)</f>
        <v>151.48208287390213</v>
      </c>
      <c r="F74" s="54">
        <f t="shared" ref="F74:AJ74" si="29">SUM(F51:F61)</f>
        <v>154.29677017328214</v>
      </c>
      <c r="G74" s="54">
        <f t="shared" si="29"/>
        <v>157.08272265708979</v>
      </c>
      <c r="H74" s="54">
        <f t="shared" si="29"/>
        <v>159.83708523146143</v>
      </c>
      <c r="I74" s="54">
        <f t="shared" si="29"/>
        <v>162.56062382701796</v>
      </c>
      <c r="J74" s="54">
        <f t="shared" si="29"/>
        <v>165.25612322403634</v>
      </c>
      <c r="K74" s="54">
        <f t="shared" si="29"/>
        <v>166.87763641961723</v>
      </c>
      <c r="L74" s="54">
        <f t="shared" si="29"/>
        <v>163.20180854969482</v>
      </c>
      <c r="M74" s="54">
        <f t="shared" si="29"/>
        <v>159.20091405725944</v>
      </c>
      <c r="N74" s="54">
        <f t="shared" si="29"/>
        <v>154.86202635504645</v>
      </c>
      <c r="O74" s="54">
        <f t="shared" si="29"/>
        <v>150.17246566852282</v>
      </c>
      <c r="P74" s="54">
        <f t="shared" si="29"/>
        <v>145.12378561960196</v>
      </c>
      <c r="Q74" s="54">
        <f t="shared" si="29"/>
        <v>139.71345957536965</v>
      </c>
      <c r="R74" s="54">
        <f t="shared" si="29"/>
        <v>133.94283147835588</v>
      </c>
      <c r="S74" s="54">
        <f t="shared" si="29"/>
        <v>127.81420968854049</v>
      </c>
      <c r="T74" s="54">
        <f t="shared" si="29"/>
        <v>121.3325526643508</v>
      </c>
      <c r="U74" s="54">
        <f t="shared" si="29"/>
        <v>114.51687105955367</v>
      </c>
      <c r="V74" s="54">
        <f t="shared" si="29"/>
        <v>107.37070938971064</v>
      </c>
      <c r="W74" s="54">
        <f t="shared" si="29"/>
        <v>99.896115315884941</v>
      </c>
      <c r="X74" s="54">
        <f t="shared" si="29"/>
        <v>92.096603469973587</v>
      </c>
      <c r="Y74" s="54">
        <f t="shared" si="29"/>
        <v>83.976384271720931</v>
      </c>
      <c r="Z74" s="54">
        <f t="shared" si="29"/>
        <v>75.540530817424838</v>
      </c>
      <c r="AA74" s="54">
        <f t="shared" si="29"/>
        <v>76.65819904896405</v>
      </c>
      <c r="AB74" s="54">
        <f t="shared" si="29"/>
        <v>77.754477035281283</v>
      </c>
      <c r="AC74" s="54">
        <f t="shared" si="29"/>
        <v>78.827529688314641</v>
      </c>
      <c r="AD74" s="54">
        <f t="shared" si="29"/>
        <v>79.875404208761296</v>
      </c>
      <c r="AE74" s="54">
        <f t="shared" si="29"/>
        <v>80.896401329221902</v>
      </c>
      <c r="AF74" s="54">
        <f t="shared" si="29"/>
        <v>81.888897238220508</v>
      </c>
      <c r="AG74" s="54">
        <f t="shared" si="29"/>
        <v>82.851603148582072</v>
      </c>
      <c r="AH74" s="54">
        <f t="shared" si="29"/>
        <v>83.783486823271716</v>
      </c>
      <c r="AI74" s="54">
        <f t="shared" si="29"/>
        <v>84.683697119471319</v>
      </c>
      <c r="AJ74" s="54">
        <f t="shared" si="29"/>
        <v>85.551253110174017</v>
      </c>
      <c r="AK74" s="55">
        <f t="shared" si="17"/>
        <v>2848.4098531508907</v>
      </c>
    </row>
    <row r="75" spans="1:37">
      <c r="D75" t="s">
        <v>19</v>
      </c>
      <c r="E75" s="54">
        <f>SUM(E62:E72)</f>
        <v>56.437747901197746</v>
      </c>
      <c r="F75" s="54">
        <f t="shared" ref="F75:AJ75" si="30">SUM(F62:F72)</f>
        <v>58.684811431302791</v>
      </c>
      <c r="G75" s="54">
        <f t="shared" si="30"/>
        <v>60.992221213427605</v>
      </c>
      <c r="H75" s="54">
        <f t="shared" si="30"/>
        <v>63.359315193970353</v>
      </c>
      <c r="I75" s="54">
        <f t="shared" si="30"/>
        <v>65.784162010800983</v>
      </c>
      <c r="J75" s="54">
        <f t="shared" si="30"/>
        <v>68.264921040938717</v>
      </c>
      <c r="K75" s="54">
        <f t="shared" si="30"/>
        <v>70.71007998219342</v>
      </c>
      <c r="L75" s="54">
        <f t="shared" si="30"/>
        <v>70.704462938065831</v>
      </c>
      <c r="M75" s="54">
        <f t="shared" si="30"/>
        <v>70.534176875338403</v>
      </c>
      <c r="N75" s="54">
        <f t="shared" si="30"/>
        <v>70.1877833076163</v>
      </c>
      <c r="O75" s="54">
        <f t="shared" si="30"/>
        <v>69.653680218517437</v>
      </c>
      <c r="P75" s="54">
        <f t="shared" si="30"/>
        <v>68.920741627951045</v>
      </c>
      <c r="Q75" s="54">
        <f t="shared" si="30"/>
        <v>67.978296785005668</v>
      </c>
      <c r="R75" s="54">
        <f t="shared" si="30"/>
        <v>66.816120935722452</v>
      </c>
      <c r="S75" s="54">
        <f t="shared" si="30"/>
        <v>65.423678685311529</v>
      </c>
      <c r="T75" s="54">
        <f t="shared" si="30"/>
        <v>63.789491157215728</v>
      </c>
      <c r="U75" s="54">
        <f t="shared" si="30"/>
        <v>61.923338299447494</v>
      </c>
      <c r="V75" s="54">
        <f t="shared" si="30"/>
        <v>59.812121910603722</v>
      </c>
      <c r="W75" s="54">
        <f t="shared" si="30"/>
        <v>57.446188507564962</v>
      </c>
      <c r="X75" s="54">
        <f t="shared" si="30"/>
        <v>54.816294341868407</v>
      </c>
      <c r="Y75" s="54">
        <f t="shared" si="30"/>
        <v>51.913225299482875</v>
      </c>
      <c r="Z75" s="54">
        <f t="shared" si="30"/>
        <v>48.72754635930616</v>
      </c>
      <c r="AA75" s="54">
        <f t="shared" si="30"/>
        <v>50.344606150195595</v>
      </c>
      <c r="AB75" s="54">
        <f t="shared" si="30"/>
        <v>51.993155129080108</v>
      </c>
      <c r="AC75" s="54">
        <f t="shared" si="30"/>
        <v>53.673050762815791</v>
      </c>
      <c r="AD75" s="54">
        <f t="shared" si="30"/>
        <v>55.384122862574152</v>
      </c>
      <c r="AE75" s="54">
        <f t="shared" si="30"/>
        <v>57.12611614511242</v>
      </c>
      <c r="AF75" s="54">
        <f t="shared" si="30"/>
        <v>58.898675341251092</v>
      </c>
      <c r="AG75" s="54">
        <f t="shared" si="30"/>
        <v>60.701304776027122</v>
      </c>
      <c r="AH75" s="54">
        <f t="shared" si="30"/>
        <v>62.533476864072128</v>
      </c>
      <c r="AI75" s="54">
        <f t="shared" si="30"/>
        <v>64.394523614234188</v>
      </c>
      <c r="AJ75" s="54">
        <f t="shared" si="30"/>
        <v>66.283742997595752</v>
      </c>
      <c r="AK75" s="55">
        <f>SUM(K75:AJ75)</f>
        <v>1600.6900018741703</v>
      </c>
    </row>
    <row r="76" spans="1:37" ht="17" thickBot="1"/>
    <row r="77" spans="1:37" ht="17" thickBot="1">
      <c r="A77" s="116" t="s">
        <v>66</v>
      </c>
      <c r="B77" s="117"/>
      <c r="C77" s="102" t="s">
        <v>2</v>
      </c>
      <c r="D77" s="103" t="s">
        <v>3</v>
      </c>
      <c r="E77" s="98">
        <v>2019</v>
      </c>
      <c r="F77" s="9">
        <v>2020</v>
      </c>
      <c r="G77" s="2">
        <v>2021</v>
      </c>
      <c r="H77" s="2">
        <v>2022</v>
      </c>
      <c r="I77" s="7">
        <v>2023</v>
      </c>
      <c r="J77" s="8">
        <v>2024</v>
      </c>
      <c r="K77" s="9">
        <v>2025</v>
      </c>
      <c r="L77" s="99">
        <v>2026</v>
      </c>
      <c r="M77" s="99">
        <v>2027</v>
      </c>
      <c r="N77" s="99">
        <v>2028</v>
      </c>
      <c r="O77" s="100">
        <v>2029</v>
      </c>
      <c r="P77" s="105">
        <v>2030</v>
      </c>
      <c r="Q77" s="106">
        <v>2031</v>
      </c>
      <c r="R77" s="99">
        <v>2032</v>
      </c>
      <c r="S77" s="99">
        <v>2033</v>
      </c>
      <c r="T77" s="99">
        <v>2034</v>
      </c>
      <c r="U77" s="99">
        <v>2035</v>
      </c>
      <c r="V77" s="99">
        <v>2036</v>
      </c>
      <c r="W77" s="99">
        <v>2037</v>
      </c>
      <c r="X77" s="99">
        <v>2038</v>
      </c>
      <c r="Y77" s="99">
        <v>2039</v>
      </c>
      <c r="Z77" s="99">
        <v>2040</v>
      </c>
      <c r="AA77" s="99">
        <v>2041</v>
      </c>
      <c r="AB77" s="99">
        <v>2042</v>
      </c>
      <c r="AC77" s="99">
        <v>2043</v>
      </c>
      <c r="AD77" s="99">
        <v>2044</v>
      </c>
      <c r="AE77" s="99">
        <v>2045</v>
      </c>
      <c r="AF77" s="99">
        <v>2046</v>
      </c>
      <c r="AG77" s="99">
        <v>2047</v>
      </c>
      <c r="AH77" s="99">
        <v>2048</v>
      </c>
      <c r="AI77" s="100">
        <v>2049</v>
      </c>
      <c r="AJ77" s="105">
        <v>2050</v>
      </c>
      <c r="AK77" s="25" t="s">
        <v>73</v>
      </c>
    </row>
    <row r="78" spans="1:37">
      <c r="A78" s="94" t="s">
        <v>4</v>
      </c>
      <c r="B78" s="88" t="s">
        <v>36</v>
      </c>
      <c r="C78" s="88" t="s">
        <v>53</v>
      </c>
      <c r="D78" s="89" t="s">
        <v>64</v>
      </c>
      <c r="E78" s="107" t="e">
        <f>SUM(E89,E100)</f>
        <v>#REF!</v>
      </c>
      <c r="F78" s="108" t="e">
        <f t="shared" ref="F78:AJ78" si="31">SUM(F89,F100)</f>
        <v>#REF!</v>
      </c>
      <c r="G78" s="108" t="e">
        <f t="shared" si="31"/>
        <v>#REF!</v>
      </c>
      <c r="H78" s="108" t="e">
        <f t="shared" si="31"/>
        <v>#REF!</v>
      </c>
      <c r="I78" s="108" t="e">
        <f t="shared" si="31"/>
        <v>#REF!</v>
      </c>
      <c r="J78" s="108" t="e">
        <f t="shared" si="31"/>
        <v>#REF!</v>
      </c>
      <c r="K78" s="108" t="e">
        <f t="shared" si="31"/>
        <v>#REF!</v>
      </c>
      <c r="L78" s="108" t="e">
        <f t="shared" si="31"/>
        <v>#REF!</v>
      </c>
      <c r="M78" s="108" t="e">
        <f t="shared" si="31"/>
        <v>#REF!</v>
      </c>
      <c r="N78" s="108" t="e">
        <f t="shared" si="31"/>
        <v>#REF!</v>
      </c>
      <c r="O78" s="108" t="e">
        <f t="shared" si="31"/>
        <v>#REF!</v>
      </c>
      <c r="P78" s="108" t="e">
        <f t="shared" si="31"/>
        <v>#REF!</v>
      </c>
      <c r="Q78" s="108" t="e">
        <f t="shared" si="31"/>
        <v>#REF!</v>
      </c>
      <c r="R78" s="108" t="e">
        <f t="shared" si="31"/>
        <v>#REF!</v>
      </c>
      <c r="S78" s="108" t="e">
        <f t="shared" si="31"/>
        <v>#REF!</v>
      </c>
      <c r="T78" s="108" t="e">
        <f t="shared" si="31"/>
        <v>#REF!</v>
      </c>
      <c r="U78" s="108" t="e">
        <f t="shared" si="31"/>
        <v>#REF!</v>
      </c>
      <c r="V78" s="108" t="e">
        <f t="shared" si="31"/>
        <v>#REF!</v>
      </c>
      <c r="W78" s="108" t="e">
        <f t="shared" si="31"/>
        <v>#REF!</v>
      </c>
      <c r="X78" s="108" t="e">
        <f t="shared" si="31"/>
        <v>#REF!</v>
      </c>
      <c r="Y78" s="108" t="e">
        <f t="shared" si="31"/>
        <v>#REF!</v>
      </c>
      <c r="Z78" s="108" t="e">
        <f t="shared" si="31"/>
        <v>#REF!</v>
      </c>
      <c r="AA78" s="108" t="e">
        <f t="shared" si="31"/>
        <v>#REF!</v>
      </c>
      <c r="AB78" s="108" t="e">
        <f t="shared" si="31"/>
        <v>#REF!</v>
      </c>
      <c r="AC78" s="108" t="e">
        <f t="shared" si="31"/>
        <v>#REF!</v>
      </c>
      <c r="AD78" s="108" t="e">
        <f t="shared" si="31"/>
        <v>#REF!</v>
      </c>
      <c r="AE78" s="108" t="e">
        <f t="shared" si="31"/>
        <v>#REF!</v>
      </c>
      <c r="AF78" s="108" t="e">
        <f t="shared" si="31"/>
        <v>#REF!</v>
      </c>
      <c r="AG78" s="108" t="e">
        <f t="shared" si="31"/>
        <v>#REF!</v>
      </c>
      <c r="AH78" s="108" t="e">
        <f t="shared" si="31"/>
        <v>#REF!</v>
      </c>
      <c r="AI78" s="108" t="e">
        <f t="shared" si="31"/>
        <v>#REF!</v>
      </c>
      <c r="AJ78" s="109" t="e">
        <f t="shared" si="31"/>
        <v>#REF!</v>
      </c>
      <c r="AK78" s="55" t="e">
        <f>SUM(K78:AJ78)</f>
        <v>#REF!</v>
      </c>
    </row>
    <row r="79" spans="1:37">
      <c r="A79" s="95" t="s">
        <v>4</v>
      </c>
      <c r="B79" s="4" t="s">
        <v>8</v>
      </c>
      <c r="C79" s="4" t="s">
        <v>53</v>
      </c>
      <c r="D79" s="91" t="s">
        <v>64</v>
      </c>
      <c r="E79" s="110" t="e">
        <f t="shared" ref="E79:AJ86" si="32">SUM(E90,E101)</f>
        <v>#REF!</v>
      </c>
      <c r="F79" s="18" t="e">
        <f t="shared" si="32"/>
        <v>#REF!</v>
      </c>
      <c r="G79" s="18" t="e">
        <f t="shared" si="32"/>
        <v>#REF!</v>
      </c>
      <c r="H79" s="18" t="e">
        <f t="shared" si="32"/>
        <v>#REF!</v>
      </c>
      <c r="I79" s="18" t="e">
        <f t="shared" si="32"/>
        <v>#REF!</v>
      </c>
      <c r="J79" s="18" t="e">
        <f t="shared" si="32"/>
        <v>#REF!</v>
      </c>
      <c r="K79" s="18" t="e">
        <f t="shared" si="32"/>
        <v>#REF!</v>
      </c>
      <c r="L79" s="18" t="e">
        <f t="shared" si="32"/>
        <v>#REF!</v>
      </c>
      <c r="M79" s="18" t="e">
        <f t="shared" si="32"/>
        <v>#REF!</v>
      </c>
      <c r="N79" s="18" t="e">
        <f t="shared" si="32"/>
        <v>#REF!</v>
      </c>
      <c r="O79" s="18" t="e">
        <f t="shared" si="32"/>
        <v>#REF!</v>
      </c>
      <c r="P79" s="18" t="e">
        <f t="shared" si="32"/>
        <v>#REF!</v>
      </c>
      <c r="Q79" s="18" t="e">
        <f t="shared" si="32"/>
        <v>#REF!</v>
      </c>
      <c r="R79" s="18" t="e">
        <f t="shared" si="32"/>
        <v>#REF!</v>
      </c>
      <c r="S79" s="18" t="e">
        <f t="shared" si="32"/>
        <v>#REF!</v>
      </c>
      <c r="T79" s="18" t="e">
        <f t="shared" si="32"/>
        <v>#REF!</v>
      </c>
      <c r="U79" s="18" t="e">
        <f t="shared" si="32"/>
        <v>#REF!</v>
      </c>
      <c r="V79" s="18" t="e">
        <f t="shared" si="32"/>
        <v>#REF!</v>
      </c>
      <c r="W79" s="18" t="e">
        <f t="shared" si="32"/>
        <v>#REF!</v>
      </c>
      <c r="X79" s="18" t="e">
        <f t="shared" si="32"/>
        <v>#REF!</v>
      </c>
      <c r="Y79" s="18" t="e">
        <f t="shared" si="32"/>
        <v>#REF!</v>
      </c>
      <c r="Z79" s="18" t="e">
        <f t="shared" si="32"/>
        <v>#REF!</v>
      </c>
      <c r="AA79" s="18" t="e">
        <f t="shared" si="32"/>
        <v>#REF!</v>
      </c>
      <c r="AB79" s="18" t="e">
        <f t="shared" si="32"/>
        <v>#REF!</v>
      </c>
      <c r="AC79" s="18" t="e">
        <f t="shared" si="32"/>
        <v>#REF!</v>
      </c>
      <c r="AD79" s="18" t="e">
        <f t="shared" si="32"/>
        <v>#REF!</v>
      </c>
      <c r="AE79" s="18" t="e">
        <f t="shared" si="32"/>
        <v>#REF!</v>
      </c>
      <c r="AF79" s="18" t="e">
        <f t="shared" si="32"/>
        <v>#REF!</v>
      </c>
      <c r="AG79" s="18" t="e">
        <f t="shared" si="32"/>
        <v>#REF!</v>
      </c>
      <c r="AH79" s="18" t="e">
        <f t="shared" si="32"/>
        <v>#REF!</v>
      </c>
      <c r="AI79" s="18" t="e">
        <f t="shared" si="32"/>
        <v>#REF!</v>
      </c>
      <c r="AJ79" s="111" t="e">
        <f t="shared" si="32"/>
        <v>#REF!</v>
      </c>
      <c r="AK79" s="55" t="e">
        <f t="shared" ref="AK79:AK112" si="33">SUM(K79:AJ79)</f>
        <v>#REF!</v>
      </c>
    </row>
    <row r="80" spans="1:37">
      <c r="A80" s="95" t="s">
        <v>4</v>
      </c>
      <c r="B80" s="4" t="s">
        <v>37</v>
      </c>
      <c r="C80" s="4" t="s">
        <v>53</v>
      </c>
      <c r="D80" s="91" t="s">
        <v>64</v>
      </c>
      <c r="E80" s="110" t="e">
        <f t="shared" si="32"/>
        <v>#REF!</v>
      </c>
      <c r="F80" s="18" t="e">
        <f t="shared" si="32"/>
        <v>#REF!</v>
      </c>
      <c r="G80" s="18" t="e">
        <f t="shared" si="32"/>
        <v>#REF!</v>
      </c>
      <c r="H80" s="18" t="e">
        <f t="shared" si="32"/>
        <v>#REF!</v>
      </c>
      <c r="I80" s="18" t="e">
        <f t="shared" si="32"/>
        <v>#REF!</v>
      </c>
      <c r="J80" s="18" t="e">
        <f t="shared" si="32"/>
        <v>#REF!</v>
      </c>
      <c r="K80" s="18" t="e">
        <f t="shared" si="32"/>
        <v>#REF!</v>
      </c>
      <c r="L80" s="18" t="e">
        <f t="shared" si="32"/>
        <v>#REF!</v>
      </c>
      <c r="M80" s="18" t="e">
        <f t="shared" si="32"/>
        <v>#REF!</v>
      </c>
      <c r="N80" s="18" t="e">
        <f t="shared" si="32"/>
        <v>#REF!</v>
      </c>
      <c r="O80" s="18" t="e">
        <f t="shared" si="32"/>
        <v>#REF!</v>
      </c>
      <c r="P80" s="18" t="e">
        <f t="shared" si="32"/>
        <v>#REF!</v>
      </c>
      <c r="Q80" s="18" t="e">
        <f t="shared" si="32"/>
        <v>#REF!</v>
      </c>
      <c r="R80" s="18" t="e">
        <f t="shared" si="32"/>
        <v>#REF!</v>
      </c>
      <c r="S80" s="18" t="e">
        <f t="shared" si="32"/>
        <v>#REF!</v>
      </c>
      <c r="T80" s="18" t="e">
        <f t="shared" si="32"/>
        <v>#REF!</v>
      </c>
      <c r="U80" s="18" t="e">
        <f t="shared" si="32"/>
        <v>#REF!</v>
      </c>
      <c r="V80" s="18" t="e">
        <f t="shared" si="32"/>
        <v>#REF!</v>
      </c>
      <c r="W80" s="18" t="e">
        <f t="shared" si="32"/>
        <v>#REF!</v>
      </c>
      <c r="X80" s="18" t="e">
        <f t="shared" si="32"/>
        <v>#REF!</v>
      </c>
      <c r="Y80" s="18" t="e">
        <f t="shared" si="32"/>
        <v>#REF!</v>
      </c>
      <c r="Z80" s="18" t="e">
        <f t="shared" si="32"/>
        <v>#REF!</v>
      </c>
      <c r="AA80" s="18" t="e">
        <f t="shared" si="32"/>
        <v>#REF!</v>
      </c>
      <c r="AB80" s="18" t="e">
        <f t="shared" si="32"/>
        <v>#REF!</v>
      </c>
      <c r="AC80" s="18" t="e">
        <f t="shared" si="32"/>
        <v>#REF!</v>
      </c>
      <c r="AD80" s="18" t="e">
        <f t="shared" si="32"/>
        <v>#REF!</v>
      </c>
      <c r="AE80" s="18" t="e">
        <f t="shared" si="32"/>
        <v>#REF!</v>
      </c>
      <c r="AF80" s="18" t="e">
        <f t="shared" si="32"/>
        <v>#REF!</v>
      </c>
      <c r="AG80" s="18" t="e">
        <f t="shared" si="32"/>
        <v>#REF!</v>
      </c>
      <c r="AH80" s="18" t="e">
        <f t="shared" si="32"/>
        <v>#REF!</v>
      </c>
      <c r="AI80" s="18" t="e">
        <f t="shared" si="32"/>
        <v>#REF!</v>
      </c>
      <c r="AJ80" s="111" t="e">
        <f t="shared" si="32"/>
        <v>#REF!</v>
      </c>
      <c r="AK80" s="55" t="e">
        <f t="shared" si="33"/>
        <v>#REF!</v>
      </c>
    </row>
    <row r="81" spans="1:37">
      <c r="A81" s="95" t="s">
        <v>4</v>
      </c>
      <c r="B81" s="4" t="s">
        <v>10</v>
      </c>
      <c r="C81" s="4" t="s">
        <v>53</v>
      </c>
      <c r="D81" s="91" t="s">
        <v>64</v>
      </c>
      <c r="E81" s="110" t="e">
        <f t="shared" si="32"/>
        <v>#REF!</v>
      </c>
      <c r="F81" s="18" t="e">
        <f t="shared" si="32"/>
        <v>#REF!</v>
      </c>
      <c r="G81" s="18" t="e">
        <f t="shared" si="32"/>
        <v>#REF!</v>
      </c>
      <c r="H81" s="18" t="e">
        <f t="shared" si="32"/>
        <v>#REF!</v>
      </c>
      <c r="I81" s="18" t="e">
        <f t="shared" si="32"/>
        <v>#REF!</v>
      </c>
      <c r="J81" s="18" t="e">
        <f t="shared" si="32"/>
        <v>#REF!</v>
      </c>
      <c r="K81" s="18" t="e">
        <f t="shared" si="32"/>
        <v>#REF!</v>
      </c>
      <c r="L81" s="18" t="e">
        <f t="shared" si="32"/>
        <v>#REF!</v>
      </c>
      <c r="M81" s="18" t="e">
        <f t="shared" si="32"/>
        <v>#REF!</v>
      </c>
      <c r="N81" s="18" t="e">
        <f t="shared" si="32"/>
        <v>#REF!</v>
      </c>
      <c r="O81" s="18" t="e">
        <f t="shared" si="32"/>
        <v>#REF!</v>
      </c>
      <c r="P81" s="18" t="e">
        <f t="shared" si="32"/>
        <v>#REF!</v>
      </c>
      <c r="Q81" s="18" t="e">
        <f t="shared" si="32"/>
        <v>#REF!</v>
      </c>
      <c r="R81" s="18" t="e">
        <f t="shared" si="32"/>
        <v>#REF!</v>
      </c>
      <c r="S81" s="18" t="e">
        <f t="shared" si="32"/>
        <v>#REF!</v>
      </c>
      <c r="T81" s="18" t="e">
        <f t="shared" si="32"/>
        <v>#REF!</v>
      </c>
      <c r="U81" s="18" t="e">
        <f t="shared" si="32"/>
        <v>#REF!</v>
      </c>
      <c r="V81" s="18" t="e">
        <f t="shared" si="32"/>
        <v>#REF!</v>
      </c>
      <c r="W81" s="18" t="e">
        <f t="shared" si="32"/>
        <v>#REF!</v>
      </c>
      <c r="X81" s="18" t="e">
        <f t="shared" si="32"/>
        <v>#REF!</v>
      </c>
      <c r="Y81" s="18" t="e">
        <f t="shared" si="32"/>
        <v>#REF!</v>
      </c>
      <c r="Z81" s="18" t="e">
        <f t="shared" si="32"/>
        <v>#REF!</v>
      </c>
      <c r="AA81" s="18" t="e">
        <f t="shared" si="32"/>
        <v>#REF!</v>
      </c>
      <c r="AB81" s="18" t="e">
        <f t="shared" si="32"/>
        <v>#REF!</v>
      </c>
      <c r="AC81" s="18" t="e">
        <f t="shared" si="32"/>
        <v>#REF!</v>
      </c>
      <c r="AD81" s="18" t="e">
        <f t="shared" si="32"/>
        <v>#REF!</v>
      </c>
      <c r="AE81" s="18" t="e">
        <f t="shared" si="32"/>
        <v>#REF!</v>
      </c>
      <c r="AF81" s="18" t="e">
        <f t="shared" si="32"/>
        <v>#REF!</v>
      </c>
      <c r="AG81" s="18" t="e">
        <f t="shared" si="32"/>
        <v>#REF!</v>
      </c>
      <c r="AH81" s="18" t="e">
        <f t="shared" si="32"/>
        <v>#REF!</v>
      </c>
      <c r="AI81" s="18" t="e">
        <f t="shared" si="32"/>
        <v>#REF!</v>
      </c>
      <c r="AJ81" s="111" t="e">
        <f t="shared" si="32"/>
        <v>#REF!</v>
      </c>
      <c r="AK81" s="55" t="e">
        <f t="shared" si="33"/>
        <v>#REF!</v>
      </c>
    </row>
    <row r="82" spans="1:37">
      <c r="A82" s="95" t="s">
        <v>4</v>
      </c>
      <c r="B82" s="4" t="s">
        <v>11</v>
      </c>
      <c r="C82" s="4" t="s">
        <v>53</v>
      </c>
      <c r="D82" s="91" t="s">
        <v>64</v>
      </c>
      <c r="E82" s="110" t="e">
        <f t="shared" si="32"/>
        <v>#REF!</v>
      </c>
      <c r="F82" s="18" t="e">
        <f t="shared" si="32"/>
        <v>#REF!</v>
      </c>
      <c r="G82" s="18" t="e">
        <f t="shared" si="32"/>
        <v>#REF!</v>
      </c>
      <c r="H82" s="18" t="e">
        <f t="shared" si="32"/>
        <v>#REF!</v>
      </c>
      <c r="I82" s="18" t="e">
        <f t="shared" si="32"/>
        <v>#REF!</v>
      </c>
      <c r="J82" s="18" t="e">
        <f t="shared" si="32"/>
        <v>#REF!</v>
      </c>
      <c r="K82" s="18" t="e">
        <f t="shared" si="32"/>
        <v>#REF!</v>
      </c>
      <c r="L82" s="18" t="e">
        <f t="shared" si="32"/>
        <v>#REF!</v>
      </c>
      <c r="M82" s="18" t="e">
        <f t="shared" si="32"/>
        <v>#REF!</v>
      </c>
      <c r="N82" s="18" t="e">
        <f t="shared" si="32"/>
        <v>#REF!</v>
      </c>
      <c r="O82" s="18" t="e">
        <f t="shared" si="32"/>
        <v>#REF!</v>
      </c>
      <c r="P82" s="18" t="e">
        <f t="shared" si="32"/>
        <v>#REF!</v>
      </c>
      <c r="Q82" s="18" t="e">
        <f t="shared" si="32"/>
        <v>#REF!</v>
      </c>
      <c r="R82" s="18" t="e">
        <f t="shared" si="32"/>
        <v>#REF!</v>
      </c>
      <c r="S82" s="18" t="e">
        <f t="shared" si="32"/>
        <v>#REF!</v>
      </c>
      <c r="T82" s="18" t="e">
        <f t="shared" si="32"/>
        <v>#REF!</v>
      </c>
      <c r="U82" s="18" t="e">
        <f t="shared" si="32"/>
        <v>#REF!</v>
      </c>
      <c r="V82" s="18" t="e">
        <f t="shared" si="32"/>
        <v>#REF!</v>
      </c>
      <c r="W82" s="18" t="e">
        <f t="shared" si="32"/>
        <v>#REF!</v>
      </c>
      <c r="X82" s="18" t="e">
        <f t="shared" si="32"/>
        <v>#REF!</v>
      </c>
      <c r="Y82" s="18" t="e">
        <f t="shared" si="32"/>
        <v>#REF!</v>
      </c>
      <c r="Z82" s="18" t="e">
        <f t="shared" si="32"/>
        <v>#REF!</v>
      </c>
      <c r="AA82" s="18" t="e">
        <f t="shared" si="32"/>
        <v>#REF!</v>
      </c>
      <c r="AB82" s="18" t="e">
        <f t="shared" si="32"/>
        <v>#REF!</v>
      </c>
      <c r="AC82" s="18" t="e">
        <f t="shared" si="32"/>
        <v>#REF!</v>
      </c>
      <c r="AD82" s="18" t="e">
        <f t="shared" si="32"/>
        <v>#REF!</v>
      </c>
      <c r="AE82" s="18" t="e">
        <f t="shared" si="32"/>
        <v>#REF!</v>
      </c>
      <c r="AF82" s="18" t="e">
        <f t="shared" si="32"/>
        <v>#REF!</v>
      </c>
      <c r="AG82" s="18" t="e">
        <f t="shared" si="32"/>
        <v>#REF!</v>
      </c>
      <c r="AH82" s="18" t="e">
        <f t="shared" si="32"/>
        <v>#REF!</v>
      </c>
      <c r="AI82" s="18" t="e">
        <f t="shared" si="32"/>
        <v>#REF!</v>
      </c>
      <c r="AJ82" s="111" t="e">
        <f t="shared" si="32"/>
        <v>#REF!</v>
      </c>
      <c r="AK82" s="55" t="e">
        <f t="shared" si="33"/>
        <v>#REF!</v>
      </c>
    </row>
    <row r="83" spans="1:37">
      <c r="A83" s="95" t="s">
        <v>4</v>
      </c>
      <c r="B83" s="4" t="s">
        <v>12</v>
      </c>
      <c r="C83" s="4" t="s">
        <v>53</v>
      </c>
      <c r="D83" s="91" t="s">
        <v>64</v>
      </c>
      <c r="E83" s="110" t="e">
        <f t="shared" si="32"/>
        <v>#REF!</v>
      </c>
      <c r="F83" s="18" t="e">
        <f t="shared" si="32"/>
        <v>#REF!</v>
      </c>
      <c r="G83" s="18" t="e">
        <f t="shared" si="32"/>
        <v>#REF!</v>
      </c>
      <c r="H83" s="18" t="e">
        <f t="shared" si="32"/>
        <v>#REF!</v>
      </c>
      <c r="I83" s="18" t="e">
        <f t="shared" si="32"/>
        <v>#REF!</v>
      </c>
      <c r="J83" s="18" t="e">
        <f t="shared" si="32"/>
        <v>#REF!</v>
      </c>
      <c r="K83" s="18" t="e">
        <f t="shared" si="32"/>
        <v>#REF!</v>
      </c>
      <c r="L83" s="18" t="e">
        <f t="shared" si="32"/>
        <v>#REF!</v>
      </c>
      <c r="M83" s="18" t="e">
        <f t="shared" si="32"/>
        <v>#REF!</v>
      </c>
      <c r="N83" s="18" t="e">
        <f t="shared" si="32"/>
        <v>#REF!</v>
      </c>
      <c r="O83" s="18" t="e">
        <f t="shared" si="32"/>
        <v>#REF!</v>
      </c>
      <c r="P83" s="18" t="e">
        <f t="shared" si="32"/>
        <v>#REF!</v>
      </c>
      <c r="Q83" s="18" t="e">
        <f t="shared" si="32"/>
        <v>#REF!</v>
      </c>
      <c r="R83" s="18" t="e">
        <f t="shared" si="32"/>
        <v>#REF!</v>
      </c>
      <c r="S83" s="18" t="e">
        <f t="shared" si="32"/>
        <v>#REF!</v>
      </c>
      <c r="T83" s="18" t="e">
        <f t="shared" si="32"/>
        <v>#REF!</v>
      </c>
      <c r="U83" s="18" t="e">
        <f t="shared" si="32"/>
        <v>#REF!</v>
      </c>
      <c r="V83" s="18" t="e">
        <f t="shared" si="32"/>
        <v>#REF!</v>
      </c>
      <c r="W83" s="18" t="e">
        <f t="shared" si="32"/>
        <v>#REF!</v>
      </c>
      <c r="X83" s="18" t="e">
        <f t="shared" si="32"/>
        <v>#REF!</v>
      </c>
      <c r="Y83" s="18" t="e">
        <f t="shared" si="32"/>
        <v>#REF!</v>
      </c>
      <c r="Z83" s="18" t="e">
        <f t="shared" si="32"/>
        <v>#REF!</v>
      </c>
      <c r="AA83" s="18" t="e">
        <f t="shared" si="32"/>
        <v>#REF!</v>
      </c>
      <c r="AB83" s="18" t="e">
        <f t="shared" si="32"/>
        <v>#REF!</v>
      </c>
      <c r="AC83" s="18" t="e">
        <f t="shared" si="32"/>
        <v>#REF!</v>
      </c>
      <c r="AD83" s="18" t="e">
        <f t="shared" si="32"/>
        <v>#REF!</v>
      </c>
      <c r="AE83" s="18" t="e">
        <f t="shared" si="32"/>
        <v>#REF!</v>
      </c>
      <c r="AF83" s="18" t="e">
        <f t="shared" si="32"/>
        <v>#REF!</v>
      </c>
      <c r="AG83" s="18" t="e">
        <f t="shared" si="32"/>
        <v>#REF!</v>
      </c>
      <c r="AH83" s="18" t="e">
        <f t="shared" si="32"/>
        <v>#REF!</v>
      </c>
      <c r="AI83" s="18" t="e">
        <f t="shared" si="32"/>
        <v>#REF!</v>
      </c>
      <c r="AJ83" s="111" t="e">
        <f t="shared" si="32"/>
        <v>#REF!</v>
      </c>
      <c r="AK83" s="55" t="e">
        <f t="shared" si="33"/>
        <v>#REF!</v>
      </c>
    </row>
    <row r="84" spans="1:37">
      <c r="A84" s="95" t="s">
        <v>4</v>
      </c>
      <c r="B84" s="4" t="s">
        <v>13</v>
      </c>
      <c r="C84" s="4" t="s">
        <v>53</v>
      </c>
      <c r="D84" s="91" t="s">
        <v>64</v>
      </c>
      <c r="E84" s="110" t="e">
        <f t="shared" si="32"/>
        <v>#REF!</v>
      </c>
      <c r="F84" s="18" t="e">
        <f t="shared" si="32"/>
        <v>#REF!</v>
      </c>
      <c r="G84" s="18" t="e">
        <f t="shared" si="32"/>
        <v>#REF!</v>
      </c>
      <c r="H84" s="18" t="e">
        <f t="shared" si="32"/>
        <v>#REF!</v>
      </c>
      <c r="I84" s="18" t="e">
        <f t="shared" si="32"/>
        <v>#REF!</v>
      </c>
      <c r="J84" s="18" t="e">
        <f t="shared" si="32"/>
        <v>#REF!</v>
      </c>
      <c r="K84" s="18" t="e">
        <f t="shared" si="32"/>
        <v>#REF!</v>
      </c>
      <c r="L84" s="18" t="e">
        <f t="shared" si="32"/>
        <v>#REF!</v>
      </c>
      <c r="M84" s="18" t="e">
        <f t="shared" si="32"/>
        <v>#REF!</v>
      </c>
      <c r="N84" s="18" t="e">
        <f t="shared" si="32"/>
        <v>#REF!</v>
      </c>
      <c r="O84" s="18" t="e">
        <f t="shared" si="32"/>
        <v>#REF!</v>
      </c>
      <c r="P84" s="18" t="e">
        <f t="shared" si="32"/>
        <v>#REF!</v>
      </c>
      <c r="Q84" s="18" t="e">
        <f t="shared" si="32"/>
        <v>#REF!</v>
      </c>
      <c r="R84" s="18" t="e">
        <f t="shared" si="32"/>
        <v>#REF!</v>
      </c>
      <c r="S84" s="18" t="e">
        <f t="shared" si="32"/>
        <v>#REF!</v>
      </c>
      <c r="T84" s="18" t="e">
        <f t="shared" si="32"/>
        <v>#REF!</v>
      </c>
      <c r="U84" s="18" t="e">
        <f t="shared" si="32"/>
        <v>#REF!</v>
      </c>
      <c r="V84" s="18" t="e">
        <f t="shared" si="32"/>
        <v>#REF!</v>
      </c>
      <c r="W84" s="18" t="e">
        <f t="shared" si="32"/>
        <v>#REF!</v>
      </c>
      <c r="X84" s="18" t="e">
        <f t="shared" si="32"/>
        <v>#REF!</v>
      </c>
      <c r="Y84" s="18" t="e">
        <f t="shared" si="32"/>
        <v>#REF!</v>
      </c>
      <c r="Z84" s="18" t="e">
        <f t="shared" si="32"/>
        <v>#REF!</v>
      </c>
      <c r="AA84" s="18" t="e">
        <f t="shared" si="32"/>
        <v>#REF!</v>
      </c>
      <c r="AB84" s="18" t="e">
        <f t="shared" si="32"/>
        <v>#REF!</v>
      </c>
      <c r="AC84" s="18" t="e">
        <f t="shared" si="32"/>
        <v>#REF!</v>
      </c>
      <c r="AD84" s="18" t="e">
        <f t="shared" si="32"/>
        <v>#REF!</v>
      </c>
      <c r="AE84" s="18" t="e">
        <f t="shared" si="32"/>
        <v>#REF!</v>
      </c>
      <c r="AF84" s="18" t="e">
        <f t="shared" si="32"/>
        <v>#REF!</v>
      </c>
      <c r="AG84" s="18" t="e">
        <f t="shared" si="32"/>
        <v>#REF!</v>
      </c>
      <c r="AH84" s="18" t="e">
        <f t="shared" si="32"/>
        <v>#REF!</v>
      </c>
      <c r="AI84" s="18" t="e">
        <f t="shared" si="32"/>
        <v>#REF!</v>
      </c>
      <c r="AJ84" s="111" t="e">
        <f t="shared" si="32"/>
        <v>#REF!</v>
      </c>
      <c r="AK84" s="55" t="e">
        <f t="shared" si="33"/>
        <v>#REF!</v>
      </c>
    </row>
    <row r="85" spans="1:37">
      <c r="A85" s="95" t="s">
        <v>4</v>
      </c>
      <c r="B85" s="4" t="s">
        <v>14</v>
      </c>
      <c r="C85" s="4" t="s">
        <v>53</v>
      </c>
      <c r="D85" s="91" t="s">
        <v>64</v>
      </c>
      <c r="E85" s="110" t="e">
        <f t="shared" si="32"/>
        <v>#REF!</v>
      </c>
      <c r="F85" s="18" t="e">
        <f t="shared" si="32"/>
        <v>#REF!</v>
      </c>
      <c r="G85" s="18" t="e">
        <f t="shared" si="32"/>
        <v>#REF!</v>
      </c>
      <c r="H85" s="18" t="e">
        <f t="shared" si="32"/>
        <v>#REF!</v>
      </c>
      <c r="I85" s="18" t="e">
        <f t="shared" si="32"/>
        <v>#REF!</v>
      </c>
      <c r="J85" s="18" t="e">
        <f t="shared" si="32"/>
        <v>#REF!</v>
      </c>
      <c r="K85" s="18" t="e">
        <f t="shared" si="32"/>
        <v>#REF!</v>
      </c>
      <c r="L85" s="18" t="e">
        <f t="shared" si="32"/>
        <v>#REF!</v>
      </c>
      <c r="M85" s="18" t="e">
        <f t="shared" si="32"/>
        <v>#REF!</v>
      </c>
      <c r="N85" s="18" t="e">
        <f t="shared" si="32"/>
        <v>#REF!</v>
      </c>
      <c r="O85" s="18" t="e">
        <f t="shared" si="32"/>
        <v>#REF!</v>
      </c>
      <c r="P85" s="18" t="e">
        <f t="shared" si="32"/>
        <v>#REF!</v>
      </c>
      <c r="Q85" s="18" t="e">
        <f t="shared" si="32"/>
        <v>#REF!</v>
      </c>
      <c r="R85" s="18" t="e">
        <f t="shared" si="32"/>
        <v>#REF!</v>
      </c>
      <c r="S85" s="18" t="e">
        <f t="shared" si="32"/>
        <v>#REF!</v>
      </c>
      <c r="T85" s="18" t="e">
        <f t="shared" si="32"/>
        <v>#REF!</v>
      </c>
      <c r="U85" s="18" t="e">
        <f t="shared" si="32"/>
        <v>#REF!</v>
      </c>
      <c r="V85" s="18" t="e">
        <f t="shared" si="32"/>
        <v>#REF!</v>
      </c>
      <c r="W85" s="18" t="e">
        <f t="shared" si="32"/>
        <v>#REF!</v>
      </c>
      <c r="X85" s="18" t="e">
        <f t="shared" si="32"/>
        <v>#REF!</v>
      </c>
      <c r="Y85" s="18" t="e">
        <f t="shared" si="32"/>
        <v>#REF!</v>
      </c>
      <c r="Z85" s="18" t="e">
        <f t="shared" si="32"/>
        <v>#REF!</v>
      </c>
      <c r="AA85" s="18" t="e">
        <f t="shared" si="32"/>
        <v>#REF!</v>
      </c>
      <c r="AB85" s="18" t="e">
        <f t="shared" si="32"/>
        <v>#REF!</v>
      </c>
      <c r="AC85" s="18" t="e">
        <f t="shared" si="32"/>
        <v>#REF!</v>
      </c>
      <c r="AD85" s="18" t="e">
        <f t="shared" si="32"/>
        <v>#REF!</v>
      </c>
      <c r="AE85" s="18" t="e">
        <f t="shared" si="32"/>
        <v>#REF!</v>
      </c>
      <c r="AF85" s="18" t="e">
        <f t="shared" si="32"/>
        <v>#REF!</v>
      </c>
      <c r="AG85" s="18" t="e">
        <f t="shared" si="32"/>
        <v>#REF!</v>
      </c>
      <c r="AH85" s="18" t="e">
        <f t="shared" si="32"/>
        <v>#REF!</v>
      </c>
      <c r="AI85" s="18" t="e">
        <f t="shared" si="32"/>
        <v>#REF!</v>
      </c>
      <c r="AJ85" s="111" t="e">
        <f t="shared" si="32"/>
        <v>#REF!</v>
      </c>
      <c r="AK85" s="55" t="e">
        <f t="shared" si="33"/>
        <v>#REF!</v>
      </c>
    </row>
    <row r="86" spans="1:37">
      <c r="A86" s="95" t="s">
        <v>4</v>
      </c>
      <c r="B86" s="4" t="s">
        <v>15</v>
      </c>
      <c r="C86" s="4" t="s">
        <v>53</v>
      </c>
      <c r="D86" s="91" t="s">
        <v>64</v>
      </c>
      <c r="E86" s="110" t="e">
        <f t="shared" si="32"/>
        <v>#REF!</v>
      </c>
      <c r="F86" s="18" t="e">
        <f t="shared" si="32"/>
        <v>#REF!</v>
      </c>
      <c r="G86" s="18" t="e">
        <f t="shared" si="32"/>
        <v>#REF!</v>
      </c>
      <c r="H86" s="18" t="e">
        <f t="shared" si="32"/>
        <v>#REF!</v>
      </c>
      <c r="I86" s="18" t="e">
        <f t="shared" si="32"/>
        <v>#REF!</v>
      </c>
      <c r="J86" s="18" t="e">
        <f t="shared" si="32"/>
        <v>#REF!</v>
      </c>
      <c r="K86" s="18" t="e">
        <f t="shared" si="32"/>
        <v>#REF!</v>
      </c>
      <c r="L86" s="18" t="e">
        <f t="shared" si="32"/>
        <v>#REF!</v>
      </c>
      <c r="M86" s="18" t="e">
        <f t="shared" si="32"/>
        <v>#REF!</v>
      </c>
      <c r="N86" s="18" t="e">
        <f t="shared" si="32"/>
        <v>#REF!</v>
      </c>
      <c r="O86" s="18" t="e">
        <f t="shared" si="32"/>
        <v>#REF!</v>
      </c>
      <c r="P86" s="18" t="e">
        <f t="shared" si="32"/>
        <v>#REF!</v>
      </c>
      <c r="Q86" s="18" t="e">
        <f t="shared" si="32"/>
        <v>#REF!</v>
      </c>
      <c r="R86" s="18" t="e">
        <f t="shared" si="32"/>
        <v>#REF!</v>
      </c>
      <c r="S86" s="18" t="e">
        <f t="shared" si="32"/>
        <v>#REF!</v>
      </c>
      <c r="T86" s="18" t="e">
        <f t="shared" si="32"/>
        <v>#REF!</v>
      </c>
      <c r="U86" s="18" t="e">
        <f t="shared" si="32"/>
        <v>#REF!</v>
      </c>
      <c r="V86" s="18" t="e">
        <f t="shared" si="32"/>
        <v>#REF!</v>
      </c>
      <c r="W86" s="18" t="e">
        <f t="shared" si="32"/>
        <v>#REF!</v>
      </c>
      <c r="X86" s="18" t="e">
        <f t="shared" si="32"/>
        <v>#REF!</v>
      </c>
      <c r="Y86" s="18" t="e">
        <f t="shared" si="32"/>
        <v>#REF!</v>
      </c>
      <c r="Z86" s="18" t="e">
        <f t="shared" si="32"/>
        <v>#REF!</v>
      </c>
      <c r="AA86" s="18" t="e">
        <f t="shared" si="32"/>
        <v>#REF!</v>
      </c>
      <c r="AB86" s="18" t="e">
        <f t="shared" si="32"/>
        <v>#REF!</v>
      </c>
      <c r="AC86" s="18" t="e">
        <f t="shared" si="32"/>
        <v>#REF!</v>
      </c>
      <c r="AD86" s="18" t="e">
        <f t="shared" si="32"/>
        <v>#REF!</v>
      </c>
      <c r="AE86" s="18" t="e">
        <f t="shared" si="32"/>
        <v>#REF!</v>
      </c>
      <c r="AF86" s="18" t="e">
        <f t="shared" si="32"/>
        <v>#REF!</v>
      </c>
      <c r="AG86" s="18" t="e">
        <f t="shared" si="32"/>
        <v>#REF!</v>
      </c>
      <c r="AH86" s="18" t="e">
        <f t="shared" si="32"/>
        <v>#REF!</v>
      </c>
      <c r="AI86" s="18" t="e">
        <f t="shared" si="32"/>
        <v>#REF!</v>
      </c>
      <c r="AJ86" s="111" t="e">
        <f t="shared" ref="AJ86" si="34">SUM(AJ97,AJ108)</f>
        <v>#REF!</v>
      </c>
      <c r="AK86" s="55" t="e">
        <f t="shared" si="33"/>
        <v>#REF!</v>
      </c>
    </row>
    <row r="87" spans="1:37">
      <c r="A87" s="95" t="s">
        <v>4</v>
      </c>
      <c r="B87" s="4" t="s">
        <v>16</v>
      </c>
      <c r="C87" s="4" t="s">
        <v>53</v>
      </c>
      <c r="D87" s="91" t="s">
        <v>64</v>
      </c>
      <c r="E87" s="110" t="e">
        <f t="shared" ref="E87:AJ87" si="35">SUM(E98,E109)</f>
        <v>#REF!</v>
      </c>
      <c r="F87" s="18" t="e">
        <f t="shared" si="35"/>
        <v>#REF!</v>
      </c>
      <c r="G87" s="18" t="e">
        <f t="shared" si="35"/>
        <v>#REF!</v>
      </c>
      <c r="H87" s="18" t="e">
        <f t="shared" si="35"/>
        <v>#REF!</v>
      </c>
      <c r="I87" s="18" t="e">
        <f t="shared" si="35"/>
        <v>#REF!</v>
      </c>
      <c r="J87" s="18" t="e">
        <f t="shared" si="35"/>
        <v>#REF!</v>
      </c>
      <c r="K87" s="18" t="e">
        <f t="shared" si="35"/>
        <v>#REF!</v>
      </c>
      <c r="L87" s="18" t="e">
        <f t="shared" si="35"/>
        <v>#REF!</v>
      </c>
      <c r="M87" s="18" t="e">
        <f t="shared" si="35"/>
        <v>#REF!</v>
      </c>
      <c r="N87" s="18" t="e">
        <f t="shared" si="35"/>
        <v>#REF!</v>
      </c>
      <c r="O87" s="18" t="e">
        <f t="shared" si="35"/>
        <v>#REF!</v>
      </c>
      <c r="P87" s="18" t="e">
        <f t="shared" si="35"/>
        <v>#REF!</v>
      </c>
      <c r="Q87" s="18" t="e">
        <f t="shared" si="35"/>
        <v>#REF!</v>
      </c>
      <c r="R87" s="18" t="e">
        <f t="shared" si="35"/>
        <v>#REF!</v>
      </c>
      <c r="S87" s="18" t="e">
        <f t="shared" si="35"/>
        <v>#REF!</v>
      </c>
      <c r="T87" s="18" t="e">
        <f t="shared" si="35"/>
        <v>#REF!</v>
      </c>
      <c r="U87" s="18" t="e">
        <f t="shared" si="35"/>
        <v>#REF!</v>
      </c>
      <c r="V87" s="18" t="e">
        <f t="shared" si="35"/>
        <v>#REF!</v>
      </c>
      <c r="W87" s="18" t="e">
        <f t="shared" si="35"/>
        <v>#REF!</v>
      </c>
      <c r="X87" s="18" t="e">
        <f t="shared" si="35"/>
        <v>#REF!</v>
      </c>
      <c r="Y87" s="18" t="e">
        <f t="shared" si="35"/>
        <v>#REF!</v>
      </c>
      <c r="Z87" s="18" t="e">
        <f t="shared" si="35"/>
        <v>#REF!</v>
      </c>
      <c r="AA87" s="18" t="e">
        <f t="shared" si="35"/>
        <v>#REF!</v>
      </c>
      <c r="AB87" s="18" t="e">
        <f t="shared" si="35"/>
        <v>#REF!</v>
      </c>
      <c r="AC87" s="18" t="e">
        <f t="shared" si="35"/>
        <v>#REF!</v>
      </c>
      <c r="AD87" s="18" t="e">
        <f t="shared" si="35"/>
        <v>#REF!</v>
      </c>
      <c r="AE87" s="18" t="e">
        <f t="shared" si="35"/>
        <v>#REF!</v>
      </c>
      <c r="AF87" s="18" t="e">
        <f t="shared" si="35"/>
        <v>#REF!</v>
      </c>
      <c r="AG87" s="18" t="e">
        <f t="shared" si="35"/>
        <v>#REF!</v>
      </c>
      <c r="AH87" s="18" t="e">
        <f t="shared" si="35"/>
        <v>#REF!</v>
      </c>
      <c r="AI87" s="18" t="e">
        <f t="shared" si="35"/>
        <v>#REF!</v>
      </c>
      <c r="AJ87" s="111" t="e">
        <f t="shared" si="35"/>
        <v>#REF!</v>
      </c>
      <c r="AK87" s="55" t="e">
        <f t="shared" si="33"/>
        <v>#REF!</v>
      </c>
    </row>
    <row r="88" spans="1:37" ht="17" thickBot="1">
      <c r="A88" s="96" t="s">
        <v>4</v>
      </c>
      <c r="B88" s="32" t="s">
        <v>17</v>
      </c>
      <c r="C88" s="32" t="s">
        <v>53</v>
      </c>
      <c r="D88" s="93" t="s">
        <v>64</v>
      </c>
      <c r="E88" s="112" t="e">
        <f t="shared" ref="E88:AJ88" si="36">SUM(E99,E110)</f>
        <v>#REF!</v>
      </c>
      <c r="F88" s="113" t="e">
        <f t="shared" si="36"/>
        <v>#REF!</v>
      </c>
      <c r="G88" s="113" t="e">
        <f t="shared" si="36"/>
        <v>#REF!</v>
      </c>
      <c r="H88" s="113" t="e">
        <f t="shared" si="36"/>
        <v>#REF!</v>
      </c>
      <c r="I88" s="113" t="e">
        <f t="shared" si="36"/>
        <v>#REF!</v>
      </c>
      <c r="J88" s="113" t="e">
        <f t="shared" si="36"/>
        <v>#REF!</v>
      </c>
      <c r="K88" s="113" t="e">
        <f t="shared" si="36"/>
        <v>#REF!</v>
      </c>
      <c r="L88" s="113" t="e">
        <f t="shared" si="36"/>
        <v>#REF!</v>
      </c>
      <c r="M88" s="113" t="e">
        <f t="shared" si="36"/>
        <v>#REF!</v>
      </c>
      <c r="N88" s="113" t="e">
        <f t="shared" si="36"/>
        <v>#REF!</v>
      </c>
      <c r="O88" s="113" t="e">
        <f t="shared" si="36"/>
        <v>#REF!</v>
      </c>
      <c r="P88" s="113" t="e">
        <f t="shared" si="36"/>
        <v>#REF!</v>
      </c>
      <c r="Q88" s="113" t="e">
        <f t="shared" si="36"/>
        <v>#REF!</v>
      </c>
      <c r="R88" s="113" t="e">
        <f t="shared" si="36"/>
        <v>#REF!</v>
      </c>
      <c r="S88" s="113" t="e">
        <f t="shared" si="36"/>
        <v>#REF!</v>
      </c>
      <c r="T88" s="113" t="e">
        <f t="shared" si="36"/>
        <v>#REF!</v>
      </c>
      <c r="U88" s="113" t="e">
        <f t="shared" si="36"/>
        <v>#REF!</v>
      </c>
      <c r="V88" s="113" t="e">
        <f t="shared" si="36"/>
        <v>#REF!</v>
      </c>
      <c r="W88" s="113" t="e">
        <f t="shared" si="36"/>
        <v>#REF!</v>
      </c>
      <c r="X88" s="113" t="e">
        <f t="shared" si="36"/>
        <v>#REF!</v>
      </c>
      <c r="Y88" s="113" t="e">
        <f t="shared" si="36"/>
        <v>#REF!</v>
      </c>
      <c r="Z88" s="113" t="e">
        <f t="shared" si="36"/>
        <v>#REF!</v>
      </c>
      <c r="AA88" s="113" t="e">
        <f t="shared" si="36"/>
        <v>#REF!</v>
      </c>
      <c r="AB88" s="113" t="e">
        <f t="shared" si="36"/>
        <v>#REF!</v>
      </c>
      <c r="AC88" s="113" t="e">
        <f t="shared" si="36"/>
        <v>#REF!</v>
      </c>
      <c r="AD88" s="113" t="e">
        <f t="shared" si="36"/>
        <v>#REF!</v>
      </c>
      <c r="AE88" s="113" t="e">
        <f t="shared" si="36"/>
        <v>#REF!</v>
      </c>
      <c r="AF88" s="113" t="e">
        <f t="shared" si="36"/>
        <v>#REF!</v>
      </c>
      <c r="AG88" s="113" t="e">
        <f t="shared" si="36"/>
        <v>#REF!</v>
      </c>
      <c r="AH88" s="113" t="e">
        <f t="shared" si="36"/>
        <v>#REF!</v>
      </c>
      <c r="AI88" s="113" t="e">
        <f t="shared" si="36"/>
        <v>#REF!</v>
      </c>
      <c r="AJ88" s="114" t="e">
        <f t="shared" si="36"/>
        <v>#REF!</v>
      </c>
      <c r="AK88" s="55" t="e">
        <f t="shared" si="33"/>
        <v>#REF!</v>
      </c>
    </row>
    <row r="89" spans="1:37">
      <c r="A89" s="94" t="s">
        <v>18</v>
      </c>
      <c r="B89" s="88" t="s">
        <v>36</v>
      </c>
      <c r="C89" s="88" t="s">
        <v>53</v>
      </c>
      <c r="D89" s="89" t="s">
        <v>64</v>
      </c>
      <c r="E89" s="107" t="e">
        <f>1000*E13*_xlfn.XLOOKUP($B89,params!#REF!,params!#REF!,0)*(1+_xlfn.XLOOKUP($B89,params!#REF!,params!$W$27:$W$37,0))</f>
        <v>#REF!</v>
      </c>
      <c r="F89" s="108" t="e">
        <f>1000*F13*_xlfn.XLOOKUP($B89,params!#REF!,params!#REF!,0)*(1+_xlfn.XLOOKUP($B89,params!#REF!,params!$W$27:$W$37,0))</f>
        <v>#REF!</v>
      </c>
      <c r="G89" s="108" t="e">
        <f>1000*G13*_xlfn.XLOOKUP($B89,params!#REF!,params!#REF!,0)*(1+_xlfn.XLOOKUP($B89,params!#REF!,params!$W$27:$W$37,0))</f>
        <v>#REF!</v>
      </c>
      <c r="H89" s="108" t="e">
        <f>1000*H13*_xlfn.XLOOKUP($B89,params!#REF!,params!#REF!,0)*(1+_xlfn.XLOOKUP($B89,params!#REF!,params!$W$27:$W$37,0))</f>
        <v>#REF!</v>
      </c>
      <c r="I89" s="108" t="e">
        <f>1000*I13*_xlfn.XLOOKUP($B89,params!#REF!,params!#REF!,0)*(1+_xlfn.XLOOKUP($B89,params!#REF!,params!$W$27:$W$37,0))</f>
        <v>#REF!</v>
      </c>
      <c r="J89" s="108" t="e">
        <f>1000*J13*_xlfn.XLOOKUP($B89,params!#REF!,params!#REF!,0)*(1+_xlfn.XLOOKUP($B89,params!#REF!,params!$W$27:$W$37,0))</f>
        <v>#REF!</v>
      </c>
      <c r="K89" s="108" t="e">
        <f>1000*K13*_xlfn.XLOOKUP($B89,params!#REF!,params!#REF!,0)*(1+_xlfn.XLOOKUP($B89,params!#REF!,params!$W$27:$W$37,0))</f>
        <v>#REF!</v>
      </c>
      <c r="L89" s="108" t="e">
        <f>1000*L13*_xlfn.XLOOKUP($B89,params!#REF!,params!#REF!,0)*(1+_xlfn.XLOOKUP($B89,params!#REF!,params!$W$27:$W$37,0))</f>
        <v>#REF!</v>
      </c>
      <c r="M89" s="108" t="e">
        <f>1000*M13*_xlfn.XLOOKUP($B89,params!#REF!,params!#REF!,0)*(1+_xlfn.XLOOKUP($B89,params!#REF!,params!$W$27:$W$37,0))</f>
        <v>#REF!</v>
      </c>
      <c r="N89" s="108" t="e">
        <f>1000*N13*_xlfn.XLOOKUP($B89,params!#REF!,params!#REF!,0)*(1+_xlfn.XLOOKUP($B89,params!#REF!,params!$W$27:$W$37,0))</f>
        <v>#REF!</v>
      </c>
      <c r="O89" s="108" t="e">
        <f>1000*O13*_xlfn.XLOOKUP($B89,params!#REF!,params!#REF!,0)*(1+_xlfn.XLOOKUP($B89,params!#REF!,params!$W$27:$W$37,0))</f>
        <v>#REF!</v>
      </c>
      <c r="P89" s="108" t="e">
        <f>1000*P13*_xlfn.XLOOKUP($B89,params!#REF!,params!#REF!,0)*(1+_xlfn.XLOOKUP($B89,params!#REF!,params!$W$27:$W$37,0))</f>
        <v>#REF!</v>
      </c>
      <c r="Q89" s="108" t="e">
        <f>1000*Q13*_xlfn.XLOOKUP($B89,params!#REF!,params!#REF!,0)*(1+_xlfn.XLOOKUP($B89,params!#REF!,params!$W$27:$W$37,0))</f>
        <v>#REF!</v>
      </c>
      <c r="R89" s="108" t="e">
        <f>1000*R13*_xlfn.XLOOKUP($B89,params!#REF!,params!#REF!,0)*(1+_xlfn.XLOOKUP($B89,params!#REF!,params!$W$27:$W$37,0))</f>
        <v>#REF!</v>
      </c>
      <c r="S89" s="108" t="e">
        <f>1000*S13*_xlfn.XLOOKUP($B89,params!#REF!,params!#REF!,0)*(1+_xlfn.XLOOKUP($B89,params!#REF!,params!$W$27:$W$37,0))</f>
        <v>#REF!</v>
      </c>
      <c r="T89" s="108" t="e">
        <f>1000*T13*_xlfn.XLOOKUP($B89,params!#REF!,params!#REF!,0)*(1+_xlfn.XLOOKUP($B89,params!#REF!,params!$W$27:$W$37,0))</f>
        <v>#REF!</v>
      </c>
      <c r="U89" s="108" t="e">
        <f>1000*U13*_xlfn.XLOOKUP($B89,params!#REF!,params!#REF!,0)*(1+_xlfn.XLOOKUP($B89,params!#REF!,params!$W$27:$W$37,0))</f>
        <v>#REF!</v>
      </c>
      <c r="V89" s="108" t="e">
        <f>1000*V13*_xlfn.XLOOKUP($B89,params!#REF!,params!#REF!,0)*(1+_xlfn.XLOOKUP($B89,params!#REF!,params!$W$27:$W$37,0))</f>
        <v>#REF!</v>
      </c>
      <c r="W89" s="108" t="e">
        <f>1000*W13*_xlfn.XLOOKUP($B89,params!#REF!,params!#REF!,0)*(1+_xlfn.XLOOKUP($B89,params!#REF!,params!$W$27:$W$37,0))</f>
        <v>#REF!</v>
      </c>
      <c r="X89" s="108" t="e">
        <f>1000*X13*_xlfn.XLOOKUP($B89,params!#REF!,params!#REF!,0)*(1+_xlfn.XLOOKUP($B89,params!#REF!,params!$W$27:$W$37,0))</f>
        <v>#REF!</v>
      </c>
      <c r="Y89" s="108" t="e">
        <f>1000*Y13*_xlfn.XLOOKUP($B89,params!#REF!,params!#REF!,0)*(1+_xlfn.XLOOKUP($B89,params!#REF!,params!$W$27:$W$37,0))</f>
        <v>#REF!</v>
      </c>
      <c r="Z89" s="108" t="e">
        <f>1000*Z13*_xlfn.XLOOKUP($B89,params!#REF!,params!#REF!,0)*(1+_xlfn.XLOOKUP($B89,params!#REF!,params!$W$27:$W$37,0))</f>
        <v>#REF!</v>
      </c>
      <c r="AA89" s="108" t="e">
        <f>1000*AA13*_xlfn.XLOOKUP($B89,params!#REF!,params!#REF!,0)*(1+_xlfn.XLOOKUP($B89,params!#REF!,params!$W$27:$W$37,0))</f>
        <v>#REF!</v>
      </c>
      <c r="AB89" s="108" t="e">
        <f>1000*AB13*_xlfn.XLOOKUP($B89,params!#REF!,params!#REF!,0)*(1+_xlfn.XLOOKUP($B89,params!#REF!,params!$W$27:$W$37,0))</f>
        <v>#REF!</v>
      </c>
      <c r="AC89" s="108" t="e">
        <f>1000*AC13*_xlfn.XLOOKUP($B89,params!#REF!,params!#REF!,0)*(1+_xlfn.XLOOKUP($B89,params!#REF!,params!$W$27:$W$37,0))</f>
        <v>#REF!</v>
      </c>
      <c r="AD89" s="108" t="e">
        <f>1000*AD13*_xlfn.XLOOKUP($B89,params!#REF!,params!#REF!,0)*(1+_xlfn.XLOOKUP($B89,params!#REF!,params!$W$27:$W$37,0))</f>
        <v>#REF!</v>
      </c>
      <c r="AE89" s="108" t="e">
        <f>1000*AE13*_xlfn.XLOOKUP($B89,params!#REF!,params!#REF!,0)*(1+_xlfn.XLOOKUP($B89,params!#REF!,params!$W$27:$W$37,0))</f>
        <v>#REF!</v>
      </c>
      <c r="AF89" s="108" t="e">
        <f>1000*AF13*_xlfn.XLOOKUP($B89,params!#REF!,params!#REF!,0)*(1+_xlfn.XLOOKUP($B89,params!#REF!,params!$W$27:$W$37,0))</f>
        <v>#REF!</v>
      </c>
      <c r="AG89" s="108" t="e">
        <f>1000*AG13*_xlfn.XLOOKUP($B89,params!#REF!,params!#REF!,0)*(1+_xlfn.XLOOKUP($B89,params!#REF!,params!$W$27:$W$37,0))</f>
        <v>#REF!</v>
      </c>
      <c r="AH89" s="108" t="e">
        <f>1000*AH13*_xlfn.XLOOKUP($B89,params!#REF!,params!#REF!,0)*(1+_xlfn.XLOOKUP($B89,params!#REF!,params!$W$27:$W$37,0))</f>
        <v>#REF!</v>
      </c>
      <c r="AI89" s="108" t="e">
        <f>1000*AI13*_xlfn.XLOOKUP($B89,params!#REF!,params!#REF!,0)*(1+_xlfn.XLOOKUP($B89,params!#REF!,params!$W$27:$W$37,0))</f>
        <v>#REF!</v>
      </c>
      <c r="AJ89" s="109" t="e">
        <f>1000*AJ13*_xlfn.XLOOKUP($B89,params!#REF!,params!#REF!,0)*(1+_xlfn.XLOOKUP($B89,params!#REF!,params!$W$27:$W$37,0))</f>
        <v>#REF!</v>
      </c>
      <c r="AK89" s="55" t="e">
        <f t="shared" si="33"/>
        <v>#REF!</v>
      </c>
    </row>
    <row r="90" spans="1:37">
      <c r="A90" s="95" t="s">
        <v>18</v>
      </c>
      <c r="B90" s="4" t="s">
        <v>8</v>
      </c>
      <c r="C90" s="4" t="s">
        <v>53</v>
      </c>
      <c r="D90" s="91" t="s">
        <v>64</v>
      </c>
      <c r="E90" s="110" t="e">
        <f>1000*E14*_xlfn.XLOOKUP($B90,params!#REF!,params!#REF!,0)*(1+_xlfn.XLOOKUP($B90,params!#REF!,params!$W$27:$W$37,0))</f>
        <v>#REF!</v>
      </c>
      <c r="F90" s="18" t="e">
        <f>1000*F14*_xlfn.XLOOKUP($B90,params!#REF!,params!#REF!,0)*(1+_xlfn.XLOOKUP($B90,params!#REF!,params!$W$27:$W$37,0))</f>
        <v>#REF!</v>
      </c>
      <c r="G90" s="18" t="e">
        <f>1000*G14*_xlfn.XLOOKUP($B90,params!#REF!,params!#REF!,0)*(1+_xlfn.XLOOKUP($B90,params!#REF!,params!$W$27:$W$37,0))</f>
        <v>#REF!</v>
      </c>
      <c r="H90" s="18" t="e">
        <f>1000*H14*_xlfn.XLOOKUP($B90,params!#REF!,params!#REF!,0)*(1+_xlfn.XLOOKUP($B90,params!#REF!,params!$W$27:$W$37,0))</f>
        <v>#REF!</v>
      </c>
      <c r="I90" s="18" t="e">
        <f>1000*I14*_xlfn.XLOOKUP($B90,params!#REF!,params!#REF!,0)*(1+_xlfn.XLOOKUP($B90,params!#REF!,params!$W$27:$W$37,0))</f>
        <v>#REF!</v>
      </c>
      <c r="J90" s="18" t="e">
        <f>1000*J14*_xlfn.XLOOKUP($B90,params!#REF!,params!#REF!,0)*(1+_xlfn.XLOOKUP($B90,params!#REF!,params!$W$27:$W$37,0))</f>
        <v>#REF!</v>
      </c>
      <c r="K90" s="18" t="e">
        <f>1000*K14*_xlfn.XLOOKUP($B90,params!#REF!,params!#REF!,0)*(1+_xlfn.XLOOKUP($B90,params!#REF!,params!$W$27:$W$37,0))</f>
        <v>#REF!</v>
      </c>
      <c r="L90" s="18" t="e">
        <f>1000*L14*_xlfn.XLOOKUP($B90,params!#REF!,params!#REF!,0)*(1+_xlfn.XLOOKUP($B90,params!#REF!,params!$W$27:$W$37,0))</f>
        <v>#REF!</v>
      </c>
      <c r="M90" s="18" t="e">
        <f>1000*M14*_xlfn.XLOOKUP($B90,params!#REF!,params!#REF!,0)*(1+_xlfn.XLOOKUP($B90,params!#REF!,params!$W$27:$W$37,0))</f>
        <v>#REF!</v>
      </c>
      <c r="N90" s="18" t="e">
        <f>1000*N14*_xlfn.XLOOKUP($B90,params!#REF!,params!#REF!,0)*(1+_xlfn.XLOOKUP($B90,params!#REF!,params!$W$27:$W$37,0))</f>
        <v>#REF!</v>
      </c>
      <c r="O90" s="18" t="e">
        <f>1000*O14*_xlfn.XLOOKUP($B90,params!#REF!,params!#REF!,0)*(1+_xlfn.XLOOKUP($B90,params!#REF!,params!$W$27:$W$37,0))</f>
        <v>#REF!</v>
      </c>
      <c r="P90" s="18" t="e">
        <f>1000*P14*_xlfn.XLOOKUP($B90,params!#REF!,params!#REF!,0)*(1+_xlfn.XLOOKUP($B90,params!#REF!,params!$W$27:$W$37,0))</f>
        <v>#REF!</v>
      </c>
      <c r="Q90" s="18" t="e">
        <f>1000*Q14*_xlfn.XLOOKUP($B90,params!#REF!,params!#REF!,0)*(1+_xlfn.XLOOKUP($B90,params!#REF!,params!$W$27:$W$37,0))</f>
        <v>#REF!</v>
      </c>
      <c r="R90" s="18" t="e">
        <f>1000*R14*_xlfn.XLOOKUP($B90,params!#REF!,params!#REF!,0)*(1+_xlfn.XLOOKUP($B90,params!#REF!,params!$W$27:$W$37,0))</f>
        <v>#REF!</v>
      </c>
      <c r="S90" s="18" t="e">
        <f>1000*S14*_xlfn.XLOOKUP($B90,params!#REF!,params!#REF!,0)*(1+_xlfn.XLOOKUP($B90,params!#REF!,params!$W$27:$W$37,0))</f>
        <v>#REF!</v>
      </c>
      <c r="T90" s="18" t="e">
        <f>1000*T14*_xlfn.XLOOKUP($B90,params!#REF!,params!#REF!,0)*(1+_xlfn.XLOOKUP($B90,params!#REF!,params!$W$27:$W$37,0))</f>
        <v>#REF!</v>
      </c>
      <c r="U90" s="18" t="e">
        <f>1000*U14*_xlfn.XLOOKUP($B90,params!#REF!,params!#REF!,0)*(1+_xlfn.XLOOKUP($B90,params!#REF!,params!$W$27:$W$37,0))</f>
        <v>#REF!</v>
      </c>
      <c r="V90" s="18" t="e">
        <f>1000*V14*_xlfn.XLOOKUP($B90,params!#REF!,params!#REF!,0)*(1+_xlfn.XLOOKUP($B90,params!#REF!,params!$W$27:$W$37,0))</f>
        <v>#REF!</v>
      </c>
      <c r="W90" s="18" t="e">
        <f>1000*W14*_xlfn.XLOOKUP($B90,params!#REF!,params!#REF!,0)*(1+_xlfn.XLOOKUP($B90,params!#REF!,params!$W$27:$W$37,0))</f>
        <v>#REF!</v>
      </c>
      <c r="X90" s="18" t="e">
        <f>1000*X14*_xlfn.XLOOKUP($B90,params!#REF!,params!#REF!,0)*(1+_xlfn.XLOOKUP($B90,params!#REF!,params!$W$27:$W$37,0))</f>
        <v>#REF!</v>
      </c>
      <c r="Y90" s="18" t="e">
        <f>1000*Y14*_xlfn.XLOOKUP($B90,params!#REF!,params!#REF!,0)*(1+_xlfn.XLOOKUP($B90,params!#REF!,params!$W$27:$W$37,0))</f>
        <v>#REF!</v>
      </c>
      <c r="Z90" s="18" t="e">
        <f>1000*Z14*_xlfn.XLOOKUP($B90,params!#REF!,params!#REF!,0)*(1+_xlfn.XLOOKUP($B90,params!#REF!,params!$W$27:$W$37,0))</f>
        <v>#REF!</v>
      </c>
      <c r="AA90" s="18" t="e">
        <f>1000*AA14*_xlfn.XLOOKUP($B90,params!#REF!,params!#REF!,0)*(1+_xlfn.XLOOKUP($B90,params!#REF!,params!$W$27:$W$37,0))</f>
        <v>#REF!</v>
      </c>
      <c r="AB90" s="18" t="e">
        <f>1000*AB14*_xlfn.XLOOKUP($B90,params!#REF!,params!#REF!,0)*(1+_xlfn.XLOOKUP($B90,params!#REF!,params!$W$27:$W$37,0))</f>
        <v>#REF!</v>
      </c>
      <c r="AC90" s="18" t="e">
        <f>1000*AC14*_xlfn.XLOOKUP($B90,params!#REF!,params!#REF!,0)*(1+_xlfn.XLOOKUP($B90,params!#REF!,params!$W$27:$W$37,0))</f>
        <v>#REF!</v>
      </c>
      <c r="AD90" s="18" t="e">
        <f>1000*AD14*_xlfn.XLOOKUP($B90,params!#REF!,params!#REF!,0)*(1+_xlfn.XLOOKUP($B90,params!#REF!,params!$W$27:$W$37,0))</f>
        <v>#REF!</v>
      </c>
      <c r="AE90" s="18" t="e">
        <f>1000*AE14*_xlfn.XLOOKUP($B90,params!#REF!,params!#REF!,0)*(1+_xlfn.XLOOKUP($B90,params!#REF!,params!$W$27:$W$37,0))</f>
        <v>#REF!</v>
      </c>
      <c r="AF90" s="18" t="e">
        <f>1000*AF14*_xlfn.XLOOKUP($B90,params!#REF!,params!#REF!,0)*(1+_xlfn.XLOOKUP($B90,params!#REF!,params!$W$27:$W$37,0))</f>
        <v>#REF!</v>
      </c>
      <c r="AG90" s="18" t="e">
        <f>1000*AG14*_xlfn.XLOOKUP($B90,params!#REF!,params!#REF!,0)*(1+_xlfn.XLOOKUP($B90,params!#REF!,params!$W$27:$W$37,0))</f>
        <v>#REF!</v>
      </c>
      <c r="AH90" s="18" t="e">
        <f>1000*AH14*_xlfn.XLOOKUP($B90,params!#REF!,params!#REF!,0)*(1+_xlfn.XLOOKUP($B90,params!#REF!,params!$W$27:$W$37,0))</f>
        <v>#REF!</v>
      </c>
      <c r="AI90" s="18" t="e">
        <f>1000*AI14*_xlfn.XLOOKUP($B90,params!#REF!,params!#REF!,0)*(1+_xlfn.XLOOKUP($B90,params!#REF!,params!$W$27:$W$37,0))</f>
        <v>#REF!</v>
      </c>
      <c r="AJ90" s="111" t="e">
        <f>1000*AJ14*_xlfn.XLOOKUP($B90,params!#REF!,params!#REF!,0)*(1+_xlfn.XLOOKUP($B90,params!#REF!,params!$W$27:$W$37,0))</f>
        <v>#REF!</v>
      </c>
      <c r="AK90" s="55" t="e">
        <f t="shared" si="33"/>
        <v>#REF!</v>
      </c>
    </row>
    <row r="91" spans="1:37">
      <c r="A91" s="95" t="s">
        <v>18</v>
      </c>
      <c r="B91" s="4" t="s">
        <v>37</v>
      </c>
      <c r="C91" s="4" t="s">
        <v>53</v>
      </c>
      <c r="D91" s="91" t="s">
        <v>64</v>
      </c>
      <c r="E91" s="110" t="e">
        <f>1000*E15*_xlfn.XLOOKUP($B91,params!#REF!,params!#REF!,0)*(1+_xlfn.XLOOKUP($B91,params!#REF!,params!$W$27:$W$37,0))</f>
        <v>#REF!</v>
      </c>
      <c r="F91" s="18" t="e">
        <f>1000*F15*_xlfn.XLOOKUP($B91,params!#REF!,params!#REF!,0)*(1+_xlfn.XLOOKUP($B91,params!#REF!,params!$W$27:$W$37,0))</f>
        <v>#REF!</v>
      </c>
      <c r="G91" s="18" t="e">
        <f>1000*G15*_xlfn.XLOOKUP($B91,params!#REF!,params!#REF!,0)*(1+_xlfn.XLOOKUP($B91,params!#REF!,params!$W$27:$W$37,0))</f>
        <v>#REF!</v>
      </c>
      <c r="H91" s="18" t="e">
        <f>1000*H15*_xlfn.XLOOKUP($B91,params!#REF!,params!#REF!,0)*(1+_xlfn.XLOOKUP($B91,params!#REF!,params!$W$27:$W$37,0))</f>
        <v>#REF!</v>
      </c>
      <c r="I91" s="18" t="e">
        <f>1000*I15*_xlfn.XLOOKUP($B91,params!#REF!,params!#REF!,0)*(1+_xlfn.XLOOKUP($B91,params!#REF!,params!$W$27:$W$37,0))</f>
        <v>#REF!</v>
      </c>
      <c r="J91" s="18" t="e">
        <f>1000*J15*_xlfn.XLOOKUP($B91,params!#REF!,params!#REF!,0)*(1+_xlfn.XLOOKUP($B91,params!#REF!,params!$W$27:$W$37,0))</f>
        <v>#REF!</v>
      </c>
      <c r="K91" s="18" t="e">
        <f>1000*K15*_xlfn.XLOOKUP($B91,params!#REF!,params!#REF!,0)*(1+_xlfn.XLOOKUP($B91,params!#REF!,params!$W$27:$W$37,0))</f>
        <v>#REF!</v>
      </c>
      <c r="L91" s="18" t="e">
        <f>1000*L15*_xlfn.XLOOKUP($B91,params!#REF!,params!#REF!,0)*(1+_xlfn.XLOOKUP($B91,params!#REF!,params!$W$27:$W$37,0))</f>
        <v>#REF!</v>
      </c>
      <c r="M91" s="18" t="e">
        <f>1000*M15*_xlfn.XLOOKUP($B91,params!#REF!,params!#REF!,0)*(1+_xlfn.XLOOKUP($B91,params!#REF!,params!$W$27:$W$37,0))</f>
        <v>#REF!</v>
      </c>
      <c r="N91" s="18" t="e">
        <f>1000*N15*_xlfn.XLOOKUP($B91,params!#REF!,params!#REF!,0)*(1+_xlfn.XLOOKUP($B91,params!#REF!,params!$W$27:$W$37,0))</f>
        <v>#REF!</v>
      </c>
      <c r="O91" s="18" t="e">
        <f>1000*O15*_xlfn.XLOOKUP($B91,params!#REF!,params!#REF!,0)*(1+_xlfn.XLOOKUP($B91,params!#REF!,params!$W$27:$W$37,0))</f>
        <v>#REF!</v>
      </c>
      <c r="P91" s="18" t="e">
        <f>1000*P15*_xlfn.XLOOKUP($B91,params!#REF!,params!#REF!,0)*(1+_xlfn.XLOOKUP($B91,params!#REF!,params!$W$27:$W$37,0))</f>
        <v>#REF!</v>
      </c>
      <c r="Q91" s="18" t="e">
        <f>1000*Q15*_xlfn.XLOOKUP($B91,params!#REF!,params!#REF!,0)*(1+_xlfn.XLOOKUP($B91,params!#REF!,params!$W$27:$W$37,0))</f>
        <v>#REF!</v>
      </c>
      <c r="R91" s="18" t="e">
        <f>1000*R15*_xlfn.XLOOKUP($B91,params!#REF!,params!#REF!,0)*(1+_xlfn.XLOOKUP($B91,params!#REF!,params!$W$27:$W$37,0))</f>
        <v>#REF!</v>
      </c>
      <c r="S91" s="18" t="e">
        <f>1000*S15*_xlfn.XLOOKUP($B91,params!#REF!,params!#REF!,0)*(1+_xlfn.XLOOKUP($B91,params!#REF!,params!$W$27:$W$37,0))</f>
        <v>#REF!</v>
      </c>
      <c r="T91" s="18" t="e">
        <f>1000*T15*_xlfn.XLOOKUP($B91,params!#REF!,params!#REF!,0)*(1+_xlfn.XLOOKUP($B91,params!#REF!,params!$W$27:$W$37,0))</f>
        <v>#REF!</v>
      </c>
      <c r="U91" s="18" t="e">
        <f>1000*U15*_xlfn.XLOOKUP($B91,params!#REF!,params!#REF!,0)*(1+_xlfn.XLOOKUP($B91,params!#REF!,params!$W$27:$W$37,0))</f>
        <v>#REF!</v>
      </c>
      <c r="V91" s="18" t="e">
        <f>1000*V15*_xlfn.XLOOKUP($B91,params!#REF!,params!#REF!,0)*(1+_xlfn.XLOOKUP($B91,params!#REF!,params!$W$27:$W$37,0))</f>
        <v>#REF!</v>
      </c>
      <c r="W91" s="18" t="e">
        <f>1000*W15*_xlfn.XLOOKUP($B91,params!#REF!,params!#REF!,0)*(1+_xlfn.XLOOKUP($B91,params!#REF!,params!$W$27:$W$37,0))</f>
        <v>#REF!</v>
      </c>
      <c r="X91" s="18" t="e">
        <f>1000*X15*_xlfn.XLOOKUP($B91,params!#REF!,params!#REF!,0)*(1+_xlfn.XLOOKUP($B91,params!#REF!,params!$W$27:$W$37,0))</f>
        <v>#REF!</v>
      </c>
      <c r="Y91" s="18" t="e">
        <f>1000*Y15*_xlfn.XLOOKUP($B91,params!#REF!,params!#REF!,0)*(1+_xlfn.XLOOKUP($B91,params!#REF!,params!$W$27:$W$37,0))</f>
        <v>#REF!</v>
      </c>
      <c r="Z91" s="18" t="e">
        <f>1000*Z15*_xlfn.XLOOKUP($B91,params!#REF!,params!#REF!,0)*(1+_xlfn.XLOOKUP($B91,params!#REF!,params!$W$27:$W$37,0))</f>
        <v>#REF!</v>
      </c>
      <c r="AA91" s="18" t="e">
        <f>1000*AA15*_xlfn.XLOOKUP($B91,params!#REF!,params!#REF!,0)*(1+_xlfn.XLOOKUP($B91,params!#REF!,params!$W$27:$W$37,0))</f>
        <v>#REF!</v>
      </c>
      <c r="AB91" s="18" t="e">
        <f>1000*AB15*_xlfn.XLOOKUP($B91,params!#REF!,params!#REF!,0)*(1+_xlfn.XLOOKUP($B91,params!#REF!,params!$W$27:$W$37,0))</f>
        <v>#REF!</v>
      </c>
      <c r="AC91" s="18" t="e">
        <f>1000*AC15*_xlfn.XLOOKUP($B91,params!#REF!,params!#REF!,0)*(1+_xlfn.XLOOKUP($B91,params!#REF!,params!$W$27:$W$37,0))</f>
        <v>#REF!</v>
      </c>
      <c r="AD91" s="18" t="e">
        <f>1000*AD15*_xlfn.XLOOKUP($B91,params!#REF!,params!#REF!,0)*(1+_xlfn.XLOOKUP($B91,params!#REF!,params!$W$27:$W$37,0))</f>
        <v>#REF!</v>
      </c>
      <c r="AE91" s="18" t="e">
        <f>1000*AE15*_xlfn.XLOOKUP($B91,params!#REF!,params!#REF!,0)*(1+_xlfn.XLOOKUP($B91,params!#REF!,params!$W$27:$W$37,0))</f>
        <v>#REF!</v>
      </c>
      <c r="AF91" s="18" t="e">
        <f>1000*AF15*_xlfn.XLOOKUP($B91,params!#REF!,params!#REF!,0)*(1+_xlfn.XLOOKUP($B91,params!#REF!,params!$W$27:$W$37,0))</f>
        <v>#REF!</v>
      </c>
      <c r="AG91" s="18" t="e">
        <f>1000*AG15*_xlfn.XLOOKUP($B91,params!#REF!,params!#REF!,0)*(1+_xlfn.XLOOKUP($B91,params!#REF!,params!$W$27:$W$37,0))</f>
        <v>#REF!</v>
      </c>
      <c r="AH91" s="18" t="e">
        <f>1000*AH15*_xlfn.XLOOKUP($B91,params!#REF!,params!#REF!,0)*(1+_xlfn.XLOOKUP($B91,params!#REF!,params!$W$27:$W$37,0))</f>
        <v>#REF!</v>
      </c>
      <c r="AI91" s="18" t="e">
        <f>1000*AI15*_xlfn.XLOOKUP($B91,params!#REF!,params!#REF!,0)*(1+_xlfn.XLOOKUP($B91,params!#REF!,params!$W$27:$W$37,0))</f>
        <v>#REF!</v>
      </c>
      <c r="AJ91" s="111" t="e">
        <f>1000*AJ15*_xlfn.XLOOKUP($B91,params!#REF!,params!#REF!,0)*(1+_xlfn.XLOOKUP($B91,params!#REF!,params!$W$27:$W$37,0))</f>
        <v>#REF!</v>
      </c>
      <c r="AK91" s="55" t="e">
        <f t="shared" si="33"/>
        <v>#REF!</v>
      </c>
    </row>
    <row r="92" spans="1:37">
      <c r="A92" s="95" t="s">
        <v>18</v>
      </c>
      <c r="B92" s="4" t="s">
        <v>10</v>
      </c>
      <c r="C92" s="4" t="s">
        <v>53</v>
      </c>
      <c r="D92" s="91" t="s">
        <v>64</v>
      </c>
      <c r="E92" s="110" t="e">
        <f>1000*E16*_xlfn.XLOOKUP($B92,params!#REF!,params!#REF!,0)*(1+_xlfn.XLOOKUP($B92,params!#REF!,params!$W$27:$W$37,0))</f>
        <v>#REF!</v>
      </c>
      <c r="F92" s="18" t="e">
        <f>1000*F16*_xlfn.XLOOKUP($B92,params!#REF!,params!#REF!,0)*(1+_xlfn.XLOOKUP($B92,params!#REF!,params!$W$27:$W$37,0))</f>
        <v>#REF!</v>
      </c>
      <c r="G92" s="18" t="e">
        <f>1000*G16*_xlfn.XLOOKUP($B92,params!#REF!,params!#REF!,0)*(1+_xlfn.XLOOKUP($B92,params!#REF!,params!$W$27:$W$37,0))</f>
        <v>#REF!</v>
      </c>
      <c r="H92" s="18" t="e">
        <f>1000*H16*_xlfn.XLOOKUP($B92,params!#REF!,params!#REF!,0)*(1+_xlfn.XLOOKUP($B92,params!#REF!,params!$W$27:$W$37,0))</f>
        <v>#REF!</v>
      </c>
      <c r="I92" s="18" t="e">
        <f>1000*I16*_xlfn.XLOOKUP($B92,params!#REF!,params!#REF!,0)*(1+_xlfn.XLOOKUP($B92,params!#REF!,params!$W$27:$W$37,0))</f>
        <v>#REF!</v>
      </c>
      <c r="J92" s="18" t="e">
        <f>1000*J16*_xlfn.XLOOKUP($B92,params!#REF!,params!#REF!,0)*(1+_xlfn.XLOOKUP($B92,params!#REF!,params!$W$27:$W$37,0))</f>
        <v>#REF!</v>
      </c>
      <c r="K92" s="18" t="e">
        <f>1000*K16*_xlfn.XLOOKUP($B92,params!#REF!,params!#REF!,0)*(1+_xlfn.XLOOKUP($B92,params!#REF!,params!$W$27:$W$37,0))</f>
        <v>#REF!</v>
      </c>
      <c r="L92" s="18" t="e">
        <f>1000*L16*_xlfn.XLOOKUP($B92,params!#REF!,params!#REF!,0)*(1+_xlfn.XLOOKUP($B92,params!#REF!,params!$W$27:$W$37,0))</f>
        <v>#REF!</v>
      </c>
      <c r="M92" s="18" t="e">
        <f>1000*M16*_xlfn.XLOOKUP($B92,params!#REF!,params!#REF!,0)*(1+_xlfn.XLOOKUP($B92,params!#REF!,params!$W$27:$W$37,0))</f>
        <v>#REF!</v>
      </c>
      <c r="N92" s="18" t="e">
        <f>1000*N16*_xlfn.XLOOKUP($B92,params!#REF!,params!#REF!,0)*(1+_xlfn.XLOOKUP($B92,params!#REF!,params!$W$27:$W$37,0))</f>
        <v>#REF!</v>
      </c>
      <c r="O92" s="18" t="e">
        <f>1000*O16*_xlfn.XLOOKUP($B92,params!#REF!,params!#REF!,0)*(1+_xlfn.XLOOKUP($B92,params!#REF!,params!$W$27:$W$37,0))</f>
        <v>#REF!</v>
      </c>
      <c r="P92" s="18" t="e">
        <f>1000*P16*_xlfn.XLOOKUP($B92,params!#REF!,params!#REF!,0)*(1+_xlfn.XLOOKUP($B92,params!#REF!,params!$W$27:$W$37,0))</f>
        <v>#REF!</v>
      </c>
      <c r="Q92" s="18" t="e">
        <f>1000*Q16*_xlfn.XLOOKUP($B92,params!#REF!,params!#REF!,0)*(1+_xlfn.XLOOKUP($B92,params!#REF!,params!$W$27:$W$37,0))</f>
        <v>#REF!</v>
      </c>
      <c r="R92" s="18" t="e">
        <f>1000*R16*_xlfn.XLOOKUP($B92,params!#REF!,params!#REF!,0)*(1+_xlfn.XLOOKUP($B92,params!#REF!,params!$W$27:$W$37,0))</f>
        <v>#REF!</v>
      </c>
      <c r="S92" s="18" t="e">
        <f>1000*S16*_xlfn.XLOOKUP($B92,params!#REF!,params!#REF!,0)*(1+_xlfn.XLOOKUP($B92,params!#REF!,params!$W$27:$W$37,0))</f>
        <v>#REF!</v>
      </c>
      <c r="T92" s="18" t="e">
        <f>1000*T16*_xlfn.XLOOKUP($B92,params!#REF!,params!#REF!,0)*(1+_xlfn.XLOOKUP($B92,params!#REF!,params!$W$27:$W$37,0))</f>
        <v>#REF!</v>
      </c>
      <c r="U92" s="18" t="e">
        <f>1000*U16*_xlfn.XLOOKUP($B92,params!#REF!,params!#REF!,0)*(1+_xlfn.XLOOKUP($B92,params!#REF!,params!$W$27:$W$37,0))</f>
        <v>#REF!</v>
      </c>
      <c r="V92" s="18" t="e">
        <f>1000*V16*_xlfn.XLOOKUP($B92,params!#REF!,params!#REF!,0)*(1+_xlfn.XLOOKUP($B92,params!#REF!,params!$W$27:$W$37,0))</f>
        <v>#REF!</v>
      </c>
      <c r="W92" s="18" t="e">
        <f>1000*W16*_xlfn.XLOOKUP($B92,params!#REF!,params!#REF!,0)*(1+_xlfn.XLOOKUP($B92,params!#REF!,params!$W$27:$W$37,0))</f>
        <v>#REF!</v>
      </c>
      <c r="X92" s="18" t="e">
        <f>1000*X16*_xlfn.XLOOKUP($B92,params!#REF!,params!#REF!,0)*(1+_xlfn.XLOOKUP($B92,params!#REF!,params!$W$27:$W$37,0))</f>
        <v>#REF!</v>
      </c>
      <c r="Y92" s="18" t="e">
        <f>1000*Y16*_xlfn.XLOOKUP($B92,params!#REF!,params!#REF!,0)*(1+_xlfn.XLOOKUP($B92,params!#REF!,params!$W$27:$W$37,0))</f>
        <v>#REF!</v>
      </c>
      <c r="Z92" s="18" t="e">
        <f>1000*Z16*_xlfn.XLOOKUP($B92,params!#REF!,params!#REF!,0)*(1+_xlfn.XLOOKUP($B92,params!#REF!,params!$W$27:$W$37,0))</f>
        <v>#REF!</v>
      </c>
      <c r="AA92" s="18" t="e">
        <f>1000*AA16*_xlfn.XLOOKUP($B92,params!#REF!,params!#REF!,0)*(1+_xlfn.XLOOKUP($B92,params!#REF!,params!$W$27:$W$37,0))</f>
        <v>#REF!</v>
      </c>
      <c r="AB92" s="18" t="e">
        <f>1000*AB16*_xlfn.XLOOKUP($B92,params!#REF!,params!#REF!,0)*(1+_xlfn.XLOOKUP($B92,params!#REF!,params!$W$27:$W$37,0))</f>
        <v>#REF!</v>
      </c>
      <c r="AC92" s="18" t="e">
        <f>1000*AC16*_xlfn.XLOOKUP($B92,params!#REF!,params!#REF!,0)*(1+_xlfn.XLOOKUP($B92,params!#REF!,params!$W$27:$W$37,0))</f>
        <v>#REF!</v>
      </c>
      <c r="AD92" s="18" t="e">
        <f>1000*AD16*_xlfn.XLOOKUP($B92,params!#REF!,params!#REF!,0)*(1+_xlfn.XLOOKUP($B92,params!#REF!,params!$W$27:$W$37,0))</f>
        <v>#REF!</v>
      </c>
      <c r="AE92" s="18" t="e">
        <f>1000*AE16*_xlfn.XLOOKUP($B92,params!#REF!,params!#REF!,0)*(1+_xlfn.XLOOKUP($B92,params!#REF!,params!$W$27:$W$37,0))</f>
        <v>#REF!</v>
      </c>
      <c r="AF92" s="18" t="e">
        <f>1000*AF16*_xlfn.XLOOKUP($B92,params!#REF!,params!#REF!,0)*(1+_xlfn.XLOOKUP($B92,params!#REF!,params!$W$27:$W$37,0))</f>
        <v>#REF!</v>
      </c>
      <c r="AG92" s="18" t="e">
        <f>1000*AG16*_xlfn.XLOOKUP($B92,params!#REF!,params!#REF!,0)*(1+_xlfn.XLOOKUP($B92,params!#REF!,params!$W$27:$W$37,0))</f>
        <v>#REF!</v>
      </c>
      <c r="AH92" s="18" t="e">
        <f>1000*AH16*_xlfn.XLOOKUP($B92,params!#REF!,params!#REF!,0)*(1+_xlfn.XLOOKUP($B92,params!#REF!,params!$W$27:$W$37,0))</f>
        <v>#REF!</v>
      </c>
      <c r="AI92" s="18" t="e">
        <f>1000*AI16*_xlfn.XLOOKUP($B92,params!#REF!,params!#REF!,0)*(1+_xlfn.XLOOKUP($B92,params!#REF!,params!$W$27:$W$37,0))</f>
        <v>#REF!</v>
      </c>
      <c r="AJ92" s="111" t="e">
        <f>1000*AJ16*_xlfn.XLOOKUP($B92,params!#REF!,params!#REF!,0)*(1+_xlfn.XLOOKUP($B92,params!#REF!,params!$W$27:$W$37,0))</f>
        <v>#REF!</v>
      </c>
      <c r="AK92" s="55" t="e">
        <f t="shared" si="33"/>
        <v>#REF!</v>
      </c>
    </row>
    <row r="93" spans="1:37">
      <c r="A93" s="95" t="s">
        <v>18</v>
      </c>
      <c r="B93" s="4" t="s">
        <v>11</v>
      </c>
      <c r="C93" s="4" t="s">
        <v>53</v>
      </c>
      <c r="D93" s="91" t="s">
        <v>64</v>
      </c>
      <c r="E93" s="110" t="e">
        <f>1000*E17*_xlfn.XLOOKUP($B93,params!#REF!,params!#REF!,0)*(1+_xlfn.XLOOKUP($B93,params!#REF!,params!$W$27:$W$37,0))</f>
        <v>#REF!</v>
      </c>
      <c r="F93" s="18" t="e">
        <f>1000*F17*_xlfn.XLOOKUP($B93,params!#REF!,params!#REF!,0)*(1+_xlfn.XLOOKUP($B93,params!#REF!,params!$W$27:$W$37,0))</f>
        <v>#REF!</v>
      </c>
      <c r="G93" s="18" t="e">
        <f>1000*G17*_xlfn.XLOOKUP($B93,params!#REF!,params!#REF!,0)*(1+_xlfn.XLOOKUP($B93,params!#REF!,params!$W$27:$W$37,0))</f>
        <v>#REF!</v>
      </c>
      <c r="H93" s="18" t="e">
        <f>1000*H17*_xlfn.XLOOKUP($B93,params!#REF!,params!#REF!,0)*(1+_xlfn.XLOOKUP($B93,params!#REF!,params!$W$27:$W$37,0))</f>
        <v>#REF!</v>
      </c>
      <c r="I93" s="18" t="e">
        <f>1000*I17*_xlfn.XLOOKUP($B93,params!#REF!,params!#REF!,0)*(1+_xlfn.XLOOKUP($B93,params!#REF!,params!$W$27:$W$37,0))</f>
        <v>#REF!</v>
      </c>
      <c r="J93" s="18" t="e">
        <f>1000*J17*_xlfn.XLOOKUP($B93,params!#REF!,params!#REF!,0)*(1+_xlfn.XLOOKUP($B93,params!#REF!,params!$W$27:$W$37,0))</f>
        <v>#REF!</v>
      </c>
      <c r="K93" s="18" t="e">
        <f>1000*K17*_xlfn.XLOOKUP($B93,params!#REF!,params!#REF!,0)*(1+_xlfn.XLOOKUP($B93,params!#REF!,params!$W$27:$W$37,0))</f>
        <v>#REF!</v>
      </c>
      <c r="L93" s="18" t="e">
        <f>1000*L17*_xlfn.XLOOKUP($B93,params!#REF!,params!#REF!,0)*(1+_xlfn.XLOOKUP($B93,params!#REF!,params!$W$27:$W$37,0))</f>
        <v>#REF!</v>
      </c>
      <c r="M93" s="18" t="e">
        <f>1000*M17*_xlfn.XLOOKUP($B93,params!#REF!,params!#REF!,0)*(1+_xlfn.XLOOKUP($B93,params!#REF!,params!$W$27:$W$37,0))</f>
        <v>#REF!</v>
      </c>
      <c r="N93" s="18" t="e">
        <f>1000*N17*_xlfn.XLOOKUP($B93,params!#REF!,params!#REF!,0)*(1+_xlfn.XLOOKUP($B93,params!#REF!,params!$W$27:$W$37,0))</f>
        <v>#REF!</v>
      </c>
      <c r="O93" s="18" t="e">
        <f>1000*O17*_xlfn.XLOOKUP($B93,params!#REF!,params!#REF!,0)*(1+_xlfn.XLOOKUP($B93,params!#REF!,params!$W$27:$W$37,0))</f>
        <v>#REF!</v>
      </c>
      <c r="P93" s="18" t="e">
        <f>1000*P17*_xlfn.XLOOKUP($B93,params!#REF!,params!#REF!,0)*(1+_xlfn.XLOOKUP($B93,params!#REF!,params!$W$27:$W$37,0))</f>
        <v>#REF!</v>
      </c>
      <c r="Q93" s="18" t="e">
        <f>1000*Q17*_xlfn.XLOOKUP($B93,params!#REF!,params!#REF!,0)*(1+_xlfn.XLOOKUP($B93,params!#REF!,params!$W$27:$W$37,0))</f>
        <v>#REF!</v>
      </c>
      <c r="R93" s="18" t="e">
        <f>1000*R17*_xlfn.XLOOKUP($B93,params!#REF!,params!#REF!,0)*(1+_xlfn.XLOOKUP($B93,params!#REF!,params!$W$27:$W$37,0))</f>
        <v>#REF!</v>
      </c>
      <c r="S93" s="18" t="e">
        <f>1000*S17*_xlfn.XLOOKUP($B93,params!#REF!,params!#REF!,0)*(1+_xlfn.XLOOKUP($B93,params!#REF!,params!$W$27:$W$37,0))</f>
        <v>#REF!</v>
      </c>
      <c r="T93" s="18" t="e">
        <f>1000*T17*_xlfn.XLOOKUP($B93,params!#REF!,params!#REF!,0)*(1+_xlfn.XLOOKUP($B93,params!#REF!,params!$W$27:$W$37,0))</f>
        <v>#REF!</v>
      </c>
      <c r="U93" s="18" t="e">
        <f>1000*U17*_xlfn.XLOOKUP($B93,params!#REF!,params!#REF!,0)*(1+_xlfn.XLOOKUP($B93,params!#REF!,params!$W$27:$W$37,0))</f>
        <v>#REF!</v>
      </c>
      <c r="V93" s="18" t="e">
        <f>1000*V17*_xlfn.XLOOKUP($B93,params!#REF!,params!#REF!,0)*(1+_xlfn.XLOOKUP($B93,params!#REF!,params!$W$27:$W$37,0))</f>
        <v>#REF!</v>
      </c>
      <c r="W93" s="18" t="e">
        <f>1000*W17*_xlfn.XLOOKUP($B93,params!#REF!,params!#REF!,0)*(1+_xlfn.XLOOKUP($B93,params!#REF!,params!$W$27:$W$37,0))</f>
        <v>#REF!</v>
      </c>
      <c r="X93" s="18" t="e">
        <f>1000*X17*_xlfn.XLOOKUP($B93,params!#REF!,params!#REF!,0)*(1+_xlfn.XLOOKUP($B93,params!#REF!,params!$W$27:$W$37,0))</f>
        <v>#REF!</v>
      </c>
      <c r="Y93" s="18" t="e">
        <f>1000*Y17*_xlfn.XLOOKUP($B93,params!#REF!,params!#REF!,0)*(1+_xlfn.XLOOKUP($B93,params!#REF!,params!$W$27:$W$37,0))</f>
        <v>#REF!</v>
      </c>
      <c r="Z93" s="18" t="e">
        <f>1000*Z17*_xlfn.XLOOKUP($B93,params!#REF!,params!#REF!,0)*(1+_xlfn.XLOOKUP($B93,params!#REF!,params!$W$27:$W$37,0))</f>
        <v>#REF!</v>
      </c>
      <c r="AA93" s="18" t="e">
        <f>1000*AA17*_xlfn.XLOOKUP($B93,params!#REF!,params!#REF!,0)*(1+_xlfn.XLOOKUP($B93,params!#REF!,params!$W$27:$W$37,0))</f>
        <v>#REF!</v>
      </c>
      <c r="AB93" s="18" t="e">
        <f>1000*AB17*_xlfn.XLOOKUP($B93,params!#REF!,params!#REF!,0)*(1+_xlfn.XLOOKUP($B93,params!#REF!,params!$W$27:$W$37,0))</f>
        <v>#REF!</v>
      </c>
      <c r="AC93" s="18" t="e">
        <f>1000*AC17*_xlfn.XLOOKUP($B93,params!#REF!,params!#REF!,0)*(1+_xlfn.XLOOKUP($B93,params!#REF!,params!$W$27:$W$37,0))</f>
        <v>#REF!</v>
      </c>
      <c r="AD93" s="18" t="e">
        <f>1000*AD17*_xlfn.XLOOKUP($B93,params!#REF!,params!#REF!,0)*(1+_xlfn.XLOOKUP($B93,params!#REF!,params!$W$27:$W$37,0))</f>
        <v>#REF!</v>
      </c>
      <c r="AE93" s="18" t="e">
        <f>1000*AE17*_xlfn.XLOOKUP($B93,params!#REF!,params!#REF!,0)*(1+_xlfn.XLOOKUP($B93,params!#REF!,params!$W$27:$W$37,0))</f>
        <v>#REF!</v>
      </c>
      <c r="AF93" s="18" t="e">
        <f>1000*AF17*_xlfn.XLOOKUP($B93,params!#REF!,params!#REF!,0)*(1+_xlfn.XLOOKUP($B93,params!#REF!,params!$W$27:$W$37,0))</f>
        <v>#REF!</v>
      </c>
      <c r="AG93" s="18" t="e">
        <f>1000*AG17*_xlfn.XLOOKUP($B93,params!#REF!,params!#REF!,0)*(1+_xlfn.XLOOKUP($B93,params!#REF!,params!$W$27:$W$37,0))</f>
        <v>#REF!</v>
      </c>
      <c r="AH93" s="18" t="e">
        <f>1000*AH17*_xlfn.XLOOKUP($B93,params!#REF!,params!#REF!,0)*(1+_xlfn.XLOOKUP($B93,params!#REF!,params!$W$27:$W$37,0))</f>
        <v>#REF!</v>
      </c>
      <c r="AI93" s="18" t="e">
        <f>1000*AI17*_xlfn.XLOOKUP($B93,params!#REF!,params!#REF!,0)*(1+_xlfn.XLOOKUP($B93,params!#REF!,params!$W$27:$W$37,0))</f>
        <v>#REF!</v>
      </c>
      <c r="AJ93" s="111" t="e">
        <f>1000*AJ17*_xlfn.XLOOKUP($B93,params!#REF!,params!#REF!,0)*(1+_xlfn.XLOOKUP($B93,params!#REF!,params!$W$27:$W$37,0))</f>
        <v>#REF!</v>
      </c>
      <c r="AK93" s="55" t="e">
        <f t="shared" si="33"/>
        <v>#REF!</v>
      </c>
    </row>
    <row r="94" spans="1:37">
      <c r="A94" s="95" t="s">
        <v>18</v>
      </c>
      <c r="B94" s="4" t="s">
        <v>12</v>
      </c>
      <c r="C94" s="4" t="s">
        <v>53</v>
      </c>
      <c r="D94" s="91" t="s">
        <v>64</v>
      </c>
      <c r="E94" s="110" t="e">
        <f>1000*E18*_xlfn.XLOOKUP($B94,params!#REF!,params!#REF!,0)*(1+_xlfn.XLOOKUP($B94,params!#REF!,params!$W$27:$W$37,0))</f>
        <v>#REF!</v>
      </c>
      <c r="F94" s="18" t="e">
        <f>1000*F18*_xlfn.XLOOKUP($B94,params!#REF!,params!#REF!,0)*(1+_xlfn.XLOOKUP($B94,params!#REF!,params!$W$27:$W$37,0))</f>
        <v>#REF!</v>
      </c>
      <c r="G94" s="18" t="e">
        <f>1000*G18*_xlfn.XLOOKUP($B94,params!#REF!,params!#REF!,0)*(1+_xlfn.XLOOKUP($B94,params!#REF!,params!$W$27:$W$37,0))</f>
        <v>#REF!</v>
      </c>
      <c r="H94" s="18" t="e">
        <f>1000*H18*_xlfn.XLOOKUP($B94,params!#REF!,params!#REF!,0)*(1+_xlfn.XLOOKUP($B94,params!#REF!,params!$W$27:$W$37,0))</f>
        <v>#REF!</v>
      </c>
      <c r="I94" s="18" t="e">
        <f>1000*I18*_xlfn.XLOOKUP($B94,params!#REF!,params!#REF!,0)*(1+_xlfn.XLOOKUP($B94,params!#REF!,params!$W$27:$W$37,0))</f>
        <v>#REF!</v>
      </c>
      <c r="J94" s="18" t="e">
        <f>1000*J18*_xlfn.XLOOKUP($B94,params!#REF!,params!#REF!,0)*(1+_xlfn.XLOOKUP($B94,params!#REF!,params!$W$27:$W$37,0))</f>
        <v>#REF!</v>
      </c>
      <c r="K94" s="18" t="e">
        <f>1000*K18*_xlfn.XLOOKUP($B94,params!#REF!,params!#REF!,0)*(1+_xlfn.XLOOKUP($B94,params!#REF!,params!$W$27:$W$37,0))</f>
        <v>#REF!</v>
      </c>
      <c r="L94" s="18" t="e">
        <f>1000*L18*_xlfn.XLOOKUP($B94,params!#REF!,params!#REF!,0)*(1+_xlfn.XLOOKUP($B94,params!#REF!,params!$W$27:$W$37,0))</f>
        <v>#REF!</v>
      </c>
      <c r="M94" s="18" t="e">
        <f>1000*M18*_xlfn.XLOOKUP($B94,params!#REF!,params!#REF!,0)*(1+_xlfn.XLOOKUP($B94,params!#REF!,params!$W$27:$W$37,0))</f>
        <v>#REF!</v>
      </c>
      <c r="N94" s="18" t="e">
        <f>1000*N18*_xlfn.XLOOKUP($B94,params!#REF!,params!#REF!,0)*(1+_xlfn.XLOOKUP($B94,params!#REF!,params!$W$27:$W$37,0))</f>
        <v>#REF!</v>
      </c>
      <c r="O94" s="18" t="e">
        <f>1000*O18*_xlfn.XLOOKUP($B94,params!#REF!,params!#REF!,0)*(1+_xlfn.XLOOKUP($B94,params!#REF!,params!$W$27:$W$37,0))</f>
        <v>#REF!</v>
      </c>
      <c r="P94" s="18" t="e">
        <f>1000*P18*_xlfn.XLOOKUP($B94,params!#REF!,params!#REF!,0)*(1+_xlfn.XLOOKUP($B94,params!#REF!,params!$W$27:$W$37,0))</f>
        <v>#REF!</v>
      </c>
      <c r="Q94" s="18" t="e">
        <f>1000*Q18*_xlfn.XLOOKUP($B94,params!#REF!,params!#REF!,0)*(1+_xlfn.XLOOKUP($B94,params!#REF!,params!$W$27:$W$37,0))</f>
        <v>#REF!</v>
      </c>
      <c r="R94" s="18" t="e">
        <f>1000*R18*_xlfn.XLOOKUP($B94,params!#REF!,params!#REF!,0)*(1+_xlfn.XLOOKUP($B94,params!#REF!,params!$W$27:$W$37,0))</f>
        <v>#REF!</v>
      </c>
      <c r="S94" s="18" t="e">
        <f>1000*S18*_xlfn.XLOOKUP($B94,params!#REF!,params!#REF!,0)*(1+_xlfn.XLOOKUP($B94,params!#REF!,params!$W$27:$W$37,0))</f>
        <v>#REF!</v>
      </c>
      <c r="T94" s="18" t="e">
        <f>1000*T18*_xlfn.XLOOKUP($B94,params!#REF!,params!#REF!,0)*(1+_xlfn.XLOOKUP($B94,params!#REF!,params!$W$27:$W$37,0))</f>
        <v>#REF!</v>
      </c>
      <c r="U94" s="18" t="e">
        <f>1000*U18*_xlfn.XLOOKUP($B94,params!#REF!,params!#REF!,0)*(1+_xlfn.XLOOKUP($B94,params!#REF!,params!$W$27:$W$37,0))</f>
        <v>#REF!</v>
      </c>
      <c r="V94" s="18" t="e">
        <f>1000*V18*_xlfn.XLOOKUP($B94,params!#REF!,params!#REF!,0)*(1+_xlfn.XLOOKUP($B94,params!#REF!,params!$W$27:$W$37,0))</f>
        <v>#REF!</v>
      </c>
      <c r="W94" s="18" t="e">
        <f>1000*W18*_xlfn.XLOOKUP($B94,params!#REF!,params!#REF!,0)*(1+_xlfn.XLOOKUP($B94,params!#REF!,params!$W$27:$W$37,0))</f>
        <v>#REF!</v>
      </c>
      <c r="X94" s="18" t="e">
        <f>1000*X18*_xlfn.XLOOKUP($B94,params!#REF!,params!#REF!,0)*(1+_xlfn.XLOOKUP($B94,params!#REF!,params!$W$27:$W$37,0))</f>
        <v>#REF!</v>
      </c>
      <c r="Y94" s="18" t="e">
        <f>1000*Y18*_xlfn.XLOOKUP($B94,params!#REF!,params!#REF!,0)*(1+_xlfn.XLOOKUP($B94,params!#REF!,params!$W$27:$W$37,0))</f>
        <v>#REF!</v>
      </c>
      <c r="Z94" s="18" t="e">
        <f>1000*Z18*_xlfn.XLOOKUP($B94,params!#REF!,params!#REF!,0)*(1+_xlfn.XLOOKUP($B94,params!#REF!,params!$W$27:$W$37,0))</f>
        <v>#REF!</v>
      </c>
      <c r="AA94" s="18" t="e">
        <f>1000*AA18*_xlfn.XLOOKUP($B94,params!#REF!,params!#REF!,0)*(1+_xlfn.XLOOKUP($B94,params!#REF!,params!$W$27:$W$37,0))</f>
        <v>#REF!</v>
      </c>
      <c r="AB94" s="18" t="e">
        <f>1000*AB18*_xlfn.XLOOKUP($B94,params!#REF!,params!#REF!,0)*(1+_xlfn.XLOOKUP($B94,params!#REF!,params!$W$27:$W$37,0))</f>
        <v>#REF!</v>
      </c>
      <c r="AC94" s="18" t="e">
        <f>1000*AC18*_xlfn.XLOOKUP($B94,params!#REF!,params!#REF!,0)*(1+_xlfn.XLOOKUP($B94,params!#REF!,params!$W$27:$W$37,0))</f>
        <v>#REF!</v>
      </c>
      <c r="AD94" s="18" t="e">
        <f>1000*AD18*_xlfn.XLOOKUP($B94,params!#REF!,params!#REF!,0)*(1+_xlfn.XLOOKUP($B94,params!#REF!,params!$W$27:$W$37,0))</f>
        <v>#REF!</v>
      </c>
      <c r="AE94" s="18" t="e">
        <f>1000*AE18*_xlfn.XLOOKUP($B94,params!#REF!,params!#REF!,0)*(1+_xlfn.XLOOKUP($B94,params!#REF!,params!$W$27:$W$37,0))</f>
        <v>#REF!</v>
      </c>
      <c r="AF94" s="18" t="e">
        <f>1000*AF18*_xlfn.XLOOKUP($B94,params!#REF!,params!#REF!,0)*(1+_xlfn.XLOOKUP($B94,params!#REF!,params!$W$27:$W$37,0))</f>
        <v>#REF!</v>
      </c>
      <c r="AG94" s="18" t="e">
        <f>1000*AG18*_xlfn.XLOOKUP($B94,params!#REF!,params!#REF!,0)*(1+_xlfn.XLOOKUP($B94,params!#REF!,params!$W$27:$W$37,0))</f>
        <v>#REF!</v>
      </c>
      <c r="AH94" s="18" t="e">
        <f>1000*AH18*_xlfn.XLOOKUP($B94,params!#REF!,params!#REF!,0)*(1+_xlfn.XLOOKUP($B94,params!#REF!,params!$W$27:$W$37,0))</f>
        <v>#REF!</v>
      </c>
      <c r="AI94" s="18" t="e">
        <f>1000*AI18*_xlfn.XLOOKUP($B94,params!#REF!,params!#REF!,0)*(1+_xlfn.XLOOKUP($B94,params!#REF!,params!$W$27:$W$37,0))</f>
        <v>#REF!</v>
      </c>
      <c r="AJ94" s="111" t="e">
        <f>1000*AJ18*_xlfn.XLOOKUP($B94,params!#REF!,params!#REF!,0)*(1+_xlfn.XLOOKUP($B94,params!#REF!,params!$W$27:$W$37,0))</f>
        <v>#REF!</v>
      </c>
      <c r="AK94" s="55" t="e">
        <f t="shared" si="33"/>
        <v>#REF!</v>
      </c>
    </row>
    <row r="95" spans="1:37">
      <c r="A95" s="95" t="s">
        <v>18</v>
      </c>
      <c r="B95" s="4" t="s">
        <v>13</v>
      </c>
      <c r="C95" s="4" t="s">
        <v>53</v>
      </c>
      <c r="D95" s="91" t="s">
        <v>64</v>
      </c>
      <c r="E95" s="110" t="e">
        <f>1000*E19*_xlfn.XLOOKUP($B95,params!#REF!,params!#REF!,0)*(1+_xlfn.XLOOKUP($B95,params!#REF!,params!$W$27:$W$37,0))</f>
        <v>#REF!</v>
      </c>
      <c r="F95" s="18" t="e">
        <f>1000*F19*_xlfn.XLOOKUP($B95,params!#REF!,params!#REF!,0)*(1+_xlfn.XLOOKUP($B95,params!#REF!,params!$W$27:$W$37,0))</f>
        <v>#REF!</v>
      </c>
      <c r="G95" s="18" t="e">
        <f>1000*G19*_xlfn.XLOOKUP($B95,params!#REF!,params!#REF!,0)*(1+_xlfn.XLOOKUP($B95,params!#REF!,params!$W$27:$W$37,0))</f>
        <v>#REF!</v>
      </c>
      <c r="H95" s="18" t="e">
        <f>1000*H19*_xlfn.XLOOKUP($B95,params!#REF!,params!#REF!,0)*(1+_xlfn.XLOOKUP($B95,params!#REF!,params!$W$27:$W$37,0))</f>
        <v>#REF!</v>
      </c>
      <c r="I95" s="18" t="e">
        <f>1000*I19*_xlfn.XLOOKUP($B95,params!#REF!,params!#REF!,0)*(1+_xlfn.XLOOKUP($B95,params!#REF!,params!$W$27:$W$37,0))</f>
        <v>#REF!</v>
      </c>
      <c r="J95" s="18" t="e">
        <f>1000*J19*_xlfn.XLOOKUP($B95,params!#REF!,params!#REF!,0)*(1+_xlfn.XLOOKUP($B95,params!#REF!,params!$W$27:$W$37,0))</f>
        <v>#REF!</v>
      </c>
      <c r="K95" s="18" t="e">
        <f>1000*K19*_xlfn.XLOOKUP($B95,params!#REF!,params!#REF!,0)*(1+_xlfn.XLOOKUP($B95,params!#REF!,params!$W$27:$W$37,0))</f>
        <v>#REF!</v>
      </c>
      <c r="L95" s="18" t="e">
        <f>1000*L19*_xlfn.XLOOKUP($B95,params!#REF!,params!#REF!,0)*(1+_xlfn.XLOOKUP($B95,params!#REF!,params!$W$27:$W$37,0))</f>
        <v>#REF!</v>
      </c>
      <c r="M95" s="18" t="e">
        <f>1000*M19*_xlfn.XLOOKUP($B95,params!#REF!,params!#REF!,0)*(1+_xlfn.XLOOKUP($B95,params!#REF!,params!$W$27:$W$37,0))</f>
        <v>#REF!</v>
      </c>
      <c r="N95" s="18" t="e">
        <f>1000*N19*_xlfn.XLOOKUP($B95,params!#REF!,params!#REF!,0)*(1+_xlfn.XLOOKUP($B95,params!#REF!,params!$W$27:$W$37,0))</f>
        <v>#REF!</v>
      </c>
      <c r="O95" s="18" t="e">
        <f>1000*O19*_xlfn.XLOOKUP($B95,params!#REF!,params!#REF!,0)*(1+_xlfn.XLOOKUP($B95,params!#REF!,params!$W$27:$W$37,0))</f>
        <v>#REF!</v>
      </c>
      <c r="P95" s="18" t="e">
        <f>1000*P19*_xlfn.XLOOKUP($B95,params!#REF!,params!#REF!,0)*(1+_xlfn.XLOOKUP($B95,params!#REF!,params!$W$27:$W$37,0))</f>
        <v>#REF!</v>
      </c>
      <c r="Q95" s="18" t="e">
        <f>1000*Q19*_xlfn.XLOOKUP($B95,params!#REF!,params!#REF!,0)*(1+_xlfn.XLOOKUP($B95,params!#REF!,params!$W$27:$W$37,0))</f>
        <v>#REF!</v>
      </c>
      <c r="R95" s="18" t="e">
        <f>1000*R19*_xlfn.XLOOKUP($B95,params!#REF!,params!#REF!,0)*(1+_xlfn.XLOOKUP($B95,params!#REF!,params!$W$27:$W$37,0))</f>
        <v>#REF!</v>
      </c>
      <c r="S95" s="18" t="e">
        <f>1000*S19*_xlfn.XLOOKUP($B95,params!#REF!,params!#REF!,0)*(1+_xlfn.XLOOKUP($B95,params!#REF!,params!$W$27:$W$37,0))</f>
        <v>#REF!</v>
      </c>
      <c r="T95" s="18" t="e">
        <f>1000*T19*_xlfn.XLOOKUP($B95,params!#REF!,params!#REF!,0)*(1+_xlfn.XLOOKUP($B95,params!#REF!,params!$W$27:$W$37,0))</f>
        <v>#REF!</v>
      </c>
      <c r="U95" s="18" t="e">
        <f>1000*U19*_xlfn.XLOOKUP($B95,params!#REF!,params!#REF!,0)*(1+_xlfn.XLOOKUP($B95,params!#REF!,params!$W$27:$W$37,0))</f>
        <v>#REF!</v>
      </c>
      <c r="V95" s="18" t="e">
        <f>1000*V19*_xlfn.XLOOKUP($B95,params!#REF!,params!#REF!,0)*(1+_xlfn.XLOOKUP($B95,params!#REF!,params!$W$27:$W$37,0))</f>
        <v>#REF!</v>
      </c>
      <c r="W95" s="18" t="e">
        <f>1000*W19*_xlfn.XLOOKUP($B95,params!#REF!,params!#REF!,0)*(1+_xlfn.XLOOKUP($B95,params!#REF!,params!$W$27:$W$37,0))</f>
        <v>#REF!</v>
      </c>
      <c r="X95" s="18" t="e">
        <f>1000*X19*_xlfn.XLOOKUP($B95,params!#REF!,params!#REF!,0)*(1+_xlfn.XLOOKUP($B95,params!#REF!,params!$W$27:$W$37,0))</f>
        <v>#REF!</v>
      </c>
      <c r="Y95" s="18" t="e">
        <f>1000*Y19*_xlfn.XLOOKUP($B95,params!#REF!,params!#REF!,0)*(1+_xlfn.XLOOKUP($B95,params!#REF!,params!$W$27:$W$37,0))</f>
        <v>#REF!</v>
      </c>
      <c r="Z95" s="18" t="e">
        <f>1000*Z19*_xlfn.XLOOKUP($B95,params!#REF!,params!#REF!,0)*(1+_xlfn.XLOOKUP($B95,params!#REF!,params!$W$27:$W$37,0))</f>
        <v>#REF!</v>
      </c>
      <c r="AA95" s="18" t="e">
        <f>1000*AA19*_xlfn.XLOOKUP($B95,params!#REF!,params!#REF!,0)*(1+_xlfn.XLOOKUP($B95,params!#REF!,params!$W$27:$W$37,0))</f>
        <v>#REF!</v>
      </c>
      <c r="AB95" s="18" t="e">
        <f>1000*AB19*_xlfn.XLOOKUP($B95,params!#REF!,params!#REF!,0)*(1+_xlfn.XLOOKUP($B95,params!#REF!,params!$W$27:$W$37,0))</f>
        <v>#REF!</v>
      </c>
      <c r="AC95" s="18" t="e">
        <f>1000*AC19*_xlfn.XLOOKUP($B95,params!#REF!,params!#REF!,0)*(1+_xlfn.XLOOKUP($B95,params!#REF!,params!$W$27:$W$37,0))</f>
        <v>#REF!</v>
      </c>
      <c r="AD95" s="18" t="e">
        <f>1000*AD19*_xlfn.XLOOKUP($B95,params!#REF!,params!#REF!,0)*(1+_xlfn.XLOOKUP($B95,params!#REF!,params!$W$27:$W$37,0))</f>
        <v>#REF!</v>
      </c>
      <c r="AE95" s="18" t="e">
        <f>1000*AE19*_xlfn.XLOOKUP($B95,params!#REF!,params!#REF!,0)*(1+_xlfn.XLOOKUP($B95,params!#REF!,params!$W$27:$W$37,0))</f>
        <v>#REF!</v>
      </c>
      <c r="AF95" s="18" t="e">
        <f>1000*AF19*_xlfn.XLOOKUP($B95,params!#REF!,params!#REF!,0)*(1+_xlfn.XLOOKUP($B95,params!#REF!,params!$W$27:$W$37,0))</f>
        <v>#REF!</v>
      </c>
      <c r="AG95" s="18" t="e">
        <f>1000*AG19*_xlfn.XLOOKUP($B95,params!#REF!,params!#REF!,0)*(1+_xlfn.XLOOKUP($B95,params!#REF!,params!$W$27:$W$37,0))</f>
        <v>#REF!</v>
      </c>
      <c r="AH95" s="18" t="e">
        <f>1000*AH19*_xlfn.XLOOKUP($B95,params!#REF!,params!#REF!,0)*(1+_xlfn.XLOOKUP($B95,params!#REF!,params!$W$27:$W$37,0))</f>
        <v>#REF!</v>
      </c>
      <c r="AI95" s="18" t="e">
        <f>1000*AI19*_xlfn.XLOOKUP($B95,params!#REF!,params!#REF!,0)*(1+_xlfn.XLOOKUP($B95,params!#REF!,params!$W$27:$W$37,0))</f>
        <v>#REF!</v>
      </c>
      <c r="AJ95" s="111" t="e">
        <f>1000*AJ19*_xlfn.XLOOKUP($B95,params!#REF!,params!#REF!,0)*(1+_xlfn.XLOOKUP($B95,params!#REF!,params!$W$27:$W$37,0))</f>
        <v>#REF!</v>
      </c>
      <c r="AK95" s="55" t="e">
        <f t="shared" si="33"/>
        <v>#REF!</v>
      </c>
    </row>
    <row r="96" spans="1:37">
      <c r="A96" s="95" t="s">
        <v>18</v>
      </c>
      <c r="B96" s="4" t="s">
        <v>14</v>
      </c>
      <c r="C96" s="4" t="s">
        <v>53</v>
      </c>
      <c r="D96" s="91" t="s">
        <v>64</v>
      </c>
      <c r="E96" s="110" t="e">
        <f>1000*E20*_xlfn.XLOOKUP($B96,params!#REF!,params!#REF!,0)*(1+_xlfn.XLOOKUP($B96,params!#REF!,params!$W$27:$W$37,0))</f>
        <v>#REF!</v>
      </c>
      <c r="F96" s="18" t="e">
        <f>1000*F20*_xlfn.XLOOKUP($B96,params!#REF!,params!#REF!,0)*(1+_xlfn.XLOOKUP($B96,params!#REF!,params!$W$27:$W$37,0))</f>
        <v>#REF!</v>
      </c>
      <c r="G96" s="18" t="e">
        <f>1000*G20*_xlfn.XLOOKUP($B96,params!#REF!,params!#REF!,0)*(1+_xlfn.XLOOKUP($B96,params!#REF!,params!$W$27:$W$37,0))</f>
        <v>#REF!</v>
      </c>
      <c r="H96" s="18" t="e">
        <f>1000*H20*_xlfn.XLOOKUP($B96,params!#REF!,params!#REF!,0)*(1+_xlfn.XLOOKUP($B96,params!#REF!,params!$W$27:$W$37,0))</f>
        <v>#REF!</v>
      </c>
      <c r="I96" s="18" t="e">
        <f>1000*I20*_xlfn.XLOOKUP($B96,params!#REF!,params!#REF!,0)*(1+_xlfn.XLOOKUP($B96,params!#REF!,params!$W$27:$W$37,0))</f>
        <v>#REF!</v>
      </c>
      <c r="J96" s="18" t="e">
        <f>1000*J20*_xlfn.XLOOKUP($B96,params!#REF!,params!#REF!,0)*(1+_xlfn.XLOOKUP($B96,params!#REF!,params!$W$27:$W$37,0))</f>
        <v>#REF!</v>
      </c>
      <c r="K96" s="18" t="e">
        <f>1000*K20*_xlfn.XLOOKUP($B96,params!#REF!,params!#REF!,0)*(1+_xlfn.XLOOKUP($B96,params!#REF!,params!$W$27:$W$37,0))</f>
        <v>#REF!</v>
      </c>
      <c r="L96" s="18" t="e">
        <f>1000*L20*_xlfn.XLOOKUP($B96,params!#REF!,params!#REF!,0)*(1+_xlfn.XLOOKUP($B96,params!#REF!,params!$W$27:$W$37,0))</f>
        <v>#REF!</v>
      </c>
      <c r="M96" s="18" t="e">
        <f>1000*M20*_xlfn.XLOOKUP($B96,params!#REF!,params!#REF!,0)*(1+_xlfn.XLOOKUP($B96,params!#REF!,params!$W$27:$W$37,0))</f>
        <v>#REF!</v>
      </c>
      <c r="N96" s="18" t="e">
        <f>1000*N20*_xlfn.XLOOKUP($B96,params!#REF!,params!#REF!,0)*(1+_xlfn.XLOOKUP($B96,params!#REF!,params!$W$27:$W$37,0))</f>
        <v>#REF!</v>
      </c>
      <c r="O96" s="18" t="e">
        <f>1000*O20*_xlfn.XLOOKUP($B96,params!#REF!,params!#REF!,0)*(1+_xlfn.XLOOKUP($B96,params!#REF!,params!$W$27:$W$37,0))</f>
        <v>#REF!</v>
      </c>
      <c r="P96" s="18" t="e">
        <f>1000*P20*_xlfn.XLOOKUP($B96,params!#REF!,params!#REF!,0)*(1+_xlfn.XLOOKUP($B96,params!#REF!,params!$W$27:$W$37,0))</f>
        <v>#REF!</v>
      </c>
      <c r="Q96" s="18" t="e">
        <f>1000*Q20*_xlfn.XLOOKUP($B96,params!#REF!,params!#REF!,0)*(1+_xlfn.XLOOKUP($B96,params!#REF!,params!$W$27:$W$37,0))</f>
        <v>#REF!</v>
      </c>
      <c r="R96" s="18" t="e">
        <f>1000*R20*_xlfn.XLOOKUP($B96,params!#REF!,params!#REF!,0)*(1+_xlfn.XLOOKUP($B96,params!#REF!,params!$W$27:$W$37,0))</f>
        <v>#REF!</v>
      </c>
      <c r="S96" s="18" t="e">
        <f>1000*S20*_xlfn.XLOOKUP($B96,params!#REF!,params!#REF!,0)*(1+_xlfn.XLOOKUP($B96,params!#REF!,params!$W$27:$W$37,0))</f>
        <v>#REF!</v>
      </c>
      <c r="T96" s="18" t="e">
        <f>1000*T20*_xlfn.XLOOKUP($B96,params!#REF!,params!#REF!,0)*(1+_xlfn.XLOOKUP($B96,params!#REF!,params!$W$27:$W$37,0))</f>
        <v>#REF!</v>
      </c>
      <c r="U96" s="18" t="e">
        <f>1000*U20*_xlfn.XLOOKUP($B96,params!#REF!,params!#REF!,0)*(1+_xlfn.XLOOKUP($B96,params!#REF!,params!$W$27:$W$37,0))</f>
        <v>#REF!</v>
      </c>
      <c r="V96" s="18" t="e">
        <f>1000*V20*_xlfn.XLOOKUP($B96,params!#REF!,params!#REF!,0)*(1+_xlfn.XLOOKUP($B96,params!#REF!,params!$W$27:$W$37,0))</f>
        <v>#REF!</v>
      </c>
      <c r="W96" s="18" t="e">
        <f>1000*W20*_xlfn.XLOOKUP($B96,params!#REF!,params!#REF!,0)*(1+_xlfn.XLOOKUP($B96,params!#REF!,params!$W$27:$W$37,0))</f>
        <v>#REF!</v>
      </c>
      <c r="X96" s="18" t="e">
        <f>1000*X20*_xlfn.XLOOKUP($B96,params!#REF!,params!#REF!,0)*(1+_xlfn.XLOOKUP($B96,params!#REF!,params!$W$27:$W$37,0))</f>
        <v>#REF!</v>
      </c>
      <c r="Y96" s="18" t="e">
        <f>1000*Y20*_xlfn.XLOOKUP($B96,params!#REF!,params!#REF!,0)*(1+_xlfn.XLOOKUP($B96,params!#REF!,params!$W$27:$W$37,0))</f>
        <v>#REF!</v>
      </c>
      <c r="Z96" s="18" t="e">
        <f>1000*Z20*_xlfn.XLOOKUP($B96,params!#REF!,params!#REF!,0)*(1+_xlfn.XLOOKUP($B96,params!#REF!,params!$W$27:$W$37,0))</f>
        <v>#REF!</v>
      </c>
      <c r="AA96" s="18" t="e">
        <f>1000*AA20*_xlfn.XLOOKUP($B96,params!#REF!,params!#REF!,0)*(1+_xlfn.XLOOKUP($B96,params!#REF!,params!$W$27:$W$37,0))</f>
        <v>#REF!</v>
      </c>
      <c r="AB96" s="18" t="e">
        <f>1000*AB20*_xlfn.XLOOKUP($B96,params!#REF!,params!#REF!,0)*(1+_xlfn.XLOOKUP($B96,params!#REF!,params!$W$27:$W$37,0))</f>
        <v>#REF!</v>
      </c>
      <c r="AC96" s="18" t="e">
        <f>1000*AC20*_xlfn.XLOOKUP($B96,params!#REF!,params!#REF!,0)*(1+_xlfn.XLOOKUP($B96,params!#REF!,params!$W$27:$W$37,0))</f>
        <v>#REF!</v>
      </c>
      <c r="AD96" s="18" t="e">
        <f>1000*AD20*_xlfn.XLOOKUP($B96,params!#REF!,params!#REF!,0)*(1+_xlfn.XLOOKUP($B96,params!#REF!,params!$W$27:$W$37,0))</f>
        <v>#REF!</v>
      </c>
      <c r="AE96" s="18" t="e">
        <f>1000*AE20*_xlfn.XLOOKUP($B96,params!#REF!,params!#REF!,0)*(1+_xlfn.XLOOKUP($B96,params!#REF!,params!$W$27:$W$37,0))</f>
        <v>#REF!</v>
      </c>
      <c r="AF96" s="18" t="e">
        <f>1000*AF20*_xlfn.XLOOKUP($B96,params!#REF!,params!#REF!,0)*(1+_xlfn.XLOOKUP($B96,params!#REF!,params!$W$27:$W$37,0))</f>
        <v>#REF!</v>
      </c>
      <c r="AG96" s="18" t="e">
        <f>1000*AG20*_xlfn.XLOOKUP($B96,params!#REF!,params!#REF!,0)*(1+_xlfn.XLOOKUP($B96,params!#REF!,params!$W$27:$W$37,0))</f>
        <v>#REF!</v>
      </c>
      <c r="AH96" s="18" t="e">
        <f>1000*AH20*_xlfn.XLOOKUP($B96,params!#REF!,params!#REF!,0)*(1+_xlfn.XLOOKUP($B96,params!#REF!,params!$W$27:$W$37,0))</f>
        <v>#REF!</v>
      </c>
      <c r="AI96" s="18" t="e">
        <f>1000*AI20*_xlfn.XLOOKUP($B96,params!#REF!,params!#REF!,0)*(1+_xlfn.XLOOKUP($B96,params!#REF!,params!$W$27:$W$37,0))</f>
        <v>#REF!</v>
      </c>
      <c r="AJ96" s="111" t="e">
        <f>1000*AJ20*_xlfn.XLOOKUP($B96,params!#REF!,params!#REF!,0)*(1+_xlfn.XLOOKUP($B96,params!#REF!,params!$W$27:$W$37,0))</f>
        <v>#REF!</v>
      </c>
      <c r="AK96" s="55" t="e">
        <f t="shared" si="33"/>
        <v>#REF!</v>
      </c>
    </row>
    <row r="97" spans="1:37">
      <c r="A97" s="95" t="s">
        <v>18</v>
      </c>
      <c r="B97" s="4" t="s">
        <v>15</v>
      </c>
      <c r="C97" s="4" t="s">
        <v>53</v>
      </c>
      <c r="D97" s="91" t="s">
        <v>64</v>
      </c>
      <c r="E97" s="110" t="e">
        <f>1000*E21*_xlfn.XLOOKUP($B97,params!#REF!,params!#REF!,0)*(1+_xlfn.XLOOKUP($B97,params!#REF!,params!$W$27:$W$37,0))</f>
        <v>#REF!</v>
      </c>
      <c r="F97" s="18" t="e">
        <f>1000*F21*_xlfn.XLOOKUP($B97,params!#REF!,params!#REF!,0)*(1+_xlfn.XLOOKUP($B97,params!#REF!,params!$W$27:$W$37,0))</f>
        <v>#REF!</v>
      </c>
      <c r="G97" s="18" t="e">
        <f>1000*G21*_xlfn.XLOOKUP($B97,params!#REF!,params!#REF!,0)*(1+_xlfn.XLOOKUP($B97,params!#REF!,params!$W$27:$W$37,0))</f>
        <v>#REF!</v>
      </c>
      <c r="H97" s="18" t="e">
        <f>1000*H21*_xlfn.XLOOKUP($B97,params!#REF!,params!#REF!,0)*(1+_xlfn.XLOOKUP($B97,params!#REF!,params!$W$27:$W$37,0))</f>
        <v>#REF!</v>
      </c>
      <c r="I97" s="18" t="e">
        <f>1000*I21*_xlfn.XLOOKUP($B97,params!#REF!,params!#REF!,0)*(1+_xlfn.XLOOKUP($B97,params!#REF!,params!$W$27:$W$37,0))</f>
        <v>#REF!</v>
      </c>
      <c r="J97" s="18" t="e">
        <f>1000*J21*_xlfn.XLOOKUP($B97,params!#REF!,params!#REF!,0)*(1+_xlfn.XLOOKUP($B97,params!#REF!,params!$W$27:$W$37,0))</f>
        <v>#REF!</v>
      </c>
      <c r="K97" s="18" t="e">
        <f>1000*K21*_xlfn.XLOOKUP($B97,params!#REF!,params!#REF!,0)*(1+_xlfn.XLOOKUP($B97,params!#REF!,params!$W$27:$W$37,0))</f>
        <v>#REF!</v>
      </c>
      <c r="L97" s="18" t="e">
        <f>1000*L21*_xlfn.XLOOKUP($B97,params!#REF!,params!#REF!,0)*(1+_xlfn.XLOOKUP($B97,params!#REF!,params!$W$27:$W$37,0))</f>
        <v>#REF!</v>
      </c>
      <c r="M97" s="18" t="e">
        <f>1000*M21*_xlfn.XLOOKUP($B97,params!#REF!,params!#REF!,0)*(1+_xlfn.XLOOKUP($B97,params!#REF!,params!$W$27:$W$37,0))</f>
        <v>#REF!</v>
      </c>
      <c r="N97" s="18" t="e">
        <f>1000*N21*_xlfn.XLOOKUP($B97,params!#REF!,params!#REF!,0)*(1+_xlfn.XLOOKUP($B97,params!#REF!,params!$W$27:$W$37,0))</f>
        <v>#REF!</v>
      </c>
      <c r="O97" s="18" t="e">
        <f>1000*O21*_xlfn.XLOOKUP($B97,params!#REF!,params!#REF!,0)*(1+_xlfn.XLOOKUP($B97,params!#REF!,params!$W$27:$W$37,0))</f>
        <v>#REF!</v>
      </c>
      <c r="P97" s="18" t="e">
        <f>1000*P21*_xlfn.XLOOKUP($B97,params!#REF!,params!#REF!,0)*(1+_xlfn.XLOOKUP($B97,params!#REF!,params!$W$27:$W$37,0))</f>
        <v>#REF!</v>
      </c>
      <c r="Q97" s="18" t="e">
        <f>1000*Q21*_xlfn.XLOOKUP($B97,params!#REF!,params!#REF!,0)*(1+_xlfn.XLOOKUP($B97,params!#REF!,params!$W$27:$W$37,0))</f>
        <v>#REF!</v>
      </c>
      <c r="R97" s="18" t="e">
        <f>1000*R21*_xlfn.XLOOKUP($B97,params!#REF!,params!#REF!,0)*(1+_xlfn.XLOOKUP($B97,params!#REF!,params!$W$27:$W$37,0))</f>
        <v>#REF!</v>
      </c>
      <c r="S97" s="18" t="e">
        <f>1000*S21*_xlfn.XLOOKUP($B97,params!#REF!,params!#REF!,0)*(1+_xlfn.XLOOKUP($B97,params!#REF!,params!$W$27:$W$37,0))</f>
        <v>#REF!</v>
      </c>
      <c r="T97" s="18" t="e">
        <f>1000*T21*_xlfn.XLOOKUP($B97,params!#REF!,params!#REF!,0)*(1+_xlfn.XLOOKUP($B97,params!#REF!,params!$W$27:$W$37,0))</f>
        <v>#REF!</v>
      </c>
      <c r="U97" s="18" t="e">
        <f>1000*U21*_xlfn.XLOOKUP($B97,params!#REF!,params!#REF!,0)*(1+_xlfn.XLOOKUP($B97,params!#REF!,params!$W$27:$W$37,0))</f>
        <v>#REF!</v>
      </c>
      <c r="V97" s="18" t="e">
        <f>1000*V21*_xlfn.XLOOKUP($B97,params!#REF!,params!#REF!,0)*(1+_xlfn.XLOOKUP($B97,params!#REF!,params!$W$27:$W$37,0))</f>
        <v>#REF!</v>
      </c>
      <c r="W97" s="18" t="e">
        <f>1000*W21*_xlfn.XLOOKUP($B97,params!#REF!,params!#REF!,0)*(1+_xlfn.XLOOKUP($B97,params!#REF!,params!$W$27:$W$37,0))</f>
        <v>#REF!</v>
      </c>
      <c r="X97" s="18" t="e">
        <f>1000*X21*_xlfn.XLOOKUP($B97,params!#REF!,params!#REF!,0)*(1+_xlfn.XLOOKUP($B97,params!#REF!,params!$W$27:$W$37,0))</f>
        <v>#REF!</v>
      </c>
      <c r="Y97" s="18" t="e">
        <f>1000*Y21*_xlfn.XLOOKUP($B97,params!#REF!,params!#REF!,0)*(1+_xlfn.XLOOKUP($B97,params!#REF!,params!$W$27:$W$37,0))</f>
        <v>#REF!</v>
      </c>
      <c r="Z97" s="18" t="e">
        <f>1000*Z21*_xlfn.XLOOKUP($B97,params!#REF!,params!#REF!,0)*(1+_xlfn.XLOOKUP($B97,params!#REF!,params!$W$27:$W$37,0))</f>
        <v>#REF!</v>
      </c>
      <c r="AA97" s="18" t="e">
        <f>1000*AA21*_xlfn.XLOOKUP($B97,params!#REF!,params!#REF!,0)*(1+_xlfn.XLOOKUP($B97,params!#REF!,params!$W$27:$W$37,0))</f>
        <v>#REF!</v>
      </c>
      <c r="AB97" s="18" t="e">
        <f>1000*AB21*_xlfn.XLOOKUP($B97,params!#REF!,params!#REF!,0)*(1+_xlfn.XLOOKUP($B97,params!#REF!,params!$W$27:$W$37,0))</f>
        <v>#REF!</v>
      </c>
      <c r="AC97" s="18" t="e">
        <f>1000*AC21*_xlfn.XLOOKUP($B97,params!#REF!,params!#REF!,0)*(1+_xlfn.XLOOKUP($B97,params!#REF!,params!$W$27:$W$37,0))</f>
        <v>#REF!</v>
      </c>
      <c r="AD97" s="18" t="e">
        <f>1000*AD21*_xlfn.XLOOKUP($B97,params!#REF!,params!#REF!,0)*(1+_xlfn.XLOOKUP($B97,params!#REF!,params!$W$27:$W$37,0))</f>
        <v>#REF!</v>
      </c>
      <c r="AE97" s="18" t="e">
        <f>1000*AE21*_xlfn.XLOOKUP($B97,params!#REF!,params!#REF!,0)*(1+_xlfn.XLOOKUP($B97,params!#REF!,params!$W$27:$W$37,0))</f>
        <v>#REF!</v>
      </c>
      <c r="AF97" s="18" t="e">
        <f>1000*AF21*_xlfn.XLOOKUP($B97,params!#REF!,params!#REF!,0)*(1+_xlfn.XLOOKUP($B97,params!#REF!,params!$W$27:$W$37,0))</f>
        <v>#REF!</v>
      </c>
      <c r="AG97" s="18" t="e">
        <f>1000*AG21*_xlfn.XLOOKUP($B97,params!#REF!,params!#REF!,0)*(1+_xlfn.XLOOKUP($B97,params!#REF!,params!$W$27:$W$37,0))</f>
        <v>#REF!</v>
      </c>
      <c r="AH97" s="18" t="e">
        <f>1000*AH21*_xlfn.XLOOKUP($B97,params!#REF!,params!#REF!,0)*(1+_xlfn.XLOOKUP($B97,params!#REF!,params!$W$27:$W$37,0))</f>
        <v>#REF!</v>
      </c>
      <c r="AI97" s="18" t="e">
        <f>1000*AI21*_xlfn.XLOOKUP($B97,params!#REF!,params!#REF!,0)*(1+_xlfn.XLOOKUP($B97,params!#REF!,params!$W$27:$W$37,0))</f>
        <v>#REF!</v>
      </c>
      <c r="AJ97" s="111" t="e">
        <f>1000*AJ21*_xlfn.XLOOKUP($B97,params!#REF!,params!#REF!,0)*(1+_xlfn.XLOOKUP($B97,params!#REF!,params!$W$27:$W$37,0))</f>
        <v>#REF!</v>
      </c>
      <c r="AK97" s="55" t="e">
        <f t="shared" si="33"/>
        <v>#REF!</v>
      </c>
    </row>
    <row r="98" spans="1:37">
      <c r="A98" s="97" t="s">
        <v>18</v>
      </c>
      <c r="B98" s="40" t="s">
        <v>16</v>
      </c>
      <c r="C98" s="4" t="s">
        <v>53</v>
      </c>
      <c r="D98" s="91" t="s">
        <v>64</v>
      </c>
      <c r="E98" s="110" t="e">
        <f>1000*E22*_xlfn.XLOOKUP($B98,params!#REF!,params!#REF!,0)*(1+_xlfn.XLOOKUP($B98,params!#REF!,params!$W$27:$W$37,0))</f>
        <v>#REF!</v>
      </c>
      <c r="F98" s="18" t="e">
        <f>1000*F22*_xlfn.XLOOKUP($B98,params!#REF!,params!#REF!,0)*(1+_xlfn.XLOOKUP($B98,params!#REF!,params!$W$27:$W$37,0))</f>
        <v>#REF!</v>
      </c>
      <c r="G98" s="18" t="e">
        <f>1000*G22*_xlfn.XLOOKUP($B98,params!#REF!,params!#REF!,0)*(1+_xlfn.XLOOKUP($B98,params!#REF!,params!$W$27:$W$37,0))</f>
        <v>#REF!</v>
      </c>
      <c r="H98" s="18" t="e">
        <f>1000*H22*_xlfn.XLOOKUP($B98,params!#REF!,params!#REF!,0)*(1+_xlfn.XLOOKUP($B98,params!#REF!,params!$W$27:$W$37,0))</f>
        <v>#REF!</v>
      </c>
      <c r="I98" s="18" t="e">
        <f>1000*I22*_xlfn.XLOOKUP($B98,params!#REF!,params!#REF!,0)*(1+_xlfn.XLOOKUP($B98,params!#REF!,params!$W$27:$W$37,0))</f>
        <v>#REF!</v>
      </c>
      <c r="J98" s="18" t="e">
        <f>1000*J22*_xlfn.XLOOKUP($B98,params!#REF!,params!#REF!,0)*(1+_xlfn.XLOOKUP($B98,params!#REF!,params!$W$27:$W$37,0))</f>
        <v>#REF!</v>
      </c>
      <c r="K98" s="18" t="e">
        <f>1000*K22*_xlfn.XLOOKUP($B98,params!#REF!,params!#REF!,0)*(1+_xlfn.XLOOKUP($B98,params!#REF!,params!$W$27:$W$37,0))</f>
        <v>#REF!</v>
      </c>
      <c r="L98" s="18" t="e">
        <f>1000*L22*_xlfn.XLOOKUP($B98,params!#REF!,params!#REF!,0)*(1+_xlfn.XLOOKUP($B98,params!#REF!,params!$W$27:$W$37,0))</f>
        <v>#REF!</v>
      </c>
      <c r="M98" s="18" t="e">
        <f>1000*M22*_xlfn.XLOOKUP($B98,params!#REF!,params!#REF!,0)*(1+_xlfn.XLOOKUP($B98,params!#REF!,params!$W$27:$W$37,0))</f>
        <v>#REF!</v>
      </c>
      <c r="N98" s="18" t="e">
        <f>1000*N22*_xlfn.XLOOKUP($B98,params!#REF!,params!#REF!,0)*(1+_xlfn.XLOOKUP($B98,params!#REF!,params!$W$27:$W$37,0))</f>
        <v>#REF!</v>
      </c>
      <c r="O98" s="18" t="e">
        <f>1000*O22*_xlfn.XLOOKUP($B98,params!#REF!,params!#REF!,0)*(1+_xlfn.XLOOKUP($B98,params!#REF!,params!$W$27:$W$37,0))</f>
        <v>#REF!</v>
      </c>
      <c r="P98" s="18" t="e">
        <f>1000*P22*_xlfn.XLOOKUP($B98,params!#REF!,params!#REF!,0)*(1+_xlfn.XLOOKUP($B98,params!#REF!,params!$W$27:$W$37,0))</f>
        <v>#REF!</v>
      </c>
      <c r="Q98" s="18" t="e">
        <f>1000*Q22*_xlfn.XLOOKUP($B98,params!#REF!,params!#REF!,0)*(1+_xlfn.XLOOKUP($B98,params!#REF!,params!$W$27:$W$37,0))</f>
        <v>#REF!</v>
      </c>
      <c r="R98" s="18" t="e">
        <f>1000*R22*_xlfn.XLOOKUP($B98,params!#REF!,params!#REF!,0)*(1+_xlfn.XLOOKUP($B98,params!#REF!,params!$W$27:$W$37,0))</f>
        <v>#REF!</v>
      </c>
      <c r="S98" s="18" t="e">
        <f>1000*S22*_xlfn.XLOOKUP($B98,params!#REF!,params!#REF!,0)*(1+_xlfn.XLOOKUP($B98,params!#REF!,params!$W$27:$W$37,0))</f>
        <v>#REF!</v>
      </c>
      <c r="T98" s="18" t="e">
        <f>1000*T22*_xlfn.XLOOKUP($B98,params!#REF!,params!#REF!,0)*(1+_xlfn.XLOOKUP($B98,params!#REF!,params!$W$27:$W$37,0))</f>
        <v>#REF!</v>
      </c>
      <c r="U98" s="18" t="e">
        <f>1000*U22*_xlfn.XLOOKUP($B98,params!#REF!,params!#REF!,0)*(1+_xlfn.XLOOKUP($B98,params!#REF!,params!$W$27:$W$37,0))</f>
        <v>#REF!</v>
      </c>
      <c r="V98" s="18" t="e">
        <f>1000*V22*_xlfn.XLOOKUP($B98,params!#REF!,params!#REF!,0)*(1+_xlfn.XLOOKUP($B98,params!#REF!,params!$W$27:$W$37,0))</f>
        <v>#REF!</v>
      </c>
      <c r="W98" s="18" t="e">
        <f>1000*W22*_xlfn.XLOOKUP($B98,params!#REF!,params!#REF!,0)*(1+_xlfn.XLOOKUP($B98,params!#REF!,params!$W$27:$W$37,0))</f>
        <v>#REF!</v>
      </c>
      <c r="X98" s="18" t="e">
        <f>1000*X22*_xlfn.XLOOKUP($B98,params!#REF!,params!#REF!,0)*(1+_xlfn.XLOOKUP($B98,params!#REF!,params!$W$27:$W$37,0))</f>
        <v>#REF!</v>
      </c>
      <c r="Y98" s="18" t="e">
        <f>1000*Y22*_xlfn.XLOOKUP($B98,params!#REF!,params!#REF!,0)*(1+_xlfn.XLOOKUP($B98,params!#REF!,params!$W$27:$W$37,0))</f>
        <v>#REF!</v>
      </c>
      <c r="Z98" s="18" t="e">
        <f>1000*Z22*_xlfn.XLOOKUP($B98,params!#REF!,params!#REF!,0)*(1+_xlfn.XLOOKUP($B98,params!#REF!,params!$W$27:$W$37,0))</f>
        <v>#REF!</v>
      </c>
      <c r="AA98" s="18" t="e">
        <f>1000*AA22*_xlfn.XLOOKUP($B98,params!#REF!,params!#REF!,0)*(1+_xlfn.XLOOKUP($B98,params!#REF!,params!$W$27:$W$37,0))</f>
        <v>#REF!</v>
      </c>
      <c r="AB98" s="18" t="e">
        <f>1000*AB22*_xlfn.XLOOKUP($B98,params!#REF!,params!#REF!,0)*(1+_xlfn.XLOOKUP($B98,params!#REF!,params!$W$27:$W$37,0))</f>
        <v>#REF!</v>
      </c>
      <c r="AC98" s="18" t="e">
        <f>1000*AC22*_xlfn.XLOOKUP($B98,params!#REF!,params!#REF!,0)*(1+_xlfn.XLOOKUP($B98,params!#REF!,params!$W$27:$W$37,0))</f>
        <v>#REF!</v>
      </c>
      <c r="AD98" s="18" t="e">
        <f>1000*AD22*_xlfn.XLOOKUP($B98,params!#REF!,params!#REF!,0)*(1+_xlfn.XLOOKUP($B98,params!#REF!,params!$W$27:$W$37,0))</f>
        <v>#REF!</v>
      </c>
      <c r="AE98" s="18" t="e">
        <f>1000*AE22*_xlfn.XLOOKUP($B98,params!#REF!,params!#REF!,0)*(1+_xlfn.XLOOKUP($B98,params!#REF!,params!$W$27:$W$37,0))</f>
        <v>#REF!</v>
      </c>
      <c r="AF98" s="18" t="e">
        <f>1000*AF22*_xlfn.XLOOKUP($B98,params!#REF!,params!#REF!,0)*(1+_xlfn.XLOOKUP($B98,params!#REF!,params!$W$27:$W$37,0))</f>
        <v>#REF!</v>
      </c>
      <c r="AG98" s="18" t="e">
        <f>1000*AG22*_xlfn.XLOOKUP($B98,params!#REF!,params!#REF!,0)*(1+_xlfn.XLOOKUP($B98,params!#REF!,params!$W$27:$W$37,0))</f>
        <v>#REF!</v>
      </c>
      <c r="AH98" s="18" t="e">
        <f>1000*AH22*_xlfn.XLOOKUP($B98,params!#REF!,params!#REF!,0)*(1+_xlfn.XLOOKUP($B98,params!#REF!,params!$W$27:$W$37,0))</f>
        <v>#REF!</v>
      </c>
      <c r="AI98" s="18" t="e">
        <f>1000*AI22*_xlfn.XLOOKUP($B98,params!#REF!,params!#REF!,0)*(1+_xlfn.XLOOKUP($B98,params!#REF!,params!$W$27:$W$37,0))</f>
        <v>#REF!</v>
      </c>
      <c r="AJ98" s="111" t="e">
        <f>1000*AJ22*_xlfn.XLOOKUP($B98,params!#REF!,params!#REF!,0)*(1+_xlfn.XLOOKUP($B98,params!#REF!,params!$W$27:$W$37,0))</f>
        <v>#REF!</v>
      </c>
      <c r="AK98" s="55" t="e">
        <f t="shared" si="33"/>
        <v>#REF!</v>
      </c>
    </row>
    <row r="99" spans="1:37" ht="17" thickBot="1">
      <c r="A99" s="96" t="s">
        <v>18</v>
      </c>
      <c r="B99" s="32" t="s">
        <v>17</v>
      </c>
      <c r="C99" s="32" t="s">
        <v>53</v>
      </c>
      <c r="D99" s="93" t="s">
        <v>64</v>
      </c>
      <c r="E99" s="112" t="e">
        <f>1000*E23*_xlfn.XLOOKUP($B99,params!#REF!,params!#REF!,0)*(1+_xlfn.XLOOKUP($B99,params!#REF!,params!$W$27:$W$37,0))</f>
        <v>#REF!</v>
      </c>
      <c r="F99" s="113" t="e">
        <f>1000*F23*_xlfn.XLOOKUP($B99,params!#REF!,params!#REF!,0)*(1+_xlfn.XLOOKUP($B99,params!#REF!,params!$W$27:$W$37,0))</f>
        <v>#REF!</v>
      </c>
      <c r="G99" s="113" t="e">
        <f>1000*G23*_xlfn.XLOOKUP($B99,params!#REF!,params!#REF!,0)*(1+_xlfn.XLOOKUP($B99,params!#REF!,params!$W$27:$W$37,0))</f>
        <v>#REF!</v>
      </c>
      <c r="H99" s="113" t="e">
        <f>1000*H23*_xlfn.XLOOKUP($B99,params!#REF!,params!#REF!,0)*(1+_xlfn.XLOOKUP($B99,params!#REF!,params!$W$27:$W$37,0))</f>
        <v>#REF!</v>
      </c>
      <c r="I99" s="113" t="e">
        <f>1000*I23*_xlfn.XLOOKUP($B99,params!#REF!,params!#REF!,0)*(1+_xlfn.XLOOKUP($B99,params!#REF!,params!$W$27:$W$37,0))</f>
        <v>#REF!</v>
      </c>
      <c r="J99" s="113" t="e">
        <f>1000*J23*_xlfn.XLOOKUP($B99,params!#REF!,params!#REF!,0)*(1+_xlfn.XLOOKUP($B99,params!#REF!,params!$W$27:$W$37,0))</f>
        <v>#REF!</v>
      </c>
      <c r="K99" s="113" t="e">
        <f>1000*K23*_xlfn.XLOOKUP($B99,params!#REF!,params!#REF!,0)*(1+_xlfn.XLOOKUP($B99,params!#REF!,params!$W$27:$W$37,0))</f>
        <v>#REF!</v>
      </c>
      <c r="L99" s="113" t="e">
        <f>1000*L23*_xlfn.XLOOKUP($B99,params!#REF!,params!#REF!,0)*(1+_xlfn.XLOOKUP($B99,params!#REF!,params!$W$27:$W$37,0))</f>
        <v>#REF!</v>
      </c>
      <c r="M99" s="113" t="e">
        <f>1000*M23*_xlfn.XLOOKUP($B99,params!#REF!,params!#REF!,0)*(1+_xlfn.XLOOKUP($B99,params!#REF!,params!$W$27:$W$37,0))</f>
        <v>#REF!</v>
      </c>
      <c r="N99" s="113" t="e">
        <f>1000*N23*_xlfn.XLOOKUP($B99,params!#REF!,params!#REF!,0)*(1+_xlfn.XLOOKUP($B99,params!#REF!,params!$W$27:$W$37,0))</f>
        <v>#REF!</v>
      </c>
      <c r="O99" s="113" t="e">
        <f>1000*O23*_xlfn.XLOOKUP($B99,params!#REF!,params!#REF!,0)*(1+_xlfn.XLOOKUP($B99,params!#REF!,params!$W$27:$W$37,0))</f>
        <v>#REF!</v>
      </c>
      <c r="P99" s="113" t="e">
        <f>1000*P23*_xlfn.XLOOKUP($B99,params!#REF!,params!#REF!,0)*(1+_xlfn.XLOOKUP($B99,params!#REF!,params!$W$27:$W$37,0))</f>
        <v>#REF!</v>
      </c>
      <c r="Q99" s="113" t="e">
        <f>1000*Q23*_xlfn.XLOOKUP($B99,params!#REF!,params!#REF!,0)*(1+_xlfn.XLOOKUP($B99,params!#REF!,params!$W$27:$W$37,0))</f>
        <v>#REF!</v>
      </c>
      <c r="R99" s="113" t="e">
        <f>1000*R23*_xlfn.XLOOKUP($B99,params!#REF!,params!#REF!,0)*(1+_xlfn.XLOOKUP($B99,params!#REF!,params!$W$27:$W$37,0))</f>
        <v>#REF!</v>
      </c>
      <c r="S99" s="113" t="e">
        <f>1000*S23*_xlfn.XLOOKUP($B99,params!#REF!,params!#REF!,0)*(1+_xlfn.XLOOKUP($B99,params!#REF!,params!$W$27:$W$37,0))</f>
        <v>#REF!</v>
      </c>
      <c r="T99" s="113" t="e">
        <f>1000*T23*_xlfn.XLOOKUP($B99,params!#REF!,params!#REF!,0)*(1+_xlfn.XLOOKUP($B99,params!#REF!,params!$W$27:$W$37,0))</f>
        <v>#REF!</v>
      </c>
      <c r="U99" s="113" t="e">
        <f>1000*U23*_xlfn.XLOOKUP($B99,params!#REF!,params!#REF!,0)*(1+_xlfn.XLOOKUP($B99,params!#REF!,params!$W$27:$W$37,0))</f>
        <v>#REF!</v>
      </c>
      <c r="V99" s="113" t="e">
        <f>1000*V23*_xlfn.XLOOKUP($B99,params!#REF!,params!#REF!,0)*(1+_xlfn.XLOOKUP($B99,params!#REF!,params!$W$27:$W$37,0))</f>
        <v>#REF!</v>
      </c>
      <c r="W99" s="113" t="e">
        <f>1000*W23*_xlfn.XLOOKUP($B99,params!#REF!,params!#REF!,0)*(1+_xlfn.XLOOKUP($B99,params!#REF!,params!$W$27:$W$37,0))</f>
        <v>#REF!</v>
      </c>
      <c r="X99" s="113" t="e">
        <f>1000*X23*_xlfn.XLOOKUP($B99,params!#REF!,params!#REF!,0)*(1+_xlfn.XLOOKUP($B99,params!#REF!,params!$W$27:$W$37,0))</f>
        <v>#REF!</v>
      </c>
      <c r="Y99" s="113" t="e">
        <f>1000*Y23*_xlfn.XLOOKUP($B99,params!#REF!,params!#REF!,0)*(1+_xlfn.XLOOKUP($B99,params!#REF!,params!$W$27:$W$37,0))</f>
        <v>#REF!</v>
      </c>
      <c r="Z99" s="113" t="e">
        <f>1000*Z23*_xlfn.XLOOKUP($B99,params!#REF!,params!#REF!,0)*(1+_xlfn.XLOOKUP($B99,params!#REF!,params!$W$27:$W$37,0))</f>
        <v>#REF!</v>
      </c>
      <c r="AA99" s="113" t="e">
        <f>1000*AA23*_xlfn.XLOOKUP($B99,params!#REF!,params!#REF!,0)*(1+_xlfn.XLOOKUP($B99,params!#REF!,params!$W$27:$W$37,0))</f>
        <v>#REF!</v>
      </c>
      <c r="AB99" s="113" t="e">
        <f>1000*AB23*_xlfn.XLOOKUP($B99,params!#REF!,params!#REF!,0)*(1+_xlfn.XLOOKUP($B99,params!#REF!,params!$W$27:$W$37,0))</f>
        <v>#REF!</v>
      </c>
      <c r="AC99" s="113" t="e">
        <f>1000*AC23*_xlfn.XLOOKUP($B99,params!#REF!,params!#REF!,0)*(1+_xlfn.XLOOKUP($B99,params!#REF!,params!$W$27:$W$37,0))</f>
        <v>#REF!</v>
      </c>
      <c r="AD99" s="113" t="e">
        <f>1000*AD23*_xlfn.XLOOKUP($B99,params!#REF!,params!#REF!,0)*(1+_xlfn.XLOOKUP($B99,params!#REF!,params!$W$27:$W$37,0))</f>
        <v>#REF!</v>
      </c>
      <c r="AE99" s="113" t="e">
        <f>1000*AE23*_xlfn.XLOOKUP($B99,params!#REF!,params!#REF!,0)*(1+_xlfn.XLOOKUP($B99,params!#REF!,params!$W$27:$W$37,0))</f>
        <v>#REF!</v>
      </c>
      <c r="AF99" s="113" t="e">
        <f>1000*AF23*_xlfn.XLOOKUP($B99,params!#REF!,params!#REF!,0)*(1+_xlfn.XLOOKUP($B99,params!#REF!,params!$W$27:$W$37,0))</f>
        <v>#REF!</v>
      </c>
      <c r="AG99" s="113" t="e">
        <f>1000*AG23*_xlfn.XLOOKUP($B99,params!#REF!,params!#REF!,0)*(1+_xlfn.XLOOKUP($B99,params!#REF!,params!$W$27:$W$37,0))</f>
        <v>#REF!</v>
      </c>
      <c r="AH99" s="113" t="e">
        <f>1000*AH23*_xlfn.XLOOKUP($B99,params!#REF!,params!#REF!,0)*(1+_xlfn.XLOOKUP($B99,params!#REF!,params!$W$27:$W$37,0))</f>
        <v>#REF!</v>
      </c>
      <c r="AI99" s="113" t="e">
        <f>1000*AI23*_xlfn.XLOOKUP($B99,params!#REF!,params!#REF!,0)*(1+_xlfn.XLOOKUP($B99,params!#REF!,params!$W$27:$W$37,0))</f>
        <v>#REF!</v>
      </c>
      <c r="AJ99" s="114" t="e">
        <f>1000*AJ23*_xlfn.XLOOKUP($B99,params!#REF!,params!#REF!,0)*(1+_xlfn.XLOOKUP($B99,params!#REF!,params!$W$27:$W$37,0))</f>
        <v>#REF!</v>
      </c>
      <c r="AK99" s="55" t="e">
        <f t="shared" si="33"/>
        <v>#REF!</v>
      </c>
    </row>
    <row r="100" spans="1:37">
      <c r="A100" s="29" t="s">
        <v>19</v>
      </c>
      <c r="B100" s="29" t="s">
        <v>36</v>
      </c>
      <c r="C100" s="88" t="s">
        <v>53</v>
      </c>
      <c r="D100" s="89" t="s">
        <v>64</v>
      </c>
      <c r="E100" s="107" t="e">
        <f>1000*E24*_xlfn.XLOOKUP($B100,params!#REF!,params!#REF!,0)*(1+_xlfn.XLOOKUP($B100,params!#REF!,params!$W$27:$W$37,0))</f>
        <v>#REF!</v>
      </c>
      <c r="F100" s="108" t="e">
        <f>1000*F24*_xlfn.XLOOKUP($B100,params!#REF!,params!#REF!,0)*(1+_xlfn.XLOOKUP($B100,params!#REF!,params!$W$27:$W$37,0))</f>
        <v>#REF!</v>
      </c>
      <c r="G100" s="108" t="e">
        <f>1000*G24*_xlfn.XLOOKUP($B100,params!#REF!,params!#REF!,0)*(1+_xlfn.XLOOKUP($B100,params!#REF!,params!$W$27:$W$37,0))</f>
        <v>#REF!</v>
      </c>
      <c r="H100" s="108" t="e">
        <f>1000*H24*_xlfn.XLOOKUP($B100,params!#REF!,params!#REF!,0)*(1+_xlfn.XLOOKUP($B100,params!#REF!,params!$W$27:$W$37,0))</f>
        <v>#REF!</v>
      </c>
      <c r="I100" s="108" t="e">
        <f>1000*I24*_xlfn.XLOOKUP($B100,params!#REF!,params!#REF!,0)*(1+_xlfn.XLOOKUP($B100,params!#REF!,params!$W$27:$W$37,0))</f>
        <v>#REF!</v>
      </c>
      <c r="J100" s="108" t="e">
        <f>1000*J24*_xlfn.XLOOKUP($B100,params!#REF!,params!#REF!,0)*(1+_xlfn.XLOOKUP($B100,params!#REF!,params!$W$27:$W$37,0))</f>
        <v>#REF!</v>
      </c>
      <c r="K100" s="108" t="e">
        <f>1000*K24*_xlfn.XLOOKUP($B100,params!#REF!,params!#REF!,0)*(1+_xlfn.XLOOKUP($B100,params!#REF!,params!$W$27:$W$37,0))</f>
        <v>#REF!</v>
      </c>
      <c r="L100" s="108" t="e">
        <f>1000*L24*_xlfn.XLOOKUP($B100,params!#REF!,params!#REF!,0)*(1+_xlfn.XLOOKUP($B100,params!#REF!,params!$W$27:$W$37,0))</f>
        <v>#REF!</v>
      </c>
      <c r="M100" s="108" t="e">
        <f>1000*M24*_xlfn.XLOOKUP($B100,params!#REF!,params!#REF!,0)*(1+_xlfn.XLOOKUP($B100,params!#REF!,params!$W$27:$W$37,0))</f>
        <v>#REF!</v>
      </c>
      <c r="N100" s="108" t="e">
        <f>1000*N24*_xlfn.XLOOKUP($B100,params!#REF!,params!#REF!,0)*(1+_xlfn.XLOOKUP($B100,params!#REF!,params!$W$27:$W$37,0))</f>
        <v>#REF!</v>
      </c>
      <c r="O100" s="108" t="e">
        <f>1000*O24*_xlfn.XLOOKUP($B100,params!#REF!,params!#REF!,0)*(1+_xlfn.XLOOKUP($B100,params!#REF!,params!$W$27:$W$37,0))</f>
        <v>#REF!</v>
      </c>
      <c r="P100" s="108" t="e">
        <f>1000*P24*_xlfn.XLOOKUP($B100,params!#REF!,params!#REF!,0)*(1+_xlfn.XLOOKUP($B100,params!#REF!,params!$W$27:$W$37,0))</f>
        <v>#REF!</v>
      </c>
      <c r="Q100" s="108" t="e">
        <f>1000*Q24*_xlfn.XLOOKUP($B100,params!#REF!,params!#REF!,0)*(1+_xlfn.XLOOKUP($B100,params!#REF!,params!$W$27:$W$37,0))</f>
        <v>#REF!</v>
      </c>
      <c r="R100" s="108" t="e">
        <f>1000*R24*_xlfn.XLOOKUP($B100,params!#REF!,params!#REF!,0)*(1+_xlfn.XLOOKUP($B100,params!#REF!,params!$W$27:$W$37,0))</f>
        <v>#REF!</v>
      </c>
      <c r="S100" s="108" t="e">
        <f>1000*S24*_xlfn.XLOOKUP($B100,params!#REF!,params!#REF!,0)*(1+_xlfn.XLOOKUP($B100,params!#REF!,params!$W$27:$W$37,0))</f>
        <v>#REF!</v>
      </c>
      <c r="T100" s="108" t="e">
        <f>1000*T24*_xlfn.XLOOKUP($B100,params!#REF!,params!#REF!,0)*(1+_xlfn.XLOOKUP($B100,params!#REF!,params!$W$27:$W$37,0))</f>
        <v>#REF!</v>
      </c>
      <c r="U100" s="108" t="e">
        <f>1000*U24*_xlfn.XLOOKUP($B100,params!#REF!,params!#REF!,0)*(1+_xlfn.XLOOKUP($B100,params!#REF!,params!$W$27:$W$37,0))</f>
        <v>#REF!</v>
      </c>
      <c r="V100" s="108" t="e">
        <f>1000*V24*_xlfn.XLOOKUP($B100,params!#REF!,params!#REF!,0)*(1+_xlfn.XLOOKUP($B100,params!#REF!,params!$W$27:$W$37,0))</f>
        <v>#REF!</v>
      </c>
      <c r="W100" s="108" t="e">
        <f>1000*W24*_xlfn.XLOOKUP($B100,params!#REF!,params!#REF!,0)*(1+_xlfn.XLOOKUP($B100,params!#REF!,params!$W$27:$W$37,0))</f>
        <v>#REF!</v>
      </c>
      <c r="X100" s="108" t="e">
        <f>1000*X24*_xlfn.XLOOKUP($B100,params!#REF!,params!#REF!,0)*(1+_xlfn.XLOOKUP($B100,params!#REF!,params!$W$27:$W$37,0))</f>
        <v>#REF!</v>
      </c>
      <c r="Y100" s="108" t="e">
        <f>1000*Y24*_xlfn.XLOOKUP($B100,params!#REF!,params!#REF!,0)*(1+_xlfn.XLOOKUP($B100,params!#REF!,params!$W$27:$W$37,0))</f>
        <v>#REF!</v>
      </c>
      <c r="Z100" s="108" t="e">
        <f>1000*Z24*_xlfn.XLOOKUP($B100,params!#REF!,params!#REF!,0)*(1+_xlfn.XLOOKUP($B100,params!#REF!,params!$W$27:$W$37,0))</f>
        <v>#REF!</v>
      </c>
      <c r="AA100" s="108" t="e">
        <f>1000*AA24*_xlfn.XLOOKUP($B100,params!#REF!,params!#REF!,0)*(1+_xlfn.XLOOKUP($B100,params!#REF!,params!$W$27:$W$37,0))</f>
        <v>#REF!</v>
      </c>
      <c r="AB100" s="108" t="e">
        <f>1000*AB24*_xlfn.XLOOKUP($B100,params!#REF!,params!#REF!,0)*(1+_xlfn.XLOOKUP($B100,params!#REF!,params!$W$27:$W$37,0))</f>
        <v>#REF!</v>
      </c>
      <c r="AC100" s="108" t="e">
        <f>1000*AC24*_xlfn.XLOOKUP($B100,params!#REF!,params!#REF!,0)*(1+_xlfn.XLOOKUP($B100,params!#REF!,params!$W$27:$W$37,0))</f>
        <v>#REF!</v>
      </c>
      <c r="AD100" s="108" t="e">
        <f>1000*AD24*_xlfn.XLOOKUP($B100,params!#REF!,params!#REF!,0)*(1+_xlfn.XLOOKUP($B100,params!#REF!,params!$W$27:$W$37,0))</f>
        <v>#REF!</v>
      </c>
      <c r="AE100" s="108" t="e">
        <f>1000*AE24*_xlfn.XLOOKUP($B100,params!#REF!,params!#REF!,0)*(1+_xlfn.XLOOKUP($B100,params!#REF!,params!$W$27:$W$37,0))</f>
        <v>#REF!</v>
      </c>
      <c r="AF100" s="108" t="e">
        <f>1000*AF24*_xlfn.XLOOKUP($B100,params!#REF!,params!#REF!,0)*(1+_xlfn.XLOOKUP($B100,params!#REF!,params!$W$27:$W$37,0))</f>
        <v>#REF!</v>
      </c>
      <c r="AG100" s="108" t="e">
        <f>1000*AG24*_xlfn.XLOOKUP($B100,params!#REF!,params!#REF!,0)*(1+_xlfn.XLOOKUP($B100,params!#REF!,params!$W$27:$W$37,0))</f>
        <v>#REF!</v>
      </c>
      <c r="AH100" s="108" t="e">
        <f>1000*AH24*_xlfn.XLOOKUP($B100,params!#REF!,params!#REF!,0)*(1+_xlfn.XLOOKUP($B100,params!#REF!,params!$W$27:$W$37,0))</f>
        <v>#REF!</v>
      </c>
      <c r="AI100" s="108" t="e">
        <f>1000*AI24*_xlfn.XLOOKUP($B100,params!#REF!,params!#REF!,0)*(1+_xlfn.XLOOKUP($B100,params!#REF!,params!$W$27:$W$37,0))</f>
        <v>#REF!</v>
      </c>
      <c r="AJ100" s="109" t="e">
        <f>1000*AJ24*_xlfn.XLOOKUP($B100,params!#REF!,params!#REF!,0)*(1+_xlfn.XLOOKUP($B100,params!#REF!,params!$W$27:$W$37,0))</f>
        <v>#REF!</v>
      </c>
      <c r="AK100" s="55" t="e">
        <f t="shared" si="33"/>
        <v>#REF!</v>
      </c>
    </row>
    <row r="101" spans="1:37">
      <c r="A101" s="4" t="s">
        <v>19</v>
      </c>
      <c r="B101" s="4" t="s">
        <v>8</v>
      </c>
      <c r="C101" s="4" t="s">
        <v>53</v>
      </c>
      <c r="D101" s="91" t="s">
        <v>64</v>
      </c>
      <c r="E101" s="110" t="e">
        <f>1000*E25*_xlfn.XLOOKUP($B101,params!#REF!,params!#REF!,0)*(1+_xlfn.XLOOKUP($B101,params!#REF!,params!$W$27:$W$37,0))</f>
        <v>#REF!</v>
      </c>
      <c r="F101" s="18" t="e">
        <f>1000*F25*_xlfn.XLOOKUP($B101,params!#REF!,params!#REF!,0)*(1+_xlfn.XLOOKUP($B101,params!#REF!,params!$W$27:$W$37,0))</f>
        <v>#REF!</v>
      </c>
      <c r="G101" s="18" t="e">
        <f>1000*G25*_xlfn.XLOOKUP($B101,params!#REF!,params!#REF!,0)*(1+_xlfn.XLOOKUP($B101,params!#REF!,params!$W$27:$W$37,0))</f>
        <v>#REF!</v>
      </c>
      <c r="H101" s="18" t="e">
        <f>1000*H25*_xlfn.XLOOKUP($B101,params!#REF!,params!#REF!,0)*(1+_xlfn.XLOOKUP($B101,params!#REF!,params!$W$27:$W$37,0))</f>
        <v>#REF!</v>
      </c>
      <c r="I101" s="18" t="e">
        <f>1000*I25*_xlfn.XLOOKUP($B101,params!#REF!,params!#REF!,0)*(1+_xlfn.XLOOKUP($B101,params!#REF!,params!$W$27:$W$37,0))</f>
        <v>#REF!</v>
      </c>
      <c r="J101" s="18" t="e">
        <f>1000*J25*_xlfn.XLOOKUP($B101,params!#REF!,params!#REF!,0)*(1+_xlfn.XLOOKUP($B101,params!#REF!,params!$W$27:$W$37,0))</f>
        <v>#REF!</v>
      </c>
      <c r="K101" s="18" t="e">
        <f>1000*K25*_xlfn.XLOOKUP($B101,params!#REF!,params!#REF!,0)*(1+_xlfn.XLOOKUP($B101,params!#REF!,params!$W$27:$W$37,0))</f>
        <v>#REF!</v>
      </c>
      <c r="L101" s="18" t="e">
        <f>1000*L25*_xlfn.XLOOKUP($B101,params!#REF!,params!#REF!,0)*(1+_xlfn.XLOOKUP($B101,params!#REF!,params!$W$27:$W$37,0))</f>
        <v>#REF!</v>
      </c>
      <c r="M101" s="18" t="e">
        <f>1000*M25*_xlfn.XLOOKUP($B101,params!#REF!,params!#REF!,0)*(1+_xlfn.XLOOKUP($B101,params!#REF!,params!$W$27:$W$37,0))</f>
        <v>#REF!</v>
      </c>
      <c r="N101" s="18" t="e">
        <f>1000*N25*_xlfn.XLOOKUP($B101,params!#REF!,params!#REF!,0)*(1+_xlfn.XLOOKUP($B101,params!#REF!,params!$W$27:$W$37,0))</f>
        <v>#REF!</v>
      </c>
      <c r="O101" s="18" t="e">
        <f>1000*O25*_xlfn.XLOOKUP($B101,params!#REF!,params!#REF!,0)*(1+_xlfn.XLOOKUP($B101,params!#REF!,params!$W$27:$W$37,0))</f>
        <v>#REF!</v>
      </c>
      <c r="P101" s="18" t="e">
        <f>1000*P25*_xlfn.XLOOKUP($B101,params!#REF!,params!#REF!,0)*(1+_xlfn.XLOOKUP($B101,params!#REF!,params!$W$27:$W$37,0))</f>
        <v>#REF!</v>
      </c>
      <c r="Q101" s="18" t="e">
        <f>1000*Q25*_xlfn.XLOOKUP($B101,params!#REF!,params!#REF!,0)*(1+_xlfn.XLOOKUP($B101,params!#REF!,params!$W$27:$W$37,0))</f>
        <v>#REF!</v>
      </c>
      <c r="R101" s="18" t="e">
        <f>1000*R25*_xlfn.XLOOKUP($B101,params!#REF!,params!#REF!,0)*(1+_xlfn.XLOOKUP($B101,params!#REF!,params!$W$27:$W$37,0))</f>
        <v>#REF!</v>
      </c>
      <c r="S101" s="18" t="e">
        <f>1000*S25*_xlfn.XLOOKUP($B101,params!#REF!,params!#REF!,0)*(1+_xlfn.XLOOKUP($B101,params!#REF!,params!$W$27:$W$37,0))</f>
        <v>#REF!</v>
      </c>
      <c r="T101" s="18" t="e">
        <f>1000*T25*_xlfn.XLOOKUP($B101,params!#REF!,params!#REF!,0)*(1+_xlfn.XLOOKUP($B101,params!#REF!,params!$W$27:$W$37,0))</f>
        <v>#REF!</v>
      </c>
      <c r="U101" s="18" t="e">
        <f>1000*U25*_xlfn.XLOOKUP($B101,params!#REF!,params!#REF!,0)*(1+_xlfn.XLOOKUP($B101,params!#REF!,params!$W$27:$W$37,0))</f>
        <v>#REF!</v>
      </c>
      <c r="V101" s="18" t="e">
        <f>1000*V25*_xlfn.XLOOKUP($B101,params!#REF!,params!#REF!,0)*(1+_xlfn.XLOOKUP($B101,params!#REF!,params!$W$27:$W$37,0))</f>
        <v>#REF!</v>
      </c>
      <c r="W101" s="18" t="e">
        <f>1000*W25*_xlfn.XLOOKUP($B101,params!#REF!,params!#REF!,0)*(1+_xlfn.XLOOKUP($B101,params!#REF!,params!$W$27:$W$37,0))</f>
        <v>#REF!</v>
      </c>
      <c r="X101" s="18" t="e">
        <f>1000*X25*_xlfn.XLOOKUP($B101,params!#REF!,params!#REF!,0)*(1+_xlfn.XLOOKUP($B101,params!#REF!,params!$W$27:$W$37,0))</f>
        <v>#REF!</v>
      </c>
      <c r="Y101" s="18" t="e">
        <f>1000*Y25*_xlfn.XLOOKUP($B101,params!#REF!,params!#REF!,0)*(1+_xlfn.XLOOKUP($B101,params!#REF!,params!$W$27:$W$37,0))</f>
        <v>#REF!</v>
      </c>
      <c r="Z101" s="18" t="e">
        <f>1000*Z25*_xlfn.XLOOKUP($B101,params!#REF!,params!#REF!,0)*(1+_xlfn.XLOOKUP($B101,params!#REF!,params!$W$27:$W$37,0))</f>
        <v>#REF!</v>
      </c>
      <c r="AA101" s="18" t="e">
        <f>1000*AA25*_xlfn.XLOOKUP($B101,params!#REF!,params!#REF!,0)*(1+_xlfn.XLOOKUP($B101,params!#REF!,params!$W$27:$W$37,0))</f>
        <v>#REF!</v>
      </c>
      <c r="AB101" s="18" t="e">
        <f>1000*AB25*_xlfn.XLOOKUP($B101,params!#REF!,params!#REF!,0)*(1+_xlfn.XLOOKUP($B101,params!#REF!,params!$W$27:$W$37,0))</f>
        <v>#REF!</v>
      </c>
      <c r="AC101" s="18" t="e">
        <f>1000*AC25*_xlfn.XLOOKUP($B101,params!#REF!,params!#REF!,0)*(1+_xlfn.XLOOKUP($B101,params!#REF!,params!$W$27:$W$37,0))</f>
        <v>#REF!</v>
      </c>
      <c r="AD101" s="18" t="e">
        <f>1000*AD25*_xlfn.XLOOKUP($B101,params!#REF!,params!#REF!,0)*(1+_xlfn.XLOOKUP($B101,params!#REF!,params!$W$27:$W$37,0))</f>
        <v>#REF!</v>
      </c>
      <c r="AE101" s="18" t="e">
        <f>1000*AE25*_xlfn.XLOOKUP($B101,params!#REF!,params!#REF!,0)*(1+_xlfn.XLOOKUP($B101,params!#REF!,params!$W$27:$W$37,0))</f>
        <v>#REF!</v>
      </c>
      <c r="AF101" s="18" t="e">
        <f>1000*AF25*_xlfn.XLOOKUP($B101,params!#REF!,params!#REF!,0)*(1+_xlfn.XLOOKUP($B101,params!#REF!,params!$W$27:$W$37,0))</f>
        <v>#REF!</v>
      </c>
      <c r="AG101" s="18" t="e">
        <f>1000*AG25*_xlfn.XLOOKUP($B101,params!#REF!,params!#REF!,0)*(1+_xlfn.XLOOKUP($B101,params!#REF!,params!$W$27:$W$37,0))</f>
        <v>#REF!</v>
      </c>
      <c r="AH101" s="18" t="e">
        <f>1000*AH25*_xlfn.XLOOKUP($B101,params!#REF!,params!#REF!,0)*(1+_xlfn.XLOOKUP($B101,params!#REF!,params!$W$27:$W$37,0))</f>
        <v>#REF!</v>
      </c>
      <c r="AI101" s="18" t="e">
        <f>1000*AI25*_xlfn.XLOOKUP($B101,params!#REF!,params!#REF!,0)*(1+_xlfn.XLOOKUP($B101,params!#REF!,params!$W$27:$W$37,0))</f>
        <v>#REF!</v>
      </c>
      <c r="AJ101" s="111" t="e">
        <f>1000*AJ25*_xlfn.XLOOKUP($B101,params!#REF!,params!#REF!,0)*(1+_xlfn.XLOOKUP($B101,params!#REF!,params!$W$27:$W$37,0))</f>
        <v>#REF!</v>
      </c>
      <c r="AK101" s="55" t="e">
        <f t="shared" si="33"/>
        <v>#REF!</v>
      </c>
    </row>
    <row r="102" spans="1:37">
      <c r="A102" s="4" t="s">
        <v>19</v>
      </c>
      <c r="B102" s="4" t="s">
        <v>37</v>
      </c>
      <c r="C102" s="4" t="s">
        <v>53</v>
      </c>
      <c r="D102" s="91" t="s">
        <v>64</v>
      </c>
      <c r="E102" s="110" t="e">
        <f>1000*E26*_xlfn.XLOOKUP($B102,params!#REF!,params!#REF!,0)*(1+_xlfn.XLOOKUP($B102,params!#REF!,params!$W$27:$W$37,0))</f>
        <v>#REF!</v>
      </c>
      <c r="F102" s="18" t="e">
        <f>1000*F26*_xlfn.XLOOKUP($B102,params!#REF!,params!#REF!,0)*(1+_xlfn.XLOOKUP($B102,params!#REF!,params!$W$27:$W$37,0))</f>
        <v>#REF!</v>
      </c>
      <c r="G102" s="18" t="e">
        <f>1000*G26*_xlfn.XLOOKUP($B102,params!#REF!,params!#REF!,0)*(1+_xlfn.XLOOKUP($B102,params!#REF!,params!$W$27:$W$37,0))</f>
        <v>#REF!</v>
      </c>
      <c r="H102" s="18" t="e">
        <f>1000*H26*_xlfn.XLOOKUP($B102,params!#REF!,params!#REF!,0)*(1+_xlfn.XLOOKUP($B102,params!#REF!,params!$W$27:$W$37,0))</f>
        <v>#REF!</v>
      </c>
      <c r="I102" s="18" t="e">
        <f>1000*I26*_xlfn.XLOOKUP($B102,params!#REF!,params!#REF!,0)*(1+_xlfn.XLOOKUP($B102,params!#REF!,params!$W$27:$W$37,0))</f>
        <v>#REF!</v>
      </c>
      <c r="J102" s="18" t="e">
        <f>1000*J26*_xlfn.XLOOKUP($B102,params!#REF!,params!#REF!,0)*(1+_xlfn.XLOOKUP($B102,params!#REF!,params!$W$27:$W$37,0))</f>
        <v>#REF!</v>
      </c>
      <c r="K102" s="18" t="e">
        <f>1000*K26*_xlfn.XLOOKUP($B102,params!#REF!,params!#REF!,0)*(1+_xlfn.XLOOKUP($B102,params!#REF!,params!$W$27:$W$37,0))</f>
        <v>#REF!</v>
      </c>
      <c r="L102" s="18" t="e">
        <f>1000*L26*_xlfn.XLOOKUP($B102,params!#REF!,params!#REF!,0)*(1+_xlfn.XLOOKUP($B102,params!#REF!,params!$W$27:$W$37,0))</f>
        <v>#REF!</v>
      </c>
      <c r="M102" s="18" t="e">
        <f>1000*M26*_xlfn.XLOOKUP($B102,params!#REF!,params!#REF!,0)*(1+_xlfn.XLOOKUP($B102,params!#REF!,params!$W$27:$W$37,0))</f>
        <v>#REF!</v>
      </c>
      <c r="N102" s="18" t="e">
        <f>1000*N26*_xlfn.XLOOKUP($B102,params!#REF!,params!#REF!,0)*(1+_xlfn.XLOOKUP($B102,params!#REF!,params!$W$27:$W$37,0))</f>
        <v>#REF!</v>
      </c>
      <c r="O102" s="18" t="e">
        <f>1000*O26*_xlfn.XLOOKUP($B102,params!#REF!,params!#REF!,0)*(1+_xlfn.XLOOKUP($B102,params!#REF!,params!$W$27:$W$37,0))</f>
        <v>#REF!</v>
      </c>
      <c r="P102" s="18" t="e">
        <f>1000*P26*_xlfn.XLOOKUP($B102,params!#REF!,params!#REF!,0)*(1+_xlfn.XLOOKUP($B102,params!#REF!,params!$W$27:$W$37,0))</f>
        <v>#REF!</v>
      </c>
      <c r="Q102" s="18" t="e">
        <f>1000*Q26*_xlfn.XLOOKUP($B102,params!#REF!,params!#REF!,0)*(1+_xlfn.XLOOKUP($B102,params!#REF!,params!$W$27:$W$37,0))</f>
        <v>#REF!</v>
      </c>
      <c r="R102" s="18" t="e">
        <f>1000*R26*_xlfn.XLOOKUP($B102,params!#REF!,params!#REF!,0)*(1+_xlfn.XLOOKUP($B102,params!#REF!,params!$W$27:$W$37,0))</f>
        <v>#REF!</v>
      </c>
      <c r="S102" s="18" t="e">
        <f>1000*S26*_xlfn.XLOOKUP($B102,params!#REF!,params!#REF!,0)*(1+_xlfn.XLOOKUP($B102,params!#REF!,params!$W$27:$W$37,0))</f>
        <v>#REF!</v>
      </c>
      <c r="T102" s="18" t="e">
        <f>1000*T26*_xlfn.XLOOKUP($B102,params!#REF!,params!#REF!,0)*(1+_xlfn.XLOOKUP($B102,params!#REF!,params!$W$27:$W$37,0))</f>
        <v>#REF!</v>
      </c>
      <c r="U102" s="18" t="e">
        <f>1000*U26*_xlfn.XLOOKUP($B102,params!#REF!,params!#REF!,0)*(1+_xlfn.XLOOKUP($B102,params!#REF!,params!$W$27:$W$37,0))</f>
        <v>#REF!</v>
      </c>
      <c r="V102" s="18" t="e">
        <f>1000*V26*_xlfn.XLOOKUP($B102,params!#REF!,params!#REF!,0)*(1+_xlfn.XLOOKUP($B102,params!#REF!,params!$W$27:$W$37,0))</f>
        <v>#REF!</v>
      </c>
      <c r="W102" s="18" t="e">
        <f>1000*W26*_xlfn.XLOOKUP($B102,params!#REF!,params!#REF!,0)*(1+_xlfn.XLOOKUP($B102,params!#REF!,params!$W$27:$W$37,0))</f>
        <v>#REF!</v>
      </c>
      <c r="X102" s="18" t="e">
        <f>1000*X26*_xlfn.XLOOKUP($B102,params!#REF!,params!#REF!,0)*(1+_xlfn.XLOOKUP($B102,params!#REF!,params!$W$27:$W$37,0))</f>
        <v>#REF!</v>
      </c>
      <c r="Y102" s="18" t="e">
        <f>1000*Y26*_xlfn.XLOOKUP($B102,params!#REF!,params!#REF!,0)*(1+_xlfn.XLOOKUP($B102,params!#REF!,params!$W$27:$W$37,0))</f>
        <v>#REF!</v>
      </c>
      <c r="Z102" s="18" t="e">
        <f>1000*Z26*_xlfn.XLOOKUP($B102,params!#REF!,params!#REF!,0)*(1+_xlfn.XLOOKUP($B102,params!#REF!,params!$W$27:$W$37,0))</f>
        <v>#REF!</v>
      </c>
      <c r="AA102" s="18" t="e">
        <f>1000*AA26*_xlfn.XLOOKUP($B102,params!#REF!,params!#REF!,0)*(1+_xlfn.XLOOKUP($B102,params!#REF!,params!$W$27:$W$37,0))</f>
        <v>#REF!</v>
      </c>
      <c r="AB102" s="18" t="e">
        <f>1000*AB26*_xlfn.XLOOKUP($B102,params!#REF!,params!#REF!,0)*(1+_xlfn.XLOOKUP($B102,params!#REF!,params!$W$27:$W$37,0))</f>
        <v>#REF!</v>
      </c>
      <c r="AC102" s="18" t="e">
        <f>1000*AC26*_xlfn.XLOOKUP($B102,params!#REF!,params!#REF!,0)*(1+_xlfn.XLOOKUP($B102,params!#REF!,params!$W$27:$W$37,0))</f>
        <v>#REF!</v>
      </c>
      <c r="AD102" s="18" t="e">
        <f>1000*AD26*_xlfn.XLOOKUP($B102,params!#REF!,params!#REF!,0)*(1+_xlfn.XLOOKUP($B102,params!#REF!,params!$W$27:$W$37,0))</f>
        <v>#REF!</v>
      </c>
      <c r="AE102" s="18" t="e">
        <f>1000*AE26*_xlfn.XLOOKUP($B102,params!#REF!,params!#REF!,0)*(1+_xlfn.XLOOKUP($B102,params!#REF!,params!$W$27:$W$37,0))</f>
        <v>#REF!</v>
      </c>
      <c r="AF102" s="18" t="e">
        <f>1000*AF26*_xlfn.XLOOKUP($B102,params!#REF!,params!#REF!,0)*(1+_xlfn.XLOOKUP($B102,params!#REF!,params!$W$27:$W$37,0))</f>
        <v>#REF!</v>
      </c>
      <c r="AG102" s="18" t="e">
        <f>1000*AG26*_xlfn.XLOOKUP($B102,params!#REF!,params!#REF!,0)*(1+_xlfn.XLOOKUP($B102,params!#REF!,params!$W$27:$W$37,0))</f>
        <v>#REF!</v>
      </c>
      <c r="AH102" s="18" t="e">
        <f>1000*AH26*_xlfn.XLOOKUP($B102,params!#REF!,params!#REF!,0)*(1+_xlfn.XLOOKUP($B102,params!#REF!,params!$W$27:$W$37,0))</f>
        <v>#REF!</v>
      </c>
      <c r="AI102" s="18" t="e">
        <f>1000*AI26*_xlfn.XLOOKUP($B102,params!#REF!,params!#REF!,0)*(1+_xlfn.XLOOKUP($B102,params!#REF!,params!$W$27:$W$37,0))</f>
        <v>#REF!</v>
      </c>
      <c r="AJ102" s="111" t="e">
        <f>1000*AJ26*_xlfn.XLOOKUP($B102,params!#REF!,params!#REF!,0)*(1+_xlfn.XLOOKUP($B102,params!#REF!,params!$W$27:$W$37,0))</f>
        <v>#REF!</v>
      </c>
      <c r="AK102" s="55" t="e">
        <f t="shared" si="33"/>
        <v>#REF!</v>
      </c>
    </row>
    <row r="103" spans="1:37">
      <c r="A103" s="4" t="s">
        <v>19</v>
      </c>
      <c r="B103" s="4" t="s">
        <v>10</v>
      </c>
      <c r="C103" s="4" t="s">
        <v>53</v>
      </c>
      <c r="D103" s="91" t="s">
        <v>64</v>
      </c>
      <c r="E103" s="110" t="e">
        <f>1000*E27*_xlfn.XLOOKUP($B103,params!#REF!,params!#REF!,0)*(1+_xlfn.XLOOKUP($B103,params!#REF!,params!$W$27:$W$37,0))</f>
        <v>#REF!</v>
      </c>
      <c r="F103" s="18" t="e">
        <f>1000*F27*_xlfn.XLOOKUP($B103,params!#REF!,params!#REF!,0)*(1+_xlfn.XLOOKUP($B103,params!#REF!,params!$W$27:$W$37,0))</f>
        <v>#REF!</v>
      </c>
      <c r="G103" s="18" t="e">
        <f>1000*G27*_xlfn.XLOOKUP($B103,params!#REF!,params!#REF!,0)*(1+_xlfn.XLOOKUP($B103,params!#REF!,params!$W$27:$W$37,0))</f>
        <v>#REF!</v>
      </c>
      <c r="H103" s="18" t="e">
        <f>1000*H27*_xlfn.XLOOKUP($B103,params!#REF!,params!#REF!,0)*(1+_xlfn.XLOOKUP($B103,params!#REF!,params!$W$27:$W$37,0))</f>
        <v>#REF!</v>
      </c>
      <c r="I103" s="18" t="e">
        <f>1000*I27*_xlfn.XLOOKUP($B103,params!#REF!,params!#REF!,0)*(1+_xlfn.XLOOKUP($B103,params!#REF!,params!$W$27:$W$37,0))</f>
        <v>#REF!</v>
      </c>
      <c r="J103" s="18" t="e">
        <f>1000*J27*_xlfn.XLOOKUP($B103,params!#REF!,params!#REF!,0)*(1+_xlfn.XLOOKUP($B103,params!#REF!,params!$W$27:$W$37,0))</f>
        <v>#REF!</v>
      </c>
      <c r="K103" s="18" t="e">
        <f>1000*K27*_xlfn.XLOOKUP($B103,params!#REF!,params!#REF!,0)*(1+_xlfn.XLOOKUP($B103,params!#REF!,params!$W$27:$W$37,0))</f>
        <v>#REF!</v>
      </c>
      <c r="L103" s="18" t="e">
        <f>1000*L27*_xlfn.XLOOKUP($B103,params!#REF!,params!#REF!,0)*(1+_xlfn.XLOOKUP($B103,params!#REF!,params!$W$27:$W$37,0))</f>
        <v>#REF!</v>
      </c>
      <c r="M103" s="18" t="e">
        <f>1000*M27*_xlfn.XLOOKUP($B103,params!#REF!,params!#REF!,0)*(1+_xlfn.XLOOKUP($B103,params!#REF!,params!$W$27:$W$37,0))</f>
        <v>#REF!</v>
      </c>
      <c r="N103" s="18" t="e">
        <f>1000*N27*_xlfn.XLOOKUP($B103,params!#REF!,params!#REF!,0)*(1+_xlfn.XLOOKUP($B103,params!#REF!,params!$W$27:$W$37,0))</f>
        <v>#REF!</v>
      </c>
      <c r="O103" s="18" t="e">
        <f>1000*O27*_xlfn.XLOOKUP($B103,params!#REF!,params!#REF!,0)*(1+_xlfn.XLOOKUP($B103,params!#REF!,params!$W$27:$W$37,0))</f>
        <v>#REF!</v>
      </c>
      <c r="P103" s="18" t="e">
        <f>1000*P27*_xlfn.XLOOKUP($B103,params!#REF!,params!#REF!,0)*(1+_xlfn.XLOOKUP($B103,params!#REF!,params!$W$27:$W$37,0))</f>
        <v>#REF!</v>
      </c>
      <c r="Q103" s="18" t="e">
        <f>1000*Q27*_xlfn.XLOOKUP($B103,params!#REF!,params!#REF!,0)*(1+_xlfn.XLOOKUP($B103,params!#REF!,params!$W$27:$W$37,0))</f>
        <v>#REF!</v>
      </c>
      <c r="R103" s="18" t="e">
        <f>1000*R27*_xlfn.XLOOKUP($B103,params!#REF!,params!#REF!,0)*(1+_xlfn.XLOOKUP($B103,params!#REF!,params!$W$27:$W$37,0))</f>
        <v>#REF!</v>
      </c>
      <c r="S103" s="18" t="e">
        <f>1000*S27*_xlfn.XLOOKUP($B103,params!#REF!,params!#REF!,0)*(1+_xlfn.XLOOKUP($B103,params!#REF!,params!$W$27:$W$37,0))</f>
        <v>#REF!</v>
      </c>
      <c r="T103" s="18" t="e">
        <f>1000*T27*_xlfn.XLOOKUP($B103,params!#REF!,params!#REF!,0)*(1+_xlfn.XLOOKUP($B103,params!#REF!,params!$W$27:$W$37,0))</f>
        <v>#REF!</v>
      </c>
      <c r="U103" s="18" t="e">
        <f>1000*U27*_xlfn.XLOOKUP($B103,params!#REF!,params!#REF!,0)*(1+_xlfn.XLOOKUP($B103,params!#REF!,params!$W$27:$W$37,0))</f>
        <v>#REF!</v>
      </c>
      <c r="V103" s="18" t="e">
        <f>1000*V27*_xlfn.XLOOKUP($B103,params!#REF!,params!#REF!,0)*(1+_xlfn.XLOOKUP($B103,params!#REF!,params!$W$27:$W$37,0))</f>
        <v>#REF!</v>
      </c>
      <c r="W103" s="18" t="e">
        <f>1000*W27*_xlfn.XLOOKUP($B103,params!#REF!,params!#REF!,0)*(1+_xlfn.XLOOKUP($B103,params!#REF!,params!$W$27:$W$37,0))</f>
        <v>#REF!</v>
      </c>
      <c r="X103" s="18" t="e">
        <f>1000*X27*_xlfn.XLOOKUP($B103,params!#REF!,params!#REF!,0)*(1+_xlfn.XLOOKUP($B103,params!#REF!,params!$W$27:$W$37,0))</f>
        <v>#REF!</v>
      </c>
      <c r="Y103" s="18" t="e">
        <f>1000*Y27*_xlfn.XLOOKUP($B103,params!#REF!,params!#REF!,0)*(1+_xlfn.XLOOKUP($B103,params!#REF!,params!$W$27:$W$37,0))</f>
        <v>#REF!</v>
      </c>
      <c r="Z103" s="18" t="e">
        <f>1000*Z27*_xlfn.XLOOKUP($B103,params!#REF!,params!#REF!,0)*(1+_xlfn.XLOOKUP($B103,params!#REF!,params!$W$27:$W$37,0))</f>
        <v>#REF!</v>
      </c>
      <c r="AA103" s="18" t="e">
        <f>1000*AA27*_xlfn.XLOOKUP($B103,params!#REF!,params!#REF!,0)*(1+_xlfn.XLOOKUP($B103,params!#REF!,params!$W$27:$W$37,0))</f>
        <v>#REF!</v>
      </c>
      <c r="AB103" s="18" t="e">
        <f>1000*AB27*_xlfn.XLOOKUP($B103,params!#REF!,params!#REF!,0)*(1+_xlfn.XLOOKUP($B103,params!#REF!,params!$W$27:$W$37,0))</f>
        <v>#REF!</v>
      </c>
      <c r="AC103" s="18" t="e">
        <f>1000*AC27*_xlfn.XLOOKUP($B103,params!#REF!,params!#REF!,0)*(1+_xlfn.XLOOKUP($B103,params!#REF!,params!$W$27:$W$37,0))</f>
        <v>#REF!</v>
      </c>
      <c r="AD103" s="18" t="e">
        <f>1000*AD27*_xlfn.XLOOKUP($B103,params!#REF!,params!#REF!,0)*(1+_xlfn.XLOOKUP($B103,params!#REF!,params!$W$27:$W$37,0))</f>
        <v>#REF!</v>
      </c>
      <c r="AE103" s="18" t="e">
        <f>1000*AE27*_xlfn.XLOOKUP($B103,params!#REF!,params!#REF!,0)*(1+_xlfn.XLOOKUP($B103,params!#REF!,params!$W$27:$W$37,0))</f>
        <v>#REF!</v>
      </c>
      <c r="AF103" s="18" t="e">
        <f>1000*AF27*_xlfn.XLOOKUP($B103,params!#REF!,params!#REF!,0)*(1+_xlfn.XLOOKUP($B103,params!#REF!,params!$W$27:$W$37,0))</f>
        <v>#REF!</v>
      </c>
      <c r="AG103" s="18" t="e">
        <f>1000*AG27*_xlfn.XLOOKUP($B103,params!#REF!,params!#REF!,0)*(1+_xlfn.XLOOKUP($B103,params!#REF!,params!$W$27:$W$37,0))</f>
        <v>#REF!</v>
      </c>
      <c r="AH103" s="18" t="e">
        <f>1000*AH27*_xlfn.XLOOKUP($B103,params!#REF!,params!#REF!,0)*(1+_xlfn.XLOOKUP($B103,params!#REF!,params!$W$27:$W$37,0))</f>
        <v>#REF!</v>
      </c>
      <c r="AI103" s="18" t="e">
        <f>1000*AI27*_xlfn.XLOOKUP($B103,params!#REF!,params!#REF!,0)*(1+_xlfn.XLOOKUP($B103,params!#REF!,params!$W$27:$W$37,0))</f>
        <v>#REF!</v>
      </c>
      <c r="AJ103" s="111" t="e">
        <f>1000*AJ27*_xlfn.XLOOKUP($B103,params!#REF!,params!#REF!,0)*(1+_xlfn.XLOOKUP($B103,params!#REF!,params!$W$27:$W$37,0))</f>
        <v>#REF!</v>
      </c>
      <c r="AK103" s="55" t="e">
        <f t="shared" si="33"/>
        <v>#REF!</v>
      </c>
    </row>
    <row r="104" spans="1:37">
      <c r="A104" s="4" t="s">
        <v>19</v>
      </c>
      <c r="B104" s="4" t="s">
        <v>11</v>
      </c>
      <c r="C104" s="4" t="s">
        <v>53</v>
      </c>
      <c r="D104" s="91" t="s">
        <v>64</v>
      </c>
      <c r="E104" s="110" t="e">
        <f>1000*E28*_xlfn.XLOOKUP($B104,params!#REF!,params!#REF!,0)*(1+_xlfn.XLOOKUP($B104,params!#REF!,params!$W$27:$W$37,0))</f>
        <v>#REF!</v>
      </c>
      <c r="F104" s="18" t="e">
        <f>1000*F28*_xlfn.XLOOKUP($B104,params!#REF!,params!#REF!,0)*(1+_xlfn.XLOOKUP($B104,params!#REF!,params!$W$27:$W$37,0))</f>
        <v>#REF!</v>
      </c>
      <c r="G104" s="18" t="e">
        <f>1000*G28*_xlfn.XLOOKUP($B104,params!#REF!,params!#REF!,0)*(1+_xlfn.XLOOKUP($B104,params!#REF!,params!$W$27:$W$37,0))</f>
        <v>#REF!</v>
      </c>
      <c r="H104" s="18" t="e">
        <f>1000*H28*_xlfn.XLOOKUP($B104,params!#REF!,params!#REF!,0)*(1+_xlfn.XLOOKUP($B104,params!#REF!,params!$W$27:$W$37,0))</f>
        <v>#REF!</v>
      </c>
      <c r="I104" s="18" t="e">
        <f>1000*I28*_xlfn.XLOOKUP($B104,params!#REF!,params!#REF!,0)*(1+_xlfn.XLOOKUP($B104,params!#REF!,params!$W$27:$W$37,0))</f>
        <v>#REF!</v>
      </c>
      <c r="J104" s="18" t="e">
        <f>1000*J28*_xlfn.XLOOKUP($B104,params!#REF!,params!#REF!,0)*(1+_xlfn.XLOOKUP($B104,params!#REF!,params!$W$27:$W$37,0))</f>
        <v>#REF!</v>
      </c>
      <c r="K104" s="18" t="e">
        <f>1000*K28*_xlfn.XLOOKUP($B104,params!#REF!,params!#REF!,0)*(1+_xlfn.XLOOKUP($B104,params!#REF!,params!$W$27:$W$37,0))</f>
        <v>#REF!</v>
      </c>
      <c r="L104" s="18" t="e">
        <f>1000*L28*_xlfn.XLOOKUP($B104,params!#REF!,params!#REF!,0)*(1+_xlfn.XLOOKUP($B104,params!#REF!,params!$W$27:$W$37,0))</f>
        <v>#REF!</v>
      </c>
      <c r="M104" s="18" t="e">
        <f>1000*M28*_xlfn.XLOOKUP($B104,params!#REF!,params!#REF!,0)*(1+_xlfn.XLOOKUP($B104,params!#REF!,params!$W$27:$W$37,0))</f>
        <v>#REF!</v>
      </c>
      <c r="N104" s="18" t="e">
        <f>1000*N28*_xlfn.XLOOKUP($B104,params!#REF!,params!#REF!,0)*(1+_xlfn.XLOOKUP($B104,params!#REF!,params!$W$27:$W$37,0))</f>
        <v>#REF!</v>
      </c>
      <c r="O104" s="18" t="e">
        <f>1000*O28*_xlfn.XLOOKUP($B104,params!#REF!,params!#REF!,0)*(1+_xlfn.XLOOKUP($B104,params!#REF!,params!$W$27:$W$37,0))</f>
        <v>#REF!</v>
      </c>
      <c r="P104" s="18" t="e">
        <f>1000*P28*_xlfn.XLOOKUP($B104,params!#REF!,params!#REF!,0)*(1+_xlfn.XLOOKUP($B104,params!#REF!,params!$W$27:$W$37,0))</f>
        <v>#REF!</v>
      </c>
      <c r="Q104" s="18" t="e">
        <f>1000*Q28*_xlfn.XLOOKUP($B104,params!#REF!,params!#REF!,0)*(1+_xlfn.XLOOKUP($B104,params!#REF!,params!$W$27:$W$37,0))</f>
        <v>#REF!</v>
      </c>
      <c r="R104" s="18" t="e">
        <f>1000*R28*_xlfn.XLOOKUP($B104,params!#REF!,params!#REF!,0)*(1+_xlfn.XLOOKUP($B104,params!#REF!,params!$W$27:$W$37,0))</f>
        <v>#REF!</v>
      </c>
      <c r="S104" s="18" t="e">
        <f>1000*S28*_xlfn.XLOOKUP($B104,params!#REF!,params!#REF!,0)*(1+_xlfn.XLOOKUP($B104,params!#REF!,params!$W$27:$W$37,0))</f>
        <v>#REF!</v>
      </c>
      <c r="T104" s="18" t="e">
        <f>1000*T28*_xlfn.XLOOKUP($B104,params!#REF!,params!#REF!,0)*(1+_xlfn.XLOOKUP($B104,params!#REF!,params!$W$27:$W$37,0))</f>
        <v>#REF!</v>
      </c>
      <c r="U104" s="18" t="e">
        <f>1000*U28*_xlfn.XLOOKUP($B104,params!#REF!,params!#REF!,0)*(1+_xlfn.XLOOKUP($B104,params!#REF!,params!$W$27:$W$37,0))</f>
        <v>#REF!</v>
      </c>
      <c r="V104" s="18" t="e">
        <f>1000*V28*_xlfn.XLOOKUP($B104,params!#REF!,params!#REF!,0)*(1+_xlfn.XLOOKUP($B104,params!#REF!,params!$W$27:$W$37,0))</f>
        <v>#REF!</v>
      </c>
      <c r="W104" s="18" t="e">
        <f>1000*W28*_xlfn.XLOOKUP($B104,params!#REF!,params!#REF!,0)*(1+_xlfn.XLOOKUP($B104,params!#REF!,params!$W$27:$W$37,0))</f>
        <v>#REF!</v>
      </c>
      <c r="X104" s="18" t="e">
        <f>1000*X28*_xlfn.XLOOKUP($B104,params!#REF!,params!#REF!,0)*(1+_xlfn.XLOOKUP($B104,params!#REF!,params!$W$27:$W$37,0))</f>
        <v>#REF!</v>
      </c>
      <c r="Y104" s="18" t="e">
        <f>1000*Y28*_xlfn.XLOOKUP($B104,params!#REF!,params!#REF!,0)*(1+_xlfn.XLOOKUP($B104,params!#REF!,params!$W$27:$W$37,0))</f>
        <v>#REF!</v>
      </c>
      <c r="Z104" s="18" t="e">
        <f>1000*Z28*_xlfn.XLOOKUP($B104,params!#REF!,params!#REF!,0)*(1+_xlfn.XLOOKUP($B104,params!#REF!,params!$W$27:$W$37,0))</f>
        <v>#REF!</v>
      </c>
      <c r="AA104" s="18" t="e">
        <f>1000*AA28*_xlfn.XLOOKUP($B104,params!#REF!,params!#REF!,0)*(1+_xlfn.XLOOKUP($B104,params!#REF!,params!$W$27:$W$37,0))</f>
        <v>#REF!</v>
      </c>
      <c r="AB104" s="18" t="e">
        <f>1000*AB28*_xlfn.XLOOKUP($B104,params!#REF!,params!#REF!,0)*(1+_xlfn.XLOOKUP($B104,params!#REF!,params!$W$27:$W$37,0))</f>
        <v>#REF!</v>
      </c>
      <c r="AC104" s="18" t="e">
        <f>1000*AC28*_xlfn.XLOOKUP($B104,params!#REF!,params!#REF!,0)*(1+_xlfn.XLOOKUP($B104,params!#REF!,params!$W$27:$W$37,0))</f>
        <v>#REF!</v>
      </c>
      <c r="AD104" s="18" t="e">
        <f>1000*AD28*_xlfn.XLOOKUP($B104,params!#REF!,params!#REF!,0)*(1+_xlfn.XLOOKUP($B104,params!#REF!,params!$W$27:$W$37,0))</f>
        <v>#REF!</v>
      </c>
      <c r="AE104" s="18" t="e">
        <f>1000*AE28*_xlfn.XLOOKUP($B104,params!#REF!,params!#REF!,0)*(1+_xlfn.XLOOKUP($B104,params!#REF!,params!$W$27:$W$37,0))</f>
        <v>#REF!</v>
      </c>
      <c r="AF104" s="18" t="e">
        <f>1000*AF28*_xlfn.XLOOKUP($B104,params!#REF!,params!#REF!,0)*(1+_xlfn.XLOOKUP($B104,params!#REF!,params!$W$27:$W$37,0))</f>
        <v>#REF!</v>
      </c>
      <c r="AG104" s="18" t="e">
        <f>1000*AG28*_xlfn.XLOOKUP($B104,params!#REF!,params!#REF!,0)*(1+_xlfn.XLOOKUP($B104,params!#REF!,params!$W$27:$W$37,0))</f>
        <v>#REF!</v>
      </c>
      <c r="AH104" s="18" t="e">
        <f>1000*AH28*_xlfn.XLOOKUP($B104,params!#REF!,params!#REF!,0)*(1+_xlfn.XLOOKUP($B104,params!#REF!,params!$W$27:$W$37,0))</f>
        <v>#REF!</v>
      </c>
      <c r="AI104" s="18" t="e">
        <f>1000*AI28*_xlfn.XLOOKUP($B104,params!#REF!,params!#REF!,0)*(1+_xlfn.XLOOKUP($B104,params!#REF!,params!$W$27:$W$37,0))</f>
        <v>#REF!</v>
      </c>
      <c r="AJ104" s="111" t="e">
        <f>1000*AJ28*_xlfn.XLOOKUP($B104,params!#REF!,params!#REF!,0)*(1+_xlfn.XLOOKUP($B104,params!#REF!,params!$W$27:$W$37,0))</f>
        <v>#REF!</v>
      </c>
      <c r="AK104" s="55" t="e">
        <f t="shared" si="33"/>
        <v>#REF!</v>
      </c>
    </row>
    <row r="105" spans="1:37">
      <c r="A105" s="4" t="s">
        <v>19</v>
      </c>
      <c r="B105" s="4" t="s">
        <v>12</v>
      </c>
      <c r="C105" s="4" t="s">
        <v>53</v>
      </c>
      <c r="D105" s="91" t="s">
        <v>64</v>
      </c>
      <c r="E105" s="110" t="e">
        <f>1000*E29*_xlfn.XLOOKUP($B105,params!#REF!,params!#REF!,0)*(1+_xlfn.XLOOKUP($B105,params!#REF!,params!$W$27:$W$37,0))</f>
        <v>#REF!</v>
      </c>
      <c r="F105" s="18" t="e">
        <f>1000*F29*_xlfn.XLOOKUP($B105,params!#REF!,params!#REF!,0)*(1+_xlfn.XLOOKUP($B105,params!#REF!,params!$W$27:$W$37,0))</f>
        <v>#REF!</v>
      </c>
      <c r="G105" s="18" t="e">
        <f>1000*G29*_xlfn.XLOOKUP($B105,params!#REF!,params!#REF!,0)*(1+_xlfn.XLOOKUP($B105,params!#REF!,params!$W$27:$W$37,0))</f>
        <v>#REF!</v>
      </c>
      <c r="H105" s="18" t="e">
        <f>1000*H29*_xlfn.XLOOKUP($B105,params!#REF!,params!#REF!,0)*(1+_xlfn.XLOOKUP($B105,params!#REF!,params!$W$27:$W$37,0))</f>
        <v>#REF!</v>
      </c>
      <c r="I105" s="18" t="e">
        <f>1000*I29*_xlfn.XLOOKUP($B105,params!#REF!,params!#REF!,0)*(1+_xlfn.XLOOKUP($B105,params!#REF!,params!$W$27:$W$37,0))</f>
        <v>#REF!</v>
      </c>
      <c r="J105" s="18" t="e">
        <f>1000*J29*_xlfn.XLOOKUP($B105,params!#REF!,params!#REF!,0)*(1+_xlfn.XLOOKUP($B105,params!#REF!,params!$W$27:$W$37,0))</f>
        <v>#REF!</v>
      </c>
      <c r="K105" s="18" t="e">
        <f>1000*K29*_xlfn.XLOOKUP($B105,params!#REF!,params!#REF!,0)*(1+_xlfn.XLOOKUP($B105,params!#REF!,params!$W$27:$W$37,0))</f>
        <v>#REF!</v>
      </c>
      <c r="L105" s="18" t="e">
        <f>1000*L29*_xlfn.XLOOKUP($B105,params!#REF!,params!#REF!,0)*(1+_xlfn.XLOOKUP($B105,params!#REF!,params!$W$27:$W$37,0))</f>
        <v>#REF!</v>
      </c>
      <c r="M105" s="18" t="e">
        <f>1000*M29*_xlfn.XLOOKUP($B105,params!#REF!,params!#REF!,0)*(1+_xlfn.XLOOKUP($B105,params!#REF!,params!$W$27:$W$37,0))</f>
        <v>#REF!</v>
      </c>
      <c r="N105" s="18" t="e">
        <f>1000*N29*_xlfn.XLOOKUP($B105,params!#REF!,params!#REF!,0)*(1+_xlfn.XLOOKUP($B105,params!#REF!,params!$W$27:$W$37,0))</f>
        <v>#REF!</v>
      </c>
      <c r="O105" s="18" t="e">
        <f>1000*O29*_xlfn.XLOOKUP($B105,params!#REF!,params!#REF!,0)*(1+_xlfn.XLOOKUP($B105,params!#REF!,params!$W$27:$W$37,0))</f>
        <v>#REF!</v>
      </c>
      <c r="P105" s="18" t="e">
        <f>1000*P29*_xlfn.XLOOKUP($B105,params!#REF!,params!#REF!,0)*(1+_xlfn.XLOOKUP($B105,params!#REF!,params!$W$27:$W$37,0))</f>
        <v>#REF!</v>
      </c>
      <c r="Q105" s="18" t="e">
        <f>1000*Q29*_xlfn.XLOOKUP($B105,params!#REF!,params!#REF!,0)*(1+_xlfn.XLOOKUP($B105,params!#REF!,params!$W$27:$W$37,0))</f>
        <v>#REF!</v>
      </c>
      <c r="R105" s="18" t="e">
        <f>1000*R29*_xlfn.XLOOKUP($B105,params!#REF!,params!#REF!,0)*(1+_xlfn.XLOOKUP($B105,params!#REF!,params!$W$27:$W$37,0))</f>
        <v>#REF!</v>
      </c>
      <c r="S105" s="18" t="e">
        <f>1000*S29*_xlfn.XLOOKUP($B105,params!#REF!,params!#REF!,0)*(1+_xlfn.XLOOKUP($B105,params!#REF!,params!$W$27:$W$37,0))</f>
        <v>#REF!</v>
      </c>
      <c r="T105" s="18" t="e">
        <f>1000*T29*_xlfn.XLOOKUP($B105,params!#REF!,params!#REF!,0)*(1+_xlfn.XLOOKUP($B105,params!#REF!,params!$W$27:$W$37,0))</f>
        <v>#REF!</v>
      </c>
      <c r="U105" s="18" t="e">
        <f>1000*U29*_xlfn.XLOOKUP($B105,params!#REF!,params!#REF!,0)*(1+_xlfn.XLOOKUP($B105,params!#REF!,params!$W$27:$W$37,0))</f>
        <v>#REF!</v>
      </c>
      <c r="V105" s="18" t="e">
        <f>1000*V29*_xlfn.XLOOKUP($B105,params!#REF!,params!#REF!,0)*(1+_xlfn.XLOOKUP($B105,params!#REF!,params!$W$27:$W$37,0))</f>
        <v>#REF!</v>
      </c>
      <c r="W105" s="18" t="e">
        <f>1000*W29*_xlfn.XLOOKUP($B105,params!#REF!,params!#REF!,0)*(1+_xlfn.XLOOKUP($B105,params!#REF!,params!$W$27:$W$37,0))</f>
        <v>#REF!</v>
      </c>
      <c r="X105" s="18" t="e">
        <f>1000*X29*_xlfn.XLOOKUP($B105,params!#REF!,params!#REF!,0)*(1+_xlfn.XLOOKUP($B105,params!#REF!,params!$W$27:$W$37,0))</f>
        <v>#REF!</v>
      </c>
      <c r="Y105" s="18" t="e">
        <f>1000*Y29*_xlfn.XLOOKUP($B105,params!#REF!,params!#REF!,0)*(1+_xlfn.XLOOKUP($B105,params!#REF!,params!$W$27:$W$37,0))</f>
        <v>#REF!</v>
      </c>
      <c r="Z105" s="18" t="e">
        <f>1000*Z29*_xlfn.XLOOKUP($B105,params!#REF!,params!#REF!,0)*(1+_xlfn.XLOOKUP($B105,params!#REF!,params!$W$27:$W$37,0))</f>
        <v>#REF!</v>
      </c>
      <c r="AA105" s="18" t="e">
        <f>1000*AA29*_xlfn.XLOOKUP($B105,params!#REF!,params!#REF!,0)*(1+_xlfn.XLOOKUP($B105,params!#REF!,params!$W$27:$W$37,0))</f>
        <v>#REF!</v>
      </c>
      <c r="AB105" s="18" t="e">
        <f>1000*AB29*_xlfn.XLOOKUP($B105,params!#REF!,params!#REF!,0)*(1+_xlfn.XLOOKUP($B105,params!#REF!,params!$W$27:$W$37,0))</f>
        <v>#REF!</v>
      </c>
      <c r="AC105" s="18" t="e">
        <f>1000*AC29*_xlfn.XLOOKUP($B105,params!#REF!,params!#REF!,0)*(1+_xlfn.XLOOKUP($B105,params!#REF!,params!$W$27:$W$37,0))</f>
        <v>#REF!</v>
      </c>
      <c r="AD105" s="18" t="e">
        <f>1000*AD29*_xlfn.XLOOKUP($B105,params!#REF!,params!#REF!,0)*(1+_xlfn.XLOOKUP($B105,params!#REF!,params!$W$27:$W$37,0))</f>
        <v>#REF!</v>
      </c>
      <c r="AE105" s="18" t="e">
        <f>1000*AE29*_xlfn.XLOOKUP($B105,params!#REF!,params!#REF!,0)*(1+_xlfn.XLOOKUP($B105,params!#REF!,params!$W$27:$W$37,0))</f>
        <v>#REF!</v>
      </c>
      <c r="AF105" s="18" t="e">
        <f>1000*AF29*_xlfn.XLOOKUP($B105,params!#REF!,params!#REF!,0)*(1+_xlfn.XLOOKUP($B105,params!#REF!,params!$W$27:$W$37,0))</f>
        <v>#REF!</v>
      </c>
      <c r="AG105" s="18" t="e">
        <f>1000*AG29*_xlfn.XLOOKUP($B105,params!#REF!,params!#REF!,0)*(1+_xlfn.XLOOKUP($B105,params!#REF!,params!$W$27:$W$37,0))</f>
        <v>#REF!</v>
      </c>
      <c r="AH105" s="18" t="e">
        <f>1000*AH29*_xlfn.XLOOKUP($B105,params!#REF!,params!#REF!,0)*(1+_xlfn.XLOOKUP($B105,params!#REF!,params!$W$27:$W$37,0))</f>
        <v>#REF!</v>
      </c>
      <c r="AI105" s="18" t="e">
        <f>1000*AI29*_xlfn.XLOOKUP($B105,params!#REF!,params!#REF!,0)*(1+_xlfn.XLOOKUP($B105,params!#REF!,params!$W$27:$W$37,0))</f>
        <v>#REF!</v>
      </c>
      <c r="AJ105" s="111" t="e">
        <f>1000*AJ29*_xlfn.XLOOKUP($B105,params!#REF!,params!#REF!,0)*(1+_xlfn.XLOOKUP($B105,params!#REF!,params!$W$27:$W$37,0))</f>
        <v>#REF!</v>
      </c>
      <c r="AK105" s="55" t="e">
        <f t="shared" si="33"/>
        <v>#REF!</v>
      </c>
    </row>
    <row r="106" spans="1:37">
      <c r="A106" s="4" t="s">
        <v>19</v>
      </c>
      <c r="B106" s="4" t="s">
        <v>13</v>
      </c>
      <c r="C106" s="4" t="s">
        <v>53</v>
      </c>
      <c r="D106" s="91" t="s">
        <v>64</v>
      </c>
      <c r="E106" s="110" t="e">
        <f>1000*E30*_xlfn.XLOOKUP($B106,params!#REF!,params!#REF!,0)*(1+_xlfn.XLOOKUP($B106,params!#REF!,params!$W$27:$W$37,0))</f>
        <v>#REF!</v>
      </c>
      <c r="F106" s="18" t="e">
        <f>1000*F30*_xlfn.XLOOKUP($B106,params!#REF!,params!#REF!,0)*(1+_xlfn.XLOOKUP($B106,params!#REF!,params!$W$27:$W$37,0))</f>
        <v>#REF!</v>
      </c>
      <c r="G106" s="18" t="e">
        <f>1000*G30*_xlfn.XLOOKUP($B106,params!#REF!,params!#REF!,0)*(1+_xlfn.XLOOKUP($B106,params!#REF!,params!$W$27:$W$37,0))</f>
        <v>#REF!</v>
      </c>
      <c r="H106" s="18" t="e">
        <f>1000*H30*_xlfn.XLOOKUP($B106,params!#REF!,params!#REF!,0)*(1+_xlfn.XLOOKUP($B106,params!#REF!,params!$W$27:$W$37,0))</f>
        <v>#REF!</v>
      </c>
      <c r="I106" s="18" t="e">
        <f>1000*I30*_xlfn.XLOOKUP($B106,params!#REF!,params!#REF!,0)*(1+_xlfn.XLOOKUP($B106,params!#REF!,params!$W$27:$W$37,0))</f>
        <v>#REF!</v>
      </c>
      <c r="J106" s="18" t="e">
        <f>1000*J30*_xlfn.XLOOKUP($B106,params!#REF!,params!#REF!,0)*(1+_xlfn.XLOOKUP($B106,params!#REF!,params!$W$27:$W$37,0))</f>
        <v>#REF!</v>
      </c>
      <c r="K106" s="18" t="e">
        <f>1000*K30*_xlfn.XLOOKUP($B106,params!#REF!,params!#REF!,0)*(1+_xlfn.XLOOKUP($B106,params!#REF!,params!$W$27:$W$37,0))</f>
        <v>#REF!</v>
      </c>
      <c r="L106" s="18" t="e">
        <f>1000*L30*_xlfn.XLOOKUP($B106,params!#REF!,params!#REF!,0)*(1+_xlfn.XLOOKUP($B106,params!#REF!,params!$W$27:$W$37,0))</f>
        <v>#REF!</v>
      </c>
      <c r="M106" s="18" t="e">
        <f>1000*M30*_xlfn.XLOOKUP($B106,params!#REF!,params!#REF!,0)*(1+_xlfn.XLOOKUP($B106,params!#REF!,params!$W$27:$W$37,0))</f>
        <v>#REF!</v>
      </c>
      <c r="N106" s="18" t="e">
        <f>1000*N30*_xlfn.XLOOKUP($B106,params!#REF!,params!#REF!,0)*(1+_xlfn.XLOOKUP($B106,params!#REF!,params!$W$27:$W$37,0))</f>
        <v>#REF!</v>
      </c>
      <c r="O106" s="18" t="e">
        <f>1000*O30*_xlfn.XLOOKUP($B106,params!#REF!,params!#REF!,0)*(1+_xlfn.XLOOKUP($B106,params!#REF!,params!$W$27:$W$37,0))</f>
        <v>#REF!</v>
      </c>
      <c r="P106" s="18" t="e">
        <f>1000*P30*_xlfn.XLOOKUP($B106,params!#REF!,params!#REF!,0)*(1+_xlfn.XLOOKUP($B106,params!#REF!,params!$W$27:$W$37,0))</f>
        <v>#REF!</v>
      </c>
      <c r="Q106" s="18" t="e">
        <f>1000*Q30*_xlfn.XLOOKUP($B106,params!#REF!,params!#REF!,0)*(1+_xlfn.XLOOKUP($B106,params!#REF!,params!$W$27:$W$37,0))</f>
        <v>#REF!</v>
      </c>
      <c r="R106" s="18" t="e">
        <f>1000*R30*_xlfn.XLOOKUP($B106,params!#REF!,params!#REF!,0)*(1+_xlfn.XLOOKUP($B106,params!#REF!,params!$W$27:$W$37,0))</f>
        <v>#REF!</v>
      </c>
      <c r="S106" s="18" t="e">
        <f>1000*S30*_xlfn.XLOOKUP($B106,params!#REF!,params!#REF!,0)*(1+_xlfn.XLOOKUP($B106,params!#REF!,params!$W$27:$W$37,0))</f>
        <v>#REF!</v>
      </c>
      <c r="T106" s="18" t="e">
        <f>1000*T30*_xlfn.XLOOKUP($B106,params!#REF!,params!#REF!,0)*(1+_xlfn.XLOOKUP($B106,params!#REF!,params!$W$27:$W$37,0))</f>
        <v>#REF!</v>
      </c>
      <c r="U106" s="18" t="e">
        <f>1000*U30*_xlfn.XLOOKUP($B106,params!#REF!,params!#REF!,0)*(1+_xlfn.XLOOKUP($B106,params!#REF!,params!$W$27:$W$37,0))</f>
        <v>#REF!</v>
      </c>
      <c r="V106" s="18" t="e">
        <f>1000*V30*_xlfn.XLOOKUP($B106,params!#REF!,params!#REF!,0)*(1+_xlfn.XLOOKUP($B106,params!#REF!,params!$W$27:$W$37,0))</f>
        <v>#REF!</v>
      </c>
      <c r="W106" s="18" t="e">
        <f>1000*W30*_xlfn.XLOOKUP($B106,params!#REF!,params!#REF!,0)*(1+_xlfn.XLOOKUP($B106,params!#REF!,params!$W$27:$W$37,0))</f>
        <v>#REF!</v>
      </c>
      <c r="X106" s="18" t="e">
        <f>1000*X30*_xlfn.XLOOKUP($B106,params!#REF!,params!#REF!,0)*(1+_xlfn.XLOOKUP($B106,params!#REF!,params!$W$27:$W$37,0))</f>
        <v>#REF!</v>
      </c>
      <c r="Y106" s="18" t="e">
        <f>1000*Y30*_xlfn.XLOOKUP($B106,params!#REF!,params!#REF!,0)*(1+_xlfn.XLOOKUP($B106,params!#REF!,params!$W$27:$W$37,0))</f>
        <v>#REF!</v>
      </c>
      <c r="Z106" s="18" t="e">
        <f>1000*Z30*_xlfn.XLOOKUP($B106,params!#REF!,params!#REF!,0)*(1+_xlfn.XLOOKUP($B106,params!#REF!,params!$W$27:$W$37,0))</f>
        <v>#REF!</v>
      </c>
      <c r="AA106" s="18" t="e">
        <f>1000*AA30*_xlfn.XLOOKUP($B106,params!#REF!,params!#REF!,0)*(1+_xlfn.XLOOKUP($B106,params!#REF!,params!$W$27:$W$37,0))</f>
        <v>#REF!</v>
      </c>
      <c r="AB106" s="18" t="e">
        <f>1000*AB30*_xlfn.XLOOKUP($B106,params!#REF!,params!#REF!,0)*(1+_xlfn.XLOOKUP($B106,params!#REF!,params!$W$27:$W$37,0))</f>
        <v>#REF!</v>
      </c>
      <c r="AC106" s="18" t="e">
        <f>1000*AC30*_xlfn.XLOOKUP($B106,params!#REF!,params!#REF!,0)*(1+_xlfn.XLOOKUP($B106,params!#REF!,params!$W$27:$W$37,0))</f>
        <v>#REF!</v>
      </c>
      <c r="AD106" s="18" t="e">
        <f>1000*AD30*_xlfn.XLOOKUP($B106,params!#REF!,params!#REF!,0)*(1+_xlfn.XLOOKUP($B106,params!#REF!,params!$W$27:$W$37,0))</f>
        <v>#REF!</v>
      </c>
      <c r="AE106" s="18" t="e">
        <f>1000*AE30*_xlfn.XLOOKUP($B106,params!#REF!,params!#REF!,0)*(1+_xlfn.XLOOKUP($B106,params!#REF!,params!$W$27:$W$37,0))</f>
        <v>#REF!</v>
      </c>
      <c r="AF106" s="18" t="e">
        <f>1000*AF30*_xlfn.XLOOKUP($B106,params!#REF!,params!#REF!,0)*(1+_xlfn.XLOOKUP($B106,params!#REF!,params!$W$27:$W$37,0))</f>
        <v>#REF!</v>
      </c>
      <c r="AG106" s="18" t="e">
        <f>1000*AG30*_xlfn.XLOOKUP($B106,params!#REF!,params!#REF!,0)*(1+_xlfn.XLOOKUP($B106,params!#REF!,params!$W$27:$W$37,0))</f>
        <v>#REF!</v>
      </c>
      <c r="AH106" s="18" t="e">
        <f>1000*AH30*_xlfn.XLOOKUP($B106,params!#REF!,params!#REF!,0)*(1+_xlfn.XLOOKUP($B106,params!#REF!,params!$W$27:$W$37,0))</f>
        <v>#REF!</v>
      </c>
      <c r="AI106" s="18" t="e">
        <f>1000*AI30*_xlfn.XLOOKUP($B106,params!#REF!,params!#REF!,0)*(1+_xlfn.XLOOKUP($B106,params!#REF!,params!$W$27:$W$37,0))</f>
        <v>#REF!</v>
      </c>
      <c r="AJ106" s="111" t="e">
        <f>1000*AJ30*_xlfn.XLOOKUP($B106,params!#REF!,params!#REF!,0)*(1+_xlfn.XLOOKUP($B106,params!#REF!,params!$W$27:$W$37,0))</f>
        <v>#REF!</v>
      </c>
      <c r="AK106" s="55" t="e">
        <f t="shared" si="33"/>
        <v>#REF!</v>
      </c>
    </row>
    <row r="107" spans="1:37">
      <c r="A107" s="4" t="s">
        <v>19</v>
      </c>
      <c r="B107" s="4" t="s">
        <v>14</v>
      </c>
      <c r="C107" s="4" t="s">
        <v>53</v>
      </c>
      <c r="D107" s="91" t="s">
        <v>64</v>
      </c>
      <c r="E107" s="110" t="e">
        <f>1000*E31*_xlfn.XLOOKUP($B107,params!#REF!,params!#REF!,0)*(1+_xlfn.XLOOKUP($B107,params!#REF!,params!$W$27:$W$37,0))</f>
        <v>#REF!</v>
      </c>
      <c r="F107" s="18" t="e">
        <f>1000*F31*_xlfn.XLOOKUP($B107,params!#REF!,params!#REF!,0)*(1+_xlfn.XLOOKUP($B107,params!#REF!,params!$W$27:$W$37,0))</f>
        <v>#REF!</v>
      </c>
      <c r="G107" s="18" t="e">
        <f>1000*G31*_xlfn.XLOOKUP($B107,params!#REF!,params!#REF!,0)*(1+_xlfn.XLOOKUP($B107,params!#REF!,params!$W$27:$W$37,0))</f>
        <v>#REF!</v>
      </c>
      <c r="H107" s="18" t="e">
        <f>1000*H31*_xlfn.XLOOKUP($B107,params!#REF!,params!#REF!,0)*(1+_xlfn.XLOOKUP($B107,params!#REF!,params!$W$27:$W$37,0))</f>
        <v>#REF!</v>
      </c>
      <c r="I107" s="18" t="e">
        <f>1000*I31*_xlfn.XLOOKUP($B107,params!#REF!,params!#REF!,0)*(1+_xlfn.XLOOKUP($B107,params!#REF!,params!$W$27:$W$37,0))</f>
        <v>#REF!</v>
      </c>
      <c r="J107" s="18" t="e">
        <f>1000*J31*_xlfn.XLOOKUP($B107,params!#REF!,params!#REF!,0)*(1+_xlfn.XLOOKUP($B107,params!#REF!,params!$W$27:$W$37,0))</f>
        <v>#REF!</v>
      </c>
      <c r="K107" s="18" t="e">
        <f>1000*K31*_xlfn.XLOOKUP($B107,params!#REF!,params!#REF!,0)*(1+_xlfn.XLOOKUP($B107,params!#REF!,params!$W$27:$W$37,0))</f>
        <v>#REF!</v>
      </c>
      <c r="L107" s="18" t="e">
        <f>1000*L31*_xlfn.XLOOKUP($B107,params!#REF!,params!#REF!,0)*(1+_xlfn.XLOOKUP($B107,params!#REF!,params!$W$27:$W$37,0))</f>
        <v>#REF!</v>
      </c>
      <c r="M107" s="18" t="e">
        <f>1000*M31*_xlfn.XLOOKUP($B107,params!#REF!,params!#REF!,0)*(1+_xlfn.XLOOKUP($B107,params!#REF!,params!$W$27:$W$37,0))</f>
        <v>#REF!</v>
      </c>
      <c r="N107" s="18" t="e">
        <f>1000*N31*_xlfn.XLOOKUP($B107,params!#REF!,params!#REF!,0)*(1+_xlfn.XLOOKUP($B107,params!#REF!,params!$W$27:$W$37,0))</f>
        <v>#REF!</v>
      </c>
      <c r="O107" s="18" t="e">
        <f>1000*O31*_xlfn.XLOOKUP($B107,params!#REF!,params!#REF!,0)*(1+_xlfn.XLOOKUP($B107,params!#REF!,params!$W$27:$W$37,0))</f>
        <v>#REF!</v>
      </c>
      <c r="P107" s="18" t="e">
        <f>1000*P31*_xlfn.XLOOKUP($B107,params!#REF!,params!#REF!,0)*(1+_xlfn.XLOOKUP($B107,params!#REF!,params!$W$27:$W$37,0))</f>
        <v>#REF!</v>
      </c>
      <c r="Q107" s="18" t="e">
        <f>1000*Q31*_xlfn.XLOOKUP($B107,params!#REF!,params!#REF!,0)*(1+_xlfn.XLOOKUP($B107,params!#REF!,params!$W$27:$W$37,0))</f>
        <v>#REF!</v>
      </c>
      <c r="R107" s="18" t="e">
        <f>1000*R31*_xlfn.XLOOKUP($B107,params!#REF!,params!#REF!,0)*(1+_xlfn.XLOOKUP($B107,params!#REF!,params!$W$27:$W$37,0))</f>
        <v>#REF!</v>
      </c>
      <c r="S107" s="18" t="e">
        <f>1000*S31*_xlfn.XLOOKUP($B107,params!#REF!,params!#REF!,0)*(1+_xlfn.XLOOKUP($B107,params!#REF!,params!$W$27:$W$37,0))</f>
        <v>#REF!</v>
      </c>
      <c r="T107" s="18" t="e">
        <f>1000*T31*_xlfn.XLOOKUP($B107,params!#REF!,params!#REF!,0)*(1+_xlfn.XLOOKUP($B107,params!#REF!,params!$W$27:$W$37,0))</f>
        <v>#REF!</v>
      </c>
      <c r="U107" s="18" t="e">
        <f>1000*U31*_xlfn.XLOOKUP($B107,params!#REF!,params!#REF!,0)*(1+_xlfn.XLOOKUP($B107,params!#REF!,params!$W$27:$W$37,0))</f>
        <v>#REF!</v>
      </c>
      <c r="V107" s="18" t="e">
        <f>1000*V31*_xlfn.XLOOKUP($B107,params!#REF!,params!#REF!,0)*(1+_xlfn.XLOOKUP($B107,params!#REF!,params!$W$27:$W$37,0))</f>
        <v>#REF!</v>
      </c>
      <c r="W107" s="18" t="e">
        <f>1000*W31*_xlfn.XLOOKUP($B107,params!#REF!,params!#REF!,0)*(1+_xlfn.XLOOKUP($B107,params!#REF!,params!$W$27:$W$37,0))</f>
        <v>#REF!</v>
      </c>
      <c r="X107" s="18" t="e">
        <f>1000*X31*_xlfn.XLOOKUP($B107,params!#REF!,params!#REF!,0)*(1+_xlfn.XLOOKUP($B107,params!#REF!,params!$W$27:$W$37,0))</f>
        <v>#REF!</v>
      </c>
      <c r="Y107" s="18" t="e">
        <f>1000*Y31*_xlfn.XLOOKUP($B107,params!#REF!,params!#REF!,0)*(1+_xlfn.XLOOKUP($B107,params!#REF!,params!$W$27:$W$37,0))</f>
        <v>#REF!</v>
      </c>
      <c r="Z107" s="18" t="e">
        <f>1000*Z31*_xlfn.XLOOKUP($B107,params!#REF!,params!#REF!,0)*(1+_xlfn.XLOOKUP($B107,params!#REF!,params!$W$27:$W$37,0))</f>
        <v>#REF!</v>
      </c>
      <c r="AA107" s="18" t="e">
        <f>1000*AA31*_xlfn.XLOOKUP($B107,params!#REF!,params!#REF!,0)*(1+_xlfn.XLOOKUP($B107,params!#REF!,params!$W$27:$W$37,0))</f>
        <v>#REF!</v>
      </c>
      <c r="AB107" s="18" t="e">
        <f>1000*AB31*_xlfn.XLOOKUP($B107,params!#REF!,params!#REF!,0)*(1+_xlfn.XLOOKUP($B107,params!#REF!,params!$W$27:$W$37,0))</f>
        <v>#REF!</v>
      </c>
      <c r="AC107" s="18" t="e">
        <f>1000*AC31*_xlfn.XLOOKUP($B107,params!#REF!,params!#REF!,0)*(1+_xlfn.XLOOKUP($B107,params!#REF!,params!$W$27:$W$37,0))</f>
        <v>#REF!</v>
      </c>
      <c r="AD107" s="18" t="e">
        <f>1000*AD31*_xlfn.XLOOKUP($B107,params!#REF!,params!#REF!,0)*(1+_xlfn.XLOOKUP($B107,params!#REF!,params!$W$27:$W$37,0))</f>
        <v>#REF!</v>
      </c>
      <c r="AE107" s="18" t="e">
        <f>1000*AE31*_xlfn.XLOOKUP($B107,params!#REF!,params!#REF!,0)*(1+_xlfn.XLOOKUP($B107,params!#REF!,params!$W$27:$W$37,0))</f>
        <v>#REF!</v>
      </c>
      <c r="AF107" s="18" t="e">
        <f>1000*AF31*_xlfn.XLOOKUP($B107,params!#REF!,params!#REF!,0)*(1+_xlfn.XLOOKUP($B107,params!#REF!,params!$W$27:$W$37,0))</f>
        <v>#REF!</v>
      </c>
      <c r="AG107" s="18" t="e">
        <f>1000*AG31*_xlfn.XLOOKUP($B107,params!#REF!,params!#REF!,0)*(1+_xlfn.XLOOKUP($B107,params!#REF!,params!$W$27:$W$37,0))</f>
        <v>#REF!</v>
      </c>
      <c r="AH107" s="18" t="e">
        <f>1000*AH31*_xlfn.XLOOKUP($B107,params!#REF!,params!#REF!,0)*(1+_xlfn.XLOOKUP($B107,params!#REF!,params!$W$27:$W$37,0))</f>
        <v>#REF!</v>
      </c>
      <c r="AI107" s="18" t="e">
        <f>1000*AI31*_xlfn.XLOOKUP($B107,params!#REF!,params!#REF!,0)*(1+_xlfn.XLOOKUP($B107,params!#REF!,params!$W$27:$W$37,0))</f>
        <v>#REF!</v>
      </c>
      <c r="AJ107" s="111" t="e">
        <f>1000*AJ31*_xlfn.XLOOKUP($B107,params!#REF!,params!#REF!,0)*(1+_xlfn.XLOOKUP($B107,params!#REF!,params!$W$27:$W$37,0))</f>
        <v>#REF!</v>
      </c>
      <c r="AK107" s="55" t="e">
        <f t="shared" si="33"/>
        <v>#REF!</v>
      </c>
    </row>
    <row r="108" spans="1:37">
      <c r="A108" s="4" t="s">
        <v>19</v>
      </c>
      <c r="B108" s="4" t="s">
        <v>15</v>
      </c>
      <c r="C108" s="4" t="s">
        <v>53</v>
      </c>
      <c r="D108" s="91" t="s">
        <v>64</v>
      </c>
      <c r="E108" s="110" t="e">
        <f>1000*E32*_xlfn.XLOOKUP($B108,params!#REF!,params!#REF!,0)*(1+_xlfn.XLOOKUP($B108,params!#REF!,params!$W$27:$W$37,0))</f>
        <v>#REF!</v>
      </c>
      <c r="F108" s="18" t="e">
        <f>1000*F32*_xlfn.XLOOKUP($B108,params!#REF!,params!#REF!,0)*(1+_xlfn.XLOOKUP($B108,params!#REF!,params!$W$27:$W$37,0))</f>
        <v>#REF!</v>
      </c>
      <c r="G108" s="18" t="e">
        <f>1000*G32*_xlfn.XLOOKUP($B108,params!#REF!,params!#REF!,0)*(1+_xlfn.XLOOKUP($B108,params!#REF!,params!$W$27:$W$37,0))</f>
        <v>#REF!</v>
      </c>
      <c r="H108" s="18" t="e">
        <f>1000*H32*_xlfn.XLOOKUP($B108,params!#REF!,params!#REF!,0)*(1+_xlfn.XLOOKUP($B108,params!#REF!,params!$W$27:$W$37,0))</f>
        <v>#REF!</v>
      </c>
      <c r="I108" s="18" t="e">
        <f>1000*I32*_xlfn.XLOOKUP($B108,params!#REF!,params!#REF!,0)*(1+_xlfn.XLOOKUP($B108,params!#REF!,params!$W$27:$W$37,0))</f>
        <v>#REF!</v>
      </c>
      <c r="J108" s="18" t="e">
        <f>1000*J32*_xlfn.XLOOKUP($B108,params!#REF!,params!#REF!,0)*(1+_xlfn.XLOOKUP($B108,params!#REF!,params!$W$27:$W$37,0))</f>
        <v>#REF!</v>
      </c>
      <c r="K108" s="18" t="e">
        <f>1000*K32*_xlfn.XLOOKUP($B108,params!#REF!,params!#REF!,0)*(1+_xlfn.XLOOKUP($B108,params!#REF!,params!$W$27:$W$37,0))</f>
        <v>#REF!</v>
      </c>
      <c r="L108" s="18" t="e">
        <f>1000*L32*_xlfn.XLOOKUP($B108,params!#REF!,params!#REF!,0)*(1+_xlfn.XLOOKUP($B108,params!#REF!,params!$W$27:$W$37,0))</f>
        <v>#REF!</v>
      </c>
      <c r="M108" s="18" t="e">
        <f>1000*M32*_xlfn.XLOOKUP($B108,params!#REF!,params!#REF!,0)*(1+_xlfn.XLOOKUP($B108,params!#REF!,params!$W$27:$W$37,0))</f>
        <v>#REF!</v>
      </c>
      <c r="N108" s="18" t="e">
        <f>1000*N32*_xlfn.XLOOKUP($B108,params!#REF!,params!#REF!,0)*(1+_xlfn.XLOOKUP($B108,params!#REF!,params!$W$27:$W$37,0))</f>
        <v>#REF!</v>
      </c>
      <c r="O108" s="18" t="e">
        <f>1000*O32*_xlfn.XLOOKUP($B108,params!#REF!,params!#REF!,0)*(1+_xlfn.XLOOKUP($B108,params!#REF!,params!$W$27:$W$37,0))</f>
        <v>#REF!</v>
      </c>
      <c r="P108" s="18" t="e">
        <f>1000*P32*_xlfn.XLOOKUP($B108,params!#REF!,params!#REF!,0)*(1+_xlfn.XLOOKUP($B108,params!#REF!,params!$W$27:$W$37,0))</f>
        <v>#REF!</v>
      </c>
      <c r="Q108" s="18" t="e">
        <f>1000*Q32*_xlfn.XLOOKUP($B108,params!#REF!,params!#REF!,0)*(1+_xlfn.XLOOKUP($B108,params!#REF!,params!$W$27:$W$37,0))</f>
        <v>#REF!</v>
      </c>
      <c r="R108" s="18" t="e">
        <f>1000*R32*_xlfn.XLOOKUP($B108,params!#REF!,params!#REF!,0)*(1+_xlfn.XLOOKUP($B108,params!#REF!,params!$W$27:$W$37,0))</f>
        <v>#REF!</v>
      </c>
      <c r="S108" s="18" t="e">
        <f>1000*S32*_xlfn.XLOOKUP($B108,params!#REF!,params!#REF!,0)*(1+_xlfn.XLOOKUP($B108,params!#REF!,params!$W$27:$W$37,0))</f>
        <v>#REF!</v>
      </c>
      <c r="T108" s="18" t="e">
        <f>1000*T32*_xlfn.XLOOKUP($B108,params!#REF!,params!#REF!,0)*(1+_xlfn.XLOOKUP($B108,params!#REF!,params!$W$27:$W$37,0))</f>
        <v>#REF!</v>
      </c>
      <c r="U108" s="18" t="e">
        <f>1000*U32*_xlfn.XLOOKUP($B108,params!#REF!,params!#REF!,0)*(1+_xlfn.XLOOKUP($B108,params!#REF!,params!$W$27:$W$37,0))</f>
        <v>#REF!</v>
      </c>
      <c r="V108" s="18" t="e">
        <f>1000*V32*_xlfn.XLOOKUP($B108,params!#REF!,params!#REF!,0)*(1+_xlfn.XLOOKUP($B108,params!#REF!,params!$W$27:$W$37,0))</f>
        <v>#REF!</v>
      </c>
      <c r="W108" s="18" t="e">
        <f>1000*W32*_xlfn.XLOOKUP($B108,params!#REF!,params!#REF!,0)*(1+_xlfn.XLOOKUP($B108,params!#REF!,params!$W$27:$W$37,0))</f>
        <v>#REF!</v>
      </c>
      <c r="X108" s="18" t="e">
        <f>1000*X32*_xlfn.XLOOKUP($B108,params!#REF!,params!#REF!,0)*(1+_xlfn.XLOOKUP($B108,params!#REF!,params!$W$27:$W$37,0))</f>
        <v>#REF!</v>
      </c>
      <c r="Y108" s="18" t="e">
        <f>1000*Y32*_xlfn.XLOOKUP($B108,params!#REF!,params!#REF!,0)*(1+_xlfn.XLOOKUP($B108,params!#REF!,params!$W$27:$W$37,0))</f>
        <v>#REF!</v>
      </c>
      <c r="Z108" s="18" t="e">
        <f>1000*Z32*_xlfn.XLOOKUP($B108,params!#REF!,params!#REF!,0)*(1+_xlfn.XLOOKUP($B108,params!#REF!,params!$W$27:$W$37,0))</f>
        <v>#REF!</v>
      </c>
      <c r="AA108" s="18" t="e">
        <f>1000*AA32*_xlfn.XLOOKUP($B108,params!#REF!,params!#REF!,0)*(1+_xlfn.XLOOKUP($B108,params!#REF!,params!$W$27:$W$37,0))</f>
        <v>#REF!</v>
      </c>
      <c r="AB108" s="18" t="e">
        <f>1000*AB32*_xlfn.XLOOKUP($B108,params!#REF!,params!#REF!,0)*(1+_xlfn.XLOOKUP($B108,params!#REF!,params!$W$27:$W$37,0))</f>
        <v>#REF!</v>
      </c>
      <c r="AC108" s="18" t="e">
        <f>1000*AC32*_xlfn.XLOOKUP($B108,params!#REF!,params!#REF!,0)*(1+_xlfn.XLOOKUP($B108,params!#REF!,params!$W$27:$W$37,0))</f>
        <v>#REF!</v>
      </c>
      <c r="AD108" s="18" t="e">
        <f>1000*AD32*_xlfn.XLOOKUP($B108,params!#REF!,params!#REF!,0)*(1+_xlfn.XLOOKUP($B108,params!#REF!,params!$W$27:$W$37,0))</f>
        <v>#REF!</v>
      </c>
      <c r="AE108" s="18" t="e">
        <f>1000*AE32*_xlfn.XLOOKUP($B108,params!#REF!,params!#REF!,0)*(1+_xlfn.XLOOKUP($B108,params!#REF!,params!$W$27:$W$37,0))</f>
        <v>#REF!</v>
      </c>
      <c r="AF108" s="18" t="e">
        <f>1000*AF32*_xlfn.XLOOKUP($B108,params!#REF!,params!#REF!,0)*(1+_xlfn.XLOOKUP($B108,params!#REF!,params!$W$27:$W$37,0))</f>
        <v>#REF!</v>
      </c>
      <c r="AG108" s="18" t="e">
        <f>1000*AG32*_xlfn.XLOOKUP($B108,params!#REF!,params!#REF!,0)*(1+_xlfn.XLOOKUP($B108,params!#REF!,params!$W$27:$W$37,0))</f>
        <v>#REF!</v>
      </c>
      <c r="AH108" s="18" t="e">
        <f>1000*AH32*_xlfn.XLOOKUP($B108,params!#REF!,params!#REF!,0)*(1+_xlfn.XLOOKUP($B108,params!#REF!,params!$W$27:$W$37,0))</f>
        <v>#REF!</v>
      </c>
      <c r="AI108" s="18" t="e">
        <f>1000*AI32*_xlfn.XLOOKUP($B108,params!#REF!,params!#REF!,0)*(1+_xlfn.XLOOKUP($B108,params!#REF!,params!$W$27:$W$37,0))</f>
        <v>#REF!</v>
      </c>
      <c r="AJ108" s="111" t="e">
        <f>1000*AJ32*_xlfn.XLOOKUP($B108,params!#REF!,params!#REF!,0)*(1+_xlfn.XLOOKUP($B108,params!#REF!,params!$W$27:$W$37,0))</f>
        <v>#REF!</v>
      </c>
      <c r="AK108" s="55" t="e">
        <f t="shared" si="33"/>
        <v>#REF!</v>
      </c>
    </row>
    <row r="109" spans="1:37">
      <c r="A109" s="40" t="s">
        <v>19</v>
      </c>
      <c r="B109" s="40" t="s">
        <v>16</v>
      </c>
      <c r="C109" s="4" t="s">
        <v>53</v>
      </c>
      <c r="D109" s="91" t="s">
        <v>64</v>
      </c>
      <c r="E109" s="110" t="e">
        <f>1000*E33*_xlfn.XLOOKUP($B109,params!#REF!,params!#REF!,0)*(1+_xlfn.XLOOKUP($B109,params!#REF!,params!$W$27:$W$37,0))</f>
        <v>#REF!</v>
      </c>
      <c r="F109" s="18" t="e">
        <f>1000*F33*_xlfn.XLOOKUP($B109,params!#REF!,params!#REF!,0)*(1+_xlfn.XLOOKUP($B109,params!#REF!,params!$W$27:$W$37,0))</f>
        <v>#REF!</v>
      </c>
      <c r="G109" s="18" t="e">
        <f>1000*G33*_xlfn.XLOOKUP($B109,params!#REF!,params!#REF!,0)*(1+_xlfn.XLOOKUP($B109,params!#REF!,params!$W$27:$W$37,0))</f>
        <v>#REF!</v>
      </c>
      <c r="H109" s="18" t="e">
        <f>1000*H33*_xlfn.XLOOKUP($B109,params!#REF!,params!#REF!,0)*(1+_xlfn.XLOOKUP($B109,params!#REF!,params!$W$27:$W$37,0))</f>
        <v>#REF!</v>
      </c>
      <c r="I109" s="18" t="e">
        <f>1000*I33*_xlfn.XLOOKUP($B109,params!#REF!,params!#REF!,0)*(1+_xlfn.XLOOKUP($B109,params!#REF!,params!$W$27:$W$37,0))</f>
        <v>#REF!</v>
      </c>
      <c r="J109" s="18" t="e">
        <f>1000*J33*_xlfn.XLOOKUP($B109,params!#REF!,params!#REF!,0)*(1+_xlfn.XLOOKUP($B109,params!#REF!,params!$W$27:$W$37,0))</f>
        <v>#REF!</v>
      </c>
      <c r="K109" s="18" t="e">
        <f>1000*K33*_xlfn.XLOOKUP($B109,params!#REF!,params!#REF!,0)*(1+_xlfn.XLOOKUP($B109,params!#REF!,params!$W$27:$W$37,0))</f>
        <v>#REF!</v>
      </c>
      <c r="L109" s="18" t="e">
        <f>1000*L33*_xlfn.XLOOKUP($B109,params!#REF!,params!#REF!,0)*(1+_xlfn.XLOOKUP($B109,params!#REF!,params!$W$27:$W$37,0))</f>
        <v>#REF!</v>
      </c>
      <c r="M109" s="18" t="e">
        <f>1000*M33*_xlfn.XLOOKUP($B109,params!#REF!,params!#REF!,0)*(1+_xlfn.XLOOKUP($B109,params!#REF!,params!$W$27:$W$37,0))</f>
        <v>#REF!</v>
      </c>
      <c r="N109" s="18" t="e">
        <f>1000*N33*_xlfn.XLOOKUP($B109,params!#REF!,params!#REF!,0)*(1+_xlfn.XLOOKUP($B109,params!#REF!,params!$W$27:$W$37,0))</f>
        <v>#REF!</v>
      </c>
      <c r="O109" s="18" t="e">
        <f>1000*O33*_xlfn.XLOOKUP($B109,params!#REF!,params!#REF!,0)*(1+_xlfn.XLOOKUP($B109,params!#REF!,params!$W$27:$W$37,0))</f>
        <v>#REF!</v>
      </c>
      <c r="P109" s="18" t="e">
        <f>1000*P33*_xlfn.XLOOKUP($B109,params!#REF!,params!#REF!,0)*(1+_xlfn.XLOOKUP($B109,params!#REF!,params!$W$27:$W$37,0))</f>
        <v>#REF!</v>
      </c>
      <c r="Q109" s="18" t="e">
        <f>1000*Q33*_xlfn.XLOOKUP($B109,params!#REF!,params!#REF!,0)*(1+_xlfn.XLOOKUP($B109,params!#REF!,params!$W$27:$W$37,0))</f>
        <v>#REF!</v>
      </c>
      <c r="R109" s="18" t="e">
        <f>1000*R33*_xlfn.XLOOKUP($B109,params!#REF!,params!#REF!,0)*(1+_xlfn.XLOOKUP($B109,params!#REF!,params!$W$27:$W$37,0))</f>
        <v>#REF!</v>
      </c>
      <c r="S109" s="18" t="e">
        <f>1000*S33*_xlfn.XLOOKUP($B109,params!#REF!,params!#REF!,0)*(1+_xlfn.XLOOKUP($B109,params!#REF!,params!$W$27:$W$37,0))</f>
        <v>#REF!</v>
      </c>
      <c r="T109" s="18" t="e">
        <f>1000*T33*_xlfn.XLOOKUP($B109,params!#REF!,params!#REF!,0)*(1+_xlfn.XLOOKUP($B109,params!#REF!,params!$W$27:$W$37,0))</f>
        <v>#REF!</v>
      </c>
      <c r="U109" s="18" t="e">
        <f>1000*U33*_xlfn.XLOOKUP($B109,params!#REF!,params!#REF!,0)*(1+_xlfn.XLOOKUP($B109,params!#REF!,params!$W$27:$W$37,0))</f>
        <v>#REF!</v>
      </c>
      <c r="V109" s="18" t="e">
        <f>1000*V33*_xlfn.XLOOKUP($B109,params!#REF!,params!#REF!,0)*(1+_xlfn.XLOOKUP($B109,params!#REF!,params!$W$27:$W$37,0))</f>
        <v>#REF!</v>
      </c>
      <c r="W109" s="18" t="e">
        <f>1000*W33*_xlfn.XLOOKUP($B109,params!#REF!,params!#REF!,0)*(1+_xlfn.XLOOKUP($B109,params!#REF!,params!$W$27:$W$37,0))</f>
        <v>#REF!</v>
      </c>
      <c r="X109" s="18" t="e">
        <f>1000*X33*_xlfn.XLOOKUP($B109,params!#REF!,params!#REF!,0)*(1+_xlfn.XLOOKUP($B109,params!#REF!,params!$W$27:$W$37,0))</f>
        <v>#REF!</v>
      </c>
      <c r="Y109" s="18" t="e">
        <f>1000*Y33*_xlfn.XLOOKUP($B109,params!#REF!,params!#REF!,0)*(1+_xlfn.XLOOKUP($B109,params!#REF!,params!$W$27:$W$37,0))</f>
        <v>#REF!</v>
      </c>
      <c r="Z109" s="18" t="e">
        <f>1000*Z33*_xlfn.XLOOKUP($B109,params!#REF!,params!#REF!,0)*(1+_xlfn.XLOOKUP($B109,params!#REF!,params!$W$27:$W$37,0))</f>
        <v>#REF!</v>
      </c>
      <c r="AA109" s="18" t="e">
        <f>1000*AA33*_xlfn.XLOOKUP($B109,params!#REF!,params!#REF!,0)*(1+_xlfn.XLOOKUP($B109,params!#REF!,params!$W$27:$W$37,0))</f>
        <v>#REF!</v>
      </c>
      <c r="AB109" s="18" t="e">
        <f>1000*AB33*_xlfn.XLOOKUP($B109,params!#REF!,params!#REF!,0)*(1+_xlfn.XLOOKUP($B109,params!#REF!,params!$W$27:$W$37,0))</f>
        <v>#REF!</v>
      </c>
      <c r="AC109" s="18" t="e">
        <f>1000*AC33*_xlfn.XLOOKUP($B109,params!#REF!,params!#REF!,0)*(1+_xlfn.XLOOKUP($B109,params!#REF!,params!$W$27:$W$37,0))</f>
        <v>#REF!</v>
      </c>
      <c r="AD109" s="18" t="e">
        <f>1000*AD33*_xlfn.XLOOKUP($B109,params!#REF!,params!#REF!,0)*(1+_xlfn.XLOOKUP($B109,params!#REF!,params!$W$27:$W$37,0))</f>
        <v>#REF!</v>
      </c>
      <c r="AE109" s="18" t="e">
        <f>1000*AE33*_xlfn.XLOOKUP($B109,params!#REF!,params!#REF!,0)*(1+_xlfn.XLOOKUP($B109,params!#REF!,params!$W$27:$W$37,0))</f>
        <v>#REF!</v>
      </c>
      <c r="AF109" s="18" t="e">
        <f>1000*AF33*_xlfn.XLOOKUP($B109,params!#REF!,params!#REF!,0)*(1+_xlfn.XLOOKUP($B109,params!#REF!,params!$W$27:$W$37,0))</f>
        <v>#REF!</v>
      </c>
      <c r="AG109" s="18" t="e">
        <f>1000*AG33*_xlfn.XLOOKUP($B109,params!#REF!,params!#REF!,0)*(1+_xlfn.XLOOKUP($B109,params!#REF!,params!$W$27:$W$37,0))</f>
        <v>#REF!</v>
      </c>
      <c r="AH109" s="18" t="e">
        <f>1000*AH33*_xlfn.XLOOKUP($B109,params!#REF!,params!#REF!,0)*(1+_xlfn.XLOOKUP($B109,params!#REF!,params!$W$27:$W$37,0))</f>
        <v>#REF!</v>
      </c>
      <c r="AI109" s="18" t="e">
        <f>1000*AI33*_xlfn.XLOOKUP($B109,params!#REF!,params!#REF!,0)*(1+_xlfn.XLOOKUP($B109,params!#REF!,params!$W$27:$W$37,0))</f>
        <v>#REF!</v>
      </c>
      <c r="AJ109" s="111" t="e">
        <f>1000*AJ33*_xlfn.XLOOKUP($B109,params!#REF!,params!#REF!,0)*(1+_xlfn.XLOOKUP($B109,params!#REF!,params!$W$27:$W$37,0))</f>
        <v>#REF!</v>
      </c>
      <c r="AK109" s="55" t="e">
        <f t="shared" si="33"/>
        <v>#REF!</v>
      </c>
    </row>
    <row r="110" spans="1:37" ht="17" thickBot="1">
      <c r="A110" s="32" t="s">
        <v>19</v>
      </c>
      <c r="B110" s="32" t="s">
        <v>17</v>
      </c>
      <c r="C110" s="32" t="s">
        <v>53</v>
      </c>
      <c r="D110" s="93" t="s">
        <v>64</v>
      </c>
      <c r="E110" s="112" t="e">
        <f>1000*E34*_xlfn.XLOOKUP($B110,params!#REF!,params!#REF!,0)*(1+_xlfn.XLOOKUP($B110,params!#REF!,params!$W$27:$W$37,0))</f>
        <v>#REF!</v>
      </c>
      <c r="F110" s="113" t="e">
        <f>1000*F34*_xlfn.XLOOKUP($B110,params!#REF!,params!#REF!,0)*(1+_xlfn.XLOOKUP($B110,params!#REF!,params!$W$27:$W$37,0))</f>
        <v>#REF!</v>
      </c>
      <c r="G110" s="113" t="e">
        <f>1000*G34*_xlfn.XLOOKUP($B110,params!#REF!,params!#REF!,0)*(1+_xlfn.XLOOKUP($B110,params!#REF!,params!$W$27:$W$37,0))</f>
        <v>#REF!</v>
      </c>
      <c r="H110" s="113" t="e">
        <f>1000*H34*_xlfn.XLOOKUP($B110,params!#REF!,params!#REF!,0)*(1+_xlfn.XLOOKUP($B110,params!#REF!,params!$W$27:$W$37,0))</f>
        <v>#REF!</v>
      </c>
      <c r="I110" s="113" t="e">
        <f>1000*I34*_xlfn.XLOOKUP($B110,params!#REF!,params!#REF!,0)*(1+_xlfn.XLOOKUP($B110,params!#REF!,params!$W$27:$W$37,0))</f>
        <v>#REF!</v>
      </c>
      <c r="J110" s="113" t="e">
        <f>1000*J34*_xlfn.XLOOKUP($B110,params!#REF!,params!#REF!,0)*(1+_xlfn.XLOOKUP($B110,params!#REF!,params!$W$27:$W$37,0))</f>
        <v>#REF!</v>
      </c>
      <c r="K110" s="113" t="e">
        <f>1000*K34*_xlfn.XLOOKUP($B110,params!#REF!,params!#REF!,0)*(1+_xlfn.XLOOKUP($B110,params!#REF!,params!$W$27:$W$37,0))</f>
        <v>#REF!</v>
      </c>
      <c r="L110" s="113" t="e">
        <f>1000*L34*_xlfn.XLOOKUP($B110,params!#REF!,params!#REF!,0)*(1+_xlfn.XLOOKUP($B110,params!#REF!,params!$W$27:$W$37,0))</f>
        <v>#REF!</v>
      </c>
      <c r="M110" s="113" t="e">
        <f>1000*M34*_xlfn.XLOOKUP($B110,params!#REF!,params!#REF!,0)*(1+_xlfn.XLOOKUP($B110,params!#REF!,params!$W$27:$W$37,0))</f>
        <v>#REF!</v>
      </c>
      <c r="N110" s="113" t="e">
        <f>1000*N34*_xlfn.XLOOKUP($B110,params!#REF!,params!#REF!,0)*(1+_xlfn.XLOOKUP($B110,params!#REF!,params!$W$27:$W$37,0))</f>
        <v>#REF!</v>
      </c>
      <c r="O110" s="113" t="e">
        <f>1000*O34*_xlfn.XLOOKUP($B110,params!#REF!,params!#REF!,0)*(1+_xlfn.XLOOKUP($B110,params!#REF!,params!$W$27:$W$37,0))</f>
        <v>#REF!</v>
      </c>
      <c r="P110" s="113" t="e">
        <f>1000*P34*_xlfn.XLOOKUP($B110,params!#REF!,params!#REF!,0)*(1+_xlfn.XLOOKUP($B110,params!#REF!,params!$W$27:$W$37,0))</f>
        <v>#REF!</v>
      </c>
      <c r="Q110" s="113" t="e">
        <f>1000*Q34*_xlfn.XLOOKUP($B110,params!#REF!,params!#REF!,0)*(1+_xlfn.XLOOKUP($B110,params!#REF!,params!$W$27:$W$37,0))</f>
        <v>#REF!</v>
      </c>
      <c r="R110" s="113" t="e">
        <f>1000*R34*_xlfn.XLOOKUP($B110,params!#REF!,params!#REF!,0)*(1+_xlfn.XLOOKUP($B110,params!#REF!,params!$W$27:$W$37,0))</f>
        <v>#REF!</v>
      </c>
      <c r="S110" s="113" t="e">
        <f>1000*S34*_xlfn.XLOOKUP($B110,params!#REF!,params!#REF!,0)*(1+_xlfn.XLOOKUP($B110,params!#REF!,params!$W$27:$W$37,0))</f>
        <v>#REF!</v>
      </c>
      <c r="T110" s="113" t="e">
        <f>1000*T34*_xlfn.XLOOKUP($B110,params!#REF!,params!#REF!,0)*(1+_xlfn.XLOOKUP($B110,params!#REF!,params!$W$27:$W$37,0))</f>
        <v>#REF!</v>
      </c>
      <c r="U110" s="113" t="e">
        <f>1000*U34*_xlfn.XLOOKUP($B110,params!#REF!,params!#REF!,0)*(1+_xlfn.XLOOKUP($B110,params!#REF!,params!$W$27:$W$37,0))</f>
        <v>#REF!</v>
      </c>
      <c r="V110" s="113" t="e">
        <f>1000*V34*_xlfn.XLOOKUP($B110,params!#REF!,params!#REF!,0)*(1+_xlfn.XLOOKUP($B110,params!#REF!,params!$W$27:$W$37,0))</f>
        <v>#REF!</v>
      </c>
      <c r="W110" s="113" t="e">
        <f>1000*W34*_xlfn.XLOOKUP($B110,params!#REF!,params!#REF!,0)*(1+_xlfn.XLOOKUP($B110,params!#REF!,params!$W$27:$W$37,0))</f>
        <v>#REF!</v>
      </c>
      <c r="X110" s="113" t="e">
        <f>1000*X34*_xlfn.XLOOKUP($B110,params!#REF!,params!#REF!,0)*(1+_xlfn.XLOOKUP($B110,params!#REF!,params!$W$27:$W$37,0))</f>
        <v>#REF!</v>
      </c>
      <c r="Y110" s="113" t="e">
        <f>1000*Y34*_xlfn.XLOOKUP($B110,params!#REF!,params!#REF!,0)*(1+_xlfn.XLOOKUP($B110,params!#REF!,params!$W$27:$W$37,0))</f>
        <v>#REF!</v>
      </c>
      <c r="Z110" s="113" t="e">
        <f>1000*Z34*_xlfn.XLOOKUP($B110,params!#REF!,params!#REF!,0)*(1+_xlfn.XLOOKUP($B110,params!#REF!,params!$W$27:$W$37,0))</f>
        <v>#REF!</v>
      </c>
      <c r="AA110" s="113" t="e">
        <f>1000*AA34*_xlfn.XLOOKUP($B110,params!#REF!,params!#REF!,0)*(1+_xlfn.XLOOKUP($B110,params!#REF!,params!$W$27:$W$37,0))</f>
        <v>#REF!</v>
      </c>
      <c r="AB110" s="113" t="e">
        <f>1000*AB34*_xlfn.XLOOKUP($B110,params!#REF!,params!#REF!,0)*(1+_xlfn.XLOOKUP($B110,params!#REF!,params!$W$27:$W$37,0))</f>
        <v>#REF!</v>
      </c>
      <c r="AC110" s="113" t="e">
        <f>1000*AC34*_xlfn.XLOOKUP($B110,params!#REF!,params!#REF!,0)*(1+_xlfn.XLOOKUP($B110,params!#REF!,params!$W$27:$W$37,0))</f>
        <v>#REF!</v>
      </c>
      <c r="AD110" s="113" t="e">
        <f>1000*AD34*_xlfn.XLOOKUP($B110,params!#REF!,params!#REF!,0)*(1+_xlfn.XLOOKUP($B110,params!#REF!,params!$W$27:$W$37,0))</f>
        <v>#REF!</v>
      </c>
      <c r="AE110" s="113" t="e">
        <f>1000*AE34*_xlfn.XLOOKUP($B110,params!#REF!,params!#REF!,0)*(1+_xlfn.XLOOKUP($B110,params!#REF!,params!$W$27:$W$37,0))</f>
        <v>#REF!</v>
      </c>
      <c r="AF110" s="113" t="e">
        <f>1000*AF34*_xlfn.XLOOKUP($B110,params!#REF!,params!#REF!,0)*(1+_xlfn.XLOOKUP($B110,params!#REF!,params!$W$27:$W$37,0))</f>
        <v>#REF!</v>
      </c>
      <c r="AG110" s="113" t="e">
        <f>1000*AG34*_xlfn.XLOOKUP($B110,params!#REF!,params!#REF!,0)*(1+_xlfn.XLOOKUP($B110,params!#REF!,params!$W$27:$W$37,0))</f>
        <v>#REF!</v>
      </c>
      <c r="AH110" s="113" t="e">
        <f>1000*AH34*_xlfn.XLOOKUP($B110,params!#REF!,params!#REF!,0)*(1+_xlfn.XLOOKUP($B110,params!#REF!,params!$W$27:$W$37,0))</f>
        <v>#REF!</v>
      </c>
      <c r="AI110" s="113" t="e">
        <f>1000*AI34*_xlfn.XLOOKUP($B110,params!#REF!,params!#REF!,0)*(1+_xlfn.XLOOKUP($B110,params!#REF!,params!$W$27:$W$37,0))</f>
        <v>#REF!</v>
      </c>
      <c r="AJ110" s="114" t="e">
        <f>1000*AJ34*_xlfn.XLOOKUP($B110,params!#REF!,params!#REF!,0)*(1+_xlfn.XLOOKUP($B110,params!#REF!,params!$W$27:$W$37,0))</f>
        <v>#REF!</v>
      </c>
      <c r="AK110" s="55" t="e">
        <f t="shared" si="33"/>
        <v>#REF!</v>
      </c>
    </row>
    <row r="111" spans="1:37">
      <c r="D111" t="s">
        <v>4</v>
      </c>
      <c r="E111" s="54" t="e">
        <f>SUM(E78:E88)</f>
        <v>#REF!</v>
      </c>
      <c r="F111" s="54" t="e">
        <f t="shared" ref="F111:AJ111" si="37">SUM(F78:F88)</f>
        <v>#REF!</v>
      </c>
      <c r="G111" s="54" t="e">
        <f t="shared" si="37"/>
        <v>#REF!</v>
      </c>
      <c r="H111" s="54" t="e">
        <f t="shared" si="37"/>
        <v>#REF!</v>
      </c>
      <c r="I111" s="54" t="e">
        <f t="shared" si="37"/>
        <v>#REF!</v>
      </c>
      <c r="J111" s="54" t="e">
        <f t="shared" si="37"/>
        <v>#REF!</v>
      </c>
      <c r="K111" s="54" t="e">
        <f t="shared" si="37"/>
        <v>#REF!</v>
      </c>
      <c r="L111" s="54" t="e">
        <f t="shared" si="37"/>
        <v>#REF!</v>
      </c>
      <c r="M111" s="54" t="e">
        <f t="shared" si="37"/>
        <v>#REF!</v>
      </c>
      <c r="N111" s="54" t="e">
        <f t="shared" si="37"/>
        <v>#REF!</v>
      </c>
      <c r="O111" s="54" t="e">
        <f t="shared" si="37"/>
        <v>#REF!</v>
      </c>
      <c r="P111" s="54" t="e">
        <f t="shared" si="37"/>
        <v>#REF!</v>
      </c>
      <c r="Q111" s="54" t="e">
        <f t="shared" si="37"/>
        <v>#REF!</v>
      </c>
      <c r="R111" s="54" t="e">
        <f t="shared" si="37"/>
        <v>#REF!</v>
      </c>
      <c r="S111" s="54" t="e">
        <f t="shared" si="37"/>
        <v>#REF!</v>
      </c>
      <c r="T111" s="54" t="e">
        <f t="shared" si="37"/>
        <v>#REF!</v>
      </c>
      <c r="U111" s="54" t="e">
        <f t="shared" si="37"/>
        <v>#REF!</v>
      </c>
      <c r="V111" s="54" t="e">
        <f t="shared" si="37"/>
        <v>#REF!</v>
      </c>
      <c r="W111" s="54" t="e">
        <f t="shared" si="37"/>
        <v>#REF!</v>
      </c>
      <c r="X111" s="54" t="e">
        <f t="shared" si="37"/>
        <v>#REF!</v>
      </c>
      <c r="Y111" s="54" t="e">
        <f t="shared" si="37"/>
        <v>#REF!</v>
      </c>
      <c r="Z111" s="54" t="e">
        <f t="shared" si="37"/>
        <v>#REF!</v>
      </c>
      <c r="AA111" s="54" t="e">
        <f t="shared" si="37"/>
        <v>#REF!</v>
      </c>
      <c r="AB111" s="54" t="e">
        <f t="shared" si="37"/>
        <v>#REF!</v>
      </c>
      <c r="AC111" s="54" t="e">
        <f t="shared" si="37"/>
        <v>#REF!</v>
      </c>
      <c r="AD111" s="54" t="e">
        <f t="shared" si="37"/>
        <v>#REF!</v>
      </c>
      <c r="AE111" s="54" t="e">
        <f t="shared" si="37"/>
        <v>#REF!</v>
      </c>
      <c r="AF111" s="54" t="e">
        <f t="shared" si="37"/>
        <v>#REF!</v>
      </c>
      <c r="AG111" s="54" t="e">
        <f t="shared" si="37"/>
        <v>#REF!</v>
      </c>
      <c r="AH111" s="54" t="e">
        <f t="shared" si="37"/>
        <v>#REF!</v>
      </c>
      <c r="AI111" s="54" t="e">
        <f t="shared" si="37"/>
        <v>#REF!</v>
      </c>
      <c r="AJ111" s="54" t="e">
        <f t="shared" si="37"/>
        <v>#REF!</v>
      </c>
      <c r="AK111" s="55" t="e">
        <f t="shared" si="33"/>
        <v>#REF!</v>
      </c>
    </row>
    <row r="112" spans="1:37">
      <c r="D112" t="s">
        <v>18</v>
      </c>
      <c r="E112" s="54" t="e">
        <f>SUM(E89:E99)</f>
        <v>#REF!</v>
      </c>
      <c r="F112" s="54" t="e">
        <f t="shared" ref="F112:AJ112" si="38">SUM(F89:F99)</f>
        <v>#REF!</v>
      </c>
      <c r="G112" s="54" t="e">
        <f t="shared" si="38"/>
        <v>#REF!</v>
      </c>
      <c r="H112" s="54" t="e">
        <f t="shared" si="38"/>
        <v>#REF!</v>
      </c>
      <c r="I112" s="54" t="e">
        <f t="shared" si="38"/>
        <v>#REF!</v>
      </c>
      <c r="J112" s="54" t="e">
        <f t="shared" si="38"/>
        <v>#REF!</v>
      </c>
      <c r="K112" s="54" t="e">
        <f t="shared" si="38"/>
        <v>#REF!</v>
      </c>
      <c r="L112" s="54" t="e">
        <f t="shared" si="38"/>
        <v>#REF!</v>
      </c>
      <c r="M112" s="54" t="e">
        <f t="shared" si="38"/>
        <v>#REF!</v>
      </c>
      <c r="N112" s="54" t="e">
        <f t="shared" si="38"/>
        <v>#REF!</v>
      </c>
      <c r="O112" s="54" t="e">
        <f t="shared" si="38"/>
        <v>#REF!</v>
      </c>
      <c r="P112" s="54" t="e">
        <f t="shared" si="38"/>
        <v>#REF!</v>
      </c>
      <c r="Q112" s="54" t="e">
        <f t="shared" si="38"/>
        <v>#REF!</v>
      </c>
      <c r="R112" s="54" t="e">
        <f t="shared" si="38"/>
        <v>#REF!</v>
      </c>
      <c r="S112" s="54" t="e">
        <f t="shared" si="38"/>
        <v>#REF!</v>
      </c>
      <c r="T112" s="54" t="e">
        <f t="shared" si="38"/>
        <v>#REF!</v>
      </c>
      <c r="U112" s="54" t="e">
        <f t="shared" si="38"/>
        <v>#REF!</v>
      </c>
      <c r="V112" s="54" t="e">
        <f t="shared" si="38"/>
        <v>#REF!</v>
      </c>
      <c r="W112" s="54" t="e">
        <f t="shared" si="38"/>
        <v>#REF!</v>
      </c>
      <c r="X112" s="54" t="e">
        <f t="shared" si="38"/>
        <v>#REF!</v>
      </c>
      <c r="Y112" s="54" t="e">
        <f t="shared" si="38"/>
        <v>#REF!</v>
      </c>
      <c r="Z112" s="54" t="e">
        <f t="shared" si="38"/>
        <v>#REF!</v>
      </c>
      <c r="AA112" s="54" t="e">
        <f t="shared" si="38"/>
        <v>#REF!</v>
      </c>
      <c r="AB112" s="54" t="e">
        <f t="shared" si="38"/>
        <v>#REF!</v>
      </c>
      <c r="AC112" s="54" t="e">
        <f t="shared" si="38"/>
        <v>#REF!</v>
      </c>
      <c r="AD112" s="54" t="e">
        <f t="shared" si="38"/>
        <v>#REF!</v>
      </c>
      <c r="AE112" s="54" t="e">
        <f t="shared" si="38"/>
        <v>#REF!</v>
      </c>
      <c r="AF112" s="54" t="e">
        <f t="shared" si="38"/>
        <v>#REF!</v>
      </c>
      <c r="AG112" s="54" t="e">
        <f t="shared" si="38"/>
        <v>#REF!</v>
      </c>
      <c r="AH112" s="54" t="e">
        <f t="shared" si="38"/>
        <v>#REF!</v>
      </c>
      <c r="AI112" s="54" t="e">
        <f t="shared" si="38"/>
        <v>#REF!</v>
      </c>
      <c r="AJ112" s="54" t="e">
        <f t="shared" si="38"/>
        <v>#REF!</v>
      </c>
      <c r="AK112" s="55" t="e">
        <f t="shared" si="33"/>
        <v>#REF!</v>
      </c>
    </row>
    <row r="113" spans="4:37">
      <c r="D113" t="s">
        <v>19</v>
      </c>
      <c r="E113" s="54" t="e">
        <f>SUM(E100:E110)</f>
        <v>#REF!</v>
      </c>
      <c r="F113" s="54" t="e">
        <f t="shared" ref="F113:AJ113" si="39">SUM(F100:F110)</f>
        <v>#REF!</v>
      </c>
      <c r="G113" s="54" t="e">
        <f t="shared" si="39"/>
        <v>#REF!</v>
      </c>
      <c r="H113" s="54" t="e">
        <f t="shared" si="39"/>
        <v>#REF!</v>
      </c>
      <c r="I113" s="54" t="e">
        <f t="shared" si="39"/>
        <v>#REF!</v>
      </c>
      <c r="J113" s="54" t="e">
        <f t="shared" si="39"/>
        <v>#REF!</v>
      </c>
      <c r="K113" s="54" t="e">
        <f t="shared" si="39"/>
        <v>#REF!</v>
      </c>
      <c r="L113" s="54" t="e">
        <f t="shared" si="39"/>
        <v>#REF!</v>
      </c>
      <c r="M113" s="54" t="e">
        <f t="shared" si="39"/>
        <v>#REF!</v>
      </c>
      <c r="N113" s="54" t="e">
        <f t="shared" si="39"/>
        <v>#REF!</v>
      </c>
      <c r="O113" s="54" t="e">
        <f t="shared" si="39"/>
        <v>#REF!</v>
      </c>
      <c r="P113" s="54" t="e">
        <f t="shared" si="39"/>
        <v>#REF!</v>
      </c>
      <c r="Q113" s="54" t="e">
        <f t="shared" si="39"/>
        <v>#REF!</v>
      </c>
      <c r="R113" s="54" t="e">
        <f t="shared" si="39"/>
        <v>#REF!</v>
      </c>
      <c r="S113" s="54" t="e">
        <f t="shared" si="39"/>
        <v>#REF!</v>
      </c>
      <c r="T113" s="54" t="e">
        <f t="shared" si="39"/>
        <v>#REF!</v>
      </c>
      <c r="U113" s="54" t="e">
        <f t="shared" si="39"/>
        <v>#REF!</v>
      </c>
      <c r="V113" s="54" t="e">
        <f t="shared" si="39"/>
        <v>#REF!</v>
      </c>
      <c r="W113" s="54" t="e">
        <f t="shared" si="39"/>
        <v>#REF!</v>
      </c>
      <c r="X113" s="54" t="e">
        <f t="shared" si="39"/>
        <v>#REF!</v>
      </c>
      <c r="Y113" s="54" t="e">
        <f t="shared" si="39"/>
        <v>#REF!</v>
      </c>
      <c r="Z113" s="54" t="e">
        <f t="shared" si="39"/>
        <v>#REF!</v>
      </c>
      <c r="AA113" s="54" t="e">
        <f t="shared" si="39"/>
        <v>#REF!</v>
      </c>
      <c r="AB113" s="54" t="e">
        <f t="shared" si="39"/>
        <v>#REF!</v>
      </c>
      <c r="AC113" s="54" t="e">
        <f t="shared" si="39"/>
        <v>#REF!</v>
      </c>
      <c r="AD113" s="54" t="e">
        <f t="shared" si="39"/>
        <v>#REF!</v>
      </c>
      <c r="AE113" s="54" t="e">
        <f t="shared" si="39"/>
        <v>#REF!</v>
      </c>
      <c r="AF113" s="54" t="e">
        <f t="shared" si="39"/>
        <v>#REF!</v>
      </c>
      <c r="AG113" s="54" t="e">
        <f t="shared" si="39"/>
        <v>#REF!</v>
      </c>
      <c r="AH113" s="54" t="e">
        <f t="shared" si="39"/>
        <v>#REF!</v>
      </c>
      <c r="AI113" s="54" t="e">
        <f t="shared" si="39"/>
        <v>#REF!</v>
      </c>
      <c r="AJ113" s="54" t="e">
        <f t="shared" si="39"/>
        <v>#REF!</v>
      </c>
      <c r="AK113" s="55" t="e">
        <f>SUM(K113:AJ113)</f>
        <v>#REF!</v>
      </c>
    </row>
    <row r="115" spans="4:37">
      <c r="AK115" s="25"/>
    </row>
    <row r="116" spans="4:37">
      <c r="AK116" s="55"/>
    </row>
    <row r="117" spans="4:37">
      <c r="AK117" s="55"/>
    </row>
    <row r="118" spans="4:37">
      <c r="AK118" s="55"/>
    </row>
    <row r="119" spans="4:37">
      <c r="AK119" s="55"/>
    </row>
    <row r="120" spans="4:37">
      <c r="AK120" s="55"/>
    </row>
    <row r="121" spans="4:37">
      <c r="AK121" s="55"/>
    </row>
    <row r="122" spans="4:37">
      <c r="AK122" s="55"/>
    </row>
    <row r="123" spans="4:37">
      <c r="AK123" s="55"/>
    </row>
    <row r="124" spans="4:37">
      <c r="AK124" s="55"/>
    </row>
    <row r="125" spans="4:37">
      <c r="AK125" s="55"/>
    </row>
    <row r="126" spans="4:37">
      <c r="AK126" s="55"/>
    </row>
    <row r="127" spans="4:37">
      <c r="AK127" s="55"/>
    </row>
    <row r="128" spans="4:37">
      <c r="AK128" s="55"/>
    </row>
    <row r="129" spans="37:37">
      <c r="AK129" s="55"/>
    </row>
    <row r="130" spans="37:37">
      <c r="AK130" s="55"/>
    </row>
    <row r="131" spans="37:37">
      <c r="AK131" s="55"/>
    </row>
    <row r="132" spans="37:37">
      <c r="AK132" s="55"/>
    </row>
    <row r="133" spans="37:37">
      <c r="AK133" s="55"/>
    </row>
    <row r="134" spans="37:37">
      <c r="AK134" s="55"/>
    </row>
    <row r="135" spans="37:37">
      <c r="AK135" s="55"/>
    </row>
    <row r="136" spans="37:37">
      <c r="AK136" s="55"/>
    </row>
    <row r="137" spans="37:37">
      <c r="AK137" s="55"/>
    </row>
    <row r="138" spans="37:37">
      <c r="AK138" s="55"/>
    </row>
    <row r="139" spans="37:37">
      <c r="AK139" s="55"/>
    </row>
    <row r="140" spans="37:37">
      <c r="AK140" s="55"/>
    </row>
    <row r="141" spans="37:37">
      <c r="AK141" s="55"/>
    </row>
    <row r="142" spans="37:37">
      <c r="AK142" s="55"/>
    </row>
    <row r="143" spans="37:37">
      <c r="AK143" s="55"/>
    </row>
    <row r="144" spans="37:37">
      <c r="AK144" s="55"/>
    </row>
    <row r="145" spans="37:37">
      <c r="AK145" s="55"/>
    </row>
    <row r="146" spans="37:37">
      <c r="AK146" s="55"/>
    </row>
    <row r="147" spans="37:37">
      <c r="AK147" s="55"/>
    </row>
    <row r="148" spans="37:37">
      <c r="AK148" s="55"/>
    </row>
    <row r="149" spans="37:37">
      <c r="AK149" s="55"/>
    </row>
    <row r="150" spans="37:37">
      <c r="AK150" s="55"/>
    </row>
    <row r="151" spans="37:37">
      <c r="AK151" s="55"/>
    </row>
    <row r="153" spans="37:37">
      <c r="AK153" s="25" t="s">
        <v>65</v>
      </c>
    </row>
    <row r="154" spans="37:37">
      <c r="AK154" s="55">
        <f>SUM(K154:AJ154)</f>
        <v>0</v>
      </c>
    </row>
    <row r="155" spans="37:37">
      <c r="AK155" s="55">
        <f t="shared" ref="AK155:AK188" si="40">SUM(K155:AJ155)</f>
        <v>0</v>
      </c>
    </row>
    <row r="156" spans="37:37">
      <c r="AK156" s="55">
        <f t="shared" si="40"/>
        <v>0</v>
      </c>
    </row>
    <row r="157" spans="37:37">
      <c r="AK157" s="55">
        <f t="shared" si="40"/>
        <v>0</v>
      </c>
    </row>
    <row r="158" spans="37:37">
      <c r="AK158" s="55">
        <f t="shared" si="40"/>
        <v>0</v>
      </c>
    </row>
    <row r="159" spans="37:37">
      <c r="AK159" s="55">
        <f t="shared" si="40"/>
        <v>0</v>
      </c>
    </row>
    <row r="160" spans="37:37">
      <c r="AK160" s="55">
        <f t="shared" si="40"/>
        <v>0</v>
      </c>
    </row>
    <row r="161" spans="37:37">
      <c r="AK161" s="55">
        <f t="shared" si="40"/>
        <v>0</v>
      </c>
    </row>
    <row r="162" spans="37:37">
      <c r="AK162" s="55">
        <f t="shared" si="40"/>
        <v>0</v>
      </c>
    </row>
    <row r="163" spans="37:37">
      <c r="AK163" s="55">
        <f t="shared" si="40"/>
        <v>0</v>
      </c>
    </row>
    <row r="164" spans="37:37">
      <c r="AK164" s="55">
        <f t="shared" si="40"/>
        <v>0</v>
      </c>
    </row>
    <row r="165" spans="37:37">
      <c r="AK165" s="55">
        <f t="shared" si="40"/>
        <v>0</v>
      </c>
    </row>
    <row r="166" spans="37:37">
      <c r="AK166" s="55">
        <f t="shared" si="40"/>
        <v>0</v>
      </c>
    </row>
    <row r="167" spans="37:37">
      <c r="AK167" s="55">
        <f t="shared" si="40"/>
        <v>0</v>
      </c>
    </row>
    <row r="168" spans="37:37">
      <c r="AK168" s="55">
        <f t="shared" si="40"/>
        <v>0</v>
      </c>
    </row>
    <row r="169" spans="37:37">
      <c r="AK169" s="55">
        <f t="shared" si="40"/>
        <v>0</v>
      </c>
    </row>
    <row r="170" spans="37:37">
      <c r="AK170" s="55">
        <f t="shared" si="40"/>
        <v>0</v>
      </c>
    </row>
    <row r="171" spans="37:37">
      <c r="AK171" s="55">
        <f t="shared" si="40"/>
        <v>0</v>
      </c>
    </row>
    <row r="172" spans="37:37">
      <c r="AK172" s="55">
        <f t="shared" si="40"/>
        <v>0</v>
      </c>
    </row>
    <row r="173" spans="37:37">
      <c r="AK173" s="55">
        <f t="shared" si="40"/>
        <v>0</v>
      </c>
    </row>
    <row r="174" spans="37:37">
      <c r="AK174" s="55">
        <f t="shared" si="40"/>
        <v>0</v>
      </c>
    </row>
    <row r="175" spans="37:37">
      <c r="AK175" s="55">
        <f t="shared" si="40"/>
        <v>0</v>
      </c>
    </row>
    <row r="176" spans="37:37">
      <c r="AK176" s="55">
        <f t="shared" si="40"/>
        <v>0</v>
      </c>
    </row>
    <row r="177" spans="37:37">
      <c r="AK177" s="55">
        <f t="shared" si="40"/>
        <v>0</v>
      </c>
    </row>
    <row r="178" spans="37:37">
      <c r="AK178" s="55">
        <f t="shared" si="40"/>
        <v>0</v>
      </c>
    </row>
    <row r="179" spans="37:37">
      <c r="AK179" s="55">
        <f t="shared" si="40"/>
        <v>0</v>
      </c>
    </row>
    <row r="180" spans="37:37">
      <c r="AK180" s="55">
        <f t="shared" si="40"/>
        <v>0</v>
      </c>
    </row>
    <row r="181" spans="37:37">
      <c r="AK181" s="55">
        <f t="shared" si="40"/>
        <v>0</v>
      </c>
    </row>
    <row r="182" spans="37:37">
      <c r="AK182" s="55">
        <f t="shared" si="40"/>
        <v>0</v>
      </c>
    </row>
    <row r="183" spans="37:37">
      <c r="AK183" s="55">
        <f t="shared" si="40"/>
        <v>0</v>
      </c>
    </row>
    <row r="184" spans="37:37">
      <c r="AK184" s="55">
        <f t="shared" si="40"/>
        <v>0</v>
      </c>
    </row>
    <row r="185" spans="37:37">
      <c r="AK185" s="55">
        <f t="shared" si="40"/>
        <v>0</v>
      </c>
    </row>
    <row r="186" spans="37:37">
      <c r="AK186" s="55">
        <f t="shared" si="40"/>
        <v>0</v>
      </c>
    </row>
    <row r="187" spans="37:37">
      <c r="AK187" s="55">
        <f t="shared" si="40"/>
        <v>0</v>
      </c>
    </row>
    <row r="188" spans="37:37">
      <c r="AK188" s="55">
        <f t="shared" si="40"/>
        <v>0</v>
      </c>
    </row>
    <row r="189" spans="37:37">
      <c r="AK189" s="55">
        <f>SUM(K189:AJ189)</f>
        <v>0</v>
      </c>
    </row>
    <row r="191" spans="37:37">
      <c r="AK191" s="25" t="s">
        <v>65</v>
      </c>
    </row>
    <row r="192" spans="37:37">
      <c r="AK192" s="55">
        <f>SUM(K192:AJ192)</f>
        <v>0</v>
      </c>
    </row>
    <row r="193" spans="37:37">
      <c r="AK193" s="55">
        <f t="shared" ref="AK193:AK226" si="41">SUM(K193:AJ193)</f>
        <v>0</v>
      </c>
    </row>
    <row r="194" spans="37:37">
      <c r="AK194" s="55">
        <f t="shared" si="41"/>
        <v>0</v>
      </c>
    </row>
    <row r="195" spans="37:37">
      <c r="AK195" s="55">
        <f t="shared" si="41"/>
        <v>0</v>
      </c>
    </row>
    <row r="196" spans="37:37">
      <c r="AK196" s="55">
        <f t="shared" si="41"/>
        <v>0</v>
      </c>
    </row>
    <row r="197" spans="37:37">
      <c r="AK197" s="55">
        <f t="shared" si="41"/>
        <v>0</v>
      </c>
    </row>
    <row r="198" spans="37:37">
      <c r="AK198" s="55">
        <f t="shared" si="41"/>
        <v>0</v>
      </c>
    </row>
    <row r="199" spans="37:37">
      <c r="AK199" s="55">
        <f t="shared" si="41"/>
        <v>0</v>
      </c>
    </row>
    <row r="200" spans="37:37">
      <c r="AK200" s="55">
        <f t="shared" si="41"/>
        <v>0</v>
      </c>
    </row>
    <row r="201" spans="37:37">
      <c r="AK201" s="55">
        <f t="shared" si="41"/>
        <v>0</v>
      </c>
    </row>
    <row r="202" spans="37:37">
      <c r="AK202" s="55">
        <f t="shared" si="41"/>
        <v>0</v>
      </c>
    </row>
    <row r="203" spans="37:37">
      <c r="AK203" s="55">
        <f t="shared" si="41"/>
        <v>0</v>
      </c>
    </row>
    <row r="204" spans="37:37">
      <c r="AK204" s="55">
        <f t="shared" si="41"/>
        <v>0</v>
      </c>
    </row>
    <row r="205" spans="37:37">
      <c r="AK205" s="55">
        <f t="shared" si="41"/>
        <v>0</v>
      </c>
    </row>
    <row r="206" spans="37:37">
      <c r="AK206" s="55">
        <f t="shared" si="41"/>
        <v>0</v>
      </c>
    </row>
    <row r="207" spans="37:37">
      <c r="AK207" s="55">
        <f t="shared" si="41"/>
        <v>0</v>
      </c>
    </row>
    <row r="208" spans="37:37">
      <c r="AK208" s="55">
        <f t="shared" si="41"/>
        <v>0</v>
      </c>
    </row>
    <row r="209" spans="37:37">
      <c r="AK209" s="55">
        <f t="shared" si="41"/>
        <v>0</v>
      </c>
    </row>
    <row r="210" spans="37:37">
      <c r="AK210" s="55">
        <f t="shared" si="41"/>
        <v>0</v>
      </c>
    </row>
    <row r="211" spans="37:37">
      <c r="AK211" s="55">
        <f t="shared" si="41"/>
        <v>0</v>
      </c>
    </row>
    <row r="212" spans="37:37">
      <c r="AK212" s="55">
        <f t="shared" si="41"/>
        <v>0</v>
      </c>
    </row>
    <row r="213" spans="37:37">
      <c r="AK213" s="55">
        <f t="shared" si="41"/>
        <v>0</v>
      </c>
    </row>
    <row r="214" spans="37:37">
      <c r="AK214" s="55">
        <f t="shared" si="41"/>
        <v>0</v>
      </c>
    </row>
    <row r="215" spans="37:37">
      <c r="AK215" s="55">
        <f t="shared" si="41"/>
        <v>0</v>
      </c>
    </row>
    <row r="216" spans="37:37">
      <c r="AK216" s="55">
        <f t="shared" si="41"/>
        <v>0</v>
      </c>
    </row>
    <row r="217" spans="37:37">
      <c r="AK217" s="55">
        <f t="shared" si="41"/>
        <v>0</v>
      </c>
    </row>
    <row r="218" spans="37:37">
      <c r="AK218" s="55">
        <f t="shared" si="41"/>
        <v>0</v>
      </c>
    </row>
    <row r="219" spans="37:37">
      <c r="AK219" s="55">
        <f t="shared" si="41"/>
        <v>0</v>
      </c>
    </row>
    <row r="220" spans="37:37">
      <c r="AK220" s="55">
        <f t="shared" si="41"/>
        <v>0</v>
      </c>
    </row>
    <row r="221" spans="37:37">
      <c r="AK221" s="55">
        <f t="shared" si="41"/>
        <v>0</v>
      </c>
    </row>
    <row r="222" spans="37:37">
      <c r="AK222" s="55">
        <f t="shared" si="41"/>
        <v>0</v>
      </c>
    </row>
    <row r="223" spans="37:37">
      <c r="AK223" s="55">
        <f t="shared" si="41"/>
        <v>0</v>
      </c>
    </row>
    <row r="224" spans="37:37">
      <c r="AK224" s="55">
        <f t="shared" si="41"/>
        <v>0</v>
      </c>
    </row>
    <row r="225" spans="37:37">
      <c r="AK225" s="55">
        <f t="shared" si="41"/>
        <v>0</v>
      </c>
    </row>
    <row r="226" spans="37:37">
      <c r="AK226" s="55">
        <f t="shared" si="41"/>
        <v>0</v>
      </c>
    </row>
    <row r="227" spans="37:37">
      <c r="AK227" s="55">
        <f>SUM(K227:AJ227)</f>
        <v>0</v>
      </c>
    </row>
    <row r="229" spans="37:37">
      <c r="AK229" s="25" t="s">
        <v>65</v>
      </c>
    </row>
    <row r="230" spans="37:37">
      <c r="AK230" s="55">
        <f>SUM(K230:AJ230)</f>
        <v>0</v>
      </c>
    </row>
    <row r="231" spans="37:37">
      <c r="AK231" s="55">
        <f t="shared" ref="AK231:AK264" si="42">SUM(K231:AJ231)</f>
        <v>0</v>
      </c>
    </row>
    <row r="232" spans="37:37">
      <c r="AK232" s="55">
        <f t="shared" si="42"/>
        <v>0</v>
      </c>
    </row>
    <row r="233" spans="37:37">
      <c r="AK233" s="55">
        <f t="shared" si="42"/>
        <v>0</v>
      </c>
    </row>
    <row r="234" spans="37:37">
      <c r="AK234" s="55">
        <f t="shared" si="42"/>
        <v>0</v>
      </c>
    </row>
    <row r="235" spans="37:37">
      <c r="AK235" s="55">
        <f t="shared" si="42"/>
        <v>0</v>
      </c>
    </row>
    <row r="236" spans="37:37">
      <c r="AK236" s="55">
        <f t="shared" si="42"/>
        <v>0</v>
      </c>
    </row>
    <row r="237" spans="37:37">
      <c r="AK237" s="55">
        <f t="shared" si="42"/>
        <v>0</v>
      </c>
    </row>
    <row r="238" spans="37:37">
      <c r="AK238" s="55">
        <f t="shared" si="42"/>
        <v>0</v>
      </c>
    </row>
    <row r="239" spans="37:37">
      <c r="AK239" s="55">
        <f t="shared" si="42"/>
        <v>0</v>
      </c>
    </row>
    <row r="240" spans="37:37">
      <c r="AK240" s="55">
        <f t="shared" si="42"/>
        <v>0</v>
      </c>
    </row>
    <row r="241" spans="37:37">
      <c r="AK241" s="55">
        <f t="shared" si="42"/>
        <v>0</v>
      </c>
    </row>
    <row r="242" spans="37:37">
      <c r="AK242" s="55">
        <f t="shared" si="42"/>
        <v>0</v>
      </c>
    </row>
    <row r="243" spans="37:37">
      <c r="AK243" s="55">
        <f t="shared" si="42"/>
        <v>0</v>
      </c>
    </row>
    <row r="244" spans="37:37">
      <c r="AK244" s="55">
        <f t="shared" si="42"/>
        <v>0</v>
      </c>
    </row>
    <row r="245" spans="37:37">
      <c r="AK245" s="55">
        <f t="shared" si="42"/>
        <v>0</v>
      </c>
    </row>
    <row r="246" spans="37:37">
      <c r="AK246" s="55">
        <f t="shared" si="42"/>
        <v>0</v>
      </c>
    </row>
    <row r="247" spans="37:37">
      <c r="AK247" s="55">
        <f t="shared" si="42"/>
        <v>0</v>
      </c>
    </row>
    <row r="248" spans="37:37">
      <c r="AK248" s="55">
        <f t="shared" si="42"/>
        <v>0</v>
      </c>
    </row>
    <row r="249" spans="37:37">
      <c r="AK249" s="55">
        <f t="shared" si="42"/>
        <v>0</v>
      </c>
    </row>
    <row r="250" spans="37:37">
      <c r="AK250" s="55">
        <f t="shared" si="42"/>
        <v>0</v>
      </c>
    </row>
    <row r="251" spans="37:37">
      <c r="AK251" s="55">
        <f t="shared" si="42"/>
        <v>0</v>
      </c>
    </row>
    <row r="252" spans="37:37">
      <c r="AK252" s="55">
        <f t="shared" si="42"/>
        <v>0</v>
      </c>
    </row>
    <row r="253" spans="37:37">
      <c r="AK253" s="55">
        <f t="shared" si="42"/>
        <v>0</v>
      </c>
    </row>
    <row r="254" spans="37:37">
      <c r="AK254" s="55">
        <f t="shared" si="42"/>
        <v>0</v>
      </c>
    </row>
    <row r="255" spans="37:37">
      <c r="AK255" s="55">
        <f t="shared" si="42"/>
        <v>0</v>
      </c>
    </row>
    <row r="256" spans="37:37">
      <c r="AK256" s="55">
        <f t="shared" si="42"/>
        <v>0</v>
      </c>
    </row>
    <row r="257" spans="37:37">
      <c r="AK257" s="55">
        <f t="shared" si="42"/>
        <v>0</v>
      </c>
    </row>
    <row r="258" spans="37:37">
      <c r="AK258" s="55">
        <f t="shared" si="42"/>
        <v>0</v>
      </c>
    </row>
    <row r="259" spans="37:37">
      <c r="AK259" s="55">
        <f t="shared" si="42"/>
        <v>0</v>
      </c>
    </row>
    <row r="260" spans="37:37">
      <c r="AK260" s="55">
        <f t="shared" si="42"/>
        <v>0</v>
      </c>
    </row>
    <row r="261" spans="37:37">
      <c r="AK261" s="55">
        <f t="shared" si="42"/>
        <v>0</v>
      </c>
    </row>
    <row r="262" spans="37:37">
      <c r="AK262" s="55">
        <f t="shared" si="42"/>
        <v>0</v>
      </c>
    </row>
    <row r="263" spans="37:37">
      <c r="AK263" s="55">
        <f t="shared" si="42"/>
        <v>0</v>
      </c>
    </row>
    <row r="264" spans="37:37">
      <c r="AK264" s="55">
        <f t="shared" si="42"/>
        <v>0</v>
      </c>
    </row>
    <row r="265" spans="37:37">
      <c r="AK265" s="55">
        <f>SUM(K265:AJ265)</f>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B887-BF75-C14E-B52C-3FAFD42E1955}">
  <dimension ref="A1:BA303"/>
  <sheetViews>
    <sheetView workbookViewId="0">
      <pane xSplit="4" ySplit="1" topLeftCell="E57" activePane="bottomRight" state="frozen"/>
      <selection pane="topRight" activeCell="E1" sqref="E1"/>
      <selection pane="bottomLeft" activeCell="A2" sqref="A2"/>
      <selection pane="bottomRight" activeCell="E13" sqref="E13"/>
    </sheetView>
  </sheetViews>
  <sheetFormatPr baseColWidth="10" defaultRowHeight="16"/>
  <cols>
    <col min="3" max="3" width="8.33203125" bestFit="1" customWidth="1"/>
    <col min="4" max="4" width="11" bestFit="1" customWidth="1"/>
  </cols>
  <sheetData>
    <row r="1" spans="1:53" ht="17" thickBot="1">
      <c r="A1" s="1" t="s">
        <v>120</v>
      </c>
      <c r="B1" s="102" t="s">
        <v>1</v>
      </c>
      <c r="C1" s="102" t="s">
        <v>2</v>
      </c>
      <c r="D1" s="103" t="s">
        <v>3</v>
      </c>
      <c r="E1" s="98">
        <v>2019</v>
      </c>
      <c r="F1" s="9">
        <v>2020</v>
      </c>
      <c r="G1" s="2">
        <v>2021</v>
      </c>
      <c r="H1" s="2">
        <v>2022</v>
      </c>
      <c r="I1" s="7">
        <v>2023</v>
      </c>
      <c r="J1" s="8">
        <v>2024</v>
      </c>
      <c r="K1" s="9">
        <v>2025</v>
      </c>
      <c r="L1" s="99">
        <v>2026</v>
      </c>
      <c r="M1" s="99">
        <v>2027</v>
      </c>
      <c r="N1" s="99">
        <v>2028</v>
      </c>
      <c r="O1" s="100">
        <v>2029</v>
      </c>
      <c r="P1" s="105">
        <v>2030</v>
      </c>
      <c r="Q1" s="106">
        <v>2031</v>
      </c>
      <c r="R1" s="99">
        <v>2032</v>
      </c>
      <c r="S1" s="99">
        <v>2033</v>
      </c>
      <c r="T1" s="99">
        <v>2034</v>
      </c>
      <c r="U1" s="99">
        <v>2035</v>
      </c>
      <c r="V1" s="99">
        <v>2036</v>
      </c>
      <c r="W1" s="99">
        <v>2037</v>
      </c>
      <c r="X1" s="99">
        <v>2038</v>
      </c>
      <c r="Y1" s="100">
        <v>2039</v>
      </c>
      <c r="Z1" s="105">
        <v>2040</v>
      </c>
      <c r="AA1" s="106">
        <v>2041</v>
      </c>
      <c r="AB1" s="99">
        <v>2042</v>
      </c>
      <c r="AC1" s="99">
        <v>2043</v>
      </c>
      <c r="AD1" s="99">
        <v>2044</v>
      </c>
      <c r="AE1" s="99">
        <v>2045</v>
      </c>
      <c r="AF1" s="99">
        <v>2046</v>
      </c>
      <c r="AG1" s="99">
        <v>2047</v>
      </c>
      <c r="AH1" s="99">
        <v>2048</v>
      </c>
      <c r="AI1" s="100">
        <v>2049</v>
      </c>
      <c r="AJ1" s="105">
        <v>2050</v>
      </c>
      <c r="AK1" s="25" t="s">
        <v>73</v>
      </c>
      <c r="AL1" s="25"/>
      <c r="AM1" s="25"/>
      <c r="AU1">
        <v>2020</v>
      </c>
      <c r="AV1">
        <v>2025</v>
      </c>
      <c r="AW1">
        <v>2030</v>
      </c>
      <c r="AX1">
        <v>2035</v>
      </c>
      <c r="AY1">
        <v>2040</v>
      </c>
      <c r="AZ1">
        <v>2045</v>
      </c>
      <c r="BA1">
        <v>2050</v>
      </c>
    </row>
    <row r="2" spans="1:53">
      <c r="A2" s="3" t="s">
        <v>4</v>
      </c>
      <c r="B2" s="87" t="s">
        <v>36</v>
      </c>
      <c r="C2" s="88" t="s">
        <v>53</v>
      </c>
      <c r="D2" s="89" t="s">
        <v>122</v>
      </c>
      <c r="E2" s="107">
        <f>SUM(E13,E24)</f>
        <v>7890.3251977553191</v>
      </c>
      <c r="F2" s="108">
        <f t="shared" ref="F2:AJ2" si="0">SUM(F13,F24)</f>
        <v>7972.6728762430157</v>
      </c>
      <c r="G2" s="108">
        <f t="shared" si="0"/>
        <v>8048.8911509252084</v>
      </c>
      <c r="H2" s="108">
        <f t="shared" si="0"/>
        <v>8118.634800899571</v>
      </c>
      <c r="I2" s="108">
        <f t="shared" si="0"/>
        <v>8181.6959525900602</v>
      </c>
      <c r="J2" s="118">
        <f t="shared" si="0"/>
        <v>8237.945291884047</v>
      </c>
      <c r="K2" s="108">
        <f t="shared" si="0"/>
        <v>8217.1962901727147</v>
      </c>
      <c r="L2" s="108">
        <f t="shared" si="0"/>
        <v>7864.3668884501476</v>
      </c>
      <c r="M2" s="108">
        <f t="shared" si="0"/>
        <v>7485.1749903090395</v>
      </c>
      <c r="N2" s="108">
        <f t="shared" si="0"/>
        <v>7078.8008989583304</v>
      </c>
      <c r="O2" s="108">
        <f t="shared" si="0"/>
        <v>6644.4981794481464</v>
      </c>
      <c r="P2" s="118">
        <f t="shared" si="0"/>
        <v>6181.7643087259457</v>
      </c>
      <c r="Q2" s="108">
        <f t="shared" si="0"/>
        <v>5690.3863630163305</v>
      </c>
      <c r="R2" s="108">
        <f t="shared" si="0"/>
        <v>5170.3402166959413</v>
      </c>
      <c r="S2" s="108">
        <f t="shared" si="0"/>
        <v>4621.6684829586657</v>
      </c>
      <c r="T2" s="108">
        <f t="shared" si="0"/>
        <v>4044.5258214980217</v>
      </c>
      <c r="U2" s="108">
        <f t="shared" si="0"/>
        <v>3439.6454091304904</v>
      </c>
      <c r="V2" s="108">
        <f t="shared" si="0"/>
        <v>2807.0097574824513</v>
      </c>
      <c r="W2" s="108">
        <f t="shared" si="0"/>
        <v>2146.6256904694419</v>
      </c>
      <c r="X2" s="108">
        <f t="shared" si="0"/>
        <v>1458.5715998014148</v>
      </c>
      <c r="Y2" s="108">
        <f t="shared" si="0"/>
        <v>742.97234222430757</v>
      </c>
      <c r="Z2" s="118">
        <f t="shared" si="0"/>
        <v>0</v>
      </c>
      <c r="AA2" s="108">
        <f t="shared" si="0"/>
        <v>0</v>
      </c>
      <c r="AB2" s="108">
        <f t="shared" si="0"/>
        <v>0</v>
      </c>
      <c r="AC2" s="108">
        <f t="shared" si="0"/>
        <v>0</v>
      </c>
      <c r="AD2" s="108">
        <f t="shared" si="0"/>
        <v>0</v>
      </c>
      <c r="AE2" s="108">
        <f t="shared" si="0"/>
        <v>0</v>
      </c>
      <c r="AF2" s="108">
        <f t="shared" si="0"/>
        <v>0</v>
      </c>
      <c r="AG2" s="108">
        <f t="shared" si="0"/>
        <v>0</v>
      </c>
      <c r="AH2" s="108">
        <f t="shared" si="0"/>
        <v>0</v>
      </c>
      <c r="AI2" s="108">
        <f t="shared" si="0"/>
        <v>0</v>
      </c>
      <c r="AJ2" s="109">
        <f t="shared" si="0"/>
        <v>0</v>
      </c>
      <c r="AK2" s="55">
        <f>SUM(K2:AJ2)</f>
        <v>73593.547239341395</v>
      </c>
      <c r="AT2" s="87" t="s">
        <v>36</v>
      </c>
      <c r="AU2" s="54">
        <f>_xlfn.XLOOKUP(AU$1,$E$1:$AJ$1,$E4:$AJ4)+_xlfn.XLOOKUP(AU$1,$E$1:$AJ$1,$E2:$AJ2)</f>
        <v>8006.5050195161648</v>
      </c>
      <c r="AV2" s="54">
        <f t="shared" ref="AV2:BA2" si="1">_xlfn.XLOOKUP(AV$1,$E$1:$AJ$1,$E4:$AJ4)+_xlfn.XLOOKUP(AV$1,$E$1:$AJ$1,$E2:$AJ2)</f>
        <v>8290.9327156626805</v>
      </c>
      <c r="AW2" s="54">
        <f t="shared" si="1"/>
        <v>6577.782574490685</v>
      </c>
      <c r="AX2" s="54">
        <f t="shared" si="1"/>
        <v>4213.6210741178602</v>
      </c>
      <c r="AY2" s="54">
        <f t="shared" si="1"/>
        <v>1199.9903652989592</v>
      </c>
      <c r="AZ2" s="54">
        <f t="shared" si="1"/>
        <v>1285.0704268553011</v>
      </c>
      <c r="BA2" s="54">
        <f t="shared" si="1"/>
        <v>1359.0145364424791</v>
      </c>
    </row>
    <row r="3" spans="1:53">
      <c r="A3" s="3" t="s">
        <v>4</v>
      </c>
      <c r="B3" s="3" t="s">
        <v>8</v>
      </c>
      <c r="C3" s="4" t="s">
        <v>53</v>
      </c>
      <c r="D3" s="91" t="s">
        <v>122</v>
      </c>
      <c r="E3" s="110">
        <f t="shared" ref="E3:AJ10" si="2">SUM(E14,E25)</f>
        <v>5800.9537565286437</v>
      </c>
      <c r="F3" s="18">
        <f t="shared" si="2"/>
        <v>6262.7206011223589</v>
      </c>
      <c r="G3" s="18">
        <f t="shared" si="2"/>
        <v>6746.4919053745289</v>
      </c>
      <c r="H3" s="18">
        <f t="shared" si="2"/>
        <v>7252.7593592083149</v>
      </c>
      <c r="I3" s="18">
        <f t="shared" si="2"/>
        <v>7781.9417042216364</v>
      </c>
      <c r="J3" s="119">
        <f t="shared" si="2"/>
        <v>8334.432246750428</v>
      </c>
      <c r="K3" s="18">
        <f t="shared" si="2"/>
        <v>8960.0833538580482</v>
      </c>
      <c r="L3" s="18">
        <f t="shared" si="2"/>
        <v>8668.8848796619641</v>
      </c>
      <c r="M3" s="18">
        <f t="shared" si="2"/>
        <v>8340.4133815904352</v>
      </c>
      <c r="N3" s="18">
        <f t="shared" si="2"/>
        <v>7972.8652166782631</v>
      </c>
      <c r="O3" s="18">
        <f t="shared" si="2"/>
        <v>7564.4730814149998</v>
      </c>
      <c r="P3" s="119">
        <f t="shared" si="2"/>
        <v>7113.6198296305301</v>
      </c>
      <c r="Q3" s="18">
        <f t="shared" si="2"/>
        <v>6618.8521787695981</v>
      </c>
      <c r="R3" s="18">
        <f t="shared" si="2"/>
        <v>6078.8448781998541</v>
      </c>
      <c r="S3" s="18">
        <f t="shared" si="2"/>
        <v>5492.3131337357627</v>
      </c>
      <c r="T3" s="18">
        <f t="shared" si="2"/>
        <v>4858.0134433963958</v>
      </c>
      <c r="U3" s="18">
        <f t="shared" si="2"/>
        <v>4176.0224800193891</v>
      </c>
      <c r="V3" s="18">
        <f t="shared" si="2"/>
        <v>3444.7552309319594</v>
      </c>
      <c r="W3" s="18">
        <f t="shared" si="2"/>
        <v>2662.844135478822</v>
      </c>
      <c r="X3" s="18">
        <f t="shared" si="2"/>
        <v>1828.9618091078378</v>
      </c>
      <c r="Y3" s="18">
        <f t="shared" si="2"/>
        <v>941.78742109849418</v>
      </c>
      <c r="Z3" s="119">
        <f t="shared" si="2"/>
        <v>0</v>
      </c>
      <c r="AA3" s="18">
        <f t="shared" si="2"/>
        <v>0</v>
      </c>
      <c r="AB3" s="18">
        <f t="shared" si="2"/>
        <v>0</v>
      </c>
      <c r="AC3" s="18">
        <f t="shared" si="2"/>
        <v>0</v>
      </c>
      <c r="AD3" s="18">
        <f t="shared" si="2"/>
        <v>0</v>
      </c>
      <c r="AE3" s="18">
        <f t="shared" si="2"/>
        <v>0</v>
      </c>
      <c r="AF3" s="18">
        <f t="shared" si="2"/>
        <v>0</v>
      </c>
      <c r="AG3" s="18">
        <f t="shared" si="2"/>
        <v>0</v>
      </c>
      <c r="AH3" s="18">
        <f t="shared" si="2"/>
        <v>0</v>
      </c>
      <c r="AI3" s="18">
        <f t="shared" si="2"/>
        <v>0</v>
      </c>
      <c r="AJ3" s="111">
        <f t="shared" si="2"/>
        <v>0</v>
      </c>
      <c r="AK3" s="55">
        <f t="shared" ref="AK3:AK36" si="3">SUM(K3:AJ3)</f>
        <v>84722.734453572353</v>
      </c>
      <c r="AT3" s="3" t="s">
        <v>8</v>
      </c>
      <c r="AU3" s="54">
        <f>(_xlfn.XLOOKUP(AU$1,$E$1:$AJ$1,$E5:$AJ5)+_xlfn.XLOOKUP(AU$1,$E$1:$AJ$1,$E3:$AJ3))</f>
        <v>6280.0637638580683</v>
      </c>
      <c r="AV3" s="54">
        <f t="shared" ref="AV3:BA3" si="4">(_xlfn.XLOOKUP(AV$1,$E$1:$AJ$1,$E5:$AJ5)+_xlfn.XLOOKUP(AV$1,$E$1:$AJ$1,$E3:$AJ3))</f>
        <v>8997.8824024284349</v>
      </c>
      <c r="AW3" s="54">
        <f t="shared" si="4"/>
        <v>8403.6486072257849</v>
      </c>
      <c r="AX3" s="54">
        <f t="shared" si="4"/>
        <v>7012.3272893432886</v>
      </c>
      <c r="AY3" s="54">
        <f t="shared" si="4"/>
        <v>4675.1264256172053</v>
      </c>
      <c r="AZ3" s="54">
        <f t="shared" si="4"/>
        <v>5117.4700862600275</v>
      </c>
      <c r="BA3" s="54">
        <f t="shared" si="4"/>
        <v>5543.59328848941</v>
      </c>
    </row>
    <row r="4" spans="1:53">
      <c r="A4" s="3" t="s">
        <v>4</v>
      </c>
      <c r="B4" t="s">
        <v>37</v>
      </c>
      <c r="C4" s="4" t="s">
        <v>53</v>
      </c>
      <c r="D4" s="91" t="s">
        <v>122</v>
      </c>
      <c r="E4" s="110">
        <f t="shared" si="2"/>
        <v>27.367630683464519</v>
      </c>
      <c r="F4" s="18">
        <f t="shared" si="2"/>
        <v>33.832143273149342</v>
      </c>
      <c r="G4" s="18">
        <f t="shared" si="2"/>
        <v>40.804285297318842</v>
      </c>
      <c r="H4" s="18">
        <f t="shared" si="2"/>
        <v>48.307489876017392</v>
      </c>
      <c r="I4" s="18">
        <f t="shared" si="2"/>
        <v>56.364334846724127</v>
      </c>
      <c r="J4" s="119">
        <f t="shared" si="2"/>
        <v>64.996615375086918</v>
      </c>
      <c r="K4" s="18">
        <f t="shared" si="2"/>
        <v>73.736425489966109</v>
      </c>
      <c r="L4" s="18">
        <f t="shared" si="2"/>
        <v>133.3937444220023</v>
      </c>
      <c r="M4" s="18">
        <f t="shared" si="2"/>
        <v>195.48158158625913</v>
      </c>
      <c r="N4" s="18">
        <f t="shared" si="2"/>
        <v>259.9797823444236</v>
      </c>
      <c r="O4" s="18">
        <f t="shared" si="2"/>
        <v>326.84569456467216</v>
      </c>
      <c r="P4" s="119">
        <f t="shared" si="2"/>
        <v>396.01826576473923</v>
      </c>
      <c r="Q4" s="18">
        <f t="shared" si="2"/>
        <v>467.42764888445686</v>
      </c>
      <c r="R4" s="18">
        <f t="shared" si="2"/>
        <v>541.00011883008165</v>
      </c>
      <c r="S4" s="18">
        <f t="shared" si="2"/>
        <v>616.65378563088655</v>
      </c>
      <c r="T4" s="18">
        <f t="shared" si="2"/>
        <v>694.30732439555834</v>
      </c>
      <c r="U4" s="18">
        <f t="shared" si="2"/>
        <v>773.97566498736978</v>
      </c>
      <c r="V4" s="18">
        <f t="shared" si="2"/>
        <v>855.5968596932189</v>
      </c>
      <c r="W4" s="18">
        <f t="shared" si="2"/>
        <v>939.09264551657157</v>
      </c>
      <c r="X4" s="18">
        <f t="shared" si="2"/>
        <v>1024.3826250853799</v>
      </c>
      <c r="Y4" s="18">
        <f t="shared" si="2"/>
        <v>1111.3793952810561</v>
      </c>
      <c r="Z4" s="119">
        <f t="shared" si="2"/>
        <v>1199.9903652989592</v>
      </c>
      <c r="AA4" s="18">
        <f t="shared" si="2"/>
        <v>1217.7449547218125</v>
      </c>
      <c r="AB4" s="18">
        <f t="shared" si="2"/>
        <v>1235.159751878183</v>
      </c>
      <c r="AC4" s="18">
        <f t="shared" si="2"/>
        <v>1252.2056056889096</v>
      </c>
      <c r="AD4" s="18">
        <f t="shared" si="2"/>
        <v>1268.8514951865277</v>
      </c>
      <c r="AE4" s="18">
        <f t="shared" si="2"/>
        <v>1285.0704268553011</v>
      </c>
      <c r="AF4" s="18">
        <f t="shared" si="2"/>
        <v>1300.8366058258391</v>
      </c>
      <c r="AG4" s="18">
        <f t="shared" si="2"/>
        <v>1316.1295592185331</v>
      </c>
      <c r="AH4" s="18">
        <f t="shared" si="2"/>
        <v>1330.932889551354</v>
      </c>
      <c r="AI4" s="18">
        <f t="shared" si="2"/>
        <v>1345.233076093507</v>
      </c>
      <c r="AJ4" s="111">
        <f t="shared" si="2"/>
        <v>1359.0145364424791</v>
      </c>
      <c r="AK4" s="55">
        <f t="shared" si="3"/>
        <v>22520.44082923805</v>
      </c>
      <c r="AT4" s="34" t="s">
        <v>11</v>
      </c>
      <c r="AU4" s="54">
        <f>_xlfn.XLOOKUP(AU$1,$E$1:$AJ$1,$E6:$AJ6)</f>
        <v>6.8750014127054442</v>
      </c>
      <c r="AV4" s="54">
        <f t="shared" ref="AV4:BA4" si="5">_xlfn.XLOOKUP(AV$1,$E$1:$AJ$1,$E6:$AJ6)</f>
        <v>11.599043512632706</v>
      </c>
      <c r="AW4" s="54">
        <f t="shared" si="5"/>
        <v>568.34207206790006</v>
      </c>
      <c r="AX4" s="54">
        <f t="shared" si="5"/>
        <v>1290.0603315805006</v>
      </c>
      <c r="AY4" s="54">
        <f t="shared" si="5"/>
        <v>2189.8572207655093</v>
      </c>
      <c r="AZ4" s="54">
        <f t="shared" si="5"/>
        <v>2465.6759661347223</v>
      </c>
      <c r="BA4" s="54">
        <f t="shared" si="5"/>
        <v>2750.70983815717</v>
      </c>
    </row>
    <row r="5" spans="1:53">
      <c r="A5" s="3" t="s">
        <v>4</v>
      </c>
      <c r="B5" t="s">
        <v>10</v>
      </c>
      <c r="C5" s="4" t="s">
        <v>53</v>
      </c>
      <c r="D5" s="91" t="s">
        <v>122</v>
      </c>
      <c r="E5" s="110">
        <f t="shared" si="2"/>
        <v>14.029299556993347</v>
      </c>
      <c r="F5" s="18">
        <f t="shared" si="2"/>
        <v>17.343162735709225</v>
      </c>
      <c r="G5" s="18">
        <f t="shared" si="2"/>
        <v>20.917248857461345</v>
      </c>
      <c r="H5" s="18">
        <f t="shared" si="2"/>
        <v>24.763570297904892</v>
      </c>
      <c r="I5" s="18">
        <f t="shared" si="2"/>
        <v>28.893700994480255</v>
      </c>
      <c r="J5" s="119">
        <f t="shared" si="2"/>
        <v>33.318813668395045</v>
      </c>
      <c r="K5" s="18">
        <f t="shared" si="2"/>
        <v>37.799048570387093</v>
      </c>
      <c r="L5" s="18">
        <f t="shared" si="2"/>
        <v>264.67595543592245</v>
      </c>
      <c r="M5" s="18">
        <f t="shared" si="2"/>
        <v>503.2508718367514</v>
      </c>
      <c r="N5" s="18">
        <f t="shared" si="2"/>
        <v>753.64624375304345</v>
      </c>
      <c r="O5" s="18">
        <f t="shared" si="2"/>
        <v>1015.910500300811</v>
      </c>
      <c r="P5" s="119">
        <f t="shared" si="2"/>
        <v>1290.028777595254</v>
      </c>
      <c r="Q5" s="18">
        <f t="shared" si="2"/>
        <v>1575.9517263422822</v>
      </c>
      <c r="R5" s="18">
        <f t="shared" si="2"/>
        <v>1873.6102767399254</v>
      </c>
      <c r="S5" s="18">
        <f t="shared" si="2"/>
        <v>2182.8989901228865</v>
      </c>
      <c r="T5" s="18">
        <f t="shared" si="2"/>
        <v>2503.6922050260332</v>
      </c>
      <c r="U5" s="18">
        <f t="shared" si="2"/>
        <v>2836.3048093238995</v>
      </c>
      <c r="V5" s="18">
        <f t="shared" si="2"/>
        <v>3180.7141312407111</v>
      </c>
      <c r="W5" s="18">
        <f t="shared" si="2"/>
        <v>3536.8656721928237</v>
      </c>
      <c r="X5" s="18">
        <f t="shared" si="2"/>
        <v>3904.7032860219119</v>
      </c>
      <c r="Y5" s="18">
        <f t="shared" si="2"/>
        <v>4284.1533186056067</v>
      </c>
      <c r="Z5" s="119">
        <f t="shared" si="2"/>
        <v>4675.1264256172053</v>
      </c>
      <c r="AA5" s="18">
        <f t="shared" si="2"/>
        <v>4764.3948637124922</v>
      </c>
      <c r="AB5" s="18">
        <f t="shared" si="2"/>
        <v>4853.3551390524899</v>
      </c>
      <c r="AC5" s="18">
        <f t="shared" si="2"/>
        <v>4941.917030895559</v>
      </c>
      <c r="AD5" s="18">
        <f t="shared" si="2"/>
        <v>5029.9841161222594</v>
      </c>
      <c r="AE5" s="18">
        <f t="shared" si="2"/>
        <v>5117.4700862600275</v>
      </c>
      <c r="AF5" s="18">
        <f t="shared" si="2"/>
        <v>5204.2899687330473</v>
      </c>
      <c r="AG5" s="18">
        <f t="shared" si="2"/>
        <v>5290.3715296952905</v>
      </c>
      <c r="AH5" s="18">
        <f t="shared" si="2"/>
        <v>5375.6539858443493</v>
      </c>
      <c r="AI5" s="18">
        <f t="shared" si="2"/>
        <v>5460.0819928860419</v>
      </c>
      <c r="AJ5" s="111">
        <f t="shared" si="2"/>
        <v>5543.59328848941</v>
      </c>
      <c r="AK5" s="55">
        <f t="shared" si="3"/>
        <v>86000.444240416415</v>
      </c>
      <c r="AT5" s="3" t="s">
        <v>12</v>
      </c>
      <c r="AU5" s="54">
        <f t="shared" ref="AU5:BA9" si="6">_xlfn.XLOOKUP(AU$1,$E$1:$AJ$1,$E7:$AJ7)</f>
        <v>0.50273922189598064</v>
      </c>
      <c r="AV5" s="54">
        <f t="shared" si="6"/>
        <v>0</v>
      </c>
      <c r="AW5" s="54">
        <f t="shared" si="6"/>
        <v>0</v>
      </c>
      <c r="AX5" s="54">
        <f t="shared" si="6"/>
        <v>0</v>
      </c>
      <c r="AY5" s="54">
        <f t="shared" si="6"/>
        <v>0</v>
      </c>
      <c r="AZ5" s="54">
        <f t="shared" si="6"/>
        <v>0</v>
      </c>
      <c r="BA5" s="54">
        <f t="shared" si="6"/>
        <v>0</v>
      </c>
    </row>
    <row r="6" spans="1:53">
      <c r="A6" s="121" t="s">
        <v>4</v>
      </c>
      <c r="B6" s="34" t="s">
        <v>11</v>
      </c>
      <c r="C6" s="122" t="s">
        <v>53</v>
      </c>
      <c r="D6" s="123" t="s">
        <v>122</v>
      </c>
      <c r="E6" s="124">
        <f t="shared" si="2"/>
        <v>5.8912596896414833</v>
      </c>
      <c r="F6" s="125">
        <f t="shared" si="2"/>
        <v>6.8750014127054442</v>
      </c>
      <c r="G6" s="125">
        <f t="shared" si="2"/>
        <v>7.9323712087459661</v>
      </c>
      <c r="H6" s="125">
        <f t="shared" si="2"/>
        <v>9.0666858444048692</v>
      </c>
      <c r="I6" s="125">
        <f t="shared" si="2"/>
        <v>10.281111743582597</v>
      </c>
      <c r="J6" s="126">
        <f t="shared" si="2"/>
        <v>11.578691062669412</v>
      </c>
      <c r="K6" s="125">
        <f t="shared" si="2"/>
        <v>11.599043512632706</v>
      </c>
      <c r="L6" s="125">
        <f t="shared" si="2"/>
        <v>110.3289514628805</v>
      </c>
      <c r="M6" s="125">
        <f t="shared" si="2"/>
        <v>215.23591642697806</v>
      </c>
      <c r="N6" s="125">
        <f t="shared" si="2"/>
        <v>326.46489993933454</v>
      </c>
      <c r="O6" s="125">
        <f t="shared" si="2"/>
        <v>444.13490122786504</v>
      </c>
      <c r="P6" s="126">
        <f t="shared" si="2"/>
        <v>568.34207206790006</v>
      </c>
      <c r="Q6" s="125">
        <f t="shared" si="2"/>
        <v>699.16782974106991</v>
      </c>
      <c r="R6" s="125">
        <f t="shared" si="2"/>
        <v>836.6830267561013</v>
      </c>
      <c r="S6" s="125">
        <f t="shared" si="2"/>
        <v>980.9390824115477</v>
      </c>
      <c r="T6" s="125">
        <f t="shared" si="2"/>
        <v>1131.9641325838961</v>
      </c>
      <c r="U6" s="125">
        <f t="shared" si="2"/>
        <v>1290.0603315805006</v>
      </c>
      <c r="V6" s="125">
        <f t="shared" si="2"/>
        <v>1455.3142518253803</v>
      </c>
      <c r="W6" s="125">
        <f t="shared" si="2"/>
        <v>1627.8222526551524</v>
      </c>
      <c r="X6" s="125">
        <f t="shared" si="2"/>
        <v>1807.6844254033417</v>
      </c>
      <c r="Y6" s="125">
        <f t="shared" si="2"/>
        <v>1994.9984902461933</v>
      </c>
      <c r="Z6" s="126">
        <f t="shared" si="2"/>
        <v>2189.8572207655093</v>
      </c>
      <c r="AA6" s="125">
        <f t="shared" si="2"/>
        <v>2244.1095844491078</v>
      </c>
      <c r="AB6" s="125">
        <f t="shared" si="2"/>
        <v>2298.8462137770171</v>
      </c>
      <c r="AC6" s="125">
        <f t="shared" si="2"/>
        <v>2354.0393012077766</v>
      </c>
      <c r="AD6" s="125">
        <f t="shared" si="2"/>
        <v>2409.6588040433526</v>
      </c>
      <c r="AE6" s="125">
        <f t="shared" si="2"/>
        <v>2465.6759661347223</v>
      </c>
      <c r="AF6" s="125">
        <f t="shared" si="2"/>
        <v>2522.0605935995191</v>
      </c>
      <c r="AG6" s="125">
        <f t="shared" si="2"/>
        <v>2578.7835108263116</v>
      </c>
      <c r="AH6" s="125">
        <f t="shared" si="2"/>
        <v>2635.8181656964662</v>
      </c>
      <c r="AI6" s="125">
        <f t="shared" si="2"/>
        <v>2693.1369833738177</v>
      </c>
      <c r="AJ6" s="127">
        <f t="shared" si="2"/>
        <v>2750.70983815717</v>
      </c>
      <c r="AK6" s="128">
        <f t="shared" si="3"/>
        <v>40643.435789871546</v>
      </c>
      <c r="AT6" s="3" t="s">
        <v>13</v>
      </c>
      <c r="AU6" s="54">
        <f t="shared" si="6"/>
        <v>75.833736395628335</v>
      </c>
      <c r="AV6" s="54">
        <f t="shared" si="6"/>
        <v>71.519861363336034</v>
      </c>
      <c r="AW6" s="54">
        <f t="shared" si="6"/>
        <v>248.94307371473755</v>
      </c>
      <c r="AX6" s="54">
        <f t="shared" si="6"/>
        <v>473.21000231890241</v>
      </c>
      <c r="AY6" s="54">
        <f t="shared" si="6"/>
        <v>747.07923843540163</v>
      </c>
      <c r="AZ6" s="54">
        <f t="shared" si="6"/>
        <v>840.49087809798766</v>
      </c>
      <c r="BA6" s="54">
        <f t="shared" si="6"/>
        <v>936.87844057190568</v>
      </c>
    </row>
    <row r="7" spans="1:53">
      <c r="A7" s="3" t="s">
        <v>4</v>
      </c>
      <c r="B7" s="3" t="s">
        <v>12</v>
      </c>
      <c r="C7" s="4" t="s">
        <v>53</v>
      </c>
      <c r="D7" s="91" t="s">
        <v>122</v>
      </c>
      <c r="E7" s="110">
        <f t="shared" si="2"/>
        <v>0.6123122561937987</v>
      </c>
      <c r="F7" s="18">
        <f t="shared" si="2"/>
        <v>0.50273922189598064</v>
      </c>
      <c r="G7" s="18">
        <f t="shared" si="2"/>
        <v>0.38189908984396631</v>
      </c>
      <c r="H7" s="18">
        <f t="shared" si="2"/>
        <v>0.24919267774178164</v>
      </c>
      <c r="I7" s="18">
        <f t="shared" si="2"/>
        <v>0.1040130077428469</v>
      </c>
      <c r="J7" s="119">
        <f t="shared" si="2"/>
        <v>0</v>
      </c>
      <c r="K7" s="18">
        <f t="shared" si="2"/>
        <v>0</v>
      </c>
      <c r="L7" s="18">
        <f t="shared" si="2"/>
        <v>0</v>
      </c>
      <c r="M7" s="18">
        <f t="shared" si="2"/>
        <v>0</v>
      </c>
      <c r="N7" s="18">
        <f t="shared" si="2"/>
        <v>0</v>
      </c>
      <c r="O7" s="18">
        <f t="shared" si="2"/>
        <v>0</v>
      </c>
      <c r="P7" s="119">
        <f t="shared" si="2"/>
        <v>0</v>
      </c>
      <c r="Q7" s="18">
        <f t="shared" si="2"/>
        <v>0</v>
      </c>
      <c r="R7" s="18">
        <f t="shared" si="2"/>
        <v>0</v>
      </c>
      <c r="S7" s="18">
        <f t="shared" si="2"/>
        <v>0</v>
      </c>
      <c r="T7" s="18">
        <f t="shared" si="2"/>
        <v>0</v>
      </c>
      <c r="U7" s="18">
        <f t="shared" si="2"/>
        <v>0</v>
      </c>
      <c r="V7" s="18">
        <f t="shared" si="2"/>
        <v>0</v>
      </c>
      <c r="W7" s="18">
        <f t="shared" si="2"/>
        <v>0</v>
      </c>
      <c r="X7" s="18">
        <f t="shared" si="2"/>
        <v>0</v>
      </c>
      <c r="Y7" s="18">
        <f t="shared" si="2"/>
        <v>0</v>
      </c>
      <c r="Z7" s="119">
        <f t="shared" si="2"/>
        <v>0</v>
      </c>
      <c r="AA7" s="18">
        <f t="shared" si="2"/>
        <v>0</v>
      </c>
      <c r="AB7" s="18">
        <f t="shared" si="2"/>
        <v>0</v>
      </c>
      <c r="AC7" s="18">
        <f t="shared" si="2"/>
        <v>0</v>
      </c>
      <c r="AD7" s="18">
        <f t="shared" si="2"/>
        <v>0</v>
      </c>
      <c r="AE7" s="18">
        <f t="shared" si="2"/>
        <v>0</v>
      </c>
      <c r="AF7" s="18">
        <f t="shared" si="2"/>
        <v>0</v>
      </c>
      <c r="AG7" s="18">
        <f t="shared" si="2"/>
        <v>0</v>
      </c>
      <c r="AH7" s="18">
        <f t="shared" si="2"/>
        <v>0</v>
      </c>
      <c r="AI7" s="18">
        <f t="shared" si="2"/>
        <v>0</v>
      </c>
      <c r="AJ7" s="111">
        <f t="shared" si="2"/>
        <v>0</v>
      </c>
      <c r="AK7" s="55">
        <f t="shared" si="3"/>
        <v>0</v>
      </c>
      <c r="AT7" t="s">
        <v>14</v>
      </c>
      <c r="AU7" s="54">
        <f t="shared" si="6"/>
        <v>0</v>
      </c>
      <c r="AV7" s="54">
        <f t="shared" si="6"/>
        <v>0</v>
      </c>
      <c r="AW7" s="54">
        <f t="shared" si="6"/>
        <v>13.905629375490513</v>
      </c>
      <c r="AX7" s="54">
        <f t="shared" si="6"/>
        <v>32.449117294660141</v>
      </c>
      <c r="AY7" s="54">
        <f t="shared" si="6"/>
        <v>56.162994588876671</v>
      </c>
      <c r="AZ7" s="54">
        <f t="shared" si="6"/>
        <v>64.189336836096928</v>
      </c>
      <c r="BA7" s="54">
        <f t="shared" si="6"/>
        <v>72.685375139508139</v>
      </c>
    </row>
    <row r="8" spans="1:53">
      <c r="A8" s="3" t="s">
        <v>4</v>
      </c>
      <c r="B8" s="3" t="s">
        <v>13</v>
      </c>
      <c r="C8" s="4" t="s">
        <v>53</v>
      </c>
      <c r="D8" s="91" t="s">
        <v>122</v>
      </c>
      <c r="E8" s="110">
        <f t="shared" si="2"/>
        <v>76.350383664821393</v>
      </c>
      <c r="F8" s="18">
        <f t="shared" si="2"/>
        <v>75.833736395628335</v>
      </c>
      <c r="G8" s="18">
        <f t="shared" si="2"/>
        <v>75.097148810665061</v>
      </c>
      <c r="H8" s="18">
        <f t="shared" si="2"/>
        <v>74.125640808506731</v>
      </c>
      <c r="I8" s="18">
        <f t="shared" si="2"/>
        <v>72.902847681667239</v>
      </c>
      <c r="J8" s="119">
        <f t="shared" si="2"/>
        <v>71.412010594754037</v>
      </c>
      <c r="K8" s="18">
        <f t="shared" si="2"/>
        <v>71.519861363336034</v>
      </c>
      <c r="L8" s="18">
        <f t="shared" si="2"/>
        <v>103.35955348832738</v>
      </c>
      <c r="M8" s="18">
        <f t="shared" si="2"/>
        <v>136.99364138167383</v>
      </c>
      <c r="N8" s="18">
        <f t="shared" si="2"/>
        <v>172.45443128283185</v>
      </c>
      <c r="O8" s="18">
        <f t="shared" si="2"/>
        <v>209.76543058454115</v>
      </c>
      <c r="P8" s="119">
        <f t="shared" si="2"/>
        <v>248.94307371473755</v>
      </c>
      <c r="Q8" s="18">
        <f t="shared" si="2"/>
        <v>289.99954030178452</v>
      </c>
      <c r="R8" s="18">
        <f t="shared" si="2"/>
        <v>332.94415382378622</v>
      </c>
      <c r="S8" s="18">
        <f t="shared" si="2"/>
        <v>377.77984137724405</v>
      </c>
      <c r="T8" s="18">
        <f t="shared" si="2"/>
        <v>424.5017970549257</v>
      </c>
      <c r="U8" s="18">
        <f t="shared" si="2"/>
        <v>473.21000231890241</v>
      </c>
      <c r="V8" s="18">
        <f t="shared" si="2"/>
        <v>523.91645860044798</v>
      </c>
      <c r="W8" s="18">
        <f t="shared" si="2"/>
        <v>576.63846139566749</v>
      </c>
      <c r="X8" s="18">
        <f t="shared" si="2"/>
        <v>631.39472534460617</v>
      </c>
      <c r="Y8" s="18">
        <f t="shared" si="2"/>
        <v>688.20301713138019</v>
      </c>
      <c r="Z8" s="119">
        <f t="shared" si="2"/>
        <v>747.07923843540163</v>
      </c>
      <c r="AA8" s="18">
        <f t="shared" si="2"/>
        <v>765.46348227120723</v>
      </c>
      <c r="AB8" s="18">
        <f t="shared" si="2"/>
        <v>784.00665946117783</v>
      </c>
      <c r="AC8" s="18">
        <f t="shared" si="2"/>
        <v>802.69913905198337</v>
      </c>
      <c r="AD8" s="18">
        <f t="shared" si="2"/>
        <v>821.53052086705998</v>
      </c>
      <c r="AE8" s="18">
        <f t="shared" si="2"/>
        <v>840.49087809798766</v>
      </c>
      <c r="AF8" s="18">
        <f t="shared" si="2"/>
        <v>859.56981404885096</v>
      </c>
      <c r="AG8" s="18">
        <f t="shared" si="2"/>
        <v>878.7573288176194</v>
      </c>
      <c r="AH8" s="18">
        <f t="shared" si="2"/>
        <v>898.04434487401227</v>
      </c>
      <c r="AI8" s="18">
        <f t="shared" si="2"/>
        <v>917.42147142941951</v>
      </c>
      <c r="AJ8" s="111">
        <f t="shared" si="2"/>
        <v>936.87844057190568</v>
      </c>
      <c r="AK8" s="55">
        <f t="shared" si="3"/>
        <v>14513.565307090817</v>
      </c>
      <c r="AT8" t="s">
        <v>15</v>
      </c>
      <c r="AU8" s="54">
        <f t="shared" si="6"/>
        <v>0</v>
      </c>
      <c r="AV8" s="54">
        <f t="shared" si="6"/>
        <v>0</v>
      </c>
      <c r="AW8" s="54">
        <f t="shared" si="6"/>
        <v>46.028008005208626</v>
      </c>
      <c r="AX8" s="54">
        <f t="shared" si="6"/>
        <v>109.10304376164228</v>
      </c>
      <c r="AY8" s="54">
        <f t="shared" si="6"/>
        <v>191.67315380240581</v>
      </c>
      <c r="AZ8" s="54">
        <f t="shared" si="6"/>
        <v>222.23659514402974</v>
      </c>
      <c r="BA8" s="54">
        <f t="shared" si="6"/>
        <v>255.17996158899808</v>
      </c>
    </row>
    <row r="9" spans="1:53">
      <c r="A9" s="3" t="s">
        <v>4</v>
      </c>
      <c r="B9" t="s">
        <v>14</v>
      </c>
      <c r="C9" s="4" t="s">
        <v>53</v>
      </c>
      <c r="D9" s="91" t="s">
        <v>122</v>
      </c>
      <c r="E9" s="110">
        <f t="shared" si="2"/>
        <v>0</v>
      </c>
      <c r="F9" s="18">
        <f t="shared" si="2"/>
        <v>0</v>
      </c>
      <c r="G9" s="18">
        <f t="shared" si="2"/>
        <v>0</v>
      </c>
      <c r="H9" s="18">
        <f t="shared" si="2"/>
        <v>0</v>
      </c>
      <c r="I9" s="18">
        <f t="shared" si="2"/>
        <v>0</v>
      </c>
      <c r="J9" s="119">
        <f t="shared" si="2"/>
        <v>0</v>
      </c>
      <c r="K9" s="18">
        <f t="shared" si="2"/>
        <v>0</v>
      </c>
      <c r="L9" s="18">
        <f t="shared" si="2"/>
        <v>2.4335662229921784</v>
      </c>
      <c r="M9" s="18">
        <f t="shared" si="2"/>
        <v>5.0361955113030072</v>
      </c>
      <c r="N9" s="18">
        <f t="shared" si="2"/>
        <v>7.8128722357359424</v>
      </c>
      <c r="O9" s="18">
        <f t="shared" si="2"/>
        <v>10.768035283721858</v>
      </c>
      <c r="P9" s="119">
        <f t="shared" si="2"/>
        <v>13.905629375490513</v>
      </c>
      <c r="Q9" s="18">
        <f t="shared" si="2"/>
        <v>17.229238437597623</v>
      </c>
      <c r="R9" s="18">
        <f t="shared" si="2"/>
        <v>20.742154643214352</v>
      </c>
      <c r="S9" s="18">
        <f t="shared" si="2"/>
        <v>24.447137799527027</v>
      </c>
      <c r="T9" s="18">
        <f t="shared" si="2"/>
        <v>28.346158587407231</v>
      </c>
      <c r="U9" s="18">
        <f t="shared" si="2"/>
        <v>32.449117294660141</v>
      </c>
      <c r="V9" s="18">
        <f t="shared" si="2"/>
        <v>36.759634251502483</v>
      </c>
      <c r="W9" s="18">
        <f t="shared" si="2"/>
        <v>41.281916750403525</v>
      </c>
      <c r="X9" s="18">
        <f t="shared" si="2"/>
        <v>46.020329678133578</v>
      </c>
      <c r="Y9" s="18">
        <f t="shared" si="2"/>
        <v>50.97925824432005</v>
      </c>
      <c r="Z9" s="119">
        <f t="shared" si="2"/>
        <v>56.162994588876671</v>
      </c>
      <c r="AA9" s="18">
        <f t="shared" si="2"/>
        <v>57.727040013153768</v>
      </c>
      <c r="AB9" s="18">
        <f t="shared" si="2"/>
        <v>59.312230232808908</v>
      </c>
      <c r="AC9" s="18">
        <f t="shared" si="2"/>
        <v>60.918052665366176</v>
      </c>
      <c r="AD9" s="18">
        <f t="shared" si="2"/>
        <v>62.54394670396033</v>
      </c>
      <c r="AE9" s="18">
        <f t="shared" si="2"/>
        <v>64.189336836096928</v>
      </c>
      <c r="AF9" s="18">
        <f t="shared" si="2"/>
        <v>65.853582035613584</v>
      </c>
      <c r="AG9" s="18">
        <f t="shared" si="2"/>
        <v>67.535998706650091</v>
      </c>
      <c r="AH9" s="18">
        <f t="shared" si="2"/>
        <v>69.235932507373306</v>
      </c>
      <c r="AI9" s="18">
        <f t="shared" si="2"/>
        <v>70.952653310821788</v>
      </c>
      <c r="AJ9" s="111">
        <f t="shared" si="2"/>
        <v>72.685375139508139</v>
      </c>
      <c r="AK9" s="55">
        <f t="shared" si="3"/>
        <v>1045.3283870562391</v>
      </c>
      <c r="AT9" t="s">
        <v>16</v>
      </c>
      <c r="AU9" s="54">
        <f t="shared" si="6"/>
        <v>0</v>
      </c>
      <c r="AV9" s="54">
        <f t="shared" si="6"/>
        <v>0</v>
      </c>
      <c r="AW9" s="54">
        <f t="shared" si="6"/>
        <v>38.379953292721979</v>
      </c>
      <c r="AX9" s="54">
        <f t="shared" si="6"/>
        <v>84.283640313173905</v>
      </c>
      <c r="AY9" s="54">
        <f t="shared" si="6"/>
        <v>137.04794980779127</v>
      </c>
      <c r="AZ9" s="54">
        <f t="shared" si="6"/>
        <v>146.76473449456867</v>
      </c>
      <c r="BA9" s="54">
        <f t="shared" si="6"/>
        <v>155.20970948131421</v>
      </c>
    </row>
    <row r="10" spans="1:53">
      <c r="A10" s="3" t="s">
        <v>4</v>
      </c>
      <c r="B10" t="s">
        <v>15</v>
      </c>
      <c r="C10" s="4" t="s">
        <v>53</v>
      </c>
      <c r="D10" s="91" t="s">
        <v>122</v>
      </c>
      <c r="E10" s="110">
        <f t="shared" si="2"/>
        <v>0</v>
      </c>
      <c r="F10" s="18">
        <f t="shared" si="2"/>
        <v>0</v>
      </c>
      <c r="G10" s="18">
        <f t="shared" si="2"/>
        <v>0</v>
      </c>
      <c r="H10" s="18">
        <f t="shared" si="2"/>
        <v>0</v>
      </c>
      <c r="I10" s="18">
        <f t="shared" si="2"/>
        <v>0</v>
      </c>
      <c r="J10" s="119">
        <f t="shared" si="2"/>
        <v>0</v>
      </c>
      <c r="K10" s="18">
        <f t="shared" si="2"/>
        <v>0</v>
      </c>
      <c r="L10" s="18">
        <f t="shared" si="2"/>
        <v>7.949280170730292</v>
      </c>
      <c r="M10" s="18">
        <f t="shared" si="2"/>
        <v>16.506455135368622</v>
      </c>
      <c r="N10" s="18">
        <f t="shared" si="2"/>
        <v>25.692511313585833</v>
      </c>
      <c r="O10" s="18">
        <f t="shared" si="2"/>
        <v>35.526976273999068</v>
      </c>
      <c r="P10" s="119">
        <f t="shared" si="2"/>
        <v>46.028008005208626</v>
      </c>
      <c r="Q10" s="18">
        <f t="shared" si="2"/>
        <v>57.212601245510925</v>
      </c>
      <c r="R10" s="18">
        <f t="shared" si="2"/>
        <v>69.096696361101195</v>
      </c>
      <c r="S10" s="18">
        <f t="shared" si="2"/>
        <v>81.694306762265782</v>
      </c>
      <c r="T10" s="18">
        <f t="shared" si="2"/>
        <v>95.0161143940432</v>
      </c>
      <c r="U10" s="18">
        <f t="shared" si="2"/>
        <v>109.10304376164228</v>
      </c>
      <c r="V10" s="18">
        <f t="shared" si="2"/>
        <v>123.97186444557333</v>
      </c>
      <c r="W10" s="18">
        <f t="shared" si="2"/>
        <v>139.64250057263041</v>
      </c>
      <c r="X10" s="18">
        <f t="shared" si="2"/>
        <v>156.13562283517354</v>
      </c>
      <c r="Y10" s="18">
        <f t="shared" si="2"/>
        <v>173.47224011671267</v>
      </c>
      <c r="Z10" s="119">
        <f t="shared" si="2"/>
        <v>191.67315380240581</v>
      </c>
      <c r="AA10" s="18">
        <f t="shared" si="2"/>
        <v>197.58572958239409</v>
      </c>
      <c r="AB10" s="18">
        <f t="shared" si="2"/>
        <v>203.59951729316316</v>
      </c>
      <c r="AC10" s="18">
        <f t="shared" si="2"/>
        <v>209.71343545667864</v>
      </c>
      <c r="AD10" s="18">
        <f t="shared" si="2"/>
        <v>215.92626966221712</v>
      </c>
      <c r="AE10" s="18">
        <f t="shared" si="2"/>
        <v>222.23659514402974</v>
      </c>
      <c r="AF10" s="18">
        <f t="shared" si="2"/>
        <v>228.64266819529979</v>
      </c>
      <c r="AG10" s="18">
        <f t="shared" si="2"/>
        <v>235.14237114472118</v>
      </c>
      <c r="AH10" s="18">
        <f t="shared" si="2"/>
        <v>241.73355953967697</v>
      </c>
      <c r="AI10" s="18">
        <f t="shared" si="2"/>
        <v>248.41366529590243</v>
      </c>
      <c r="AJ10" s="111">
        <f t="shared" ref="AJ10" si="7">SUM(AJ21,AJ32)</f>
        <v>255.17996158899808</v>
      </c>
      <c r="AK10" s="55">
        <f t="shared" si="3"/>
        <v>3586.8951480990327</v>
      </c>
    </row>
    <row r="11" spans="1:53">
      <c r="A11" s="3" t="s">
        <v>4</v>
      </c>
      <c r="B11" t="s">
        <v>16</v>
      </c>
      <c r="C11" s="4" t="s">
        <v>53</v>
      </c>
      <c r="D11" s="91" t="s">
        <v>122</v>
      </c>
      <c r="E11" s="110">
        <f t="shared" ref="E11:AJ12" si="8">SUM(E22,E33)</f>
        <v>0</v>
      </c>
      <c r="F11" s="18">
        <f t="shared" si="8"/>
        <v>0</v>
      </c>
      <c r="G11" s="18">
        <f t="shared" si="8"/>
        <v>0</v>
      </c>
      <c r="H11" s="18">
        <f t="shared" si="8"/>
        <v>0</v>
      </c>
      <c r="I11" s="18">
        <f t="shared" si="8"/>
        <v>0</v>
      </c>
      <c r="J11" s="119">
        <f t="shared" si="8"/>
        <v>0</v>
      </c>
      <c r="K11" s="18">
        <f t="shared" si="8"/>
        <v>0</v>
      </c>
      <c r="L11" s="18">
        <f t="shared" si="8"/>
        <v>7.0462575580383193</v>
      </c>
      <c r="M11" s="18">
        <f t="shared" si="8"/>
        <v>14.408844976767092</v>
      </c>
      <c r="N11" s="18">
        <f t="shared" si="8"/>
        <v>22.087551986306831</v>
      </c>
      <c r="O11" s="18">
        <f t="shared" si="8"/>
        <v>30.079583749509251</v>
      </c>
      <c r="P11" s="119">
        <f t="shared" si="8"/>
        <v>38.379953292721979</v>
      </c>
      <c r="Q11" s="18">
        <f t="shared" si="8"/>
        <v>46.982581407085256</v>
      </c>
      <c r="R11" s="18">
        <f t="shared" si="8"/>
        <v>55.880859558521848</v>
      </c>
      <c r="S11" s="18">
        <f t="shared" si="8"/>
        <v>65.067222777044321</v>
      </c>
      <c r="T11" s="18">
        <f t="shared" si="8"/>
        <v>74.534167056328229</v>
      </c>
      <c r="U11" s="18">
        <f t="shared" si="8"/>
        <v>84.283640313173905</v>
      </c>
      <c r="V11" s="18">
        <f t="shared" si="8"/>
        <v>94.310739535859966</v>
      </c>
      <c r="W11" s="18">
        <f t="shared" si="8"/>
        <v>104.60841082702284</v>
      </c>
      <c r="X11" s="18">
        <f t="shared" si="8"/>
        <v>115.16933526163818</v>
      </c>
      <c r="Y11" s="18">
        <f t="shared" si="8"/>
        <v>125.98540686284109</v>
      </c>
      <c r="Z11" s="119">
        <f t="shared" si="8"/>
        <v>137.04794980779127</v>
      </c>
      <c r="AA11" s="18">
        <f t="shared" si="8"/>
        <v>139.07565782149265</v>
      </c>
      <c r="AB11" s="18">
        <f t="shared" si="8"/>
        <v>141.06455899571546</v>
      </c>
      <c r="AC11" s="18">
        <f t="shared" si="8"/>
        <v>143.01132405736777</v>
      </c>
      <c r="AD11" s="18">
        <f t="shared" si="8"/>
        <v>144.91241017801113</v>
      </c>
      <c r="AE11" s="18">
        <f t="shared" si="8"/>
        <v>146.76473449456867</v>
      </c>
      <c r="AF11" s="18">
        <f t="shared" si="8"/>
        <v>148.56535103841622</v>
      </c>
      <c r="AG11" s="18">
        <f t="shared" si="8"/>
        <v>150.31192165229999</v>
      </c>
      <c r="AH11" s="18">
        <f t="shared" si="8"/>
        <v>152.00257362010569</v>
      </c>
      <c r="AI11" s="18">
        <f t="shared" si="8"/>
        <v>153.63576277240591</v>
      </c>
      <c r="AJ11" s="111">
        <f t="shared" si="8"/>
        <v>155.20970948131421</v>
      </c>
      <c r="AK11" s="55">
        <f t="shared" si="3"/>
        <v>2490.4265090823483</v>
      </c>
      <c r="AT11" t="s">
        <v>68</v>
      </c>
      <c r="AU11" s="54">
        <f>SUM(AU2:AU9)</f>
        <v>14369.780260404465</v>
      </c>
      <c r="AV11" s="54">
        <f t="shared" ref="AV11:BA11" si="9">SUM(AV2:AV9)</f>
        <v>17371.934022967085</v>
      </c>
      <c r="AW11" s="54">
        <f t="shared" si="9"/>
        <v>15897.029918172531</v>
      </c>
      <c r="AX11" s="54">
        <f t="shared" si="9"/>
        <v>13215.054498730029</v>
      </c>
      <c r="AY11" s="54">
        <f t="shared" si="9"/>
        <v>9196.9373483161471</v>
      </c>
      <c r="AZ11" s="54">
        <f t="shared" si="9"/>
        <v>10141.898023822734</v>
      </c>
      <c r="BA11" s="54">
        <f t="shared" si="9"/>
        <v>11073.271149870785</v>
      </c>
    </row>
    <row r="12" spans="1:53" ht="17" thickBot="1">
      <c r="A12" s="31" t="s">
        <v>4</v>
      </c>
      <c r="B12" s="31" t="s">
        <v>17</v>
      </c>
      <c r="C12" s="32" t="s">
        <v>53</v>
      </c>
      <c r="D12" s="93" t="s">
        <v>122</v>
      </c>
      <c r="E12" s="112">
        <f t="shared" si="8"/>
        <v>0</v>
      </c>
      <c r="F12" s="113">
        <f t="shared" si="8"/>
        <v>0</v>
      </c>
      <c r="G12" s="113">
        <f t="shared" si="8"/>
        <v>0</v>
      </c>
      <c r="H12" s="113">
        <f t="shared" si="8"/>
        <v>0</v>
      </c>
      <c r="I12" s="113">
        <f t="shared" si="8"/>
        <v>0</v>
      </c>
      <c r="J12" s="120">
        <f t="shared" si="8"/>
        <v>0</v>
      </c>
      <c r="K12" s="113">
        <f t="shared" si="8"/>
        <v>0</v>
      </c>
      <c r="L12" s="113">
        <f t="shared" si="8"/>
        <v>0</v>
      </c>
      <c r="M12" s="113">
        <f t="shared" si="8"/>
        <v>0</v>
      </c>
      <c r="N12" s="113">
        <f t="shared" si="8"/>
        <v>0</v>
      </c>
      <c r="O12" s="113">
        <f t="shared" si="8"/>
        <v>0</v>
      </c>
      <c r="P12" s="120">
        <f t="shared" si="8"/>
        <v>0</v>
      </c>
      <c r="Q12" s="113">
        <f t="shared" si="8"/>
        <v>0</v>
      </c>
      <c r="R12" s="113">
        <f t="shared" si="8"/>
        <v>0</v>
      </c>
      <c r="S12" s="113">
        <f t="shared" si="8"/>
        <v>0</v>
      </c>
      <c r="T12" s="113">
        <f t="shared" si="8"/>
        <v>0</v>
      </c>
      <c r="U12" s="113">
        <f t="shared" si="8"/>
        <v>0</v>
      </c>
      <c r="V12" s="113">
        <f t="shared" si="8"/>
        <v>0</v>
      </c>
      <c r="W12" s="113">
        <f t="shared" si="8"/>
        <v>0</v>
      </c>
      <c r="X12" s="113">
        <f t="shared" si="8"/>
        <v>0</v>
      </c>
      <c r="Y12" s="113">
        <f t="shared" si="8"/>
        <v>0</v>
      </c>
      <c r="Z12" s="120">
        <f t="shared" si="8"/>
        <v>0</v>
      </c>
      <c r="AA12" s="113">
        <f t="shared" si="8"/>
        <v>0</v>
      </c>
      <c r="AB12" s="113">
        <f t="shared" si="8"/>
        <v>0</v>
      </c>
      <c r="AC12" s="113">
        <f t="shared" si="8"/>
        <v>0</v>
      </c>
      <c r="AD12" s="113">
        <f t="shared" si="8"/>
        <v>0</v>
      </c>
      <c r="AE12" s="113">
        <f t="shared" si="8"/>
        <v>0</v>
      </c>
      <c r="AF12" s="113">
        <f t="shared" si="8"/>
        <v>0</v>
      </c>
      <c r="AG12" s="113">
        <f t="shared" si="8"/>
        <v>0</v>
      </c>
      <c r="AH12" s="113">
        <f t="shared" si="8"/>
        <v>0</v>
      </c>
      <c r="AI12" s="113">
        <f t="shared" si="8"/>
        <v>0</v>
      </c>
      <c r="AJ12" s="114">
        <f t="shared" si="8"/>
        <v>0</v>
      </c>
      <c r="AK12" s="55">
        <f t="shared" si="3"/>
        <v>0</v>
      </c>
    </row>
    <row r="13" spans="1:53">
      <c r="A13" s="28" t="s">
        <v>18</v>
      </c>
      <c r="B13" s="28" t="s">
        <v>36</v>
      </c>
      <c r="C13" s="29" t="s">
        <v>53</v>
      </c>
      <c r="D13" s="101" t="s">
        <v>122</v>
      </c>
      <c r="E13" s="139">
        <f>NICCS_Fuel_cons!E13*_xlfn.XLOOKUP($B13,efs!$A$74:$A$84,efs!$E$74:$E$84,0,0)</f>
        <v>6776.5098018586959</v>
      </c>
      <c r="F13" s="108">
        <f>NICCS_Fuel_cons!F13*_xlfn.XLOOKUP($B13,efs!$A$74:$A$84,efs!$E$74:$E$84,0,0)</f>
        <v>6856.4676400279768</v>
      </c>
      <c r="G13" s="108">
        <f>NICCS_Fuel_cons!G13*_xlfn.XLOOKUP($B13,efs!$A$74:$A$84,efs!$E$74:$E$84,0,0)</f>
        <v>6932.8392839994431</v>
      </c>
      <c r="H13" s="108">
        <f>NICCS_Fuel_cons!H13*_xlfn.XLOOKUP($B13,efs!$A$74:$A$84,efs!$E$74:$E$84,0,0)</f>
        <v>7005.4780052401056</v>
      </c>
      <c r="I13" s="108">
        <f>NICCS_Fuel_cons!I13*_xlfn.XLOOKUP($B13,efs!$A$74:$A$84,efs!$E$74:$E$84,0,0)</f>
        <v>7074.3976010320976</v>
      </c>
      <c r="J13" s="118">
        <f>NICCS_Fuel_cons!J13*_xlfn.XLOOKUP($B13,efs!$A$74:$A$84,efs!$E$74:$E$84,0,0)</f>
        <v>7139.6975799029215</v>
      </c>
      <c r="K13" s="108">
        <f>NICCS_Fuel_cons!K13*_xlfn.XLOOKUP($B13,efs!$A$74:$A$84,efs!$E$74:$E$84,0,0)</f>
        <v>7116.4369993702794</v>
      </c>
      <c r="L13" s="108">
        <f>NICCS_Fuel_cons!L13*_xlfn.XLOOKUP($B13,efs!$A$74:$A$84,efs!$E$74:$E$84,0,0)</f>
        <v>6794.0558903038045</v>
      </c>
      <c r="M13" s="108">
        <f>NICCS_Fuel_cons!M13*_xlfn.XLOOKUP($B13,efs!$A$74:$A$84,efs!$E$74:$E$84,0,0)</f>
        <v>6450.3768978835933</v>
      </c>
      <c r="N13" s="108">
        <f>NICCS_Fuel_cons!N13*_xlfn.XLOOKUP($B13,efs!$A$74:$A$84,efs!$E$74:$E$84,0,0)</f>
        <v>6084.8537149550893</v>
      </c>
      <c r="O13" s="108">
        <f>NICCS_Fuel_cons!O13*_xlfn.XLOOKUP($B13,efs!$A$74:$A$84,efs!$E$74:$E$84,0,0)</f>
        <v>5697.0113114948954</v>
      </c>
      <c r="P13" s="118">
        <f>NICCS_Fuel_cons!P13*_xlfn.XLOOKUP($B13,efs!$A$74:$A$84,efs!$E$74:$E$84,0,0)</f>
        <v>5286.6067167109095</v>
      </c>
      <c r="Q13" s="108">
        <f>NICCS_Fuel_cons!Q13*_xlfn.XLOOKUP($B13,efs!$A$74:$A$84,efs!$E$74:$E$84,0,0)</f>
        <v>4853.6750789027319</v>
      </c>
      <c r="R13" s="108">
        <f>NICCS_Fuel_cons!R13*_xlfn.XLOOKUP($B13,efs!$A$74:$A$84,efs!$E$74:$E$84,0,0)</f>
        <v>4398.4290477971454</v>
      </c>
      <c r="S13" s="108">
        <f>NICCS_Fuel_cons!S13*_xlfn.XLOOKUP($B13,efs!$A$74:$A$84,efs!$E$74:$E$84,0,0)</f>
        <v>3921.1448819893171</v>
      </c>
      <c r="T13" s="108">
        <f>NICCS_Fuel_cons!T13*_xlfn.XLOOKUP($B13,efs!$A$74:$A$84,efs!$E$74:$E$84,0,0)</f>
        <v>3422.2104195834504</v>
      </c>
      <c r="U13" s="108">
        <f>NICCS_Fuel_cons!U13*_xlfn.XLOOKUP($B13,efs!$A$74:$A$84,efs!$E$74:$E$84,0,0)</f>
        <v>2902.3905760782045</v>
      </c>
      <c r="V13" s="108">
        <f>NICCS_Fuel_cons!V13*_xlfn.XLOOKUP($B13,efs!$A$74:$A$84,efs!$E$74:$E$84,0,0)</f>
        <v>2361.9517544654209</v>
      </c>
      <c r="W13" s="108">
        <f>NICCS_Fuel_cons!W13*_xlfn.XLOOKUP($B13,efs!$A$74:$A$84,efs!$E$74:$E$84,0,0)</f>
        <v>1801.1470828426714</v>
      </c>
      <c r="X13" s="108">
        <f>NICCS_Fuel_cons!X13*_xlfn.XLOOKUP($B13,efs!$A$74:$A$84,efs!$E$74:$E$84,0,0)</f>
        <v>1220.2984773960211</v>
      </c>
      <c r="Y13" s="108">
        <f>NICCS_Fuel_cons!Y13*_xlfn.XLOOKUP($B13,efs!$A$74:$A$84,efs!$E$74:$E$84,0,0)</f>
        <v>619.77602608695577</v>
      </c>
      <c r="Z13" s="118">
        <f>NICCS_Fuel_cons!Z13*_xlfn.XLOOKUP($B13,efs!$A$74:$A$84,efs!$E$74:$E$84,0,0)</f>
        <v>0</v>
      </c>
      <c r="AA13" s="108">
        <f>NICCS_Fuel_cons!AA13*_xlfn.XLOOKUP($B13,efs!$A$74:$A$84,efs!$E$74:$E$84,0,0)</f>
        <v>0</v>
      </c>
      <c r="AB13" s="108">
        <f>NICCS_Fuel_cons!AB13*_xlfn.XLOOKUP($B13,efs!$A$74:$A$84,efs!$E$74:$E$84,0,0)</f>
        <v>0</v>
      </c>
      <c r="AC13" s="108">
        <f>NICCS_Fuel_cons!AC13*_xlfn.XLOOKUP($B13,efs!$A$74:$A$84,efs!$E$74:$E$84,0,0)</f>
        <v>0</v>
      </c>
      <c r="AD13" s="108">
        <f>NICCS_Fuel_cons!AD13*_xlfn.XLOOKUP($B13,efs!$A$74:$A$84,efs!$E$74:$E$84,0,0)</f>
        <v>0</v>
      </c>
      <c r="AE13" s="108">
        <f>NICCS_Fuel_cons!AE13*_xlfn.XLOOKUP($B13,efs!$A$74:$A$84,efs!$E$74:$E$84,0,0)</f>
        <v>0</v>
      </c>
      <c r="AF13" s="108">
        <f>NICCS_Fuel_cons!AF13*_xlfn.XLOOKUP($B13,efs!$A$74:$A$84,efs!$E$74:$E$84,0,0)</f>
        <v>0</v>
      </c>
      <c r="AG13" s="108">
        <f>NICCS_Fuel_cons!AG13*_xlfn.XLOOKUP($B13,efs!$A$74:$A$84,efs!$E$74:$E$84,0,0)</f>
        <v>0</v>
      </c>
      <c r="AH13" s="108">
        <f>NICCS_Fuel_cons!AH13*_xlfn.XLOOKUP($B13,efs!$A$74:$A$84,efs!$E$74:$E$84,0,0)</f>
        <v>0</v>
      </c>
      <c r="AI13" s="108">
        <f>NICCS_Fuel_cons!AI13*_xlfn.XLOOKUP($B13,efs!$A$74:$A$84,efs!$E$74:$E$84,0,0)</f>
        <v>0</v>
      </c>
      <c r="AJ13" s="109">
        <f>NICCS_Fuel_cons!AJ13*_xlfn.XLOOKUP($B13,efs!$A$74:$A$84,efs!$E$74:$E$84,0,0)</f>
        <v>0</v>
      </c>
      <c r="AK13" s="55">
        <f t="shared" si="3"/>
        <v>62930.36487586049</v>
      </c>
    </row>
    <row r="14" spans="1:53">
      <c r="A14" s="3" t="s">
        <v>18</v>
      </c>
      <c r="B14" s="3" t="s">
        <v>8</v>
      </c>
      <c r="C14" s="4" t="s">
        <v>53</v>
      </c>
      <c r="D14" s="91" t="s">
        <v>122</v>
      </c>
      <c r="E14" s="110">
        <f>NICCS_Fuel_cons!E14*_xlfn.XLOOKUP($B14,efs!$A$74:$A$84,efs!$E$74:$E$84,0,0)</f>
        <v>1253.4480295279454</v>
      </c>
      <c r="F14" s="18">
        <f>NICCS_Fuel_cons!F14*_xlfn.XLOOKUP($B14,efs!$A$74:$A$84,efs!$E$74:$E$84,0,0)</f>
        <v>1418.7774154461667</v>
      </c>
      <c r="G14" s="18">
        <f>NICCS_Fuel_cons!G14*_xlfn.XLOOKUP($B14,efs!$A$74:$A$84,efs!$E$74:$E$84,0,0)</f>
        <v>1590.980038098955</v>
      </c>
      <c r="H14" s="18">
        <f>NICCS_Fuel_cons!H14*_xlfn.XLOOKUP($B14,efs!$A$74:$A$84,efs!$E$74:$E$84,0,0)</f>
        <v>1770.0910174271228</v>
      </c>
      <c r="I14" s="18">
        <f>NICCS_Fuel_cons!I14*_xlfn.XLOOKUP($B14,efs!$A$74:$A$84,efs!$E$74:$E$84,0,0)</f>
        <v>1956.1799474055442</v>
      </c>
      <c r="J14" s="119">
        <f>NICCS_Fuel_cons!J14*_xlfn.XLOOKUP($B14,efs!$A$74:$A$84,efs!$E$74:$E$84,0,0)</f>
        <v>2149.3473489476937</v>
      </c>
      <c r="K14" s="18">
        <f>NICCS_Fuel_cons!K14*_xlfn.XLOOKUP($B14,efs!$A$74:$A$84,efs!$E$74:$E$84,0,0)</f>
        <v>2457.6357754503406</v>
      </c>
      <c r="L14" s="18">
        <f>NICCS_Fuel_cons!L14*_xlfn.XLOOKUP($B14,efs!$A$74:$A$84,efs!$E$74:$E$84,0,0)</f>
        <v>2346.3026255831765</v>
      </c>
      <c r="M14" s="18">
        <f>NICCS_Fuel_cons!M14*_xlfn.XLOOKUP($B14,efs!$A$74:$A$84,efs!$E$74:$E$84,0,0)</f>
        <v>2227.6143287406167</v>
      </c>
      <c r="N14" s="18">
        <f>NICCS_Fuel_cons!N14*_xlfn.XLOOKUP($B14,efs!$A$74:$A$84,efs!$E$74:$E$84,0,0)</f>
        <v>2101.3822197229906</v>
      </c>
      <c r="O14" s="18">
        <f>NICCS_Fuel_cons!O14*_xlfn.XLOOKUP($B14,efs!$A$74:$A$84,efs!$E$74:$E$84,0,0)</f>
        <v>1967.4422486300462</v>
      </c>
      <c r="P14" s="119">
        <f>NICCS_Fuel_cons!P14*_xlfn.XLOOKUP($B14,efs!$A$74:$A$84,efs!$E$74:$E$84,0,0)</f>
        <v>1825.7105063776273</v>
      </c>
      <c r="Q14" s="18">
        <f>NICCS_Fuel_cons!Q14*_xlfn.XLOOKUP($B14,efs!$A$74:$A$84,efs!$E$74:$E$84,0,0)</f>
        <v>1676.19913130386</v>
      </c>
      <c r="R14" s="18">
        <f>NICCS_Fuel_cons!R14*_xlfn.XLOOKUP($B14,efs!$A$74:$A$84,efs!$E$74:$E$84,0,0)</f>
        <v>1518.9815612226705</v>
      </c>
      <c r="S14" s="18">
        <f>NICCS_Fuel_cons!S14*_xlfn.XLOOKUP($B14,efs!$A$74:$A$84,efs!$E$74:$E$84,0,0)</f>
        <v>1354.1532010405895</v>
      </c>
      <c r="T14" s="18">
        <f>NICCS_Fuel_cons!T14*_xlfn.XLOOKUP($B14,efs!$A$74:$A$84,efs!$E$74:$E$84,0,0)</f>
        <v>1181.8479892439775</v>
      </c>
      <c r="U14" s="18">
        <f>NICCS_Fuel_cons!U14*_xlfn.XLOOKUP($B14,efs!$A$74:$A$84,efs!$E$74:$E$84,0,0)</f>
        <v>1002.3300866333683</v>
      </c>
      <c r="V14" s="18">
        <f>NICCS_Fuel_cons!V14*_xlfn.XLOOKUP($B14,efs!$A$74:$A$84,efs!$E$74:$E$84,0,0)</f>
        <v>815.69149451833482</v>
      </c>
      <c r="W14" s="18">
        <f>NICCS_Fuel_cons!W14*_xlfn.XLOOKUP($B14,efs!$A$74:$A$84,efs!$E$74:$E$84,0,0)</f>
        <v>622.01962977173355</v>
      </c>
      <c r="X14" s="18">
        <f>NICCS_Fuel_cons!X14*_xlfn.XLOOKUP($B14,efs!$A$74:$A$84,efs!$E$74:$E$84,0,0)</f>
        <v>421.4256649839549</v>
      </c>
      <c r="Y14" s="18">
        <f>NICCS_Fuel_cons!Y14*_xlfn.XLOOKUP($B14,efs!$A$74:$A$84,efs!$E$74:$E$84,0,0)</f>
        <v>214.0374086937789</v>
      </c>
      <c r="Z14" s="119">
        <f>NICCS_Fuel_cons!Z14*_xlfn.XLOOKUP($B14,efs!$A$74:$A$84,efs!$E$74:$E$84,0,0)</f>
        <v>0</v>
      </c>
      <c r="AA14" s="18">
        <f>NICCS_Fuel_cons!AA14*_xlfn.XLOOKUP($B14,efs!$A$74:$A$84,efs!$E$74:$E$84,0,0)</f>
        <v>0</v>
      </c>
      <c r="AB14" s="18">
        <f>NICCS_Fuel_cons!AB14*_xlfn.XLOOKUP($B14,efs!$A$74:$A$84,efs!$E$74:$E$84,0,0)</f>
        <v>0</v>
      </c>
      <c r="AC14" s="18">
        <f>NICCS_Fuel_cons!AC14*_xlfn.XLOOKUP($B14,efs!$A$74:$A$84,efs!$E$74:$E$84,0,0)</f>
        <v>0</v>
      </c>
      <c r="AD14" s="18">
        <f>NICCS_Fuel_cons!AD14*_xlfn.XLOOKUP($B14,efs!$A$74:$A$84,efs!$E$74:$E$84,0,0)</f>
        <v>0</v>
      </c>
      <c r="AE14" s="18">
        <f>NICCS_Fuel_cons!AE14*_xlfn.XLOOKUP($B14,efs!$A$74:$A$84,efs!$E$74:$E$84,0,0)</f>
        <v>0</v>
      </c>
      <c r="AF14" s="18">
        <f>NICCS_Fuel_cons!AF14*_xlfn.XLOOKUP($B14,efs!$A$74:$A$84,efs!$E$74:$E$84,0,0)</f>
        <v>0</v>
      </c>
      <c r="AG14" s="18">
        <f>NICCS_Fuel_cons!AG14*_xlfn.XLOOKUP($B14,efs!$A$74:$A$84,efs!$E$74:$E$84,0,0)</f>
        <v>0</v>
      </c>
      <c r="AH14" s="18">
        <f>NICCS_Fuel_cons!AH14*_xlfn.XLOOKUP($B14,efs!$A$74:$A$84,efs!$E$74:$E$84,0,0)</f>
        <v>0</v>
      </c>
      <c r="AI14" s="18">
        <f>NICCS_Fuel_cons!AI14*_xlfn.XLOOKUP($B14,efs!$A$74:$A$84,efs!$E$74:$E$84,0,0)</f>
        <v>0</v>
      </c>
      <c r="AJ14" s="111">
        <f>NICCS_Fuel_cons!AJ14*_xlfn.XLOOKUP($B14,efs!$A$74:$A$84,efs!$E$74:$E$84,0,0)</f>
        <v>0</v>
      </c>
      <c r="AK14" s="55">
        <f t="shared" si="3"/>
        <v>21732.773871917063</v>
      </c>
    </row>
    <row r="15" spans="1:53">
      <c r="A15" s="3" t="s">
        <v>18</v>
      </c>
      <c r="B15" t="s">
        <v>37</v>
      </c>
      <c r="C15" s="4" t="s">
        <v>53</v>
      </c>
      <c r="D15" s="91" t="s">
        <v>122</v>
      </c>
      <c r="E15" s="110">
        <f>NICCS_Fuel_cons!E15*_xlfn.XLOOKUP($B15,efs!$A$74:$A$84,efs!$E$74:$E$84,0,0)</f>
        <v>0</v>
      </c>
      <c r="F15" s="18">
        <f>NICCS_Fuel_cons!F15*_xlfn.XLOOKUP($B15,efs!$A$74:$A$84,efs!$E$74:$E$84,0,0)</f>
        <v>0</v>
      </c>
      <c r="G15" s="18">
        <f>NICCS_Fuel_cons!G15*_xlfn.XLOOKUP($B15,efs!$A$74:$A$84,efs!$E$74:$E$84,0,0)</f>
        <v>0</v>
      </c>
      <c r="H15" s="18">
        <f>NICCS_Fuel_cons!H15*_xlfn.XLOOKUP($B15,efs!$A$74:$A$84,efs!$E$74:$E$84,0,0)</f>
        <v>0</v>
      </c>
      <c r="I15" s="18">
        <f>NICCS_Fuel_cons!I15*_xlfn.XLOOKUP($B15,efs!$A$74:$A$84,efs!$E$74:$E$84,0,0)</f>
        <v>0</v>
      </c>
      <c r="J15" s="119">
        <f>NICCS_Fuel_cons!J15*_xlfn.XLOOKUP($B15,efs!$A$74:$A$84,efs!$E$74:$E$84,0,0)</f>
        <v>0</v>
      </c>
      <c r="K15" s="18">
        <f>NICCS_Fuel_cons!K15*_xlfn.XLOOKUP($B15,efs!$A$74:$A$84,efs!$E$74:$E$84,0,0)</f>
        <v>0</v>
      </c>
      <c r="L15" s="18">
        <f>NICCS_Fuel_cons!L15*_xlfn.XLOOKUP($B15,efs!$A$74:$A$84,efs!$E$74:$E$84,0,0)</f>
        <v>61.69695491920637</v>
      </c>
      <c r="M15" s="18">
        <f>NICCS_Fuel_cons!M15*_xlfn.XLOOKUP($B15,efs!$A$74:$A$84,efs!$E$74:$E$84,0,0)</f>
        <v>126.16369067510006</v>
      </c>
      <c r="N15" s="18">
        <f>NICCS_Fuel_cons!N15*_xlfn.XLOOKUP($B15,efs!$A$74:$A$84,efs!$E$74:$E$84,0,0)</f>
        <v>193.39836614689196</v>
      </c>
      <c r="O15" s="18">
        <f>NICCS_Fuel_cons!O15*_xlfn.XLOOKUP($B15,efs!$A$74:$A$84,efs!$E$74:$E$84,0,0)</f>
        <v>263.37650977075918</v>
      </c>
      <c r="P15" s="119">
        <f>NICCS_Fuel_cons!P15*_xlfn.XLOOKUP($B15,efs!$A$74:$A$84,efs!$E$74:$E$84,0,0)</f>
        <v>336.05445565937356</v>
      </c>
      <c r="Q15" s="18">
        <f>NICCS_Fuel_cons!Q15*_xlfn.XLOOKUP($B15,efs!$A$74:$A$84,efs!$E$74:$E$84,0,0)</f>
        <v>411.37897432575215</v>
      </c>
      <c r="R15" s="18">
        <f>NICCS_Fuel_cons!R15*_xlfn.XLOOKUP($B15,efs!$A$74:$A$84,efs!$E$74:$E$84,0,0)</f>
        <v>489.29220151703623</v>
      </c>
      <c r="S15" s="18">
        <f>NICCS_Fuel_cons!S15*_xlfn.XLOOKUP($B15,efs!$A$74:$A$84,efs!$E$74:$E$84,0,0)</f>
        <v>569.72789843788894</v>
      </c>
      <c r="T15" s="18">
        <f>NICCS_Fuel_cons!T15*_xlfn.XLOOKUP($B15,efs!$A$74:$A$84,efs!$E$74:$E$84,0,0)</f>
        <v>652.62036009014594</v>
      </c>
      <c r="U15" s="18">
        <f>NICCS_Fuel_cons!U15*_xlfn.XLOOKUP($B15,efs!$A$74:$A$84,efs!$E$74:$E$84,0,0)</f>
        <v>737.98664241222957</v>
      </c>
      <c r="V15" s="18">
        <f>NICCS_Fuel_cons!V15*_xlfn.XLOOKUP($B15,efs!$A$74:$A$84,efs!$E$74:$E$84,0,0)</f>
        <v>825.78381468657142</v>
      </c>
      <c r="W15" s="18">
        <f>NICCS_Fuel_cons!W15*_xlfn.XLOOKUP($B15,efs!$A$74:$A$84,efs!$E$74:$E$84,0,0)</f>
        <v>915.95011306419656</v>
      </c>
      <c r="X15" s="18">
        <f>NICCS_Fuel_cons!X15*_xlfn.XLOOKUP($B15,efs!$A$74:$A$84,efs!$E$74:$E$84,0,0)</f>
        <v>1008.4214531168026</v>
      </c>
      <c r="Y15" s="18">
        <f>NICCS_Fuel_cons!Y15*_xlfn.XLOOKUP($B15,efs!$A$74:$A$84,efs!$E$74:$E$84,0,0)</f>
        <v>1103.1268589986887</v>
      </c>
      <c r="Z15" s="119">
        <f>NICCS_Fuel_cons!Z15*_xlfn.XLOOKUP($B15,efs!$A$74:$A$84,efs!$E$74:$E$84,0,0)</f>
        <v>1199.9903652989592</v>
      </c>
      <c r="AA15" s="18">
        <f>NICCS_Fuel_cons!AA15*_xlfn.XLOOKUP($B15,efs!$A$74:$A$84,efs!$E$74:$E$84,0,0)</f>
        <v>1217.7449547218125</v>
      </c>
      <c r="AB15" s="18">
        <f>NICCS_Fuel_cons!AB15*_xlfn.XLOOKUP($B15,efs!$A$74:$A$84,efs!$E$74:$E$84,0,0)</f>
        <v>1235.159751878183</v>
      </c>
      <c r="AC15" s="18">
        <f>NICCS_Fuel_cons!AC15*_xlfn.XLOOKUP($B15,efs!$A$74:$A$84,efs!$E$74:$E$84,0,0)</f>
        <v>1252.2056056889096</v>
      </c>
      <c r="AD15" s="18">
        <f>NICCS_Fuel_cons!AD15*_xlfn.XLOOKUP($B15,efs!$A$74:$A$84,efs!$E$74:$E$84,0,0)</f>
        <v>1268.8514951865277</v>
      </c>
      <c r="AE15" s="18">
        <f>NICCS_Fuel_cons!AE15*_xlfn.XLOOKUP($B15,efs!$A$74:$A$84,efs!$E$74:$E$84,0,0)</f>
        <v>1285.0704268553011</v>
      </c>
      <c r="AF15" s="18">
        <f>NICCS_Fuel_cons!AF15*_xlfn.XLOOKUP($B15,efs!$A$74:$A$84,efs!$E$74:$E$84,0,0)</f>
        <v>1300.8366058258391</v>
      </c>
      <c r="AG15" s="18">
        <f>NICCS_Fuel_cons!AG15*_xlfn.XLOOKUP($B15,efs!$A$74:$A$84,efs!$E$74:$E$84,0,0)</f>
        <v>1316.1295592185331</v>
      </c>
      <c r="AH15" s="18">
        <f>NICCS_Fuel_cons!AH15*_xlfn.XLOOKUP($B15,efs!$A$74:$A$84,efs!$E$74:$E$84,0,0)</f>
        <v>1330.932889551354</v>
      </c>
      <c r="AI15" s="18">
        <f>NICCS_Fuel_cons!AI15*_xlfn.XLOOKUP($B15,efs!$A$74:$A$84,efs!$E$74:$E$84,0,0)</f>
        <v>1345.233076093507</v>
      </c>
      <c r="AJ15" s="111">
        <f>NICCS_Fuel_cons!AJ15*_xlfn.XLOOKUP($B15,efs!$A$74:$A$84,efs!$E$74:$E$84,0,0)</f>
        <v>1359.0145364424791</v>
      </c>
      <c r="AK15" s="55">
        <f t="shared" si="3"/>
        <v>21806.147560582049</v>
      </c>
    </row>
    <row r="16" spans="1:53">
      <c r="A16" s="3" t="s">
        <v>18</v>
      </c>
      <c r="B16" t="s">
        <v>10</v>
      </c>
      <c r="C16" s="4" t="s">
        <v>53</v>
      </c>
      <c r="D16" s="91" t="s">
        <v>122</v>
      </c>
      <c r="E16" s="110">
        <f>NICCS_Fuel_cons!E16*_xlfn.XLOOKUP($B16,efs!$A$74:$A$84,efs!$E$74:$E$84,0,0)</f>
        <v>0</v>
      </c>
      <c r="F16" s="18">
        <f>NICCS_Fuel_cons!F16*_xlfn.XLOOKUP($B16,efs!$A$74:$A$84,efs!$E$74:$E$84,0,0)</f>
        <v>0</v>
      </c>
      <c r="G16" s="18">
        <f>NICCS_Fuel_cons!G16*_xlfn.XLOOKUP($B16,efs!$A$74:$A$84,efs!$E$74:$E$84,0,0)</f>
        <v>0</v>
      </c>
      <c r="H16" s="18">
        <f>NICCS_Fuel_cons!H16*_xlfn.XLOOKUP($B16,efs!$A$74:$A$84,efs!$E$74:$E$84,0,0)</f>
        <v>0</v>
      </c>
      <c r="I16" s="18">
        <f>NICCS_Fuel_cons!I16*_xlfn.XLOOKUP($B16,efs!$A$74:$A$84,efs!$E$74:$E$84,0,0)</f>
        <v>0</v>
      </c>
      <c r="J16" s="119">
        <f>NICCS_Fuel_cons!J16*_xlfn.XLOOKUP($B16,efs!$A$74:$A$84,efs!$E$74:$E$84,0,0)</f>
        <v>0</v>
      </c>
      <c r="K16" s="18">
        <f>NICCS_Fuel_cons!K16*_xlfn.XLOOKUP($B16,efs!$A$74:$A$84,efs!$E$74:$E$84,0,0)</f>
        <v>0</v>
      </c>
      <c r="L16" s="18">
        <f>NICCS_Fuel_cons!L16*_xlfn.XLOOKUP($B16,efs!$A$74:$A$84,efs!$E$74:$E$84,0,0)</f>
        <v>184.18268122998853</v>
      </c>
      <c r="M16" s="18">
        <f>NICCS_Fuel_cons!M16*_xlfn.XLOOKUP($B16,efs!$A$74:$A$84,efs!$E$74:$E$84,0,0)</f>
        <v>376.63393360078231</v>
      </c>
      <c r="N16" s="18">
        <f>NICCS_Fuel_cons!N16*_xlfn.XLOOKUP($B16,efs!$A$74:$A$84,efs!$E$74:$E$84,0,0)</f>
        <v>577.34826085144198</v>
      </c>
      <c r="O16" s="18">
        <f>NICCS_Fuel_cons!O16*_xlfn.XLOOKUP($B16,efs!$A$74:$A$84,efs!$E$74:$E$84,0,0)</f>
        <v>786.25260851364374</v>
      </c>
      <c r="P16" s="119">
        <f>NICCS_Fuel_cons!P16*_xlfn.XLOOKUP($B16,efs!$A$74:$A$84,efs!$E$74:$E$84,0,0)</f>
        <v>1003.2166216903449</v>
      </c>
      <c r="Q16" s="18">
        <f>NICCS_Fuel_cons!Q16*_xlfn.XLOOKUP($B16,efs!$A$74:$A$84,efs!$E$74:$E$84,0,0)</f>
        <v>1228.0813954623984</v>
      </c>
      <c r="R16" s="18">
        <f>NICCS_Fuel_cons!R16*_xlfn.XLOOKUP($B16,efs!$A$74:$A$84,efs!$E$74:$E$84,0,0)</f>
        <v>1460.6741888371114</v>
      </c>
      <c r="S16" s="18">
        <f>NICCS_Fuel_cons!S16*_xlfn.XLOOKUP($B16,efs!$A$74:$A$84,efs!$E$74:$E$84,0,0)</f>
        <v>1700.7972604682116</v>
      </c>
      <c r="T16" s="18">
        <f>NICCS_Fuel_cons!T16*_xlfn.XLOOKUP($B16,efs!$A$74:$A$84,efs!$E$74:$E$84,0,0)</f>
        <v>1948.2544625434145</v>
      </c>
      <c r="U16" s="18">
        <f>NICCS_Fuel_cons!U16*_xlfn.XLOOKUP($B16,efs!$A$74:$A$84,efs!$E$74:$E$84,0,0)</f>
        <v>2203.0967118133685</v>
      </c>
      <c r="V16" s="18">
        <f>NICCS_Fuel_cons!V16*_xlfn.XLOOKUP($B16,efs!$A$74:$A$84,efs!$E$74:$E$84,0,0)</f>
        <v>2465.1958480685603</v>
      </c>
      <c r="W16" s="18">
        <f>NICCS_Fuel_cons!W16*_xlfn.XLOOKUP($B16,efs!$A$74:$A$84,efs!$E$74:$E$84,0,0)</f>
        <v>2734.3674889302774</v>
      </c>
      <c r="X16" s="18">
        <f>NICCS_Fuel_cons!X16*_xlfn.XLOOKUP($B16,efs!$A$74:$A$84,efs!$E$74:$E$84,0,0)</f>
        <v>3010.4203244409168</v>
      </c>
      <c r="Y16" s="18">
        <f>NICCS_Fuel_cons!Y16*_xlfn.XLOOKUP($B16,efs!$A$74:$A$84,efs!$E$74:$E$84,0,0)</f>
        <v>3293.1424718328299</v>
      </c>
      <c r="Z16" s="119">
        <f>NICCS_Fuel_cons!Z16*_xlfn.XLOOKUP($B16,efs!$A$74:$A$84,efs!$E$74:$E$84,0,0)</f>
        <v>3582.3071530895377</v>
      </c>
      <c r="AA16" s="18">
        <f>NICCS_Fuel_cons!AA16*_xlfn.XLOOKUP($B16,efs!$A$74:$A$84,efs!$E$74:$E$84,0,0)</f>
        <v>3635.3095725496378</v>
      </c>
      <c r="AB16" s="18">
        <f>NICCS_Fuel_cons!AB16*_xlfn.XLOOKUP($B16,efs!$A$74:$A$84,efs!$E$74:$E$84,0,0)</f>
        <v>3687.2976169764174</v>
      </c>
      <c r="AC16" s="18">
        <f>NICCS_Fuel_cons!AC16*_xlfn.XLOOKUP($B16,efs!$A$74:$A$84,efs!$E$74:$E$84,0,0)</f>
        <v>3738.1842622383333</v>
      </c>
      <c r="AD16" s="18">
        <f>NICCS_Fuel_cons!AD16*_xlfn.XLOOKUP($B16,efs!$A$74:$A$84,efs!$E$74:$E$84,0,0)</f>
        <v>3787.8769020638197</v>
      </c>
      <c r="AE16" s="18">
        <f>NICCS_Fuel_cons!AE16*_xlfn.XLOOKUP($B16,efs!$A$74:$A$84,efs!$E$74:$E$84,0,0)</f>
        <v>3836.2949532521247</v>
      </c>
      <c r="AF16" s="18">
        <f>NICCS_Fuel_cons!AF16*_xlfn.XLOOKUP($B16,efs!$A$74:$A$84,efs!$E$74:$E$84,0,0)</f>
        <v>3883.3614108973716</v>
      </c>
      <c r="AG16" s="18">
        <f>NICCS_Fuel_cons!AG16*_xlfn.XLOOKUP($B16,efs!$A$74:$A$84,efs!$E$74:$E$84,0,0)</f>
        <v>3929.0151577229672</v>
      </c>
      <c r="AH16" s="18">
        <f>NICCS_Fuel_cons!AH16*_xlfn.XLOOKUP($B16,efs!$A$74:$A$84,efs!$E$74:$E$84,0,0)</f>
        <v>3973.2072426549166</v>
      </c>
      <c r="AI16" s="18">
        <f>NICCS_Fuel_cons!AI16*_xlfn.XLOOKUP($B16,efs!$A$74:$A$84,efs!$E$74:$E$84,0,0)</f>
        <v>4015.8973025269443</v>
      </c>
      <c r="AJ16" s="111">
        <f>NICCS_Fuel_cons!AJ16*_xlfn.XLOOKUP($B16,efs!$A$74:$A$84,efs!$E$74:$E$84,0,0)</f>
        <v>4057.0388195055762</v>
      </c>
      <c r="AK16" s="55">
        <f t="shared" si="3"/>
        <v>65097.454651760941</v>
      </c>
    </row>
    <row r="17" spans="1:37">
      <c r="A17" s="121" t="s">
        <v>18</v>
      </c>
      <c r="B17" s="34" t="s">
        <v>11</v>
      </c>
      <c r="C17" s="122" t="s">
        <v>53</v>
      </c>
      <c r="D17" s="123" t="s">
        <v>122</v>
      </c>
      <c r="E17" s="124">
        <f>NICCS_Fuel_cons!E17*_xlfn.XLOOKUP($B17,efs!$A$74:$A$84,efs!$E$74:$E$84,0,0)</f>
        <v>0.36098765805607491</v>
      </c>
      <c r="F17" s="125">
        <f>NICCS_Fuel_cons!F17*_xlfn.XLOOKUP($B17,efs!$A$74:$A$84,efs!$E$74:$E$84,0,0)</f>
        <v>0.35681825283273932</v>
      </c>
      <c r="G17" s="125">
        <f>NICCS_Fuel_cons!G17*_xlfn.XLOOKUP($B17,efs!$A$74:$A$84,efs!$E$74:$E$84,0,0)</f>
        <v>0.35203583265589461</v>
      </c>
      <c r="H17" s="125">
        <f>NICCS_Fuel_cons!H17*_xlfn.XLOOKUP($B17,efs!$A$74:$A$84,efs!$E$74:$E$84,0,0)</f>
        <v>0.34662909524694496</v>
      </c>
      <c r="I17" s="125">
        <f>NICCS_Fuel_cons!I17*_xlfn.XLOOKUP($B17,efs!$A$74:$A$84,efs!$E$74:$E$84,0,0)</f>
        <v>0.34059502188118984</v>
      </c>
      <c r="J17" s="126">
        <f>NICCS_Fuel_cons!J17*_xlfn.XLOOKUP($B17,efs!$A$74:$A$84,efs!$E$74:$E$84,0,0)</f>
        <v>0.33393431576613264</v>
      </c>
      <c r="K17" s="125">
        <f>NICCS_Fuel_cons!K17*_xlfn.XLOOKUP($B17,efs!$A$74:$A$84,efs!$E$74:$E$84,0,0)</f>
        <v>0.3285711711616508</v>
      </c>
      <c r="L17" s="125">
        <f>NICCS_Fuel_cons!L17*_xlfn.XLOOKUP($B17,efs!$A$74:$A$84,efs!$E$74:$E$84,0,0)</f>
        <v>51.810819013562444</v>
      </c>
      <c r="M17" s="125">
        <f>NICCS_Fuel_cons!M17*_xlfn.XLOOKUP($B17,efs!$A$74:$A$84,efs!$E$74:$E$84,0,0)</f>
        <v>105.60396050824151</v>
      </c>
      <c r="N17" s="125">
        <f>NICCS_Fuel_cons!N17*_xlfn.XLOOKUP($B17,efs!$A$74:$A$84,efs!$E$74:$E$84,0,0)</f>
        <v>161.70643368753679</v>
      </c>
      <c r="O17" s="125">
        <f>NICCS_Fuel_cons!O17*_xlfn.XLOOKUP($B17,efs!$A$74:$A$84,efs!$E$74:$E$84,0,0)</f>
        <v>220.09779072655897</v>
      </c>
      <c r="P17" s="126">
        <f>NICCS_Fuel_cons!P17*_xlfn.XLOOKUP($B17,efs!$A$74:$A$84,efs!$E$74:$E$84,0,0)</f>
        <v>280.74157342230671</v>
      </c>
      <c r="Q17" s="125">
        <f>NICCS_Fuel_cons!Q17*_xlfn.XLOOKUP($B17,efs!$A$74:$A$84,efs!$E$74:$E$84,0,0)</f>
        <v>343.59335388008043</v>
      </c>
      <c r="R17" s="125">
        <f>NICCS_Fuel_cons!R17*_xlfn.XLOOKUP($B17,efs!$A$74:$A$84,efs!$E$74:$E$84,0,0)</f>
        <v>408.60484386032584</v>
      </c>
      <c r="S17" s="125">
        <f>NICCS_Fuel_cons!S17*_xlfn.XLOOKUP($B17,efs!$A$74:$A$84,efs!$E$74:$E$84,0,0)</f>
        <v>475.72076800836015</v>
      </c>
      <c r="T17" s="125">
        <f>NICCS_Fuel_cons!T17*_xlfn.XLOOKUP($B17,efs!$A$74:$A$84,efs!$E$74:$E$84,0,0)</f>
        <v>544.88630167032477</v>
      </c>
      <c r="U17" s="125">
        <f>NICCS_Fuel_cons!U17*_xlfn.XLOOKUP($B17,efs!$A$74:$A$84,efs!$E$74:$E$84,0,0)</f>
        <v>616.11571639097212</v>
      </c>
      <c r="V17" s="125">
        <f>NICCS_Fuel_cons!V17*_xlfn.XLOOKUP($B17,efs!$A$74:$A$84,efs!$E$74:$E$84,0,0)</f>
        <v>689.37319111598504</v>
      </c>
      <c r="W17" s="125">
        <f>NICCS_Fuel_cons!W17*_xlfn.XLOOKUP($B17,efs!$A$74:$A$84,efs!$E$74:$E$84,0,0)</f>
        <v>764.60718456501661</v>
      </c>
      <c r="X17" s="125">
        <f>NICCS_Fuel_cons!X17*_xlfn.XLOOKUP($B17,efs!$A$74:$A$84,efs!$E$74:$E$84,0,0)</f>
        <v>841.76422169564501</v>
      </c>
      <c r="Y17" s="125">
        <f>NICCS_Fuel_cons!Y17*_xlfn.XLOOKUP($B17,efs!$A$74:$A$84,efs!$E$74:$E$84,0,0)</f>
        <v>920.78507757045008</v>
      </c>
      <c r="Z17" s="126">
        <f>NICCS_Fuel_cons!Z17*_xlfn.XLOOKUP($B17,efs!$A$74:$A$84,efs!$E$74:$E$84,0,0)</f>
        <v>1001.6063648853527</v>
      </c>
      <c r="AA17" s="125">
        <f>NICCS_Fuel_cons!AA17*_xlfn.XLOOKUP($B17,efs!$A$74:$A$84,efs!$E$74:$E$84,0,0)</f>
        <v>1016.4257420121227</v>
      </c>
      <c r="AB17" s="125">
        <f>NICCS_Fuel_cons!AB17*_xlfn.XLOOKUP($B17,efs!$A$74:$A$84,efs!$E$74:$E$84,0,0)</f>
        <v>1030.9615017810463</v>
      </c>
      <c r="AC17" s="125">
        <f>NICCS_Fuel_cons!AC17*_xlfn.XLOOKUP($B17,efs!$A$74:$A$84,efs!$E$74:$E$84,0,0)</f>
        <v>1045.1893124080718</v>
      </c>
      <c r="AD17" s="125">
        <f>NICCS_Fuel_cons!AD17*_xlfn.XLOOKUP($B17,efs!$A$74:$A$84,efs!$E$74:$E$84,0,0)</f>
        <v>1059.0832813532631</v>
      </c>
      <c r="AE17" s="125">
        <f>NICCS_Fuel_cons!AE17*_xlfn.XLOOKUP($B17,efs!$A$74:$A$84,efs!$E$74:$E$84,0,0)</f>
        <v>1072.6208777047448</v>
      </c>
      <c r="AF17" s="125">
        <f>NICCS_Fuel_cons!AF17*_xlfn.XLOOKUP($B17,efs!$A$74:$A$84,efs!$E$74:$E$84,0,0)</f>
        <v>1085.7805710351811</v>
      </c>
      <c r="AG17" s="125">
        <f>NICCS_Fuel_cons!AG17*_xlfn.XLOOKUP($B17,efs!$A$74:$A$84,efs!$E$74:$E$84,0,0)</f>
        <v>1098.545273068602</v>
      </c>
      <c r="AH17" s="125">
        <f>NICCS_Fuel_cons!AH17*_xlfn.XLOOKUP($B17,efs!$A$74:$A$84,efs!$E$74:$E$84,0,0)</f>
        <v>1110.9012971764787</v>
      </c>
      <c r="AI17" s="125">
        <f>NICCS_Fuel_cons!AI17*_xlfn.XLOOKUP($B17,efs!$A$74:$A$84,efs!$E$74:$E$84,0,0)</f>
        <v>1122.837357893183</v>
      </c>
      <c r="AJ17" s="127">
        <f>NICCS_Fuel_cons!AJ17*_xlfn.XLOOKUP($B17,efs!$A$74:$A$84,efs!$E$74:$E$84,0,0)</f>
        <v>1134.3404489196735</v>
      </c>
      <c r="AK17" s="128">
        <f t="shared" si="3"/>
        <v>18204.031835524245</v>
      </c>
    </row>
    <row r="18" spans="1:37">
      <c r="A18" s="3" t="s">
        <v>18</v>
      </c>
      <c r="B18" s="3" t="s">
        <v>12</v>
      </c>
      <c r="C18" s="4" t="s">
        <v>53</v>
      </c>
      <c r="D18" s="91" t="s">
        <v>122</v>
      </c>
      <c r="E18" s="110">
        <f>NICCS_Fuel_cons!E18*_xlfn.XLOOKUP($B18,efs!$A$74:$A$84,efs!$E$74:$E$84,0,0)</f>
        <v>0</v>
      </c>
      <c r="F18" s="18">
        <f>NICCS_Fuel_cons!F18*_xlfn.XLOOKUP($B18,efs!$A$74:$A$84,efs!$E$74:$E$84,0,0)</f>
        <v>0</v>
      </c>
      <c r="G18" s="18">
        <f>NICCS_Fuel_cons!G18*_xlfn.XLOOKUP($B18,efs!$A$74:$A$84,efs!$E$74:$E$84,0,0)</f>
        <v>0</v>
      </c>
      <c r="H18" s="18">
        <f>NICCS_Fuel_cons!H18*_xlfn.XLOOKUP($B18,efs!$A$74:$A$84,efs!$E$74:$E$84,0,0)</f>
        <v>0</v>
      </c>
      <c r="I18" s="18">
        <f>NICCS_Fuel_cons!I18*_xlfn.XLOOKUP($B18,efs!$A$74:$A$84,efs!$E$74:$E$84,0,0)</f>
        <v>0</v>
      </c>
      <c r="J18" s="119">
        <f>NICCS_Fuel_cons!J18*_xlfn.XLOOKUP($B18,efs!$A$74:$A$84,efs!$E$74:$E$84,0,0)</f>
        <v>0</v>
      </c>
      <c r="K18" s="18">
        <f>NICCS_Fuel_cons!K18*_xlfn.XLOOKUP($B18,efs!$A$74:$A$84,efs!$E$74:$E$84,0,0)</f>
        <v>0</v>
      </c>
      <c r="L18" s="18">
        <f>NICCS_Fuel_cons!L18*_xlfn.XLOOKUP($B18,efs!$A$74:$A$84,efs!$E$74:$E$84,0,0)</f>
        <v>0</v>
      </c>
      <c r="M18" s="18">
        <f>NICCS_Fuel_cons!M18*_xlfn.XLOOKUP($B18,efs!$A$74:$A$84,efs!$E$74:$E$84,0,0)</f>
        <v>0</v>
      </c>
      <c r="N18" s="18">
        <f>NICCS_Fuel_cons!N18*_xlfn.XLOOKUP($B18,efs!$A$74:$A$84,efs!$E$74:$E$84,0,0)</f>
        <v>0</v>
      </c>
      <c r="O18" s="18">
        <f>NICCS_Fuel_cons!O18*_xlfn.XLOOKUP($B18,efs!$A$74:$A$84,efs!$E$74:$E$84,0,0)</f>
        <v>0</v>
      </c>
      <c r="P18" s="119">
        <f>NICCS_Fuel_cons!P18*_xlfn.XLOOKUP($B18,efs!$A$74:$A$84,efs!$E$74:$E$84,0,0)</f>
        <v>0</v>
      </c>
      <c r="Q18" s="18">
        <f>NICCS_Fuel_cons!Q18*_xlfn.XLOOKUP($B18,efs!$A$74:$A$84,efs!$E$74:$E$84,0,0)</f>
        <v>0</v>
      </c>
      <c r="R18" s="18">
        <f>NICCS_Fuel_cons!R18*_xlfn.XLOOKUP($B18,efs!$A$74:$A$84,efs!$E$74:$E$84,0,0)</f>
        <v>0</v>
      </c>
      <c r="S18" s="18">
        <f>NICCS_Fuel_cons!S18*_xlfn.XLOOKUP($B18,efs!$A$74:$A$84,efs!$E$74:$E$84,0,0)</f>
        <v>0</v>
      </c>
      <c r="T18" s="18">
        <f>NICCS_Fuel_cons!T18*_xlfn.XLOOKUP($B18,efs!$A$74:$A$84,efs!$E$74:$E$84,0,0)</f>
        <v>0</v>
      </c>
      <c r="U18" s="18">
        <f>NICCS_Fuel_cons!U18*_xlfn.XLOOKUP($B18,efs!$A$74:$A$84,efs!$E$74:$E$84,0,0)</f>
        <v>0</v>
      </c>
      <c r="V18" s="18">
        <f>NICCS_Fuel_cons!V18*_xlfn.XLOOKUP($B18,efs!$A$74:$A$84,efs!$E$74:$E$84,0,0)</f>
        <v>0</v>
      </c>
      <c r="W18" s="18">
        <f>NICCS_Fuel_cons!W18*_xlfn.XLOOKUP($B18,efs!$A$74:$A$84,efs!$E$74:$E$84,0,0)</f>
        <v>0</v>
      </c>
      <c r="X18" s="18">
        <f>NICCS_Fuel_cons!X18*_xlfn.XLOOKUP($B18,efs!$A$74:$A$84,efs!$E$74:$E$84,0,0)</f>
        <v>0</v>
      </c>
      <c r="Y18" s="18">
        <f>NICCS_Fuel_cons!Y18*_xlfn.XLOOKUP($B18,efs!$A$74:$A$84,efs!$E$74:$E$84,0,0)</f>
        <v>0</v>
      </c>
      <c r="Z18" s="119">
        <f>NICCS_Fuel_cons!Z18*_xlfn.XLOOKUP($B18,efs!$A$74:$A$84,efs!$E$74:$E$84,0,0)</f>
        <v>0</v>
      </c>
      <c r="AA18" s="18">
        <f>NICCS_Fuel_cons!AA18*_xlfn.XLOOKUP($B18,efs!$A$74:$A$84,efs!$E$74:$E$84,0,0)</f>
        <v>0</v>
      </c>
      <c r="AB18" s="18">
        <f>NICCS_Fuel_cons!AB18*_xlfn.XLOOKUP($B18,efs!$A$74:$A$84,efs!$E$74:$E$84,0,0)</f>
        <v>0</v>
      </c>
      <c r="AC18" s="18">
        <f>NICCS_Fuel_cons!AC18*_xlfn.XLOOKUP($B18,efs!$A$74:$A$84,efs!$E$74:$E$84,0,0)</f>
        <v>0</v>
      </c>
      <c r="AD18" s="18">
        <f>NICCS_Fuel_cons!AD18*_xlfn.XLOOKUP($B18,efs!$A$74:$A$84,efs!$E$74:$E$84,0,0)</f>
        <v>0</v>
      </c>
      <c r="AE18" s="18">
        <f>NICCS_Fuel_cons!AE18*_xlfn.XLOOKUP($B18,efs!$A$74:$A$84,efs!$E$74:$E$84,0,0)</f>
        <v>0</v>
      </c>
      <c r="AF18" s="18">
        <f>NICCS_Fuel_cons!AF18*_xlfn.XLOOKUP($B18,efs!$A$74:$A$84,efs!$E$74:$E$84,0,0)</f>
        <v>0</v>
      </c>
      <c r="AG18" s="18">
        <f>NICCS_Fuel_cons!AG18*_xlfn.XLOOKUP($B18,efs!$A$74:$A$84,efs!$E$74:$E$84,0,0)</f>
        <v>0</v>
      </c>
      <c r="AH18" s="18">
        <f>NICCS_Fuel_cons!AH18*_xlfn.XLOOKUP($B18,efs!$A$74:$A$84,efs!$E$74:$E$84,0,0)</f>
        <v>0</v>
      </c>
      <c r="AI18" s="18">
        <f>NICCS_Fuel_cons!AI18*_xlfn.XLOOKUP($B18,efs!$A$74:$A$84,efs!$E$74:$E$84,0,0)</f>
        <v>0</v>
      </c>
      <c r="AJ18" s="111">
        <f>NICCS_Fuel_cons!AJ18*_xlfn.XLOOKUP($B18,efs!$A$74:$A$84,efs!$E$74:$E$84,0,0)</f>
        <v>0</v>
      </c>
      <c r="AK18" s="55">
        <f t="shared" si="3"/>
        <v>0</v>
      </c>
    </row>
    <row r="19" spans="1:37">
      <c r="A19" s="3" t="s">
        <v>18</v>
      </c>
      <c r="B19" s="3" t="s">
        <v>13</v>
      </c>
      <c r="C19" s="4" t="s">
        <v>53</v>
      </c>
      <c r="D19" s="91" t="s">
        <v>122</v>
      </c>
      <c r="E19" s="110">
        <f>NICCS_Fuel_cons!E19*_xlfn.XLOOKUP($B19,efs!$A$74:$A$84,efs!$E$74:$E$84,0,0)</f>
        <v>4.3530962428777569</v>
      </c>
      <c r="F19" s="18">
        <f>NICCS_Fuel_cons!F19*_xlfn.XLOOKUP($B19,efs!$A$74:$A$84,efs!$E$74:$E$84,0,0)</f>
        <v>4.1204333057257987</v>
      </c>
      <c r="G19" s="18">
        <f>NICCS_Fuel_cons!G19*_xlfn.XLOOKUP($B19,efs!$A$74:$A$84,efs!$E$74:$E$84,0,0)</f>
        <v>3.8712472560093047</v>
      </c>
      <c r="H19" s="18">
        <f>NICCS_Fuel_cons!H19*_xlfn.XLOOKUP($B19,efs!$A$74:$A$84,efs!$E$74:$E$84,0,0)</f>
        <v>3.6053263704806477</v>
      </c>
      <c r="I19" s="18">
        <f>NICCS_Fuel_cons!I19*_xlfn.XLOOKUP($B19,efs!$A$74:$A$84,efs!$E$74:$E$84,0,0)</f>
        <v>3.3225530228794713</v>
      </c>
      <c r="J19" s="119">
        <f>NICCS_Fuel_cons!J19*_xlfn.XLOOKUP($B19,efs!$A$74:$A$84,efs!$E$74:$E$84,0,0)</f>
        <v>3.0228362076738136</v>
      </c>
      <c r="K19" s="18">
        <f>NICCS_Fuel_cons!K19*_xlfn.XLOOKUP($B19,efs!$A$74:$A$84,efs!$E$74:$E$84,0,0)</f>
        <v>2.974288014415436</v>
      </c>
      <c r="L19" s="18">
        <f>NICCS_Fuel_cons!L19*_xlfn.XLOOKUP($B19,efs!$A$74:$A$84,efs!$E$74:$E$84,0,0)</f>
        <v>20.755208844268587</v>
      </c>
      <c r="M19" s="18">
        <f>NICCS_Fuel_cons!M19*_xlfn.XLOOKUP($B19,efs!$A$74:$A$84,efs!$E$74:$E$84,0,0)</f>
        <v>39.331521619403922</v>
      </c>
      <c r="N19" s="18">
        <f>NICCS_Fuel_cons!N19*_xlfn.XLOOKUP($B19,efs!$A$74:$A$84,efs!$E$74:$E$84,0,0)</f>
        <v>58.702463385255626</v>
      </c>
      <c r="O19" s="18">
        <f>NICCS_Fuel_cons!O19*_xlfn.XLOOKUP($B19,efs!$A$74:$A$84,efs!$E$74:$E$84,0,0)</f>
        <v>78.860729513627433</v>
      </c>
      <c r="P19" s="119">
        <f>NICCS_Fuel_cons!P19*_xlfn.XLOOKUP($B19,efs!$A$74:$A$84,efs!$E$74:$E$84,0,0)</f>
        <v>99.793538686758069</v>
      </c>
      <c r="Q19" s="18">
        <f>NICCS_Fuel_cons!Q19*_xlfn.XLOOKUP($B19,efs!$A$74:$A$84,efs!$E$74:$E$84,0,0)</f>
        <v>121.48544873260373</v>
      </c>
      <c r="R19" s="18">
        <f>NICCS_Fuel_cons!R19*_xlfn.XLOOKUP($B19,efs!$A$74:$A$84,efs!$E$74:$E$84,0,0)</f>
        <v>143.91974581456898</v>
      </c>
      <c r="S19" s="18">
        <f>NICCS_Fuel_cons!S19*_xlfn.XLOOKUP($B19,efs!$A$74:$A$84,efs!$E$74:$E$84,0,0)</f>
        <v>167.07731086832982</v>
      </c>
      <c r="T19" s="18">
        <f>NICCS_Fuel_cons!T19*_xlfn.XLOOKUP($B19,efs!$A$74:$A$84,efs!$E$74:$E$84,0,0)</f>
        <v>190.93922646865991</v>
      </c>
      <c r="U19" s="18">
        <f>NICCS_Fuel_cons!U19*_xlfn.XLOOKUP($B19,efs!$A$74:$A$84,efs!$E$74:$E$84,0,0)</f>
        <v>215.51076503933069</v>
      </c>
      <c r="V19" s="18">
        <f>NICCS_Fuel_cons!V19*_xlfn.XLOOKUP($B19,efs!$A$74:$A$84,efs!$E$74:$E$84,0,0)</f>
        <v>240.77957163318442</v>
      </c>
      <c r="W19" s="18">
        <f>NICCS_Fuel_cons!W19*_xlfn.XLOOKUP($B19,efs!$A$74:$A$84,efs!$E$74:$E$84,0,0)</f>
        <v>266.72781696055517</v>
      </c>
      <c r="X19" s="18">
        <f>NICCS_Fuel_cons!X19*_xlfn.XLOOKUP($B19,efs!$A$74:$A$84,efs!$E$74:$E$84,0,0)</f>
        <v>293.33702662802449</v>
      </c>
      <c r="Y19" s="18">
        <f>NICCS_Fuel_cons!Y19*_xlfn.XLOOKUP($B19,efs!$A$74:$A$84,efs!$E$74:$E$84,0,0)</f>
        <v>320.58674523476361</v>
      </c>
      <c r="Z19" s="119">
        <f>NICCS_Fuel_cons!Z19*_xlfn.XLOOKUP($B19,efs!$A$74:$A$84,efs!$E$74:$E$84,0,0)</f>
        <v>348.45508947600285</v>
      </c>
      <c r="AA19" s="18">
        <f>NICCS_Fuel_cons!AA19*_xlfn.XLOOKUP($B19,efs!$A$74:$A$84,efs!$E$74:$E$84,0,0)</f>
        <v>353.61069507489344</v>
      </c>
      <c r="AB19" s="18">
        <f>NICCS_Fuel_cons!AB19*_xlfn.XLOOKUP($B19,efs!$A$74:$A$84,efs!$E$74:$E$84,0,0)</f>
        <v>358.66763126105832</v>
      </c>
      <c r="AC19" s="18">
        <f>NICCS_Fuel_cons!AC19*_xlfn.XLOOKUP($B19,efs!$A$74:$A$84,efs!$E$74:$E$84,0,0)</f>
        <v>363.6174330982854</v>
      </c>
      <c r="AD19" s="18">
        <f>NICCS_Fuel_cons!AD19*_xlfn.XLOOKUP($B19,efs!$A$74:$A$84,efs!$E$74:$E$84,0,0)</f>
        <v>368.4510926692563</v>
      </c>
      <c r="AE19" s="18">
        <f>NICCS_Fuel_cons!AE19*_xlfn.XLOOKUP($B19,efs!$A$74:$A$84,efs!$E$74:$E$84,0,0)</f>
        <v>373.1607715544194</v>
      </c>
      <c r="AF19" s="18">
        <f>NICCS_Fuel_cons!AF19*_xlfn.XLOOKUP($B19,efs!$A$74:$A$84,efs!$E$74:$E$84,0,0)</f>
        <v>377.73897939903389</v>
      </c>
      <c r="AG19" s="18">
        <f>NICCS_Fuel_cons!AG19*_xlfn.XLOOKUP($B19,efs!$A$74:$A$84,efs!$E$74:$E$84,0,0)</f>
        <v>382.1797712561218</v>
      </c>
      <c r="AH19" s="18">
        <f>NICCS_Fuel_cons!AH19*_xlfn.XLOOKUP($B19,efs!$A$74:$A$84,efs!$E$74:$E$84,0,0)</f>
        <v>386.47838559906342</v>
      </c>
      <c r="AI19" s="18">
        <f>NICCS_Fuel_cons!AI19*_xlfn.XLOOKUP($B19,efs!$A$74:$A$84,efs!$E$74:$E$84,0,0)</f>
        <v>390.63089625678697</v>
      </c>
      <c r="AJ19" s="111">
        <f>NICCS_Fuel_cons!AJ19*_xlfn.XLOOKUP($B19,efs!$A$74:$A$84,efs!$E$74:$E$84,0,0)</f>
        <v>394.63277838674441</v>
      </c>
      <c r="AK19" s="55">
        <f t="shared" si="3"/>
        <v>6358.4049314754175</v>
      </c>
    </row>
    <row r="20" spans="1:37">
      <c r="A20" s="3" t="s">
        <v>18</v>
      </c>
      <c r="B20" t="s">
        <v>14</v>
      </c>
      <c r="C20" s="4" t="s">
        <v>53</v>
      </c>
      <c r="D20" s="91" t="s">
        <v>122</v>
      </c>
      <c r="E20" s="110">
        <f>NICCS_Fuel_cons!E20*_xlfn.XLOOKUP($B20,efs!$A$74:$A$84,efs!$E$74:$E$84,0,0)</f>
        <v>0</v>
      </c>
      <c r="F20" s="18">
        <f>NICCS_Fuel_cons!F20*_xlfn.XLOOKUP($B20,efs!$A$74:$A$84,efs!$E$74:$E$84,0,0)</f>
        <v>0</v>
      </c>
      <c r="G20" s="18">
        <f>NICCS_Fuel_cons!G20*_xlfn.XLOOKUP($B20,efs!$A$74:$A$84,efs!$E$74:$E$84,0,0)</f>
        <v>0</v>
      </c>
      <c r="H20" s="18">
        <f>NICCS_Fuel_cons!H20*_xlfn.XLOOKUP($B20,efs!$A$74:$A$84,efs!$E$74:$E$84,0,0)</f>
        <v>0</v>
      </c>
      <c r="I20" s="18">
        <f>NICCS_Fuel_cons!I20*_xlfn.XLOOKUP($B20,efs!$A$74:$A$84,efs!$E$74:$E$84,0,0)</f>
        <v>0</v>
      </c>
      <c r="J20" s="119">
        <f>NICCS_Fuel_cons!J20*_xlfn.XLOOKUP($B20,efs!$A$74:$A$84,efs!$E$74:$E$84,0,0)</f>
        <v>0</v>
      </c>
      <c r="K20" s="18">
        <f>NICCS_Fuel_cons!K20*_xlfn.XLOOKUP($B20,efs!$A$74:$A$84,efs!$E$74:$E$84,0,0)</f>
        <v>0</v>
      </c>
      <c r="L20" s="18">
        <f>NICCS_Fuel_cons!L20*_xlfn.XLOOKUP($B20,efs!$A$74:$A$84,efs!$E$74:$E$84,0,0)</f>
        <v>0.83807403017019544</v>
      </c>
      <c r="M20" s="18">
        <f>NICCS_Fuel_cons!M20*_xlfn.XLOOKUP($B20,efs!$A$74:$A$84,efs!$E$74:$E$84,0,0)</f>
        <v>1.7137719818374968</v>
      </c>
      <c r="N20" s="18">
        <f>NICCS_Fuel_cons!N20*_xlfn.XLOOKUP($B20,efs!$A$74:$A$84,efs!$E$74:$E$84,0,0)</f>
        <v>2.6270688457365079</v>
      </c>
      <c r="O20" s="18">
        <f>NICCS_Fuel_cons!O20*_xlfn.XLOOKUP($B20,efs!$A$74:$A$84,efs!$E$74:$E$84,0,0)</f>
        <v>3.5776322070479791</v>
      </c>
      <c r="P20" s="119">
        <f>NICCS_Fuel_cons!P20*_xlfn.XLOOKUP($B20,efs!$A$74:$A$84,efs!$E$74:$E$84,0,0)</f>
        <v>4.5648689206771182</v>
      </c>
      <c r="Q20" s="18">
        <f>NICCS_Fuel_cons!Q20*_xlfn.XLOOKUP($B20,efs!$A$74:$A$84,efs!$E$74:$E$84,0,0)</f>
        <v>5.588055932289425</v>
      </c>
      <c r="R20" s="18">
        <f>NICCS_Fuel_cons!R20*_xlfn.XLOOKUP($B20,efs!$A$74:$A$84,efs!$E$74:$E$84,0,0)</f>
        <v>6.6464072301982693</v>
      </c>
      <c r="S20" s="18">
        <f>NICCS_Fuel_cons!S20*_xlfn.XLOOKUP($B20,efs!$A$74:$A$84,efs!$E$74:$E$84,0,0)</f>
        <v>7.7390230452945525</v>
      </c>
      <c r="T20" s="18">
        <f>NICCS_Fuel_cons!T20*_xlfn.XLOOKUP($B20,efs!$A$74:$A$84,efs!$E$74:$E$84,0,0)</f>
        <v>8.8650108594193853</v>
      </c>
      <c r="U20" s="18">
        <f>NICCS_Fuel_cons!U20*_xlfn.XLOOKUP($B20,efs!$A$74:$A$84,efs!$E$74:$E$84,0,0)</f>
        <v>10.024602355628605</v>
      </c>
      <c r="V20" s="18">
        <f>NICCS_Fuel_cons!V20*_xlfn.XLOOKUP($B20,efs!$A$74:$A$84,efs!$E$74:$E$84,0,0)</f>
        <v>11.217214375166035</v>
      </c>
      <c r="W20" s="18">
        <f>NICCS_Fuel_cons!W20*_xlfn.XLOOKUP($B20,efs!$A$74:$A$84,efs!$E$74:$E$84,0,0)</f>
        <v>12.44200793533153</v>
      </c>
      <c r="X20" s="18">
        <f>NICCS_Fuel_cons!X20*_xlfn.XLOOKUP($B20,efs!$A$74:$A$84,efs!$E$74:$E$84,0,0)</f>
        <v>13.698112531330008</v>
      </c>
      <c r="Y20" s="18">
        <f>NICCS_Fuel_cons!Y20*_xlfn.XLOOKUP($B20,efs!$A$74:$A$84,efs!$E$74:$E$84,0,0)</f>
        <v>14.984564047296615</v>
      </c>
      <c r="Z20" s="119">
        <f>NICCS_Fuel_cons!Z20*_xlfn.XLOOKUP($B20,efs!$A$74:$A$84,efs!$E$74:$E$84,0,0)</f>
        <v>16.300330590520499</v>
      </c>
      <c r="AA20" s="18">
        <f>NICCS_Fuel_cons!AA20*_xlfn.XLOOKUP($B20,efs!$A$74:$A$84,efs!$E$74:$E$84,0,0)</f>
        <v>16.54150392445753</v>
      </c>
      <c r="AB20" s="18">
        <f>NICCS_Fuel_cons!AB20*_xlfn.XLOOKUP($B20,efs!$A$74:$A$84,efs!$E$74:$E$84,0,0)</f>
        <v>16.778061616106143</v>
      </c>
      <c r="AC20" s="18">
        <f>NICCS_Fuel_cons!AC20*_xlfn.XLOOKUP($B20,efs!$A$74:$A$84,efs!$E$74:$E$84,0,0)</f>
        <v>17.009607685430879</v>
      </c>
      <c r="AD20" s="18">
        <f>NICCS_Fuel_cons!AD20*_xlfn.XLOOKUP($B20,efs!$A$74:$A$84,efs!$E$74:$E$84,0,0)</f>
        <v>17.235720752361086</v>
      </c>
      <c r="AE20" s="18">
        <f>NICCS_Fuel_cons!AE20*_xlfn.XLOOKUP($B20,efs!$A$74:$A$84,efs!$E$74:$E$84,0,0)</f>
        <v>17.456034144594202</v>
      </c>
      <c r="AF20" s="18">
        <f>NICCS_Fuel_cons!AF20*_xlfn.XLOOKUP($B20,efs!$A$74:$A$84,efs!$E$74:$E$84,0,0)</f>
        <v>17.670197471901467</v>
      </c>
      <c r="AG20" s="18">
        <f>NICCS_Fuel_cons!AG20*_xlfn.XLOOKUP($B20,efs!$A$74:$A$84,efs!$E$74:$E$84,0,0)</f>
        <v>17.877932636461914</v>
      </c>
      <c r="AH20" s="18">
        <f>NICCS_Fuel_cons!AH20*_xlfn.XLOOKUP($B20,efs!$A$74:$A$84,efs!$E$74:$E$84,0,0)</f>
        <v>18.0790168995056</v>
      </c>
      <c r="AI20" s="18">
        <f>NICCS_Fuel_cons!AI20*_xlfn.XLOOKUP($B20,efs!$A$74:$A$84,efs!$E$74:$E$84,0,0)</f>
        <v>18.273266599239758</v>
      </c>
      <c r="AJ20" s="111">
        <f>NICCS_Fuel_cons!AJ20*_xlfn.XLOOKUP($B20,efs!$A$74:$A$84,efs!$E$74:$E$84,0,0)</f>
        <v>18.460470068704634</v>
      </c>
      <c r="AK20" s="55">
        <f t="shared" si="3"/>
        <v>296.20855668670742</v>
      </c>
    </row>
    <row r="21" spans="1:37">
      <c r="A21" s="3" t="s">
        <v>18</v>
      </c>
      <c r="B21" t="s">
        <v>15</v>
      </c>
      <c r="C21" s="4" t="s">
        <v>53</v>
      </c>
      <c r="D21" s="91" t="s">
        <v>122</v>
      </c>
      <c r="E21" s="110">
        <f>NICCS_Fuel_cons!E21*_xlfn.XLOOKUP($B21,efs!$A$74:$A$84,efs!$E$74:$E$84,0,0)</f>
        <v>0</v>
      </c>
      <c r="F21" s="18">
        <f>NICCS_Fuel_cons!F21*_xlfn.XLOOKUP($B21,efs!$A$74:$A$84,efs!$E$74:$E$84,0,0)</f>
        <v>0</v>
      </c>
      <c r="G21" s="18">
        <f>NICCS_Fuel_cons!G21*_xlfn.XLOOKUP($B21,efs!$A$74:$A$84,efs!$E$74:$E$84,0,0)</f>
        <v>0</v>
      </c>
      <c r="H21" s="18">
        <f>NICCS_Fuel_cons!H21*_xlfn.XLOOKUP($B21,efs!$A$74:$A$84,efs!$E$74:$E$84,0,0)</f>
        <v>0</v>
      </c>
      <c r="I21" s="18">
        <f>NICCS_Fuel_cons!I21*_xlfn.XLOOKUP($B21,efs!$A$74:$A$84,efs!$E$74:$E$84,0,0)</f>
        <v>0</v>
      </c>
      <c r="J21" s="119">
        <f>NICCS_Fuel_cons!J21*_xlfn.XLOOKUP($B21,efs!$A$74:$A$84,efs!$E$74:$E$84,0,0)</f>
        <v>0</v>
      </c>
      <c r="K21" s="18">
        <f>NICCS_Fuel_cons!K21*_xlfn.XLOOKUP($B21,efs!$A$74:$A$84,efs!$E$74:$E$84,0,0)</f>
        <v>0</v>
      </c>
      <c r="L21" s="18">
        <f>NICCS_Fuel_cons!L21*_xlfn.XLOOKUP($B21,efs!$A$74:$A$84,efs!$E$74:$E$84,0,0)</f>
        <v>1.2531752592739855</v>
      </c>
      <c r="M21" s="18">
        <f>NICCS_Fuel_cons!M21*_xlfn.XLOOKUP($B21,efs!$A$74:$A$84,efs!$E$74:$E$84,0,0)</f>
        <v>2.5626097103134824</v>
      </c>
      <c r="N21" s="18">
        <f>NICCS_Fuel_cons!N21*_xlfn.XLOOKUP($B21,efs!$A$74:$A$84,efs!$E$74:$E$84,0,0)</f>
        <v>3.9282659566695859</v>
      </c>
      <c r="O21" s="18">
        <f>NICCS_Fuel_cons!O21*_xlfn.XLOOKUP($B21,efs!$A$74:$A$84,efs!$E$74:$E$84,0,0)</f>
        <v>5.3496469372089095</v>
      </c>
      <c r="P21" s="119">
        <f>NICCS_Fuel_cons!P21*_xlfn.XLOOKUP($B21,efs!$A$74:$A$84,efs!$E$74:$E$84,0,0)</f>
        <v>6.8258657198333381</v>
      </c>
      <c r="Q21" s="18">
        <f>NICCS_Fuel_cons!Q21*_xlfn.XLOOKUP($B21,efs!$A$74:$A$84,efs!$E$74:$E$84,0,0)</f>
        <v>8.35584111866849</v>
      </c>
      <c r="R21" s="18">
        <f>NICCS_Fuel_cons!R21*_xlfn.XLOOKUP($B21,efs!$A$74:$A$84,efs!$E$74:$E$84,0,0)</f>
        <v>9.9383978074738106</v>
      </c>
      <c r="S21" s="18">
        <f>NICCS_Fuel_cons!S21*_xlfn.XLOOKUP($B21,efs!$A$74:$A$84,efs!$E$74:$E$84,0,0)</f>
        <v>11.572190358105738</v>
      </c>
      <c r="T21" s="18">
        <f>NICCS_Fuel_cons!T21*_xlfn.XLOOKUP($B21,efs!$A$74:$A$84,efs!$E$74:$E$84,0,0)</f>
        <v>13.255884184793908</v>
      </c>
      <c r="U21" s="18">
        <f>NICCS_Fuel_cons!U21*_xlfn.XLOOKUP($B21,efs!$A$74:$A$84,efs!$E$74:$E$84,0,0)</f>
        <v>14.98982572408584</v>
      </c>
      <c r="V21" s="18">
        <f>NICCS_Fuel_cons!V21*_xlfn.XLOOKUP($B21,efs!$A$74:$A$84,efs!$E$74:$E$84,0,0)</f>
        <v>16.773142976493222</v>
      </c>
      <c r="W21" s="18">
        <f>NICCS_Fuel_cons!W21*_xlfn.XLOOKUP($B21,efs!$A$74:$A$84,efs!$E$74:$E$84,0,0)</f>
        <v>18.604581408019129</v>
      </c>
      <c r="X21" s="18">
        <f>NICCS_Fuel_cons!X21*_xlfn.XLOOKUP($B21,efs!$A$74:$A$84,efs!$E$74:$E$84,0,0)</f>
        <v>20.482839349559171</v>
      </c>
      <c r="Y21" s="18">
        <f>NICCS_Fuel_cons!Y21*_xlfn.XLOOKUP($B21,efs!$A$74:$A$84,efs!$E$74:$E$84,0,0)</f>
        <v>22.40647515502312</v>
      </c>
      <c r="Z21" s="119">
        <f>NICCS_Fuel_cons!Z21*_xlfn.XLOOKUP($B21,efs!$A$74:$A$84,efs!$E$74:$E$84,0,0)</f>
        <v>24.373945831347228</v>
      </c>
      <c r="AA21" s="18">
        <f>NICCS_Fuel_cons!AA21*_xlfn.XLOOKUP($B21,efs!$A$74:$A$84,efs!$E$74:$E$84,0,0)</f>
        <v>24.734573227503546</v>
      </c>
      <c r="AB21" s="18">
        <f>NICCS_Fuel_cons!AB21*_xlfn.XLOOKUP($B21,efs!$A$74:$A$84,efs!$E$74:$E$84,0,0)</f>
        <v>25.088298836331688</v>
      </c>
      <c r="AC21" s="18">
        <f>NICCS_Fuel_cons!AC21*_xlfn.XLOOKUP($B21,efs!$A$74:$A$84,efs!$E$74:$E$84,0,0)</f>
        <v>25.434530547390636</v>
      </c>
      <c r="AD21" s="18">
        <f>NICCS_Fuel_cons!AD21*_xlfn.XLOOKUP($B21,efs!$A$74:$A$84,efs!$E$74:$E$84,0,0)</f>
        <v>25.772638269470939</v>
      </c>
      <c r="AE21" s="18">
        <f>NICCS_Fuel_cons!AE21*_xlfn.XLOOKUP($B21,efs!$A$74:$A$84,efs!$E$74:$E$84,0,0)</f>
        <v>26.102073716095138</v>
      </c>
      <c r="AF21" s="18">
        <f>NICCS_Fuel_cons!AF21*_xlfn.XLOOKUP($B21,efs!$A$74:$A$84,efs!$E$74:$E$84,0,0)</f>
        <v>26.422312947432204</v>
      </c>
      <c r="AG21" s="18">
        <f>NICCS_Fuel_cons!AG21*_xlfn.XLOOKUP($B21,efs!$A$74:$A$84,efs!$E$74:$E$84,0,0)</f>
        <v>26.732940122761214</v>
      </c>
      <c r="AH21" s="18">
        <f>NICCS_Fuel_cons!AH21*_xlfn.XLOOKUP($B21,efs!$A$74:$A$84,efs!$E$74:$E$84,0,0)</f>
        <v>27.033622179959082</v>
      </c>
      <c r="AI21" s="18">
        <f>NICCS_Fuel_cons!AI21*_xlfn.XLOOKUP($B21,efs!$A$74:$A$84,efs!$E$74:$E$84,0,0)</f>
        <v>27.324084488854172</v>
      </c>
      <c r="AJ21" s="111">
        <f>NICCS_Fuel_cons!AJ21*_xlfn.XLOOKUP($B21,efs!$A$74:$A$84,efs!$E$74:$E$84,0,0)</f>
        <v>27.604010543042964</v>
      </c>
      <c r="AK21" s="55">
        <f t="shared" si="3"/>
        <v>442.92177237571053</v>
      </c>
    </row>
    <row r="22" spans="1:37">
      <c r="A22" s="3" t="s">
        <v>18</v>
      </c>
      <c r="B22" t="s">
        <v>16</v>
      </c>
      <c r="C22" s="4" t="s">
        <v>53</v>
      </c>
      <c r="D22" s="91" t="s">
        <v>122</v>
      </c>
      <c r="E22" s="110">
        <f>NICCS_Fuel_cons!E22*_xlfn.XLOOKUP($B22,efs!$A$74:$A$84,efs!$E$74:$E$84,0,0)</f>
        <v>0</v>
      </c>
      <c r="F22" s="18">
        <f>NICCS_Fuel_cons!F22*_xlfn.XLOOKUP($B22,efs!$A$74:$A$84,efs!$E$74:$E$84,0,0)</f>
        <v>0</v>
      </c>
      <c r="G22" s="18">
        <f>NICCS_Fuel_cons!G22*_xlfn.XLOOKUP($B22,efs!$A$74:$A$84,efs!$E$74:$E$84,0,0)</f>
        <v>0</v>
      </c>
      <c r="H22" s="18">
        <f>NICCS_Fuel_cons!H22*_xlfn.XLOOKUP($B22,efs!$A$74:$A$84,efs!$E$74:$E$84,0,0)</f>
        <v>0</v>
      </c>
      <c r="I22" s="18">
        <f>NICCS_Fuel_cons!I22*_xlfn.XLOOKUP($B22,efs!$A$74:$A$84,efs!$E$74:$E$84,0,0)</f>
        <v>0</v>
      </c>
      <c r="J22" s="119">
        <f>NICCS_Fuel_cons!J22*_xlfn.XLOOKUP($B22,efs!$A$74:$A$84,efs!$E$74:$E$84,0,0)</f>
        <v>0</v>
      </c>
      <c r="K22" s="18">
        <f>NICCS_Fuel_cons!K22*_xlfn.XLOOKUP($B22,efs!$A$74:$A$84,efs!$E$74:$E$84,0,0)</f>
        <v>0</v>
      </c>
      <c r="L22" s="18">
        <f>NICCS_Fuel_cons!L22*_xlfn.XLOOKUP($B22,efs!$A$74:$A$84,efs!$E$74:$E$84,0,0)</f>
        <v>7.0462575580383193</v>
      </c>
      <c r="M22" s="18">
        <f>NICCS_Fuel_cons!M22*_xlfn.XLOOKUP($B22,efs!$A$74:$A$84,efs!$E$74:$E$84,0,0)</f>
        <v>14.408844976767092</v>
      </c>
      <c r="N22" s="18">
        <f>NICCS_Fuel_cons!N22*_xlfn.XLOOKUP($B22,efs!$A$74:$A$84,efs!$E$74:$E$84,0,0)</f>
        <v>22.087551986306831</v>
      </c>
      <c r="O22" s="18">
        <f>NICCS_Fuel_cons!O22*_xlfn.XLOOKUP($B22,efs!$A$74:$A$84,efs!$E$74:$E$84,0,0)</f>
        <v>30.079583749509251</v>
      </c>
      <c r="P22" s="119">
        <f>NICCS_Fuel_cons!P22*_xlfn.XLOOKUP($B22,efs!$A$74:$A$84,efs!$E$74:$E$84,0,0)</f>
        <v>38.379953292721979</v>
      </c>
      <c r="Q22" s="18">
        <f>NICCS_Fuel_cons!Q22*_xlfn.XLOOKUP($B22,efs!$A$74:$A$84,efs!$E$74:$E$84,0,0)</f>
        <v>46.982581407085256</v>
      </c>
      <c r="R22" s="18">
        <f>NICCS_Fuel_cons!R22*_xlfn.XLOOKUP($B22,efs!$A$74:$A$84,efs!$E$74:$E$84,0,0)</f>
        <v>55.880859558521848</v>
      </c>
      <c r="S22" s="18">
        <f>NICCS_Fuel_cons!S22*_xlfn.XLOOKUP($B22,efs!$A$74:$A$84,efs!$E$74:$E$84,0,0)</f>
        <v>65.067222777044321</v>
      </c>
      <c r="T22" s="18">
        <f>NICCS_Fuel_cons!T22*_xlfn.XLOOKUP($B22,efs!$A$74:$A$84,efs!$E$74:$E$84,0,0)</f>
        <v>74.534167056328229</v>
      </c>
      <c r="U22" s="18">
        <f>NICCS_Fuel_cons!U22*_xlfn.XLOOKUP($B22,efs!$A$74:$A$84,efs!$E$74:$E$84,0,0)</f>
        <v>84.283640313173905</v>
      </c>
      <c r="V22" s="18">
        <f>NICCS_Fuel_cons!V22*_xlfn.XLOOKUP($B22,efs!$A$74:$A$84,efs!$E$74:$E$84,0,0)</f>
        <v>94.310739535859966</v>
      </c>
      <c r="W22" s="18">
        <f>NICCS_Fuel_cons!W22*_xlfn.XLOOKUP($B22,efs!$A$74:$A$84,efs!$E$74:$E$84,0,0)</f>
        <v>104.60841082702284</v>
      </c>
      <c r="X22" s="18">
        <f>NICCS_Fuel_cons!X22*_xlfn.XLOOKUP($B22,efs!$A$74:$A$84,efs!$E$74:$E$84,0,0)</f>
        <v>115.16933526163818</v>
      </c>
      <c r="Y22" s="18">
        <f>NICCS_Fuel_cons!Y22*_xlfn.XLOOKUP($B22,efs!$A$74:$A$84,efs!$E$74:$E$84,0,0)</f>
        <v>125.98540686284109</v>
      </c>
      <c r="Z22" s="119">
        <f>NICCS_Fuel_cons!Z22*_xlfn.XLOOKUP($B22,efs!$A$74:$A$84,efs!$E$74:$E$84,0,0)</f>
        <v>137.04794980779127</v>
      </c>
      <c r="AA22" s="18">
        <f>NICCS_Fuel_cons!AA22*_xlfn.XLOOKUP($B22,efs!$A$74:$A$84,efs!$E$74:$E$84,0,0)</f>
        <v>139.07565782149265</v>
      </c>
      <c r="AB22" s="18">
        <f>NICCS_Fuel_cons!AB22*_xlfn.XLOOKUP($B22,efs!$A$74:$A$84,efs!$E$74:$E$84,0,0)</f>
        <v>141.06455899571546</v>
      </c>
      <c r="AC22" s="18">
        <f>NICCS_Fuel_cons!AC22*_xlfn.XLOOKUP($B22,efs!$A$74:$A$84,efs!$E$74:$E$84,0,0)</f>
        <v>143.01132405736777</v>
      </c>
      <c r="AD22" s="18">
        <f>NICCS_Fuel_cons!AD22*_xlfn.XLOOKUP($B22,efs!$A$74:$A$84,efs!$E$74:$E$84,0,0)</f>
        <v>144.91241017801113</v>
      </c>
      <c r="AE22" s="18">
        <f>NICCS_Fuel_cons!AE22*_xlfn.XLOOKUP($B22,efs!$A$74:$A$84,efs!$E$74:$E$84,0,0)</f>
        <v>146.76473449456867</v>
      </c>
      <c r="AF22" s="18">
        <f>NICCS_Fuel_cons!AF22*_xlfn.XLOOKUP($B22,efs!$A$74:$A$84,efs!$E$74:$E$84,0,0)</f>
        <v>148.56535103841622</v>
      </c>
      <c r="AG22" s="18">
        <f>NICCS_Fuel_cons!AG22*_xlfn.XLOOKUP($B22,efs!$A$74:$A$84,efs!$E$74:$E$84,0,0)</f>
        <v>150.31192165229999</v>
      </c>
      <c r="AH22" s="18">
        <f>NICCS_Fuel_cons!AH22*_xlfn.XLOOKUP($B22,efs!$A$74:$A$84,efs!$E$74:$E$84,0,0)</f>
        <v>152.00257362010569</v>
      </c>
      <c r="AI22" s="18">
        <f>NICCS_Fuel_cons!AI22*_xlfn.XLOOKUP($B22,efs!$A$74:$A$84,efs!$E$74:$E$84,0,0)</f>
        <v>153.63576277240591</v>
      </c>
      <c r="AJ22" s="111">
        <f>NICCS_Fuel_cons!AJ22*_xlfn.XLOOKUP($B22,efs!$A$74:$A$84,efs!$E$74:$E$84,0,0)</f>
        <v>155.20970948131421</v>
      </c>
      <c r="AK22" s="55">
        <f t="shared" si="3"/>
        <v>2490.4265090823483</v>
      </c>
    </row>
    <row r="23" spans="1:37" ht="17" thickBot="1">
      <c r="A23" s="31" t="s">
        <v>18</v>
      </c>
      <c r="B23" s="31" t="s">
        <v>17</v>
      </c>
      <c r="C23" s="32" t="s">
        <v>53</v>
      </c>
      <c r="D23" s="93" t="s">
        <v>122</v>
      </c>
      <c r="E23" s="112">
        <f>NICCS_Fuel_cons!E23*_xlfn.XLOOKUP($B23,efs!$A$74:$A$84,efs!$E$74:$E$84,0,0)</f>
        <v>0</v>
      </c>
      <c r="F23" s="113">
        <f>NICCS_Fuel_cons!F23*_xlfn.XLOOKUP($B23,efs!$A$74:$A$84,efs!$E$74:$E$84,0,0)</f>
        <v>0</v>
      </c>
      <c r="G23" s="113">
        <f>NICCS_Fuel_cons!G23*_xlfn.XLOOKUP($B23,efs!$A$74:$A$84,efs!$E$74:$E$84,0,0)</f>
        <v>0</v>
      </c>
      <c r="H23" s="113">
        <f>NICCS_Fuel_cons!H23*_xlfn.XLOOKUP($B23,efs!$A$74:$A$84,efs!$E$74:$E$84,0,0)</f>
        <v>0</v>
      </c>
      <c r="I23" s="113">
        <f>NICCS_Fuel_cons!I23*_xlfn.XLOOKUP($B23,efs!$A$74:$A$84,efs!$E$74:$E$84,0,0)</f>
        <v>0</v>
      </c>
      <c r="J23" s="120">
        <f>NICCS_Fuel_cons!J23*_xlfn.XLOOKUP($B23,efs!$A$74:$A$84,efs!$E$74:$E$84,0,0)</f>
        <v>0</v>
      </c>
      <c r="K23" s="113">
        <f>NICCS_Fuel_cons!K23*_xlfn.XLOOKUP($B23,efs!$A$74:$A$84,efs!$E$74:$E$84,0,0)</f>
        <v>0</v>
      </c>
      <c r="L23" s="113">
        <f>NICCS_Fuel_cons!L23*_xlfn.XLOOKUP($B23,efs!$A$74:$A$84,efs!$E$74:$E$84,0,0)</f>
        <v>0</v>
      </c>
      <c r="M23" s="113">
        <f>NICCS_Fuel_cons!M23*_xlfn.XLOOKUP($B23,efs!$A$74:$A$84,efs!$E$74:$E$84,0,0)</f>
        <v>0</v>
      </c>
      <c r="N23" s="113">
        <f>NICCS_Fuel_cons!N23*_xlfn.XLOOKUP($B23,efs!$A$74:$A$84,efs!$E$74:$E$84,0,0)</f>
        <v>0</v>
      </c>
      <c r="O23" s="113">
        <f>NICCS_Fuel_cons!O23*_xlfn.XLOOKUP($B23,efs!$A$74:$A$84,efs!$E$74:$E$84,0,0)</f>
        <v>0</v>
      </c>
      <c r="P23" s="120">
        <f>NICCS_Fuel_cons!P23*_xlfn.XLOOKUP($B23,efs!$A$74:$A$84,efs!$E$74:$E$84,0,0)</f>
        <v>0</v>
      </c>
      <c r="Q23" s="113">
        <f>NICCS_Fuel_cons!Q23*_xlfn.XLOOKUP($B23,efs!$A$74:$A$84,efs!$E$74:$E$84,0,0)</f>
        <v>0</v>
      </c>
      <c r="R23" s="113">
        <f>NICCS_Fuel_cons!R23*_xlfn.XLOOKUP($B23,efs!$A$74:$A$84,efs!$E$74:$E$84,0,0)</f>
        <v>0</v>
      </c>
      <c r="S23" s="113">
        <f>NICCS_Fuel_cons!S23*_xlfn.XLOOKUP($B23,efs!$A$74:$A$84,efs!$E$74:$E$84,0,0)</f>
        <v>0</v>
      </c>
      <c r="T23" s="113">
        <f>NICCS_Fuel_cons!T23*_xlfn.XLOOKUP($B23,efs!$A$74:$A$84,efs!$E$74:$E$84,0,0)</f>
        <v>0</v>
      </c>
      <c r="U23" s="113">
        <f>NICCS_Fuel_cons!U23*_xlfn.XLOOKUP($B23,efs!$A$74:$A$84,efs!$E$74:$E$84,0,0)</f>
        <v>0</v>
      </c>
      <c r="V23" s="113">
        <f>NICCS_Fuel_cons!V23*_xlfn.XLOOKUP($B23,efs!$A$74:$A$84,efs!$E$74:$E$84,0,0)</f>
        <v>0</v>
      </c>
      <c r="W23" s="113">
        <f>NICCS_Fuel_cons!W23*_xlfn.XLOOKUP($B23,efs!$A$74:$A$84,efs!$E$74:$E$84,0,0)</f>
        <v>0</v>
      </c>
      <c r="X23" s="113">
        <f>NICCS_Fuel_cons!X23*_xlfn.XLOOKUP($B23,efs!$A$74:$A$84,efs!$E$74:$E$84,0,0)</f>
        <v>0</v>
      </c>
      <c r="Y23" s="113">
        <f>NICCS_Fuel_cons!Y23*_xlfn.XLOOKUP($B23,efs!$A$74:$A$84,efs!$E$74:$E$84,0,0)</f>
        <v>0</v>
      </c>
      <c r="Z23" s="120">
        <f>NICCS_Fuel_cons!Z23*_xlfn.XLOOKUP($B23,efs!$A$74:$A$84,efs!$E$74:$E$84,0,0)</f>
        <v>0</v>
      </c>
      <c r="AA23" s="113">
        <f>NICCS_Fuel_cons!AA23*_xlfn.XLOOKUP($B23,efs!$A$74:$A$84,efs!$E$74:$E$84,0,0)</f>
        <v>0</v>
      </c>
      <c r="AB23" s="113">
        <f>NICCS_Fuel_cons!AB23*_xlfn.XLOOKUP($B23,efs!$A$74:$A$84,efs!$E$74:$E$84,0,0)</f>
        <v>0</v>
      </c>
      <c r="AC23" s="113">
        <f>NICCS_Fuel_cons!AC23*_xlfn.XLOOKUP($B23,efs!$A$74:$A$84,efs!$E$74:$E$84,0,0)</f>
        <v>0</v>
      </c>
      <c r="AD23" s="113">
        <f>NICCS_Fuel_cons!AD23*_xlfn.XLOOKUP($B23,efs!$A$74:$A$84,efs!$E$74:$E$84,0,0)</f>
        <v>0</v>
      </c>
      <c r="AE23" s="113">
        <f>NICCS_Fuel_cons!AE23*_xlfn.XLOOKUP($B23,efs!$A$74:$A$84,efs!$E$74:$E$84,0,0)</f>
        <v>0</v>
      </c>
      <c r="AF23" s="113">
        <f>NICCS_Fuel_cons!AF23*_xlfn.XLOOKUP($B23,efs!$A$74:$A$84,efs!$E$74:$E$84,0,0)</f>
        <v>0</v>
      </c>
      <c r="AG23" s="113">
        <f>NICCS_Fuel_cons!AG23*_xlfn.XLOOKUP($B23,efs!$A$74:$A$84,efs!$E$74:$E$84,0,0)</f>
        <v>0</v>
      </c>
      <c r="AH23" s="113">
        <f>NICCS_Fuel_cons!AH23*_xlfn.XLOOKUP($B23,efs!$A$74:$A$84,efs!$E$74:$E$84,0,0)</f>
        <v>0</v>
      </c>
      <c r="AI23" s="113">
        <f>NICCS_Fuel_cons!AI23*_xlfn.XLOOKUP($B23,efs!$A$74:$A$84,efs!$E$74:$E$84,0,0)</f>
        <v>0</v>
      </c>
      <c r="AJ23" s="114">
        <f>NICCS_Fuel_cons!AJ23*_xlfn.XLOOKUP($B23,efs!$A$74:$A$84,efs!$E$74:$E$84,0,0)</f>
        <v>0</v>
      </c>
      <c r="AK23" s="55">
        <f t="shared" si="3"/>
        <v>0</v>
      </c>
    </row>
    <row r="24" spans="1:37">
      <c r="A24" s="86" t="s">
        <v>19</v>
      </c>
      <c r="B24" s="87" t="s">
        <v>36</v>
      </c>
      <c r="C24" s="88" t="s">
        <v>53</v>
      </c>
      <c r="D24" s="89" t="s">
        <v>122</v>
      </c>
      <c r="E24" s="107">
        <f>NICCS_Fuel_cons!E24*_xlfn.XLOOKUP($B24,efs!$A$74:$A$84,efs!$E$74:$E$84,0,0)</f>
        <v>1113.8153958966229</v>
      </c>
      <c r="F24" s="108">
        <f>NICCS_Fuel_cons!F24*_xlfn.XLOOKUP($B24,efs!$A$74:$A$84,efs!$E$74:$E$84,0,0)</f>
        <v>1116.2052362150387</v>
      </c>
      <c r="G24" s="108">
        <f>NICCS_Fuel_cons!G24*_xlfn.XLOOKUP($B24,efs!$A$74:$A$84,efs!$E$74:$E$84,0,0)</f>
        <v>1116.0518669257649</v>
      </c>
      <c r="H24" s="108">
        <f>NICCS_Fuel_cons!H24*_xlfn.XLOOKUP($B24,efs!$A$74:$A$84,efs!$E$74:$E$84,0,0)</f>
        <v>1113.1567956594656</v>
      </c>
      <c r="I24" s="108">
        <f>NICCS_Fuel_cons!I24*_xlfn.XLOOKUP($B24,efs!$A$74:$A$84,efs!$E$74:$E$84,0,0)</f>
        <v>1107.2983515579624</v>
      </c>
      <c r="J24" s="118">
        <f>NICCS_Fuel_cons!J24*_xlfn.XLOOKUP($B24,efs!$A$74:$A$84,efs!$E$74:$E$84,0,0)</f>
        <v>1098.247711981126</v>
      </c>
      <c r="K24" s="108">
        <f>NICCS_Fuel_cons!K24*_xlfn.XLOOKUP($B24,efs!$A$74:$A$84,efs!$E$74:$E$84,0,0)</f>
        <v>1100.7592908024349</v>
      </c>
      <c r="L24" s="108">
        <f>NICCS_Fuel_cons!L24*_xlfn.XLOOKUP($B24,efs!$A$74:$A$84,efs!$E$74:$E$84,0,0)</f>
        <v>1070.3109981463431</v>
      </c>
      <c r="M24" s="108">
        <f>NICCS_Fuel_cons!M24*_xlfn.XLOOKUP($B24,efs!$A$74:$A$84,efs!$E$74:$E$84,0,0)</f>
        <v>1034.7980924254464</v>
      </c>
      <c r="N24" s="108">
        <f>NICCS_Fuel_cons!N24*_xlfn.XLOOKUP($B24,efs!$A$74:$A$84,efs!$E$74:$E$84,0,0)</f>
        <v>993.94718400324155</v>
      </c>
      <c r="O24" s="108">
        <f>NICCS_Fuel_cons!O24*_xlfn.XLOOKUP($B24,efs!$A$74:$A$84,efs!$E$74:$E$84,0,0)</f>
        <v>947.48686795325136</v>
      </c>
      <c r="P24" s="118">
        <f>NICCS_Fuel_cons!P24*_xlfn.XLOOKUP($B24,efs!$A$74:$A$84,efs!$E$74:$E$84,0,0)</f>
        <v>895.1575920150359</v>
      </c>
      <c r="Q24" s="108">
        <f>NICCS_Fuel_cons!Q24*_xlfn.XLOOKUP($B24,efs!$A$74:$A$84,efs!$E$74:$E$84,0,0)</f>
        <v>836.71128411359882</v>
      </c>
      <c r="R24" s="108">
        <f>NICCS_Fuel_cons!R24*_xlfn.XLOOKUP($B24,efs!$A$74:$A$84,efs!$E$74:$E$84,0,0)</f>
        <v>771.91116889879606</v>
      </c>
      <c r="S24" s="108">
        <f>NICCS_Fuel_cons!S24*_xlfn.XLOOKUP($B24,efs!$A$74:$A$84,efs!$E$74:$E$84,0,0)</f>
        <v>700.52360096934831</v>
      </c>
      <c r="T24" s="108">
        <f>NICCS_Fuel_cons!T24*_xlfn.XLOOKUP($B24,efs!$A$74:$A$84,efs!$E$74:$E$84,0,0)</f>
        <v>622.31540191457123</v>
      </c>
      <c r="U24" s="108">
        <f>NICCS_Fuel_cons!U24*_xlfn.XLOOKUP($B24,efs!$A$74:$A$84,efs!$E$74:$E$84,0,0)</f>
        <v>537.25483305228613</v>
      </c>
      <c r="V24" s="108">
        <f>NICCS_Fuel_cons!V24*_xlfn.XLOOKUP($B24,efs!$A$74:$A$84,efs!$E$74:$E$84,0,0)</f>
        <v>445.05800301703016</v>
      </c>
      <c r="W24" s="108">
        <f>NICCS_Fuel_cons!W24*_xlfn.XLOOKUP($B24,efs!$A$74:$A$84,efs!$E$74:$E$84,0,0)</f>
        <v>345.47860762677061</v>
      </c>
      <c r="X24" s="108">
        <f>NICCS_Fuel_cons!X24*_xlfn.XLOOKUP($B24,efs!$A$74:$A$84,efs!$E$74:$E$84,0,0)</f>
        <v>238.27312240539371</v>
      </c>
      <c r="Y24" s="108">
        <f>NICCS_Fuel_cons!Y24*_xlfn.XLOOKUP($B24,efs!$A$74:$A$84,efs!$E$74:$E$84,0,0)</f>
        <v>123.19631613735186</v>
      </c>
      <c r="Z24" s="118">
        <f>NICCS_Fuel_cons!Z24*_xlfn.XLOOKUP($B24,efs!$A$74:$A$84,efs!$E$74:$E$84,0,0)</f>
        <v>0</v>
      </c>
      <c r="AA24" s="108">
        <f>NICCS_Fuel_cons!AA24*_xlfn.XLOOKUP($B24,efs!$A$74:$A$84,efs!$E$74:$E$84,0,0)</f>
        <v>0</v>
      </c>
      <c r="AB24" s="108">
        <f>NICCS_Fuel_cons!AB24*_xlfn.XLOOKUP($B24,efs!$A$74:$A$84,efs!$E$74:$E$84,0,0)</f>
        <v>0</v>
      </c>
      <c r="AC24" s="108">
        <f>NICCS_Fuel_cons!AC24*_xlfn.XLOOKUP($B24,efs!$A$74:$A$84,efs!$E$74:$E$84,0,0)</f>
        <v>0</v>
      </c>
      <c r="AD24" s="108">
        <f>NICCS_Fuel_cons!AD24*_xlfn.XLOOKUP($B24,efs!$A$74:$A$84,efs!$E$74:$E$84,0,0)</f>
        <v>0</v>
      </c>
      <c r="AE24" s="108">
        <f>NICCS_Fuel_cons!AE24*_xlfn.XLOOKUP($B24,efs!$A$74:$A$84,efs!$E$74:$E$84,0,0)</f>
        <v>0</v>
      </c>
      <c r="AF24" s="108">
        <f>NICCS_Fuel_cons!AF24*_xlfn.XLOOKUP($B24,efs!$A$74:$A$84,efs!$E$74:$E$84,0,0)</f>
        <v>0</v>
      </c>
      <c r="AG24" s="108">
        <f>NICCS_Fuel_cons!AG24*_xlfn.XLOOKUP($B24,efs!$A$74:$A$84,efs!$E$74:$E$84,0,0)</f>
        <v>0</v>
      </c>
      <c r="AH24" s="108">
        <f>NICCS_Fuel_cons!AH24*_xlfn.XLOOKUP($B24,efs!$A$74:$A$84,efs!$E$74:$E$84,0,0)</f>
        <v>0</v>
      </c>
      <c r="AI24" s="108">
        <f>NICCS_Fuel_cons!AI24*_xlfn.XLOOKUP($B24,efs!$A$74:$A$84,efs!$E$74:$E$84,0,0)</f>
        <v>0</v>
      </c>
      <c r="AJ24" s="109">
        <f>NICCS_Fuel_cons!AJ24*_xlfn.XLOOKUP($B24,efs!$A$74:$A$84,efs!$E$74:$E$84,0,0)</f>
        <v>0</v>
      </c>
      <c r="AK24" s="55">
        <f t="shared" si="3"/>
        <v>10663.182363480899</v>
      </c>
    </row>
    <row r="25" spans="1:37">
      <c r="A25" s="90" t="s">
        <v>19</v>
      </c>
      <c r="B25" s="3" t="s">
        <v>8</v>
      </c>
      <c r="C25" s="4" t="s">
        <v>53</v>
      </c>
      <c r="D25" s="91" t="s">
        <v>122</v>
      </c>
      <c r="E25" s="110">
        <f>NICCS_Fuel_cons!E25*_xlfn.XLOOKUP($B25,efs!$A$74:$A$84,efs!$E$74:$E$84,0,0)</f>
        <v>4547.5057270006982</v>
      </c>
      <c r="F25" s="18">
        <f>NICCS_Fuel_cons!F25*_xlfn.XLOOKUP($B25,efs!$A$74:$A$84,efs!$E$74:$E$84,0,0)</f>
        <v>4843.9431856761921</v>
      </c>
      <c r="G25" s="18">
        <f>NICCS_Fuel_cons!G25*_xlfn.XLOOKUP($B25,efs!$A$74:$A$84,efs!$E$74:$E$84,0,0)</f>
        <v>5155.5118672755734</v>
      </c>
      <c r="H25" s="18">
        <f>NICCS_Fuel_cons!H25*_xlfn.XLOOKUP($B25,efs!$A$74:$A$84,efs!$E$74:$E$84,0,0)</f>
        <v>5482.6683417811919</v>
      </c>
      <c r="I25" s="18">
        <f>NICCS_Fuel_cons!I25*_xlfn.XLOOKUP($B25,efs!$A$74:$A$84,efs!$E$74:$E$84,0,0)</f>
        <v>5825.7617568160922</v>
      </c>
      <c r="J25" s="119">
        <f>NICCS_Fuel_cons!J25*_xlfn.XLOOKUP($B25,efs!$A$74:$A$84,efs!$E$74:$E$84,0,0)</f>
        <v>6185.0848978027334</v>
      </c>
      <c r="K25" s="18">
        <f>NICCS_Fuel_cons!K25*_xlfn.XLOOKUP($B25,efs!$A$74:$A$84,efs!$E$74:$E$84,0,0)</f>
        <v>6502.4475784077076</v>
      </c>
      <c r="L25" s="18">
        <f>NICCS_Fuel_cons!L25*_xlfn.XLOOKUP($B25,efs!$A$74:$A$84,efs!$E$74:$E$84,0,0)</f>
        <v>6322.5822540787885</v>
      </c>
      <c r="M25" s="18">
        <f>NICCS_Fuel_cons!M25*_xlfn.XLOOKUP($B25,efs!$A$74:$A$84,efs!$E$74:$E$84,0,0)</f>
        <v>6112.7990528498176</v>
      </c>
      <c r="N25" s="18">
        <f>NICCS_Fuel_cons!N25*_xlfn.XLOOKUP($B25,efs!$A$74:$A$84,efs!$E$74:$E$84,0,0)</f>
        <v>5871.4829969552729</v>
      </c>
      <c r="O25" s="18">
        <f>NICCS_Fuel_cons!O25*_xlfn.XLOOKUP($B25,efs!$A$74:$A$84,efs!$E$74:$E$84,0,0)</f>
        <v>5597.0308327849534</v>
      </c>
      <c r="P25" s="119">
        <f>NICCS_Fuel_cons!P25*_xlfn.XLOOKUP($B25,efs!$A$74:$A$84,efs!$E$74:$E$84,0,0)</f>
        <v>5287.9093232529031</v>
      </c>
      <c r="Q25" s="18">
        <f>NICCS_Fuel_cons!Q25*_xlfn.XLOOKUP($B25,efs!$A$74:$A$84,efs!$E$74:$E$84,0,0)</f>
        <v>4942.6530474657384</v>
      </c>
      <c r="R25" s="18">
        <f>NICCS_Fuel_cons!R25*_xlfn.XLOOKUP($B25,efs!$A$74:$A$84,efs!$E$74:$E$84,0,0)</f>
        <v>4559.8633169771838</v>
      </c>
      <c r="S25" s="18">
        <f>NICCS_Fuel_cons!S25*_xlfn.XLOOKUP($B25,efs!$A$74:$A$84,efs!$E$74:$E$84,0,0)</f>
        <v>4138.1599326951728</v>
      </c>
      <c r="T25" s="18">
        <f>NICCS_Fuel_cons!T25*_xlfn.XLOOKUP($B25,efs!$A$74:$A$84,efs!$E$74:$E$84,0,0)</f>
        <v>3676.1654541524181</v>
      </c>
      <c r="U25" s="18">
        <f>NICCS_Fuel_cons!U25*_xlfn.XLOOKUP($B25,efs!$A$74:$A$84,efs!$E$74:$E$84,0,0)</f>
        <v>3173.6923933860212</v>
      </c>
      <c r="V25" s="18">
        <f>NICCS_Fuel_cons!V25*_xlfn.XLOOKUP($B25,efs!$A$74:$A$84,efs!$E$74:$E$84,0,0)</f>
        <v>2629.0637364136246</v>
      </c>
      <c r="W25" s="18">
        <f>NICCS_Fuel_cons!W25*_xlfn.XLOOKUP($B25,efs!$A$74:$A$84,efs!$E$74:$E$84,0,0)</f>
        <v>2040.8245057070883</v>
      </c>
      <c r="X25" s="18">
        <f>NICCS_Fuel_cons!X25*_xlfn.XLOOKUP($B25,efs!$A$74:$A$84,efs!$E$74:$E$84,0,0)</f>
        <v>1407.5361441238829</v>
      </c>
      <c r="Y25" s="18">
        <f>NICCS_Fuel_cons!Y25*_xlfn.XLOOKUP($B25,efs!$A$74:$A$84,efs!$E$74:$E$84,0,0)</f>
        <v>727.75001240471522</v>
      </c>
      <c r="Z25" s="119">
        <f>NICCS_Fuel_cons!Z25*_xlfn.XLOOKUP($B25,efs!$A$74:$A$84,efs!$E$74:$E$84,0,0)</f>
        <v>0</v>
      </c>
      <c r="AA25" s="18">
        <f>NICCS_Fuel_cons!AA25*_xlfn.XLOOKUP($B25,efs!$A$74:$A$84,efs!$E$74:$E$84,0,0)</f>
        <v>0</v>
      </c>
      <c r="AB25" s="18">
        <f>NICCS_Fuel_cons!AB25*_xlfn.XLOOKUP($B25,efs!$A$74:$A$84,efs!$E$74:$E$84,0,0)</f>
        <v>0</v>
      </c>
      <c r="AC25" s="18">
        <f>NICCS_Fuel_cons!AC25*_xlfn.XLOOKUP($B25,efs!$A$74:$A$84,efs!$E$74:$E$84,0,0)</f>
        <v>0</v>
      </c>
      <c r="AD25" s="18">
        <f>NICCS_Fuel_cons!AD25*_xlfn.XLOOKUP($B25,efs!$A$74:$A$84,efs!$E$74:$E$84,0,0)</f>
        <v>0</v>
      </c>
      <c r="AE25" s="18">
        <f>NICCS_Fuel_cons!AE25*_xlfn.XLOOKUP($B25,efs!$A$74:$A$84,efs!$E$74:$E$84,0,0)</f>
        <v>0</v>
      </c>
      <c r="AF25" s="18">
        <f>NICCS_Fuel_cons!AF25*_xlfn.XLOOKUP($B25,efs!$A$74:$A$84,efs!$E$74:$E$84,0,0)</f>
        <v>0</v>
      </c>
      <c r="AG25" s="18">
        <f>NICCS_Fuel_cons!AG25*_xlfn.XLOOKUP($B25,efs!$A$74:$A$84,efs!$E$74:$E$84,0,0)</f>
        <v>0</v>
      </c>
      <c r="AH25" s="18">
        <f>NICCS_Fuel_cons!AH25*_xlfn.XLOOKUP($B25,efs!$A$74:$A$84,efs!$E$74:$E$84,0,0)</f>
        <v>0</v>
      </c>
      <c r="AI25" s="18">
        <f>NICCS_Fuel_cons!AI25*_xlfn.XLOOKUP($B25,efs!$A$74:$A$84,efs!$E$74:$E$84,0,0)</f>
        <v>0</v>
      </c>
      <c r="AJ25" s="111">
        <f>NICCS_Fuel_cons!AJ25*_xlfn.XLOOKUP($B25,efs!$A$74:$A$84,efs!$E$74:$E$84,0,0)</f>
        <v>0</v>
      </c>
      <c r="AK25" s="55">
        <f t="shared" si="3"/>
        <v>62989.960581655301</v>
      </c>
    </row>
    <row r="26" spans="1:37">
      <c r="A26" s="90" t="s">
        <v>19</v>
      </c>
      <c r="B26" t="s">
        <v>37</v>
      </c>
      <c r="C26" s="4" t="s">
        <v>53</v>
      </c>
      <c r="D26" s="91" t="s">
        <v>122</v>
      </c>
      <c r="E26" s="110">
        <f>NICCS_Fuel_cons!E26*_xlfn.XLOOKUP($B26,efs!$A$74:$A$84,efs!$E$74:$E$84,0,0)</f>
        <v>27.367630683464519</v>
      </c>
      <c r="F26" s="18">
        <f>NICCS_Fuel_cons!F26*_xlfn.XLOOKUP($B26,efs!$A$74:$A$84,efs!$E$74:$E$84,0,0)</f>
        <v>33.832143273149342</v>
      </c>
      <c r="G26" s="18">
        <f>NICCS_Fuel_cons!G26*_xlfn.XLOOKUP($B26,efs!$A$74:$A$84,efs!$E$74:$E$84,0,0)</f>
        <v>40.804285297318842</v>
      </c>
      <c r="H26" s="18">
        <f>NICCS_Fuel_cons!H26*_xlfn.XLOOKUP($B26,efs!$A$74:$A$84,efs!$E$74:$E$84,0,0)</f>
        <v>48.307489876017392</v>
      </c>
      <c r="I26" s="18">
        <f>NICCS_Fuel_cons!I26*_xlfn.XLOOKUP($B26,efs!$A$74:$A$84,efs!$E$74:$E$84,0,0)</f>
        <v>56.364334846724127</v>
      </c>
      <c r="J26" s="119">
        <f>NICCS_Fuel_cons!J26*_xlfn.XLOOKUP($B26,efs!$A$74:$A$84,efs!$E$74:$E$84,0,0)</f>
        <v>64.996615375086918</v>
      </c>
      <c r="K26" s="18">
        <f>NICCS_Fuel_cons!K26*_xlfn.XLOOKUP($B26,efs!$A$74:$A$84,efs!$E$74:$E$84,0,0)</f>
        <v>73.736425489966109</v>
      </c>
      <c r="L26" s="18">
        <f>NICCS_Fuel_cons!L26*_xlfn.XLOOKUP($B26,efs!$A$74:$A$84,efs!$E$74:$E$84,0,0)</f>
        <v>71.696789502795923</v>
      </c>
      <c r="M26" s="18">
        <f>NICCS_Fuel_cons!M26*_xlfn.XLOOKUP($B26,efs!$A$74:$A$84,efs!$E$74:$E$84,0,0)</f>
        <v>69.317890911159068</v>
      </c>
      <c r="N26" s="18">
        <f>NICCS_Fuel_cons!N26*_xlfn.XLOOKUP($B26,efs!$A$74:$A$84,efs!$E$74:$E$84,0,0)</f>
        <v>66.581416197531624</v>
      </c>
      <c r="O26" s="18">
        <f>NICCS_Fuel_cons!O26*_xlfn.XLOOKUP($B26,efs!$A$74:$A$84,efs!$E$74:$E$84,0,0)</f>
        <v>63.469184793912945</v>
      </c>
      <c r="P26" s="119">
        <f>NICCS_Fuel_cons!P26*_xlfn.XLOOKUP($B26,efs!$A$74:$A$84,efs!$E$74:$E$84,0,0)</f>
        <v>59.963810105365681</v>
      </c>
      <c r="Q26" s="18">
        <f>NICCS_Fuel_cons!Q26*_xlfn.XLOOKUP($B26,efs!$A$74:$A$84,efs!$E$74:$E$84,0,0)</f>
        <v>56.048674558704704</v>
      </c>
      <c r="R26" s="18">
        <f>NICCS_Fuel_cons!R26*_xlfn.XLOOKUP($B26,efs!$A$74:$A$84,efs!$E$74:$E$84,0,0)</f>
        <v>51.707917313045357</v>
      </c>
      <c r="S26" s="18">
        <f>NICCS_Fuel_cons!S26*_xlfn.XLOOKUP($B26,efs!$A$74:$A$84,efs!$E$74:$E$84,0,0)</f>
        <v>46.925887192997628</v>
      </c>
      <c r="T26" s="18">
        <f>NICCS_Fuel_cons!T26*_xlfn.XLOOKUP($B26,efs!$A$74:$A$84,efs!$E$74:$E$84,0,0)</f>
        <v>41.686964305412353</v>
      </c>
      <c r="U26" s="18">
        <f>NICCS_Fuel_cons!U26*_xlfn.XLOOKUP($B26,efs!$A$74:$A$84,efs!$E$74:$E$84,0,0)</f>
        <v>35.989022575140176</v>
      </c>
      <c r="V26" s="18">
        <f>NICCS_Fuel_cons!V26*_xlfn.XLOOKUP($B26,efs!$A$74:$A$84,efs!$E$74:$E$84,0,0)</f>
        <v>29.813045006647513</v>
      </c>
      <c r="W26" s="18">
        <f>NICCS_Fuel_cons!W26*_xlfn.XLOOKUP($B26,efs!$A$74:$A$84,efs!$E$74:$E$84,0,0)</f>
        <v>23.142532452375001</v>
      </c>
      <c r="X26" s="18">
        <f>NICCS_Fuel_cons!X26*_xlfn.XLOOKUP($B26,efs!$A$74:$A$84,efs!$E$74:$E$84,0,0)</f>
        <v>15.961171968577364</v>
      </c>
      <c r="Y26" s="18">
        <f>NICCS_Fuel_cons!Y26*_xlfn.XLOOKUP($B26,efs!$A$74:$A$84,efs!$E$74:$E$84,0,0)</f>
        <v>8.2525362823674833</v>
      </c>
      <c r="Z26" s="119">
        <f>NICCS_Fuel_cons!Z26*_xlfn.XLOOKUP($B26,efs!$A$74:$A$84,efs!$E$74:$E$84,0,0)</f>
        <v>0</v>
      </c>
      <c r="AA26" s="18">
        <f>NICCS_Fuel_cons!AA26*_xlfn.XLOOKUP($B26,efs!$A$74:$A$84,efs!$E$74:$E$84,0,0)</f>
        <v>0</v>
      </c>
      <c r="AB26" s="18">
        <f>NICCS_Fuel_cons!AB26*_xlfn.XLOOKUP($B26,efs!$A$74:$A$84,efs!$E$74:$E$84,0,0)</f>
        <v>0</v>
      </c>
      <c r="AC26" s="18">
        <f>NICCS_Fuel_cons!AC26*_xlfn.XLOOKUP($B26,efs!$A$74:$A$84,efs!$E$74:$E$84,0,0)</f>
        <v>0</v>
      </c>
      <c r="AD26" s="18">
        <f>NICCS_Fuel_cons!AD26*_xlfn.XLOOKUP($B26,efs!$A$74:$A$84,efs!$E$74:$E$84,0,0)</f>
        <v>0</v>
      </c>
      <c r="AE26" s="18">
        <f>NICCS_Fuel_cons!AE26*_xlfn.XLOOKUP($B26,efs!$A$74:$A$84,efs!$E$74:$E$84,0,0)</f>
        <v>0</v>
      </c>
      <c r="AF26" s="18">
        <f>NICCS_Fuel_cons!AF26*_xlfn.XLOOKUP($B26,efs!$A$74:$A$84,efs!$E$74:$E$84,0,0)</f>
        <v>0</v>
      </c>
      <c r="AG26" s="18">
        <f>NICCS_Fuel_cons!AG26*_xlfn.XLOOKUP($B26,efs!$A$74:$A$84,efs!$E$74:$E$84,0,0)</f>
        <v>0</v>
      </c>
      <c r="AH26" s="18">
        <f>NICCS_Fuel_cons!AH26*_xlfn.XLOOKUP($B26,efs!$A$74:$A$84,efs!$E$74:$E$84,0,0)</f>
        <v>0</v>
      </c>
      <c r="AI26" s="18">
        <f>NICCS_Fuel_cons!AI26*_xlfn.XLOOKUP($B26,efs!$A$74:$A$84,efs!$E$74:$E$84,0,0)</f>
        <v>0</v>
      </c>
      <c r="AJ26" s="111">
        <f>NICCS_Fuel_cons!AJ26*_xlfn.XLOOKUP($B26,efs!$A$74:$A$84,efs!$E$74:$E$84,0,0)</f>
        <v>0</v>
      </c>
      <c r="AK26" s="55">
        <f t="shared" si="3"/>
        <v>714.29326865599887</v>
      </c>
    </row>
    <row r="27" spans="1:37">
      <c r="A27" s="90" t="s">
        <v>19</v>
      </c>
      <c r="B27" t="s">
        <v>10</v>
      </c>
      <c r="C27" s="4" t="s">
        <v>53</v>
      </c>
      <c r="D27" s="91" t="s">
        <v>122</v>
      </c>
      <c r="E27" s="110">
        <f>NICCS_Fuel_cons!E27*_xlfn.XLOOKUP($B27,efs!$A$74:$A$84,efs!$E$74:$E$84,0,0)</f>
        <v>14.029299556993347</v>
      </c>
      <c r="F27" s="18">
        <f>NICCS_Fuel_cons!F27*_xlfn.XLOOKUP($B27,efs!$A$74:$A$84,efs!$E$74:$E$84,0,0)</f>
        <v>17.343162735709225</v>
      </c>
      <c r="G27" s="18">
        <f>NICCS_Fuel_cons!G27*_xlfn.XLOOKUP($B27,efs!$A$74:$A$84,efs!$E$74:$E$84,0,0)</f>
        <v>20.917248857461345</v>
      </c>
      <c r="H27" s="18">
        <f>NICCS_Fuel_cons!H27*_xlfn.XLOOKUP($B27,efs!$A$74:$A$84,efs!$E$74:$E$84,0,0)</f>
        <v>24.763570297904892</v>
      </c>
      <c r="I27" s="18">
        <f>NICCS_Fuel_cons!I27*_xlfn.XLOOKUP($B27,efs!$A$74:$A$84,efs!$E$74:$E$84,0,0)</f>
        <v>28.893700994480255</v>
      </c>
      <c r="J27" s="119">
        <f>NICCS_Fuel_cons!J27*_xlfn.XLOOKUP($B27,efs!$A$74:$A$84,efs!$E$74:$E$84,0,0)</f>
        <v>33.318813668395045</v>
      </c>
      <c r="K27" s="18">
        <f>NICCS_Fuel_cons!K27*_xlfn.XLOOKUP($B27,efs!$A$74:$A$84,efs!$E$74:$E$84,0,0)</f>
        <v>37.799048570387093</v>
      </c>
      <c r="L27" s="18">
        <f>NICCS_Fuel_cons!L27*_xlfn.XLOOKUP($B27,efs!$A$74:$A$84,efs!$E$74:$E$84,0,0)</f>
        <v>80.493274205933943</v>
      </c>
      <c r="M27" s="18">
        <f>NICCS_Fuel_cons!M27*_xlfn.XLOOKUP($B27,efs!$A$74:$A$84,efs!$E$74:$E$84,0,0)</f>
        <v>126.61693823596907</v>
      </c>
      <c r="N27" s="18">
        <f>NICCS_Fuel_cons!N27*_xlfn.XLOOKUP($B27,efs!$A$74:$A$84,efs!$E$74:$E$84,0,0)</f>
        <v>176.29798290160144</v>
      </c>
      <c r="O27" s="18">
        <f>NICCS_Fuel_cons!O27*_xlfn.XLOOKUP($B27,efs!$A$74:$A$84,efs!$E$74:$E$84,0,0)</f>
        <v>229.65789178716722</v>
      </c>
      <c r="P27" s="119">
        <f>NICCS_Fuel_cons!P27*_xlfn.XLOOKUP($B27,efs!$A$74:$A$84,efs!$E$74:$E$84,0,0)</f>
        <v>286.81215590490905</v>
      </c>
      <c r="Q27" s="18">
        <f>NICCS_Fuel_cons!Q27*_xlfn.XLOOKUP($B27,efs!$A$74:$A$84,efs!$E$74:$E$84,0,0)</f>
        <v>347.87033087988368</v>
      </c>
      <c r="R27" s="18">
        <f>NICCS_Fuel_cons!R27*_xlfn.XLOOKUP($B27,efs!$A$74:$A$84,efs!$E$74:$E$84,0,0)</f>
        <v>412.93608790281411</v>
      </c>
      <c r="S27" s="18">
        <f>NICCS_Fuel_cons!S27*_xlfn.XLOOKUP($B27,efs!$A$74:$A$84,efs!$E$74:$E$84,0,0)</f>
        <v>482.10172965467484</v>
      </c>
      <c r="T27" s="18">
        <f>NICCS_Fuel_cons!T27*_xlfn.XLOOKUP($B27,efs!$A$74:$A$84,efs!$E$74:$E$84,0,0)</f>
        <v>555.43774248261855</v>
      </c>
      <c r="U27" s="18">
        <f>NICCS_Fuel_cons!U27*_xlfn.XLOOKUP($B27,efs!$A$74:$A$84,efs!$E$74:$E$84,0,0)</f>
        <v>633.20809751053116</v>
      </c>
      <c r="V27" s="18">
        <f>NICCS_Fuel_cons!V27*_xlfn.XLOOKUP($B27,efs!$A$74:$A$84,efs!$E$74:$E$84,0,0)</f>
        <v>715.51828317215063</v>
      </c>
      <c r="W27" s="18">
        <f>NICCS_Fuel_cons!W27*_xlfn.XLOOKUP($B27,efs!$A$74:$A$84,efs!$E$74:$E$84,0,0)</f>
        <v>802.49818326254615</v>
      </c>
      <c r="X27" s="18">
        <f>NICCS_Fuel_cons!X27*_xlfn.XLOOKUP($B27,efs!$A$74:$A$84,efs!$E$74:$E$84,0,0)</f>
        <v>894.28296158099499</v>
      </c>
      <c r="Y27" s="18">
        <f>NICCS_Fuel_cons!Y27*_xlfn.XLOOKUP($B27,efs!$A$74:$A$84,efs!$E$74:$E$84,0,0)</f>
        <v>991.01084677277697</v>
      </c>
      <c r="Z27" s="119">
        <f>NICCS_Fuel_cons!Z27*_xlfn.XLOOKUP($B27,efs!$A$74:$A$84,efs!$E$74:$E$84,0,0)</f>
        <v>1092.8192725276681</v>
      </c>
      <c r="AA27" s="18">
        <f>NICCS_Fuel_cons!AA27*_xlfn.XLOOKUP($B27,efs!$A$74:$A$84,efs!$E$74:$E$84,0,0)</f>
        <v>1129.0852911628549</v>
      </c>
      <c r="AB27" s="18">
        <f>NICCS_Fuel_cons!AB27*_xlfn.XLOOKUP($B27,efs!$A$74:$A$84,efs!$E$74:$E$84,0,0)</f>
        <v>1166.0575220760729</v>
      </c>
      <c r="AC27" s="18">
        <f>NICCS_Fuel_cons!AC27*_xlfn.XLOOKUP($B27,efs!$A$74:$A$84,efs!$E$74:$E$84,0,0)</f>
        <v>1203.732768657226</v>
      </c>
      <c r="AD27" s="18">
        <f>NICCS_Fuel_cons!AD27*_xlfn.XLOOKUP($B27,efs!$A$74:$A$84,efs!$E$74:$E$84,0,0)</f>
        <v>1242.1072140584401</v>
      </c>
      <c r="AE27" s="18">
        <f>NICCS_Fuel_cons!AE27*_xlfn.XLOOKUP($B27,efs!$A$74:$A$84,efs!$E$74:$E$84,0,0)</f>
        <v>1281.1751330079028</v>
      </c>
      <c r="AF27" s="18">
        <f>NICCS_Fuel_cons!AF27*_xlfn.XLOOKUP($B27,efs!$A$74:$A$84,efs!$E$74:$E$84,0,0)</f>
        <v>1320.9285578356755</v>
      </c>
      <c r="AG27" s="18">
        <f>NICCS_Fuel_cons!AG27*_xlfn.XLOOKUP($B27,efs!$A$74:$A$84,efs!$E$74:$E$84,0,0)</f>
        <v>1361.3563719723231</v>
      </c>
      <c r="AH27" s="18">
        <f>NICCS_Fuel_cons!AH27*_xlfn.XLOOKUP($B27,efs!$A$74:$A$84,efs!$E$74:$E$84,0,0)</f>
        <v>1402.4467431894329</v>
      </c>
      <c r="AI27" s="18">
        <f>NICCS_Fuel_cons!AI27*_xlfn.XLOOKUP($B27,efs!$A$74:$A$84,efs!$E$74:$E$84,0,0)</f>
        <v>1444.1846903590974</v>
      </c>
      <c r="AJ27" s="111">
        <f>NICCS_Fuel_cons!AJ27*_xlfn.XLOOKUP($B27,efs!$A$74:$A$84,efs!$E$74:$E$84,0,0)</f>
        <v>1486.5544689838334</v>
      </c>
      <c r="AK27" s="55">
        <f t="shared" si="3"/>
        <v>20902.989588655488</v>
      </c>
    </row>
    <row r="28" spans="1:37">
      <c r="A28" s="129" t="s">
        <v>19</v>
      </c>
      <c r="B28" s="34" t="s">
        <v>11</v>
      </c>
      <c r="C28" s="122" t="s">
        <v>53</v>
      </c>
      <c r="D28" s="123" t="s">
        <v>122</v>
      </c>
      <c r="E28" s="124">
        <f>NICCS_Fuel_cons!E28*_xlfn.XLOOKUP($B28,efs!$A$74:$A$84,efs!$E$74:$E$84,0,0)</f>
        <v>5.5302720315854081</v>
      </c>
      <c r="F28" s="125">
        <f>NICCS_Fuel_cons!F28*_xlfn.XLOOKUP($B28,efs!$A$74:$A$84,efs!$E$74:$E$84,0,0)</f>
        <v>6.5181831598727049</v>
      </c>
      <c r="G28" s="125">
        <f>NICCS_Fuel_cons!G28*_xlfn.XLOOKUP($B28,efs!$A$74:$A$84,efs!$E$74:$E$84,0,0)</f>
        <v>7.5803353760900718</v>
      </c>
      <c r="H28" s="125">
        <f>NICCS_Fuel_cons!H28*_xlfn.XLOOKUP($B28,efs!$A$74:$A$84,efs!$E$74:$E$84,0,0)</f>
        <v>8.7200567491579246</v>
      </c>
      <c r="I28" s="125">
        <f>NICCS_Fuel_cons!I28*_xlfn.XLOOKUP($B28,efs!$A$74:$A$84,efs!$E$74:$E$84,0,0)</f>
        <v>9.9405167217014068</v>
      </c>
      <c r="J28" s="126">
        <f>NICCS_Fuel_cons!J28*_xlfn.XLOOKUP($B28,efs!$A$74:$A$84,efs!$E$74:$E$84,0,0)</f>
        <v>11.244756746903279</v>
      </c>
      <c r="K28" s="125">
        <f>NICCS_Fuel_cons!K28*_xlfn.XLOOKUP($B28,efs!$A$74:$A$84,efs!$E$74:$E$84,0,0)</f>
        <v>11.270472341471056</v>
      </c>
      <c r="L28" s="125">
        <f>NICCS_Fuel_cons!L28*_xlfn.XLOOKUP($B28,efs!$A$74:$A$84,efs!$E$74:$E$84,0,0)</f>
        <v>58.518132449318053</v>
      </c>
      <c r="M28" s="125">
        <f>NICCS_Fuel_cons!M28*_xlfn.XLOOKUP($B28,efs!$A$74:$A$84,efs!$E$74:$E$84,0,0)</f>
        <v>109.63195591873657</v>
      </c>
      <c r="N28" s="125">
        <f>NICCS_Fuel_cons!N28*_xlfn.XLOOKUP($B28,efs!$A$74:$A$84,efs!$E$74:$E$84,0,0)</f>
        <v>164.75846625179776</v>
      </c>
      <c r="O28" s="125">
        <f>NICCS_Fuel_cons!O28*_xlfn.XLOOKUP($B28,efs!$A$74:$A$84,efs!$E$74:$E$84,0,0)</f>
        <v>224.0371105013061</v>
      </c>
      <c r="P28" s="126">
        <f>NICCS_Fuel_cons!P28*_xlfn.XLOOKUP($B28,efs!$A$74:$A$84,efs!$E$74:$E$84,0,0)</f>
        <v>287.60049864559335</v>
      </c>
      <c r="Q28" s="125">
        <f>NICCS_Fuel_cons!Q28*_xlfn.XLOOKUP($B28,efs!$A$74:$A$84,efs!$E$74:$E$84,0,0)</f>
        <v>355.57447586098954</v>
      </c>
      <c r="R28" s="125">
        <f>NICCS_Fuel_cons!R28*_xlfn.XLOOKUP($B28,efs!$A$74:$A$84,efs!$E$74:$E$84,0,0)</f>
        <v>428.0781828957754</v>
      </c>
      <c r="S28" s="125">
        <f>NICCS_Fuel_cons!S28*_xlfn.XLOOKUP($B28,efs!$A$74:$A$84,efs!$E$74:$E$84,0,0)</f>
        <v>505.21831440318755</v>
      </c>
      <c r="T28" s="125">
        <f>NICCS_Fuel_cons!T28*_xlfn.XLOOKUP($B28,efs!$A$74:$A$84,efs!$E$74:$E$84,0,0)</f>
        <v>587.07783091357123</v>
      </c>
      <c r="U28" s="125">
        <f>NICCS_Fuel_cons!U28*_xlfn.XLOOKUP($B28,efs!$A$74:$A$84,efs!$E$74:$E$84,0,0)</f>
        <v>673.94461518952835</v>
      </c>
      <c r="V28" s="125">
        <f>NICCS_Fuel_cons!V28*_xlfn.XLOOKUP($B28,efs!$A$74:$A$84,efs!$E$74:$E$84,0,0)</f>
        <v>765.94106070939517</v>
      </c>
      <c r="W28" s="125">
        <f>NICCS_Fuel_cons!W28*_xlfn.XLOOKUP($B28,efs!$A$74:$A$84,efs!$E$74:$E$84,0,0)</f>
        <v>863.21506809013579</v>
      </c>
      <c r="X28" s="125">
        <f>NICCS_Fuel_cons!X28*_xlfn.XLOOKUP($B28,efs!$A$74:$A$84,efs!$E$74:$E$84,0,0)</f>
        <v>965.92020370769671</v>
      </c>
      <c r="Y28" s="125">
        <f>NICCS_Fuel_cons!Y28*_xlfn.XLOOKUP($B28,efs!$A$74:$A$84,efs!$E$74:$E$84,0,0)</f>
        <v>1074.2134126757433</v>
      </c>
      <c r="Z28" s="126">
        <f>NICCS_Fuel_cons!Z28*_xlfn.XLOOKUP($B28,efs!$A$74:$A$84,efs!$E$74:$E$84,0,0)</f>
        <v>1188.2508558801567</v>
      </c>
      <c r="AA28" s="125">
        <f>NICCS_Fuel_cons!AA28*_xlfn.XLOOKUP($B28,efs!$A$74:$A$84,efs!$E$74:$E$84,0,0)</f>
        <v>1227.6838424369853</v>
      </c>
      <c r="AB28" s="125">
        <f>NICCS_Fuel_cons!AB28*_xlfn.XLOOKUP($B28,efs!$A$74:$A$84,efs!$E$74:$E$84,0,0)</f>
        <v>1267.8847119959707</v>
      </c>
      <c r="AC28" s="125">
        <f>NICCS_Fuel_cons!AC28*_xlfn.XLOOKUP($B28,efs!$A$74:$A$84,efs!$E$74:$E$84,0,0)</f>
        <v>1308.8499887997045</v>
      </c>
      <c r="AD28" s="125">
        <f>NICCS_Fuel_cons!AD28*_xlfn.XLOOKUP($B28,efs!$A$74:$A$84,efs!$E$74:$E$84,0,0)</f>
        <v>1350.5755226900897</v>
      </c>
      <c r="AE28" s="125">
        <f>NICCS_Fuel_cons!AE28*_xlfn.XLOOKUP($B28,efs!$A$74:$A$84,efs!$E$74:$E$84,0,0)</f>
        <v>1393.0550884299773</v>
      </c>
      <c r="AF28" s="125">
        <f>NICCS_Fuel_cons!AF28*_xlfn.XLOOKUP($B28,efs!$A$74:$A$84,efs!$E$74:$E$84,0,0)</f>
        <v>1436.2800225643382</v>
      </c>
      <c r="AG28" s="125">
        <f>NICCS_Fuel_cons!AG28*_xlfn.XLOOKUP($B28,efs!$A$74:$A$84,efs!$E$74:$E$84,0,0)</f>
        <v>1480.2382377577098</v>
      </c>
      <c r="AH28" s="125">
        <f>NICCS_Fuel_cons!AH28*_xlfn.XLOOKUP($B28,efs!$A$74:$A$84,efs!$E$74:$E$84,0,0)</f>
        <v>1524.9168685199877</v>
      </c>
      <c r="AI28" s="125">
        <f>NICCS_Fuel_cons!AI28*_xlfn.XLOOKUP($B28,efs!$A$74:$A$84,efs!$E$74:$E$84,0,0)</f>
        <v>1570.2996254806346</v>
      </c>
      <c r="AJ28" s="127">
        <f>NICCS_Fuel_cons!AJ28*_xlfn.XLOOKUP($B28,efs!$A$74:$A$84,efs!$E$74:$E$84,0,0)</f>
        <v>1616.3693892374965</v>
      </c>
      <c r="AK28" s="128">
        <f t="shared" si="3"/>
        <v>22439.403954347297</v>
      </c>
    </row>
    <row r="29" spans="1:37">
      <c r="A29" s="90" t="s">
        <v>19</v>
      </c>
      <c r="B29" s="3" t="s">
        <v>12</v>
      </c>
      <c r="C29" s="4" t="s">
        <v>53</v>
      </c>
      <c r="D29" s="91" t="s">
        <v>122</v>
      </c>
      <c r="E29" s="110">
        <f>NICCS_Fuel_cons!E29*_xlfn.XLOOKUP($B29,efs!$A$74:$A$84,efs!$E$74:$E$84,0,0)</f>
        <v>0.6123122561937987</v>
      </c>
      <c r="F29" s="18">
        <f>NICCS_Fuel_cons!F29*_xlfn.XLOOKUP($B29,efs!$A$74:$A$84,efs!$E$74:$E$84,0,0)</f>
        <v>0.50273922189598064</v>
      </c>
      <c r="G29" s="18">
        <f>NICCS_Fuel_cons!G29*_xlfn.XLOOKUP($B29,efs!$A$74:$A$84,efs!$E$74:$E$84,0,0)</f>
        <v>0.38189908984396631</v>
      </c>
      <c r="H29" s="18">
        <f>NICCS_Fuel_cons!H29*_xlfn.XLOOKUP($B29,efs!$A$74:$A$84,efs!$E$74:$E$84,0,0)</f>
        <v>0.24919267774178164</v>
      </c>
      <c r="I29" s="18">
        <f>NICCS_Fuel_cons!I29*_xlfn.XLOOKUP($B29,efs!$A$74:$A$84,efs!$E$74:$E$84,0,0)</f>
        <v>0.1040130077428469</v>
      </c>
      <c r="J29" s="119">
        <f>NICCS_Fuel_cons!J29*_xlfn.XLOOKUP($B29,efs!$A$74:$A$84,efs!$E$74:$E$84,0,0)</f>
        <v>0</v>
      </c>
      <c r="K29" s="18">
        <f>NICCS_Fuel_cons!K29*_xlfn.XLOOKUP($B29,efs!$A$74:$A$84,efs!$E$74:$E$84,0,0)</f>
        <v>0</v>
      </c>
      <c r="L29" s="18">
        <f>NICCS_Fuel_cons!L29*_xlfn.XLOOKUP($B29,efs!$A$74:$A$84,efs!$E$74:$E$84,0,0)</f>
        <v>0</v>
      </c>
      <c r="M29" s="18">
        <f>NICCS_Fuel_cons!M29*_xlfn.XLOOKUP($B29,efs!$A$74:$A$84,efs!$E$74:$E$84,0,0)</f>
        <v>0</v>
      </c>
      <c r="N29" s="18">
        <f>NICCS_Fuel_cons!N29*_xlfn.XLOOKUP($B29,efs!$A$74:$A$84,efs!$E$74:$E$84,0,0)</f>
        <v>0</v>
      </c>
      <c r="O29" s="18">
        <f>NICCS_Fuel_cons!O29*_xlfn.XLOOKUP($B29,efs!$A$74:$A$84,efs!$E$74:$E$84,0,0)</f>
        <v>0</v>
      </c>
      <c r="P29" s="119">
        <f>NICCS_Fuel_cons!P29*_xlfn.XLOOKUP($B29,efs!$A$74:$A$84,efs!$E$74:$E$84,0,0)</f>
        <v>0</v>
      </c>
      <c r="Q29" s="18">
        <f>NICCS_Fuel_cons!Q29*_xlfn.XLOOKUP($B29,efs!$A$74:$A$84,efs!$E$74:$E$84,0,0)</f>
        <v>0</v>
      </c>
      <c r="R29" s="18">
        <f>NICCS_Fuel_cons!R29*_xlfn.XLOOKUP($B29,efs!$A$74:$A$84,efs!$E$74:$E$84,0,0)</f>
        <v>0</v>
      </c>
      <c r="S29" s="18">
        <f>NICCS_Fuel_cons!S29*_xlfn.XLOOKUP($B29,efs!$A$74:$A$84,efs!$E$74:$E$84,0,0)</f>
        <v>0</v>
      </c>
      <c r="T29" s="18">
        <f>NICCS_Fuel_cons!T29*_xlfn.XLOOKUP($B29,efs!$A$74:$A$84,efs!$E$74:$E$84,0,0)</f>
        <v>0</v>
      </c>
      <c r="U29" s="18">
        <f>NICCS_Fuel_cons!U29*_xlfn.XLOOKUP($B29,efs!$A$74:$A$84,efs!$E$74:$E$84,0,0)</f>
        <v>0</v>
      </c>
      <c r="V29" s="18">
        <f>NICCS_Fuel_cons!V29*_xlfn.XLOOKUP($B29,efs!$A$74:$A$84,efs!$E$74:$E$84,0,0)</f>
        <v>0</v>
      </c>
      <c r="W29" s="18">
        <f>NICCS_Fuel_cons!W29*_xlfn.XLOOKUP($B29,efs!$A$74:$A$84,efs!$E$74:$E$84,0,0)</f>
        <v>0</v>
      </c>
      <c r="X29" s="18">
        <f>NICCS_Fuel_cons!X29*_xlfn.XLOOKUP($B29,efs!$A$74:$A$84,efs!$E$74:$E$84,0,0)</f>
        <v>0</v>
      </c>
      <c r="Y29" s="18">
        <f>NICCS_Fuel_cons!Y29*_xlfn.XLOOKUP($B29,efs!$A$74:$A$84,efs!$E$74:$E$84,0,0)</f>
        <v>0</v>
      </c>
      <c r="Z29" s="119">
        <f>NICCS_Fuel_cons!Z29*_xlfn.XLOOKUP($B29,efs!$A$74:$A$84,efs!$E$74:$E$84,0,0)</f>
        <v>0</v>
      </c>
      <c r="AA29" s="18">
        <f>NICCS_Fuel_cons!AA29*_xlfn.XLOOKUP($B29,efs!$A$74:$A$84,efs!$E$74:$E$84,0,0)</f>
        <v>0</v>
      </c>
      <c r="AB29" s="18">
        <f>NICCS_Fuel_cons!AB29*_xlfn.XLOOKUP($B29,efs!$A$74:$A$84,efs!$E$74:$E$84,0,0)</f>
        <v>0</v>
      </c>
      <c r="AC29" s="18">
        <f>NICCS_Fuel_cons!AC29*_xlfn.XLOOKUP($B29,efs!$A$74:$A$84,efs!$E$74:$E$84,0,0)</f>
        <v>0</v>
      </c>
      <c r="AD29" s="18">
        <f>NICCS_Fuel_cons!AD29*_xlfn.XLOOKUP($B29,efs!$A$74:$A$84,efs!$E$74:$E$84,0,0)</f>
        <v>0</v>
      </c>
      <c r="AE29" s="18">
        <f>NICCS_Fuel_cons!AE29*_xlfn.XLOOKUP($B29,efs!$A$74:$A$84,efs!$E$74:$E$84,0,0)</f>
        <v>0</v>
      </c>
      <c r="AF29" s="18">
        <f>NICCS_Fuel_cons!AF29*_xlfn.XLOOKUP($B29,efs!$A$74:$A$84,efs!$E$74:$E$84,0,0)</f>
        <v>0</v>
      </c>
      <c r="AG29" s="18">
        <f>NICCS_Fuel_cons!AG29*_xlfn.XLOOKUP($B29,efs!$A$74:$A$84,efs!$E$74:$E$84,0,0)</f>
        <v>0</v>
      </c>
      <c r="AH29" s="18">
        <f>NICCS_Fuel_cons!AH29*_xlfn.XLOOKUP($B29,efs!$A$74:$A$84,efs!$E$74:$E$84,0,0)</f>
        <v>0</v>
      </c>
      <c r="AI29" s="18">
        <f>NICCS_Fuel_cons!AI29*_xlfn.XLOOKUP($B29,efs!$A$74:$A$84,efs!$E$74:$E$84,0,0)</f>
        <v>0</v>
      </c>
      <c r="AJ29" s="111">
        <f>NICCS_Fuel_cons!AJ29*_xlfn.XLOOKUP($B29,efs!$A$74:$A$84,efs!$E$74:$E$84,0,0)</f>
        <v>0</v>
      </c>
      <c r="AK29" s="55">
        <f t="shared" si="3"/>
        <v>0</v>
      </c>
    </row>
    <row r="30" spans="1:37">
      <c r="A30" s="90" t="s">
        <v>19</v>
      </c>
      <c r="B30" s="3" t="s">
        <v>13</v>
      </c>
      <c r="C30" s="4" t="s">
        <v>53</v>
      </c>
      <c r="D30" s="91" t="s">
        <v>122</v>
      </c>
      <c r="E30" s="110">
        <f>NICCS_Fuel_cons!E30*_xlfn.XLOOKUP($B30,efs!$A$74:$A$84,efs!$E$74:$E$84,0,0)</f>
        <v>71.997287421943639</v>
      </c>
      <c r="F30" s="18">
        <f>NICCS_Fuel_cons!F30*_xlfn.XLOOKUP($B30,efs!$A$74:$A$84,efs!$E$74:$E$84,0,0)</f>
        <v>71.713303089902539</v>
      </c>
      <c r="G30" s="18">
        <f>NICCS_Fuel_cons!G30*_xlfn.XLOOKUP($B30,efs!$A$74:$A$84,efs!$E$74:$E$84,0,0)</f>
        <v>71.225901554655749</v>
      </c>
      <c r="H30" s="18">
        <f>NICCS_Fuel_cons!H30*_xlfn.XLOOKUP($B30,efs!$A$74:$A$84,efs!$E$74:$E$84,0,0)</f>
        <v>70.520314438026077</v>
      </c>
      <c r="I30" s="18">
        <f>NICCS_Fuel_cons!I30*_xlfn.XLOOKUP($B30,efs!$A$74:$A$84,efs!$E$74:$E$84,0,0)</f>
        <v>69.580294658787764</v>
      </c>
      <c r="J30" s="119">
        <f>NICCS_Fuel_cons!J30*_xlfn.XLOOKUP($B30,efs!$A$74:$A$84,efs!$E$74:$E$84,0,0)</f>
        <v>68.389174387080217</v>
      </c>
      <c r="K30" s="18">
        <f>NICCS_Fuel_cons!K30*_xlfn.XLOOKUP($B30,efs!$A$74:$A$84,efs!$E$74:$E$84,0,0)</f>
        <v>68.545573348920598</v>
      </c>
      <c r="L30" s="18">
        <f>NICCS_Fuel_cons!L30*_xlfn.XLOOKUP($B30,efs!$A$74:$A$84,efs!$E$74:$E$84,0,0)</f>
        <v>82.604344644058799</v>
      </c>
      <c r="M30" s="18">
        <f>NICCS_Fuel_cons!M30*_xlfn.XLOOKUP($B30,efs!$A$74:$A$84,efs!$E$74:$E$84,0,0)</f>
        <v>97.662119762269896</v>
      </c>
      <c r="N30" s="18">
        <f>NICCS_Fuel_cons!N30*_xlfn.XLOOKUP($B30,efs!$A$74:$A$84,efs!$E$74:$E$84,0,0)</f>
        <v>113.75196789757622</v>
      </c>
      <c r="O30" s="18">
        <f>NICCS_Fuel_cons!O30*_xlfn.XLOOKUP($B30,efs!$A$74:$A$84,efs!$E$74:$E$84,0,0)</f>
        <v>130.90470107091372</v>
      </c>
      <c r="P30" s="119">
        <f>NICCS_Fuel_cons!P30*_xlfn.XLOOKUP($B30,efs!$A$74:$A$84,efs!$E$74:$E$84,0,0)</f>
        <v>149.14953502797948</v>
      </c>
      <c r="Q30" s="18">
        <f>NICCS_Fuel_cons!Q30*_xlfn.XLOOKUP($B30,efs!$A$74:$A$84,efs!$E$74:$E$84,0,0)</f>
        <v>168.51409156918078</v>
      </c>
      <c r="R30" s="18">
        <f>NICCS_Fuel_cons!R30*_xlfn.XLOOKUP($B30,efs!$A$74:$A$84,efs!$E$74:$E$84,0,0)</f>
        <v>189.02440800921724</v>
      </c>
      <c r="S30" s="18">
        <f>NICCS_Fuel_cons!S30*_xlfn.XLOOKUP($B30,efs!$A$74:$A$84,efs!$E$74:$E$84,0,0)</f>
        <v>210.70253050891424</v>
      </c>
      <c r="T30" s="18">
        <f>NICCS_Fuel_cons!T30*_xlfn.XLOOKUP($B30,efs!$A$74:$A$84,efs!$E$74:$E$84,0,0)</f>
        <v>233.56257058626579</v>
      </c>
      <c r="U30" s="18">
        <f>NICCS_Fuel_cons!U30*_xlfn.XLOOKUP($B30,efs!$A$74:$A$84,efs!$E$74:$E$84,0,0)</f>
        <v>257.69923727957172</v>
      </c>
      <c r="V30" s="18">
        <f>NICCS_Fuel_cons!V30*_xlfn.XLOOKUP($B30,efs!$A$74:$A$84,efs!$E$74:$E$84,0,0)</f>
        <v>283.13688696726359</v>
      </c>
      <c r="W30" s="18">
        <f>NICCS_Fuel_cons!W30*_xlfn.XLOOKUP($B30,efs!$A$74:$A$84,efs!$E$74:$E$84,0,0)</f>
        <v>309.91064443511232</v>
      </c>
      <c r="X30" s="18">
        <f>NICCS_Fuel_cons!X30*_xlfn.XLOOKUP($B30,efs!$A$74:$A$84,efs!$E$74:$E$84,0,0)</f>
        <v>338.05769871658168</v>
      </c>
      <c r="Y30" s="18">
        <f>NICCS_Fuel_cons!Y30*_xlfn.XLOOKUP($B30,efs!$A$74:$A$84,efs!$E$74:$E$84,0,0)</f>
        <v>367.61627189661658</v>
      </c>
      <c r="Z30" s="119">
        <f>NICCS_Fuel_cons!Z30*_xlfn.XLOOKUP($B30,efs!$A$74:$A$84,efs!$E$74:$E$84,0,0)</f>
        <v>398.62414895939878</v>
      </c>
      <c r="AA30" s="18">
        <f>NICCS_Fuel_cons!AA30*_xlfn.XLOOKUP($B30,efs!$A$74:$A$84,efs!$E$74:$E$84,0,0)</f>
        <v>411.85278719631378</v>
      </c>
      <c r="AB30" s="18">
        <f>NICCS_Fuel_cons!AB30*_xlfn.XLOOKUP($B30,efs!$A$74:$A$84,efs!$E$74:$E$84,0,0)</f>
        <v>425.33902820011957</v>
      </c>
      <c r="AC30" s="18">
        <f>NICCS_Fuel_cons!AC30*_xlfn.XLOOKUP($B30,efs!$A$74:$A$84,efs!$E$74:$E$84,0,0)</f>
        <v>439.08170595369791</v>
      </c>
      <c r="AD30" s="18">
        <f>NICCS_Fuel_cons!AD30*_xlfn.XLOOKUP($B30,efs!$A$74:$A$84,efs!$E$74:$E$84,0,0)</f>
        <v>453.07942819780362</v>
      </c>
      <c r="AE30" s="18">
        <f>NICCS_Fuel_cons!AE30*_xlfn.XLOOKUP($B30,efs!$A$74:$A$84,efs!$E$74:$E$84,0,0)</f>
        <v>467.33010654356826</v>
      </c>
      <c r="AF30" s="18">
        <f>NICCS_Fuel_cons!AF30*_xlfn.XLOOKUP($B30,efs!$A$74:$A$84,efs!$E$74:$E$84,0,0)</f>
        <v>481.83083464981712</v>
      </c>
      <c r="AG30" s="18">
        <f>NICCS_Fuel_cons!AG30*_xlfn.XLOOKUP($B30,efs!$A$74:$A$84,efs!$E$74:$E$84,0,0)</f>
        <v>496.5775575614976</v>
      </c>
      <c r="AH30" s="18">
        <f>NICCS_Fuel_cons!AH30*_xlfn.XLOOKUP($B30,efs!$A$74:$A$84,efs!$E$74:$E$84,0,0)</f>
        <v>511.56595927494885</v>
      </c>
      <c r="AI30" s="18">
        <f>NICCS_Fuel_cons!AI30*_xlfn.XLOOKUP($B30,efs!$A$74:$A$84,efs!$E$74:$E$84,0,0)</f>
        <v>526.79057517263254</v>
      </c>
      <c r="AJ30" s="111">
        <f>NICCS_Fuel_cons!AJ30*_xlfn.XLOOKUP($B30,efs!$A$74:$A$84,efs!$E$74:$E$84,0,0)</f>
        <v>542.24566218516134</v>
      </c>
      <c r="AK30" s="55">
        <f t="shared" si="3"/>
        <v>8155.1603756154018</v>
      </c>
    </row>
    <row r="31" spans="1:37">
      <c r="A31" s="90" t="s">
        <v>19</v>
      </c>
      <c r="B31" t="s">
        <v>14</v>
      </c>
      <c r="C31" s="4" t="s">
        <v>53</v>
      </c>
      <c r="D31" s="91" t="s">
        <v>122</v>
      </c>
      <c r="E31" s="110">
        <f>NICCS_Fuel_cons!E31*_xlfn.XLOOKUP($B31,efs!$A$74:$A$84,efs!$E$74:$E$84,0,0)</f>
        <v>0</v>
      </c>
      <c r="F31" s="18">
        <f>NICCS_Fuel_cons!F31*_xlfn.XLOOKUP($B31,efs!$A$74:$A$84,efs!$E$74:$E$84,0,0)</f>
        <v>0</v>
      </c>
      <c r="G31" s="18">
        <f>NICCS_Fuel_cons!G31*_xlfn.XLOOKUP($B31,efs!$A$74:$A$84,efs!$E$74:$E$84,0,0)</f>
        <v>0</v>
      </c>
      <c r="H31" s="18">
        <f>NICCS_Fuel_cons!H31*_xlfn.XLOOKUP($B31,efs!$A$74:$A$84,efs!$E$74:$E$84,0,0)</f>
        <v>0</v>
      </c>
      <c r="I31" s="18">
        <f>NICCS_Fuel_cons!I31*_xlfn.XLOOKUP($B31,efs!$A$74:$A$84,efs!$E$74:$E$84,0,0)</f>
        <v>0</v>
      </c>
      <c r="J31" s="119">
        <f>NICCS_Fuel_cons!J31*_xlfn.XLOOKUP($B31,efs!$A$74:$A$84,efs!$E$74:$E$84,0,0)</f>
        <v>0</v>
      </c>
      <c r="K31" s="18">
        <f>NICCS_Fuel_cons!K31*_xlfn.XLOOKUP($B31,efs!$A$74:$A$84,efs!$E$74:$E$84,0,0)</f>
        <v>0</v>
      </c>
      <c r="L31" s="18">
        <f>NICCS_Fuel_cons!L31*_xlfn.XLOOKUP($B31,efs!$A$74:$A$84,efs!$E$74:$E$84,0,0)</f>
        <v>1.5954921928219832</v>
      </c>
      <c r="M31" s="18">
        <f>NICCS_Fuel_cons!M31*_xlfn.XLOOKUP($B31,efs!$A$74:$A$84,efs!$E$74:$E$84,0,0)</f>
        <v>3.3224235294655107</v>
      </c>
      <c r="N31" s="18">
        <f>NICCS_Fuel_cons!N31*_xlfn.XLOOKUP($B31,efs!$A$74:$A$84,efs!$E$74:$E$84,0,0)</f>
        <v>5.1858033899994345</v>
      </c>
      <c r="O31" s="18">
        <f>NICCS_Fuel_cons!O31*_xlfn.XLOOKUP($B31,efs!$A$74:$A$84,efs!$E$74:$E$84,0,0)</f>
        <v>7.1904030766738778</v>
      </c>
      <c r="P31" s="119">
        <f>NICCS_Fuel_cons!P31*_xlfn.XLOOKUP($B31,efs!$A$74:$A$84,efs!$E$74:$E$84,0,0)</f>
        <v>9.3407604548133936</v>
      </c>
      <c r="Q31" s="18">
        <f>NICCS_Fuel_cons!Q31*_xlfn.XLOOKUP($B31,efs!$A$74:$A$84,efs!$E$74:$E$84,0,0)</f>
        <v>11.641182505308198</v>
      </c>
      <c r="R31" s="18">
        <f>NICCS_Fuel_cons!R31*_xlfn.XLOOKUP($B31,efs!$A$74:$A$84,efs!$E$74:$E$84,0,0)</f>
        <v>14.095747413016083</v>
      </c>
      <c r="S31" s="18">
        <f>NICCS_Fuel_cons!S31*_xlfn.XLOOKUP($B31,efs!$A$74:$A$84,efs!$E$74:$E$84,0,0)</f>
        <v>16.708114754232476</v>
      </c>
      <c r="T31" s="18">
        <f>NICCS_Fuel_cons!T31*_xlfn.XLOOKUP($B31,efs!$A$74:$A$84,efs!$E$74:$E$84,0,0)</f>
        <v>19.481147727987846</v>
      </c>
      <c r="U31" s="18">
        <f>NICCS_Fuel_cons!U31*_xlfn.XLOOKUP($B31,efs!$A$74:$A$84,efs!$E$74:$E$84,0,0)</f>
        <v>22.424514939031532</v>
      </c>
      <c r="V31" s="18">
        <f>NICCS_Fuel_cons!V31*_xlfn.XLOOKUP($B31,efs!$A$74:$A$84,efs!$E$74:$E$84,0,0)</f>
        <v>25.542419876336446</v>
      </c>
      <c r="W31" s="18">
        <f>NICCS_Fuel_cons!W31*_xlfn.XLOOKUP($B31,efs!$A$74:$A$84,efs!$E$74:$E$84,0,0)</f>
        <v>28.839908815071993</v>
      </c>
      <c r="X31" s="18">
        <f>NICCS_Fuel_cons!X31*_xlfn.XLOOKUP($B31,efs!$A$74:$A$84,efs!$E$74:$E$84,0,0)</f>
        <v>32.322217146803567</v>
      </c>
      <c r="Y31" s="18">
        <f>NICCS_Fuel_cons!Y31*_xlfn.XLOOKUP($B31,efs!$A$74:$A$84,efs!$E$74:$E$84,0,0)</f>
        <v>35.994694197023435</v>
      </c>
      <c r="Z31" s="119">
        <f>NICCS_Fuel_cons!Z31*_xlfn.XLOOKUP($B31,efs!$A$74:$A$84,efs!$E$74:$E$84,0,0)</f>
        <v>39.862663998356169</v>
      </c>
      <c r="AA31" s="18">
        <f>NICCS_Fuel_cons!AA31*_xlfn.XLOOKUP($B31,efs!$A$74:$A$84,efs!$E$74:$E$84,0,0)</f>
        <v>41.185536088696239</v>
      </c>
      <c r="AB31" s="18">
        <f>NICCS_Fuel_cons!AB31*_xlfn.XLOOKUP($B31,efs!$A$74:$A$84,efs!$E$74:$E$84,0,0)</f>
        <v>42.534168616702765</v>
      </c>
      <c r="AC31" s="18">
        <f>NICCS_Fuel_cons!AC31*_xlfn.XLOOKUP($B31,efs!$A$74:$A$84,efs!$E$74:$E$84,0,0)</f>
        <v>43.908444979935297</v>
      </c>
      <c r="AD31" s="18">
        <f>NICCS_Fuel_cons!AD31*_xlfn.XLOOKUP($B31,efs!$A$74:$A$84,efs!$E$74:$E$84,0,0)</f>
        <v>45.30822595159924</v>
      </c>
      <c r="AE31" s="18">
        <f>NICCS_Fuel_cons!AE31*_xlfn.XLOOKUP($B31,efs!$A$74:$A$84,efs!$E$74:$E$84,0,0)</f>
        <v>46.733302691502722</v>
      </c>
      <c r="AF31" s="18">
        <f>NICCS_Fuel_cons!AF31*_xlfn.XLOOKUP($B31,efs!$A$74:$A$84,efs!$E$74:$E$84,0,0)</f>
        <v>48.183384563712117</v>
      </c>
      <c r="AG31" s="18">
        <f>NICCS_Fuel_cons!AG31*_xlfn.XLOOKUP($B31,efs!$A$74:$A$84,efs!$E$74:$E$84,0,0)</f>
        <v>49.658066070188177</v>
      </c>
      <c r="AH31" s="18">
        <f>NICCS_Fuel_cons!AH31*_xlfn.XLOOKUP($B31,efs!$A$74:$A$84,efs!$E$74:$E$84,0,0)</f>
        <v>51.15691560786771</v>
      </c>
      <c r="AI31" s="18">
        <f>NICCS_Fuel_cons!AI31*_xlfn.XLOOKUP($B31,efs!$A$74:$A$84,efs!$E$74:$E$84,0,0)</f>
        <v>52.679386711582026</v>
      </c>
      <c r="AJ31" s="111">
        <f>NICCS_Fuel_cons!AJ31*_xlfn.XLOOKUP($B31,efs!$A$74:$A$84,efs!$E$74:$E$84,0,0)</f>
        <v>54.224905070803509</v>
      </c>
      <c r="AK31" s="55">
        <f t="shared" si="3"/>
        <v>749.11983036953188</v>
      </c>
    </row>
    <row r="32" spans="1:37">
      <c r="A32" s="90" t="s">
        <v>19</v>
      </c>
      <c r="B32" t="s">
        <v>15</v>
      </c>
      <c r="C32" s="4" t="s">
        <v>53</v>
      </c>
      <c r="D32" s="91" t="s">
        <v>122</v>
      </c>
      <c r="E32" s="110">
        <f>NICCS_Fuel_cons!E32*_xlfn.XLOOKUP($B32,efs!$A$74:$A$84,efs!$E$74:$E$84,0,0)</f>
        <v>0</v>
      </c>
      <c r="F32" s="18">
        <f>NICCS_Fuel_cons!F32*_xlfn.XLOOKUP($B32,efs!$A$74:$A$84,efs!$E$74:$E$84,0,0)</f>
        <v>0</v>
      </c>
      <c r="G32" s="18">
        <f>NICCS_Fuel_cons!G32*_xlfn.XLOOKUP($B32,efs!$A$74:$A$84,efs!$E$74:$E$84,0,0)</f>
        <v>0</v>
      </c>
      <c r="H32" s="18">
        <f>NICCS_Fuel_cons!H32*_xlfn.XLOOKUP($B32,efs!$A$74:$A$84,efs!$E$74:$E$84,0,0)</f>
        <v>0</v>
      </c>
      <c r="I32" s="18">
        <f>NICCS_Fuel_cons!I32*_xlfn.XLOOKUP($B32,efs!$A$74:$A$84,efs!$E$74:$E$84,0,0)</f>
        <v>0</v>
      </c>
      <c r="J32" s="119">
        <f>NICCS_Fuel_cons!J32*_xlfn.XLOOKUP($B32,efs!$A$74:$A$84,efs!$E$74:$E$84,0,0)</f>
        <v>0</v>
      </c>
      <c r="K32" s="18">
        <f>NICCS_Fuel_cons!K32*_xlfn.XLOOKUP($B32,efs!$A$74:$A$84,efs!$E$74:$E$84,0,0)</f>
        <v>0</v>
      </c>
      <c r="L32" s="18">
        <f>NICCS_Fuel_cons!L32*_xlfn.XLOOKUP($B32,efs!$A$74:$A$84,efs!$E$74:$E$84,0,0)</f>
        <v>6.6961049114563069</v>
      </c>
      <c r="M32" s="18">
        <f>NICCS_Fuel_cons!M32*_xlfn.XLOOKUP($B32,efs!$A$74:$A$84,efs!$E$74:$E$84,0,0)</f>
        <v>13.943845425055141</v>
      </c>
      <c r="N32" s="18">
        <f>NICCS_Fuel_cons!N32*_xlfn.XLOOKUP($B32,efs!$A$74:$A$84,efs!$E$74:$E$84,0,0)</f>
        <v>21.764245356916248</v>
      </c>
      <c r="O32" s="18">
        <f>NICCS_Fuel_cons!O32*_xlfn.XLOOKUP($B32,efs!$A$74:$A$84,efs!$E$74:$E$84,0,0)</f>
        <v>30.177329336790159</v>
      </c>
      <c r="P32" s="119">
        <f>NICCS_Fuel_cons!P32*_xlfn.XLOOKUP($B32,efs!$A$74:$A$84,efs!$E$74:$E$84,0,0)</f>
        <v>39.202142285375288</v>
      </c>
      <c r="Q32" s="18">
        <f>NICCS_Fuel_cons!Q32*_xlfn.XLOOKUP($B32,efs!$A$74:$A$84,efs!$E$74:$E$84,0,0)</f>
        <v>48.856760126842431</v>
      </c>
      <c r="R32" s="18">
        <f>NICCS_Fuel_cons!R32*_xlfn.XLOOKUP($B32,efs!$A$74:$A$84,efs!$E$74:$E$84,0,0)</f>
        <v>59.158298553627382</v>
      </c>
      <c r="S32" s="18">
        <f>NICCS_Fuel_cons!S32*_xlfn.XLOOKUP($B32,efs!$A$74:$A$84,efs!$E$74:$E$84,0,0)</f>
        <v>70.122116404160039</v>
      </c>
      <c r="T32" s="18">
        <f>NICCS_Fuel_cons!T32*_xlfn.XLOOKUP($B32,efs!$A$74:$A$84,efs!$E$74:$E$84,0,0)</f>
        <v>81.760230209249286</v>
      </c>
      <c r="U32" s="18">
        <f>NICCS_Fuel_cons!U32*_xlfn.XLOOKUP($B32,efs!$A$74:$A$84,efs!$E$74:$E$84,0,0)</f>
        <v>94.11321803755645</v>
      </c>
      <c r="V32" s="18">
        <f>NICCS_Fuel_cons!V32*_xlfn.XLOOKUP($B32,efs!$A$74:$A$84,efs!$E$74:$E$84,0,0)</f>
        <v>107.19872146908011</v>
      </c>
      <c r="W32" s="18">
        <f>NICCS_Fuel_cons!W32*_xlfn.XLOOKUP($B32,efs!$A$74:$A$84,efs!$E$74:$E$84,0,0)</f>
        <v>121.03791916461128</v>
      </c>
      <c r="X32" s="18">
        <f>NICCS_Fuel_cons!X32*_xlfn.XLOOKUP($B32,efs!$A$74:$A$84,efs!$E$74:$E$84,0,0)</f>
        <v>135.65278348561435</v>
      </c>
      <c r="Y32" s="18">
        <f>NICCS_Fuel_cons!Y32*_xlfn.XLOOKUP($B32,efs!$A$74:$A$84,efs!$E$74:$E$84,0,0)</f>
        <v>151.06576496168955</v>
      </c>
      <c r="Z32" s="119">
        <f>NICCS_Fuel_cons!Z32*_xlfn.XLOOKUP($B32,efs!$A$74:$A$84,efs!$E$74:$E$84,0,0)</f>
        <v>167.29920797105859</v>
      </c>
      <c r="AA32" s="18">
        <f>NICCS_Fuel_cons!AA32*_xlfn.XLOOKUP($B32,efs!$A$74:$A$84,efs!$E$74:$E$84,0,0)</f>
        <v>172.85115635489055</v>
      </c>
      <c r="AB32" s="18">
        <f>NICCS_Fuel_cons!AB32*_xlfn.XLOOKUP($B32,efs!$A$74:$A$84,efs!$E$74:$E$84,0,0)</f>
        <v>178.51121845683147</v>
      </c>
      <c r="AC32" s="18">
        <f>NICCS_Fuel_cons!AC32*_xlfn.XLOOKUP($B32,efs!$A$74:$A$84,efs!$E$74:$E$84,0,0)</f>
        <v>184.278904909288</v>
      </c>
      <c r="AD32" s="18">
        <f>NICCS_Fuel_cons!AD32*_xlfn.XLOOKUP($B32,efs!$A$74:$A$84,efs!$E$74:$E$84,0,0)</f>
        <v>190.15363139274618</v>
      </c>
      <c r="AE32" s="18">
        <f>NICCS_Fuel_cons!AE32*_xlfn.XLOOKUP($B32,efs!$A$74:$A$84,efs!$E$74:$E$84,0,0)</f>
        <v>196.1345214279346</v>
      </c>
      <c r="AF32" s="18">
        <f>NICCS_Fuel_cons!AF32*_xlfn.XLOOKUP($B32,efs!$A$74:$A$84,efs!$E$74:$E$84,0,0)</f>
        <v>202.22035524786759</v>
      </c>
      <c r="AG32" s="18">
        <f>NICCS_Fuel_cons!AG32*_xlfn.XLOOKUP($B32,efs!$A$74:$A$84,efs!$E$74:$E$84,0,0)</f>
        <v>208.40943102195996</v>
      </c>
      <c r="AH32" s="18">
        <f>NICCS_Fuel_cons!AH32*_xlfn.XLOOKUP($B32,efs!$A$74:$A$84,efs!$E$74:$E$84,0,0)</f>
        <v>214.69993735971789</v>
      </c>
      <c r="AI32" s="18">
        <f>NICCS_Fuel_cons!AI32*_xlfn.XLOOKUP($B32,efs!$A$74:$A$84,efs!$E$74:$E$84,0,0)</f>
        <v>221.08958080704826</v>
      </c>
      <c r="AJ32" s="111">
        <f>NICCS_Fuel_cons!AJ32*_xlfn.XLOOKUP($B32,efs!$A$74:$A$84,efs!$E$74:$E$84,0,0)</f>
        <v>227.57595104595512</v>
      </c>
      <c r="AK32" s="55">
        <f t="shared" si="3"/>
        <v>3143.9733757233221</v>
      </c>
    </row>
    <row r="33" spans="1:53">
      <c r="A33" s="90" t="s">
        <v>19</v>
      </c>
      <c r="B33" t="s">
        <v>16</v>
      </c>
      <c r="C33" s="4" t="s">
        <v>53</v>
      </c>
      <c r="D33" s="91" t="s">
        <v>122</v>
      </c>
      <c r="E33" s="110">
        <f>NICCS_Fuel_cons!E33*_xlfn.XLOOKUP($B33,efs!$A$74:$A$84,efs!$E$74:$E$84,0,0)</f>
        <v>0</v>
      </c>
      <c r="F33" s="18">
        <f>NICCS_Fuel_cons!F33*_xlfn.XLOOKUP($B33,efs!$A$74:$A$84,efs!$E$74:$E$84,0,0)</f>
        <v>0</v>
      </c>
      <c r="G33" s="18">
        <f>NICCS_Fuel_cons!G33*_xlfn.XLOOKUP($B33,efs!$A$74:$A$84,efs!$E$74:$E$84,0,0)</f>
        <v>0</v>
      </c>
      <c r="H33" s="18">
        <f>NICCS_Fuel_cons!H33*_xlfn.XLOOKUP($B33,efs!$A$74:$A$84,efs!$E$74:$E$84,0,0)</f>
        <v>0</v>
      </c>
      <c r="I33" s="18">
        <f>NICCS_Fuel_cons!I33*_xlfn.XLOOKUP($B33,efs!$A$74:$A$84,efs!$E$74:$E$84,0,0)</f>
        <v>0</v>
      </c>
      <c r="J33" s="119">
        <f>NICCS_Fuel_cons!J33*_xlfn.XLOOKUP($B33,efs!$A$74:$A$84,efs!$E$74:$E$84,0,0)</f>
        <v>0</v>
      </c>
      <c r="K33" s="18">
        <f>NICCS_Fuel_cons!K33*_xlfn.XLOOKUP($B33,efs!$A$74:$A$84,efs!$E$74:$E$84,0,0)</f>
        <v>0</v>
      </c>
      <c r="L33" s="18">
        <f>NICCS_Fuel_cons!L33*_xlfn.XLOOKUP($B33,efs!$A$74:$A$84,efs!$E$74:$E$84,0,0)</f>
        <v>0</v>
      </c>
      <c r="M33" s="18">
        <f>NICCS_Fuel_cons!M33*_xlfn.XLOOKUP($B33,efs!$A$74:$A$84,efs!$E$74:$E$84,0,0)</f>
        <v>0</v>
      </c>
      <c r="N33" s="18">
        <f>NICCS_Fuel_cons!N33*_xlfn.XLOOKUP($B33,efs!$A$74:$A$84,efs!$E$74:$E$84,0,0)</f>
        <v>0</v>
      </c>
      <c r="O33" s="18">
        <f>NICCS_Fuel_cons!O33*_xlfn.XLOOKUP($B33,efs!$A$74:$A$84,efs!$E$74:$E$84,0,0)</f>
        <v>0</v>
      </c>
      <c r="P33" s="119">
        <f>NICCS_Fuel_cons!P33*_xlfn.XLOOKUP($B33,efs!$A$74:$A$84,efs!$E$74:$E$84,0,0)</f>
        <v>0</v>
      </c>
      <c r="Q33" s="18">
        <f>NICCS_Fuel_cons!Q33*_xlfn.XLOOKUP($B33,efs!$A$74:$A$84,efs!$E$74:$E$84,0,0)</f>
        <v>0</v>
      </c>
      <c r="R33" s="18">
        <f>NICCS_Fuel_cons!R33*_xlfn.XLOOKUP($B33,efs!$A$74:$A$84,efs!$E$74:$E$84,0,0)</f>
        <v>0</v>
      </c>
      <c r="S33" s="18">
        <f>NICCS_Fuel_cons!S33*_xlfn.XLOOKUP($B33,efs!$A$74:$A$84,efs!$E$74:$E$84,0,0)</f>
        <v>0</v>
      </c>
      <c r="T33" s="18">
        <f>NICCS_Fuel_cons!T33*_xlfn.XLOOKUP($B33,efs!$A$74:$A$84,efs!$E$74:$E$84,0,0)</f>
        <v>0</v>
      </c>
      <c r="U33" s="18">
        <f>NICCS_Fuel_cons!U33*_xlfn.XLOOKUP($B33,efs!$A$74:$A$84,efs!$E$74:$E$84,0,0)</f>
        <v>0</v>
      </c>
      <c r="V33" s="18">
        <f>NICCS_Fuel_cons!V33*_xlfn.XLOOKUP($B33,efs!$A$74:$A$84,efs!$E$74:$E$84,0,0)</f>
        <v>0</v>
      </c>
      <c r="W33" s="18">
        <f>NICCS_Fuel_cons!W33*_xlfn.XLOOKUP($B33,efs!$A$74:$A$84,efs!$E$74:$E$84,0,0)</f>
        <v>0</v>
      </c>
      <c r="X33" s="18">
        <f>NICCS_Fuel_cons!X33*_xlfn.XLOOKUP($B33,efs!$A$74:$A$84,efs!$E$74:$E$84,0,0)</f>
        <v>0</v>
      </c>
      <c r="Y33" s="18">
        <f>NICCS_Fuel_cons!Y33*_xlfn.XLOOKUP($B33,efs!$A$74:$A$84,efs!$E$74:$E$84,0,0)</f>
        <v>0</v>
      </c>
      <c r="Z33" s="119">
        <f>NICCS_Fuel_cons!Z33*_xlfn.XLOOKUP($B33,efs!$A$74:$A$84,efs!$E$74:$E$84,0,0)</f>
        <v>0</v>
      </c>
      <c r="AA33" s="18">
        <f>NICCS_Fuel_cons!AA33*_xlfn.XLOOKUP($B33,efs!$A$74:$A$84,efs!$E$74:$E$84,0,0)</f>
        <v>0</v>
      </c>
      <c r="AB33" s="18">
        <f>NICCS_Fuel_cons!AB33*_xlfn.XLOOKUP($B33,efs!$A$74:$A$84,efs!$E$74:$E$84,0,0)</f>
        <v>0</v>
      </c>
      <c r="AC33" s="18">
        <f>NICCS_Fuel_cons!AC33*_xlfn.XLOOKUP($B33,efs!$A$74:$A$84,efs!$E$74:$E$84,0,0)</f>
        <v>0</v>
      </c>
      <c r="AD33" s="18">
        <f>NICCS_Fuel_cons!AD33*_xlfn.XLOOKUP($B33,efs!$A$74:$A$84,efs!$E$74:$E$84,0,0)</f>
        <v>0</v>
      </c>
      <c r="AE33" s="18">
        <f>NICCS_Fuel_cons!AE33*_xlfn.XLOOKUP($B33,efs!$A$74:$A$84,efs!$E$74:$E$84,0,0)</f>
        <v>0</v>
      </c>
      <c r="AF33" s="18">
        <f>NICCS_Fuel_cons!AF33*_xlfn.XLOOKUP($B33,efs!$A$74:$A$84,efs!$E$74:$E$84,0,0)</f>
        <v>0</v>
      </c>
      <c r="AG33" s="18">
        <f>NICCS_Fuel_cons!AG33*_xlfn.XLOOKUP($B33,efs!$A$74:$A$84,efs!$E$74:$E$84,0,0)</f>
        <v>0</v>
      </c>
      <c r="AH33" s="18">
        <f>NICCS_Fuel_cons!AH33*_xlfn.XLOOKUP($B33,efs!$A$74:$A$84,efs!$E$74:$E$84,0,0)</f>
        <v>0</v>
      </c>
      <c r="AI33" s="18">
        <f>NICCS_Fuel_cons!AI33*_xlfn.XLOOKUP($B33,efs!$A$74:$A$84,efs!$E$74:$E$84,0,0)</f>
        <v>0</v>
      </c>
      <c r="AJ33" s="111">
        <f>NICCS_Fuel_cons!AJ33*_xlfn.XLOOKUP($B33,efs!$A$74:$A$84,efs!$E$74:$E$84,0,0)</f>
        <v>0</v>
      </c>
      <c r="AK33" s="55">
        <f t="shared" si="3"/>
        <v>0</v>
      </c>
    </row>
    <row r="34" spans="1:53" ht="17" thickBot="1">
      <c r="A34" s="92" t="s">
        <v>19</v>
      </c>
      <c r="B34" s="31" t="s">
        <v>17</v>
      </c>
      <c r="C34" s="32" t="s">
        <v>53</v>
      </c>
      <c r="D34" s="93" t="s">
        <v>122</v>
      </c>
      <c r="E34" s="112">
        <f>NICCS_Fuel_cons!E34*_xlfn.XLOOKUP($B34,efs!$A$74:$A$84,efs!$E$74:$E$84,0,0)</f>
        <v>0</v>
      </c>
      <c r="F34" s="113">
        <f>NICCS_Fuel_cons!F34*_xlfn.XLOOKUP($B34,efs!$A$74:$A$84,efs!$E$74:$E$84,0,0)</f>
        <v>0</v>
      </c>
      <c r="G34" s="113">
        <f>NICCS_Fuel_cons!G34*_xlfn.XLOOKUP($B34,efs!$A$74:$A$84,efs!$E$74:$E$84,0,0)</f>
        <v>0</v>
      </c>
      <c r="H34" s="113">
        <f>NICCS_Fuel_cons!H34*_xlfn.XLOOKUP($B34,efs!$A$74:$A$84,efs!$E$74:$E$84,0,0)</f>
        <v>0</v>
      </c>
      <c r="I34" s="113">
        <f>NICCS_Fuel_cons!I34*_xlfn.XLOOKUP($B34,efs!$A$74:$A$84,efs!$E$74:$E$84,0,0)</f>
        <v>0</v>
      </c>
      <c r="J34" s="120">
        <f>NICCS_Fuel_cons!J34*_xlfn.XLOOKUP($B34,efs!$A$74:$A$84,efs!$E$74:$E$84,0,0)</f>
        <v>0</v>
      </c>
      <c r="K34" s="113">
        <f>NICCS_Fuel_cons!K34*_xlfn.XLOOKUP($B34,efs!$A$74:$A$84,efs!$E$74:$E$84,0,0)</f>
        <v>0</v>
      </c>
      <c r="L34" s="113">
        <f>NICCS_Fuel_cons!L34*_xlfn.XLOOKUP($B34,efs!$A$74:$A$84,efs!$E$74:$E$84,0,0)</f>
        <v>0</v>
      </c>
      <c r="M34" s="113">
        <f>NICCS_Fuel_cons!M34*_xlfn.XLOOKUP($B34,efs!$A$74:$A$84,efs!$E$74:$E$84,0,0)</f>
        <v>0</v>
      </c>
      <c r="N34" s="113">
        <f>NICCS_Fuel_cons!N34*_xlfn.XLOOKUP($B34,efs!$A$74:$A$84,efs!$E$74:$E$84,0,0)</f>
        <v>0</v>
      </c>
      <c r="O34" s="113">
        <f>NICCS_Fuel_cons!O34*_xlfn.XLOOKUP($B34,efs!$A$74:$A$84,efs!$E$74:$E$84,0,0)</f>
        <v>0</v>
      </c>
      <c r="P34" s="120">
        <f>NICCS_Fuel_cons!P34*_xlfn.XLOOKUP($B34,efs!$A$74:$A$84,efs!$E$74:$E$84,0,0)</f>
        <v>0</v>
      </c>
      <c r="Q34" s="113">
        <f>NICCS_Fuel_cons!Q34*_xlfn.XLOOKUP($B34,efs!$A$74:$A$84,efs!$E$74:$E$84,0,0)</f>
        <v>0</v>
      </c>
      <c r="R34" s="113">
        <f>NICCS_Fuel_cons!R34*_xlfn.XLOOKUP($B34,efs!$A$74:$A$84,efs!$E$74:$E$84,0,0)</f>
        <v>0</v>
      </c>
      <c r="S34" s="113">
        <f>NICCS_Fuel_cons!S34*_xlfn.XLOOKUP($B34,efs!$A$74:$A$84,efs!$E$74:$E$84,0,0)</f>
        <v>0</v>
      </c>
      <c r="T34" s="113">
        <f>NICCS_Fuel_cons!T34*_xlfn.XLOOKUP($B34,efs!$A$74:$A$84,efs!$E$74:$E$84,0,0)</f>
        <v>0</v>
      </c>
      <c r="U34" s="113">
        <f>NICCS_Fuel_cons!U34*_xlfn.XLOOKUP($B34,efs!$A$74:$A$84,efs!$E$74:$E$84,0,0)</f>
        <v>0</v>
      </c>
      <c r="V34" s="113">
        <f>NICCS_Fuel_cons!V34*_xlfn.XLOOKUP($B34,efs!$A$74:$A$84,efs!$E$74:$E$84,0,0)</f>
        <v>0</v>
      </c>
      <c r="W34" s="113">
        <f>NICCS_Fuel_cons!W34*_xlfn.XLOOKUP($B34,efs!$A$74:$A$84,efs!$E$74:$E$84,0,0)</f>
        <v>0</v>
      </c>
      <c r="X34" s="113">
        <f>NICCS_Fuel_cons!X34*_xlfn.XLOOKUP($B34,efs!$A$74:$A$84,efs!$E$74:$E$84,0,0)</f>
        <v>0</v>
      </c>
      <c r="Y34" s="113">
        <f>NICCS_Fuel_cons!Y34*_xlfn.XLOOKUP($B34,efs!$A$74:$A$84,efs!$E$74:$E$84,0,0)</f>
        <v>0</v>
      </c>
      <c r="Z34" s="120">
        <f>NICCS_Fuel_cons!Z34*_xlfn.XLOOKUP($B34,efs!$A$74:$A$84,efs!$E$74:$E$84,0,0)</f>
        <v>0</v>
      </c>
      <c r="AA34" s="113">
        <f>NICCS_Fuel_cons!AA34*_xlfn.XLOOKUP($B34,efs!$A$74:$A$84,efs!$E$74:$E$84,0,0)</f>
        <v>0</v>
      </c>
      <c r="AB34" s="113">
        <f>NICCS_Fuel_cons!AB34*_xlfn.XLOOKUP($B34,efs!$A$74:$A$84,efs!$E$74:$E$84,0,0)</f>
        <v>0</v>
      </c>
      <c r="AC34" s="113">
        <f>NICCS_Fuel_cons!AC34*_xlfn.XLOOKUP($B34,efs!$A$74:$A$84,efs!$E$74:$E$84,0,0)</f>
        <v>0</v>
      </c>
      <c r="AD34" s="113">
        <f>NICCS_Fuel_cons!AD34*_xlfn.XLOOKUP($B34,efs!$A$74:$A$84,efs!$E$74:$E$84,0,0)</f>
        <v>0</v>
      </c>
      <c r="AE34" s="113">
        <f>NICCS_Fuel_cons!AE34*_xlfn.XLOOKUP($B34,efs!$A$74:$A$84,efs!$E$74:$E$84,0,0)</f>
        <v>0</v>
      </c>
      <c r="AF34" s="113">
        <f>NICCS_Fuel_cons!AF34*_xlfn.XLOOKUP($B34,efs!$A$74:$A$84,efs!$E$74:$E$84,0,0)</f>
        <v>0</v>
      </c>
      <c r="AG34" s="113">
        <f>NICCS_Fuel_cons!AG34*_xlfn.XLOOKUP($B34,efs!$A$74:$A$84,efs!$E$74:$E$84,0,0)</f>
        <v>0</v>
      </c>
      <c r="AH34" s="113">
        <f>NICCS_Fuel_cons!AH34*_xlfn.XLOOKUP($B34,efs!$A$74:$A$84,efs!$E$74:$E$84,0,0)</f>
        <v>0</v>
      </c>
      <c r="AI34" s="113">
        <f>NICCS_Fuel_cons!AI34*_xlfn.XLOOKUP($B34,efs!$A$74:$A$84,efs!$E$74:$E$84,0,0)</f>
        <v>0</v>
      </c>
      <c r="AJ34" s="114">
        <f>NICCS_Fuel_cons!AJ34*_xlfn.XLOOKUP($B34,efs!$A$74:$A$84,efs!$E$74:$E$84,0,0)</f>
        <v>0</v>
      </c>
      <c r="AK34" s="55">
        <f t="shared" si="3"/>
        <v>0</v>
      </c>
    </row>
    <row r="35" spans="1:53">
      <c r="D35" t="s">
        <v>4</v>
      </c>
      <c r="E35" s="54">
        <f>SUM(E2:E12)</f>
        <v>13815.529840135076</v>
      </c>
      <c r="F35" s="54">
        <f t="shared" ref="F35:AJ35" si="10">SUM(F2:F12)</f>
        <v>14369.780260404465</v>
      </c>
      <c r="G35" s="54">
        <f t="shared" si="10"/>
        <v>14940.516009563771</v>
      </c>
      <c r="H35" s="54">
        <f t="shared" si="10"/>
        <v>15527.906739612461</v>
      </c>
      <c r="I35" s="54">
        <f t="shared" si="10"/>
        <v>16132.183665085897</v>
      </c>
      <c r="J35" s="54">
        <f t="shared" si="10"/>
        <v>16753.683669335383</v>
      </c>
      <c r="K35" s="54">
        <f>SUM(K2:K12)</f>
        <v>17371.934022967089</v>
      </c>
      <c r="L35" s="54">
        <f t="shared" si="10"/>
        <v>17162.439076873008</v>
      </c>
      <c r="M35" s="54">
        <f t="shared" si="10"/>
        <v>16912.50187875457</v>
      </c>
      <c r="N35" s="54">
        <f t="shared" si="10"/>
        <v>16619.804408491858</v>
      </c>
      <c r="O35" s="54">
        <f t="shared" si="10"/>
        <v>16282.002382848264</v>
      </c>
      <c r="P35" s="54">
        <f>SUM(P2:P12)</f>
        <v>15897.02991817253</v>
      </c>
      <c r="Q35" s="54">
        <f t="shared" si="10"/>
        <v>15463.209708145716</v>
      </c>
      <c r="R35" s="54">
        <f t="shared" si="10"/>
        <v>14979.142381608526</v>
      </c>
      <c r="S35" s="54">
        <f t="shared" si="10"/>
        <v>14443.461983575829</v>
      </c>
      <c r="T35" s="54">
        <f t="shared" si="10"/>
        <v>13854.90116399261</v>
      </c>
      <c r="U35" s="54">
        <f t="shared" si="10"/>
        <v>13215.054498730027</v>
      </c>
      <c r="V35" s="54">
        <f t="shared" si="10"/>
        <v>12522.348928007106</v>
      </c>
      <c r="W35" s="54">
        <f t="shared" si="10"/>
        <v>11775.421685858537</v>
      </c>
      <c r="X35" s="54">
        <f t="shared" si="10"/>
        <v>10973.023758539437</v>
      </c>
      <c r="Y35" s="54">
        <f t="shared" si="10"/>
        <v>10113.930889810912</v>
      </c>
      <c r="Z35" s="54">
        <f t="shared" si="10"/>
        <v>9196.9373483161471</v>
      </c>
      <c r="AA35" s="54">
        <f t="shared" si="10"/>
        <v>9386.1013125716599</v>
      </c>
      <c r="AB35" s="54">
        <f t="shared" si="10"/>
        <v>9575.3440706905549</v>
      </c>
      <c r="AC35" s="54">
        <f t="shared" si="10"/>
        <v>9764.503889023641</v>
      </c>
      <c r="AD35" s="54">
        <f t="shared" si="10"/>
        <v>9953.4075627633865</v>
      </c>
      <c r="AE35" s="54">
        <f t="shared" si="10"/>
        <v>10141.898023822734</v>
      </c>
      <c r="AF35" s="54">
        <f t="shared" si="10"/>
        <v>10329.818583476586</v>
      </c>
      <c r="AG35" s="54">
        <f t="shared" si="10"/>
        <v>10517.032220061423</v>
      </c>
      <c r="AH35" s="54">
        <f t="shared" si="10"/>
        <v>10703.421451633338</v>
      </c>
      <c r="AI35" s="54">
        <f t="shared" si="10"/>
        <v>10888.875605161917</v>
      </c>
      <c r="AJ35" s="54">
        <f t="shared" si="10"/>
        <v>11073.271149870785</v>
      </c>
      <c r="AK35" s="55">
        <f t="shared" si="3"/>
        <v>329116.81790376821</v>
      </c>
    </row>
    <row r="36" spans="1:53">
      <c r="D36" t="s">
        <v>18</v>
      </c>
      <c r="E36" s="54">
        <f>SUM(E13:E23)</f>
        <v>8034.6719152875748</v>
      </c>
      <c r="F36" s="54">
        <f t="shared" ref="F36:AJ36" si="11">SUM(F13:F23)</f>
        <v>8279.7223070327036</v>
      </c>
      <c r="G36" s="54">
        <f t="shared" si="11"/>
        <v>8528.0426051870618</v>
      </c>
      <c r="H36" s="54">
        <f t="shared" si="11"/>
        <v>8779.5209781329559</v>
      </c>
      <c r="I36" s="54">
        <f t="shared" si="11"/>
        <v>9034.2406964824022</v>
      </c>
      <c r="J36" s="54">
        <f t="shared" si="11"/>
        <v>9292.4016993740552</v>
      </c>
      <c r="K36" s="54">
        <f t="shared" si="11"/>
        <v>9577.3756340061955</v>
      </c>
      <c r="L36" s="54">
        <f t="shared" si="11"/>
        <v>9467.9416867414893</v>
      </c>
      <c r="M36" s="54">
        <f t="shared" si="11"/>
        <v>9344.4095596966599</v>
      </c>
      <c r="N36" s="54">
        <f t="shared" si="11"/>
        <v>9206.0343455379207</v>
      </c>
      <c r="O36" s="54">
        <f t="shared" si="11"/>
        <v>9052.0480615432989</v>
      </c>
      <c r="P36" s="54">
        <f t="shared" si="11"/>
        <v>8881.8941004805511</v>
      </c>
      <c r="Q36" s="54">
        <f t="shared" si="11"/>
        <v>8695.3398610654658</v>
      </c>
      <c r="R36" s="54">
        <f t="shared" si="11"/>
        <v>8492.3672536450504</v>
      </c>
      <c r="S36" s="54">
        <f t="shared" si="11"/>
        <v>8272.999756993142</v>
      </c>
      <c r="T36" s="54">
        <f t="shared" si="11"/>
        <v>8037.4138217005157</v>
      </c>
      <c r="U36" s="54">
        <f t="shared" si="11"/>
        <v>7786.7285667603619</v>
      </c>
      <c r="V36" s="54">
        <f t="shared" si="11"/>
        <v>7521.0767713755768</v>
      </c>
      <c r="W36" s="54">
        <f t="shared" si="11"/>
        <v>7240.4743163048233</v>
      </c>
      <c r="X36" s="54">
        <f t="shared" si="11"/>
        <v>6945.0174554038913</v>
      </c>
      <c r="Y36" s="54">
        <f t="shared" si="11"/>
        <v>6634.8310344826277</v>
      </c>
      <c r="Z36" s="54">
        <f t="shared" si="11"/>
        <v>6310.081198979512</v>
      </c>
      <c r="AA36" s="54">
        <f t="shared" si="11"/>
        <v>6403.4426993319194</v>
      </c>
      <c r="AB36" s="54">
        <f t="shared" si="11"/>
        <v>6495.017421344859</v>
      </c>
      <c r="AC36" s="54">
        <f t="shared" si="11"/>
        <v>6584.6520757237886</v>
      </c>
      <c r="AD36" s="54">
        <f t="shared" si="11"/>
        <v>6672.1835404727099</v>
      </c>
      <c r="AE36" s="54">
        <f t="shared" si="11"/>
        <v>6757.4698717218489</v>
      </c>
      <c r="AF36" s="54">
        <f t="shared" si="11"/>
        <v>6840.3754286151761</v>
      </c>
      <c r="AG36" s="54">
        <f t="shared" si="11"/>
        <v>6920.7925556777482</v>
      </c>
      <c r="AH36" s="54">
        <f t="shared" si="11"/>
        <v>6998.6350276813828</v>
      </c>
      <c r="AI36" s="54">
        <f t="shared" si="11"/>
        <v>7073.8317466309218</v>
      </c>
      <c r="AJ36" s="54">
        <f t="shared" si="11"/>
        <v>7146.3007733475361</v>
      </c>
      <c r="AK36" s="55">
        <f t="shared" si="3"/>
        <v>199358.73456526492</v>
      </c>
    </row>
    <row r="37" spans="1:53">
      <c r="D37" t="s">
        <v>19</v>
      </c>
      <c r="E37" s="54">
        <f>SUM(E24:E34)</f>
        <v>5780.8579248475025</v>
      </c>
      <c r="F37" s="54">
        <f t="shared" ref="F37:AJ37" si="12">SUM(F24:F34)</f>
        <v>6090.057953371761</v>
      </c>
      <c r="G37" s="54">
        <f t="shared" si="12"/>
        <v>6412.4734043767085</v>
      </c>
      <c r="H37" s="54">
        <f t="shared" si="12"/>
        <v>6748.3857614795061</v>
      </c>
      <c r="I37" s="54">
        <f t="shared" si="12"/>
        <v>7097.94296860349</v>
      </c>
      <c r="J37" s="54">
        <f t="shared" si="12"/>
        <v>7461.2819699613246</v>
      </c>
      <c r="K37" s="54">
        <f t="shared" si="12"/>
        <v>7794.5583889608861</v>
      </c>
      <c r="L37" s="54">
        <f t="shared" si="12"/>
        <v>7694.4973901315161</v>
      </c>
      <c r="M37" s="54">
        <f t="shared" si="12"/>
        <v>7568.0923190579197</v>
      </c>
      <c r="N37" s="54">
        <f t="shared" si="12"/>
        <v>7413.7700629539358</v>
      </c>
      <c r="O37" s="54">
        <f t="shared" si="12"/>
        <v>7229.9543213049692</v>
      </c>
      <c r="P37" s="54">
        <f t="shared" si="12"/>
        <v>7015.1358176919757</v>
      </c>
      <c r="Q37" s="54">
        <f t="shared" si="12"/>
        <v>6767.8698470802474</v>
      </c>
      <c r="R37" s="54">
        <f t="shared" si="12"/>
        <v>6486.7751279634749</v>
      </c>
      <c r="S37" s="54">
        <f t="shared" si="12"/>
        <v>6170.4622265826883</v>
      </c>
      <c r="T37" s="54">
        <f t="shared" si="12"/>
        <v>5817.4873422920946</v>
      </c>
      <c r="U37" s="54">
        <f t="shared" si="12"/>
        <v>5428.3259319696672</v>
      </c>
      <c r="V37" s="54">
        <f t="shared" si="12"/>
        <v>5001.2721566315277</v>
      </c>
      <c r="W37" s="54">
        <f t="shared" si="12"/>
        <v>4534.9473695537117</v>
      </c>
      <c r="X37" s="54">
        <f t="shared" si="12"/>
        <v>4028.0063031355453</v>
      </c>
      <c r="Y37" s="54">
        <f t="shared" si="12"/>
        <v>3479.0998553282843</v>
      </c>
      <c r="Z37" s="54">
        <f t="shared" si="12"/>
        <v>2886.8561493366383</v>
      </c>
      <c r="AA37" s="54">
        <f t="shared" si="12"/>
        <v>2982.6586132397406</v>
      </c>
      <c r="AB37" s="54">
        <f t="shared" si="12"/>
        <v>3080.3266493456977</v>
      </c>
      <c r="AC37" s="54">
        <f t="shared" si="12"/>
        <v>3179.8518132998515</v>
      </c>
      <c r="AD37" s="54">
        <f t="shared" si="12"/>
        <v>3281.2240222906789</v>
      </c>
      <c r="AE37" s="54">
        <f t="shared" si="12"/>
        <v>3384.4281521008857</v>
      </c>
      <c r="AF37" s="54">
        <f t="shared" si="12"/>
        <v>3489.4431548614102</v>
      </c>
      <c r="AG37" s="54">
        <f t="shared" si="12"/>
        <v>3596.2396643836787</v>
      </c>
      <c r="AH37" s="54">
        <f t="shared" si="12"/>
        <v>3704.7864239519549</v>
      </c>
      <c r="AI37" s="54">
        <f t="shared" si="12"/>
        <v>3815.0438585309948</v>
      </c>
      <c r="AJ37" s="54">
        <f t="shared" si="12"/>
        <v>3926.9703765232503</v>
      </c>
      <c r="AK37" s="55">
        <f>SUM(K37:AJ37)</f>
        <v>129758.08333850323</v>
      </c>
    </row>
    <row r="38" spans="1:53" ht="17" thickBot="1">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row>
    <row r="39" spans="1:53" ht="17" thickBot="1">
      <c r="A39" s="1" t="s">
        <v>90</v>
      </c>
      <c r="B39" s="2" t="s">
        <v>1</v>
      </c>
      <c r="C39" s="2" t="s">
        <v>2</v>
      </c>
      <c r="D39" s="7" t="s">
        <v>3</v>
      </c>
      <c r="E39" s="8">
        <v>2019</v>
      </c>
      <c r="F39" s="9">
        <v>2020</v>
      </c>
      <c r="G39" s="2">
        <v>2021</v>
      </c>
      <c r="H39" s="2">
        <v>2022</v>
      </c>
      <c r="I39" s="7">
        <v>2023</v>
      </c>
      <c r="J39" s="8">
        <v>2024</v>
      </c>
      <c r="K39" s="9">
        <v>2025</v>
      </c>
      <c r="L39" s="2">
        <v>2026</v>
      </c>
      <c r="M39" s="2">
        <v>2027</v>
      </c>
      <c r="N39" s="2">
        <v>2028</v>
      </c>
      <c r="O39" s="7">
        <v>2029</v>
      </c>
      <c r="P39" s="8">
        <v>2030</v>
      </c>
      <c r="Q39" s="9">
        <v>2031</v>
      </c>
      <c r="R39" s="2">
        <v>2032</v>
      </c>
      <c r="S39" s="2">
        <v>2033</v>
      </c>
      <c r="T39" s="2">
        <v>2034</v>
      </c>
      <c r="U39" s="2">
        <v>2035</v>
      </c>
      <c r="V39" s="2">
        <v>2036</v>
      </c>
      <c r="W39" s="2">
        <v>2037</v>
      </c>
      <c r="X39" s="2">
        <v>2038</v>
      </c>
      <c r="Y39" s="2">
        <v>2039</v>
      </c>
      <c r="Z39" s="2">
        <v>2040</v>
      </c>
      <c r="AA39" s="2">
        <v>2041</v>
      </c>
      <c r="AB39" s="2">
        <v>2042</v>
      </c>
      <c r="AC39" s="2">
        <v>2043</v>
      </c>
      <c r="AD39" s="2">
        <v>2044</v>
      </c>
      <c r="AE39" s="2">
        <v>2045</v>
      </c>
      <c r="AF39" s="2">
        <v>2046</v>
      </c>
      <c r="AG39" s="2">
        <v>2047</v>
      </c>
      <c r="AH39" s="2">
        <v>2048</v>
      </c>
      <c r="AI39" s="7">
        <v>2049</v>
      </c>
      <c r="AJ39" s="8">
        <v>2050</v>
      </c>
      <c r="AU39">
        <v>2020</v>
      </c>
      <c r="AV39">
        <v>2025</v>
      </c>
      <c r="AW39">
        <v>2030</v>
      </c>
      <c r="AX39">
        <v>2035</v>
      </c>
      <c r="AY39">
        <v>2040</v>
      </c>
      <c r="AZ39">
        <v>2045</v>
      </c>
      <c r="BA39">
        <v>2050</v>
      </c>
    </row>
    <row r="40" spans="1:53">
      <c r="A40" s="94" t="s">
        <v>4</v>
      </c>
      <c r="B40" s="88" t="s">
        <v>36</v>
      </c>
      <c r="C40" s="88" t="s">
        <v>53</v>
      </c>
      <c r="D40" s="89" t="s">
        <v>122</v>
      </c>
      <c r="E40" s="107">
        <f>SUM(E51,E62)</f>
        <v>14.856139946124269</v>
      </c>
      <c r="F40" s="108">
        <f t="shared" ref="F40:AJ40" si="13">SUM(F51,F62)</f>
        <v>15.011186614695003</v>
      </c>
      <c r="G40" s="108">
        <f t="shared" si="13"/>
        <v>15.154692658711149</v>
      </c>
      <c r="H40" s="108">
        <f t="shared" si="13"/>
        <v>15.28600808594695</v>
      </c>
      <c r="I40" s="108">
        <f t="shared" si="13"/>
        <v>15.404741505824774</v>
      </c>
      <c r="J40" s="108">
        <f t="shared" si="13"/>
        <v>15.51064944187109</v>
      </c>
      <c r="K40" s="108">
        <f t="shared" si="13"/>
        <v>15.471582601729493</v>
      </c>
      <c r="L40" s="108">
        <f t="shared" si="13"/>
        <v>14.807264866056325</v>
      </c>
      <c r="M40" s="108">
        <f t="shared" si="13"/>
        <v>14.093311034746128</v>
      </c>
      <c r="N40" s="108">
        <f t="shared" si="13"/>
        <v>13.328177758198454</v>
      </c>
      <c r="O40" s="108">
        <f t="shared" si="13"/>
        <v>12.510459626395573</v>
      </c>
      <c r="P40" s="108">
        <f t="shared" si="13"/>
        <v>11.639210473925093</v>
      </c>
      <c r="Q40" s="108">
        <f t="shared" si="13"/>
        <v>10.714029401543208</v>
      </c>
      <c r="R40" s="108">
        <f t="shared" si="13"/>
        <v>9.7348709848056796</v>
      </c>
      <c r="S40" s="108">
        <f t="shared" si="13"/>
        <v>8.7018154571067079</v>
      </c>
      <c r="T40" s="108">
        <f t="shared" si="13"/>
        <v>7.6151540163365414</v>
      </c>
      <c r="U40" s="108">
        <f t="shared" si="13"/>
        <v>6.4762671097033602</v>
      </c>
      <c r="V40" s="108">
        <f t="shared" si="13"/>
        <v>5.2851218095749779</v>
      </c>
      <c r="W40" s="108">
        <f t="shared" si="13"/>
        <v>4.0417309642233841</v>
      </c>
      <c r="X40" s="108">
        <f t="shared" si="13"/>
        <v>2.746242171901434</v>
      </c>
      <c r="Y40" s="108">
        <f t="shared" si="13"/>
        <v>1.3988905166195318</v>
      </c>
      <c r="Z40" s="108">
        <f t="shared" si="13"/>
        <v>0</v>
      </c>
      <c r="AA40" s="108">
        <f t="shared" si="13"/>
        <v>0</v>
      </c>
      <c r="AB40" s="108">
        <f t="shared" si="13"/>
        <v>0</v>
      </c>
      <c r="AC40" s="108">
        <f t="shared" si="13"/>
        <v>0</v>
      </c>
      <c r="AD40" s="108">
        <f t="shared" si="13"/>
        <v>0</v>
      </c>
      <c r="AE40" s="108">
        <f t="shared" si="13"/>
        <v>0</v>
      </c>
      <c r="AF40" s="108">
        <f t="shared" si="13"/>
        <v>0</v>
      </c>
      <c r="AG40" s="108">
        <f t="shared" si="13"/>
        <v>0</v>
      </c>
      <c r="AH40" s="108">
        <f t="shared" si="13"/>
        <v>0</v>
      </c>
      <c r="AI40" s="108">
        <f t="shared" si="13"/>
        <v>0</v>
      </c>
      <c r="AJ40" s="109">
        <f t="shared" si="13"/>
        <v>0</v>
      </c>
      <c r="AK40" s="55">
        <f>SUM(K40:AJ40)</f>
        <v>138.56412879286589</v>
      </c>
      <c r="AT40" s="87" t="s">
        <v>36</v>
      </c>
      <c r="AU40" s="54">
        <f>_xlfn.XLOOKUP(AU$1,$E$1:$AJ$1,$E42:$AJ42)+_xlfn.XLOOKUP(AU$1,$E$1:$AJ$1,$E40:$AJ40)</f>
        <v>15.074886784529095</v>
      </c>
      <c r="AV40" s="54">
        <f t="shared" ref="AV40:BA40" si="14">_xlfn.XLOOKUP(AV$1,$E$1:$AJ$1,$E42:$AJ42)+_xlfn.XLOOKUP(AV$1,$E$1:$AJ$1,$E40:$AJ40)</f>
        <v>15.610415745960042</v>
      </c>
      <c r="AW40" s="54">
        <f t="shared" si="14"/>
        <v>12.384845492757538</v>
      </c>
      <c r="AX40" s="54">
        <f t="shared" si="14"/>
        <v>7.9335316084109735</v>
      </c>
      <c r="AY40" s="54">
        <f t="shared" si="14"/>
        <v>2.2593777004214863</v>
      </c>
      <c r="AZ40" s="54">
        <f t="shared" si="14"/>
        <v>2.4195689814431431</v>
      </c>
      <c r="BA40" s="54">
        <f t="shared" si="14"/>
        <v>2.5587931594949147</v>
      </c>
    </row>
    <row r="41" spans="1:53">
      <c r="A41" s="95" t="s">
        <v>4</v>
      </c>
      <c r="B41" s="4" t="s">
        <v>8</v>
      </c>
      <c r="C41" s="4" t="s">
        <v>53</v>
      </c>
      <c r="D41" s="91" t="s">
        <v>122</v>
      </c>
      <c r="E41" s="110">
        <f t="shared" ref="E41:AJ48" si="15">SUM(E52,E63)</f>
        <v>6.0620113953286268</v>
      </c>
      <c r="F41" s="18">
        <f t="shared" si="15"/>
        <v>6.5445589196493756</v>
      </c>
      <c r="G41" s="18">
        <f t="shared" si="15"/>
        <v>7.0501011601489045</v>
      </c>
      <c r="H41" s="18">
        <f t="shared" si="15"/>
        <v>7.5791519340445657</v>
      </c>
      <c r="I41" s="18">
        <f t="shared" si="15"/>
        <v>8.1321488273687308</v>
      </c>
      <c r="J41" s="18">
        <f t="shared" si="15"/>
        <v>8.7095028462404525</v>
      </c>
      <c r="K41" s="18">
        <f t="shared" si="15"/>
        <v>9.363309840739916</v>
      </c>
      <c r="L41" s="18">
        <f t="shared" si="15"/>
        <v>9.0590066962971125</v>
      </c>
      <c r="M41" s="18">
        <f t="shared" si="15"/>
        <v>8.7157531473252199</v>
      </c>
      <c r="N41" s="18">
        <f t="shared" si="15"/>
        <v>8.3316643823489223</v>
      </c>
      <c r="O41" s="18">
        <f t="shared" si="15"/>
        <v>7.9048935647153105</v>
      </c>
      <c r="P41" s="18">
        <f t="shared" si="15"/>
        <v>7.4337507725731573</v>
      </c>
      <c r="Q41" s="18">
        <f t="shared" si="15"/>
        <v>6.916717321964553</v>
      </c>
      <c r="R41" s="18">
        <f t="shared" si="15"/>
        <v>6.3524083226159087</v>
      </c>
      <c r="S41" s="18">
        <f t="shared" si="15"/>
        <v>5.7394811613432095</v>
      </c>
      <c r="T41" s="18">
        <f t="shared" si="15"/>
        <v>5.0766363754210353</v>
      </c>
      <c r="U41" s="18">
        <f t="shared" si="15"/>
        <v>4.3639540881592715</v>
      </c>
      <c r="V41" s="18">
        <f t="shared" si="15"/>
        <v>3.5997779572929312</v>
      </c>
      <c r="W41" s="18">
        <f t="shared" si="15"/>
        <v>2.7826788784670979</v>
      </c>
      <c r="X41" s="18">
        <f t="shared" si="15"/>
        <v>1.9112697314565859</v>
      </c>
      <c r="Y41" s="18">
        <f t="shared" si="15"/>
        <v>0.98417024480688808</v>
      </c>
      <c r="Z41" s="18">
        <f t="shared" si="15"/>
        <v>0</v>
      </c>
      <c r="AA41" s="18">
        <f t="shared" si="15"/>
        <v>0</v>
      </c>
      <c r="AB41" s="18">
        <f t="shared" si="15"/>
        <v>0</v>
      </c>
      <c r="AC41" s="18">
        <f t="shared" si="15"/>
        <v>0</v>
      </c>
      <c r="AD41" s="18">
        <f t="shared" si="15"/>
        <v>0</v>
      </c>
      <c r="AE41" s="18">
        <f t="shared" si="15"/>
        <v>0</v>
      </c>
      <c r="AF41" s="18">
        <f t="shared" si="15"/>
        <v>0</v>
      </c>
      <c r="AG41" s="18">
        <f t="shared" si="15"/>
        <v>0</v>
      </c>
      <c r="AH41" s="18">
        <f t="shared" si="15"/>
        <v>0</v>
      </c>
      <c r="AI41" s="18">
        <f t="shared" si="15"/>
        <v>0</v>
      </c>
      <c r="AJ41" s="111">
        <f t="shared" si="15"/>
        <v>0</v>
      </c>
      <c r="AK41" s="55">
        <f t="shared" ref="AK41:AK74" si="16">SUM(K41:AJ41)</f>
        <v>88.535472485527109</v>
      </c>
      <c r="AT41" s="3" t="s">
        <v>8</v>
      </c>
      <c r="AU41" s="54">
        <f>(_xlfn.XLOOKUP(AU$1,$E$1:$AJ$1,$E43:$AJ43)+_xlfn.XLOOKUP(AU$1,$E$1:$AJ$1,$E41:$AJ41))</f>
        <v>6.5626825687159771</v>
      </c>
      <c r="AV41" s="54">
        <f t="shared" ref="AV41:BA41" si="17">(_xlfn.XLOOKUP(AV$1,$E$1:$AJ$1,$E43:$AJ43)+_xlfn.XLOOKUP(AV$1,$E$1:$AJ$1,$E41:$AJ41))</f>
        <v>9.4028099424099878</v>
      </c>
      <c r="AW41" s="54">
        <f t="shared" si="17"/>
        <v>8.7818341185717586</v>
      </c>
      <c r="AX41" s="54">
        <f t="shared" si="17"/>
        <v>7.3278998109460334</v>
      </c>
      <c r="AY41" s="54">
        <f t="shared" si="17"/>
        <v>4.8855189777711434</v>
      </c>
      <c r="AZ41" s="54">
        <f t="shared" si="17"/>
        <v>5.3477692255774283</v>
      </c>
      <c r="BA41" s="54">
        <f t="shared" si="17"/>
        <v>5.7930690531827143</v>
      </c>
    </row>
    <row r="42" spans="1:53">
      <c r="A42" s="95" t="s">
        <v>4</v>
      </c>
      <c r="B42" s="4" t="s">
        <v>37</v>
      </c>
      <c r="C42" s="4" t="s">
        <v>53</v>
      </c>
      <c r="D42" s="91" t="s">
        <v>122</v>
      </c>
      <c r="E42" s="110">
        <f t="shared" si="15"/>
        <v>5.1528592451811579E-2</v>
      </c>
      <c r="F42" s="18">
        <f t="shared" si="15"/>
        <v>6.3700169834092504E-2</v>
      </c>
      <c r="G42" s="18">
        <f t="shared" si="15"/>
        <v>7.6827527077211341E-2</v>
      </c>
      <c r="H42" s="18">
        <f t="shared" si="15"/>
        <v>9.0954784759474827E-2</v>
      </c>
      <c r="I42" s="18">
        <f t="shared" si="15"/>
        <v>0.10612445310763086</v>
      </c>
      <c r="J42" s="18">
        <f t="shared" si="15"/>
        <v>0.12237756871052695</v>
      </c>
      <c r="K42" s="18">
        <f t="shared" si="15"/>
        <v>0.13883314423054924</v>
      </c>
      <c r="L42" s="18">
        <f t="shared" si="15"/>
        <v>0.25115772612700027</v>
      </c>
      <c r="M42" s="18">
        <f t="shared" si="15"/>
        <v>0.36805856034442641</v>
      </c>
      <c r="N42" s="18">
        <f t="shared" si="15"/>
        <v>0.48949769912784463</v>
      </c>
      <c r="O42" s="18">
        <f t="shared" si="15"/>
        <v>0.61539483576954757</v>
      </c>
      <c r="P42" s="18">
        <f t="shared" si="15"/>
        <v>0.74563501883244465</v>
      </c>
      <c r="Q42" s="18">
        <f t="shared" si="15"/>
        <v>0.88008673818549865</v>
      </c>
      <c r="R42" s="18">
        <f t="shared" si="15"/>
        <v>1.0186111820202302</v>
      </c>
      <c r="S42" s="18">
        <f t="shared" si="15"/>
        <v>1.1610541654539108</v>
      </c>
      <c r="T42" s="18">
        <f t="shared" si="15"/>
        <v>1.3072625675522098</v>
      </c>
      <c r="U42" s="18">
        <f t="shared" si="15"/>
        <v>1.4572644987076138</v>
      </c>
      <c r="V42" s="18">
        <f t="shared" si="15"/>
        <v>1.6109433219156752</v>
      </c>
      <c r="W42" s="18">
        <f t="shared" si="15"/>
        <v>1.7681516812690043</v>
      </c>
      <c r="X42" s="18">
        <f t="shared" si="15"/>
        <v>1.9287382021942461</v>
      </c>
      <c r="Y42" s="18">
        <f t="shared" si="15"/>
        <v>2.0925383194892162</v>
      </c>
      <c r="Z42" s="18">
        <f t="shared" si="15"/>
        <v>2.2593777004214863</v>
      </c>
      <c r="AA42" s="18">
        <f t="shared" si="15"/>
        <v>2.2928065716709152</v>
      </c>
      <c r="AB42" s="18">
        <f t="shared" si="15"/>
        <v>2.3255956718922861</v>
      </c>
      <c r="AC42" s="18">
        <f t="shared" si="15"/>
        <v>2.3576901145630864</v>
      </c>
      <c r="AD42" s="18">
        <f t="shared" si="15"/>
        <v>2.3890314924792571</v>
      </c>
      <c r="AE42" s="18">
        <f t="shared" si="15"/>
        <v>2.4195689814431431</v>
      </c>
      <c r="AF42" s="18">
        <f t="shared" si="15"/>
        <v>2.4492540141042287</v>
      </c>
      <c r="AG42" s="18">
        <f t="shared" si="15"/>
        <v>2.478048043513315</v>
      </c>
      <c r="AH42" s="18">
        <f t="shared" si="15"/>
        <v>2.5059201960014859</v>
      </c>
      <c r="AI42" s="18">
        <f t="shared" si="15"/>
        <v>2.5328450143329717</v>
      </c>
      <c r="AJ42" s="111">
        <f t="shared" si="15"/>
        <v>2.5587931594949147</v>
      </c>
      <c r="AK42" s="55">
        <f t="shared" si="16"/>
        <v>42.402158621136508</v>
      </c>
      <c r="AT42" s="34" t="s">
        <v>11</v>
      </c>
      <c r="AU42" s="54">
        <f>_xlfn.XLOOKUP(AU$1,$E$1:$AJ$1,$E44:$AJ44)</f>
        <v>5.7900878395472974E-5</v>
      </c>
      <c r="AV42" s="54">
        <f t="shared" ref="AV42:BA42" si="18">_xlfn.XLOOKUP(AV$1,$E$1:$AJ$1,$E44:$AJ44)</f>
        <v>9.7686497443854445E-5</v>
      </c>
      <c r="AW42" s="54">
        <f t="shared" si="18"/>
        <v>4.7865452276154357E-3</v>
      </c>
      <c r="AX42" s="54">
        <f t="shared" si="18"/>
        <v>1.0864816150237263E-2</v>
      </c>
      <c r="AY42" s="54">
        <f t="shared" si="18"/>
        <v>1.8442855358352002E-2</v>
      </c>
      <c r="AZ42" s="54">
        <f t="shared" si="18"/>
        <v>2.076578544609E-2</v>
      </c>
      <c r="BA42" s="54">
        <f t="shared" si="18"/>
        <v>2.3166324816462004E-2</v>
      </c>
    </row>
    <row r="43" spans="1:53">
      <c r="A43" s="95" t="s">
        <v>4</v>
      </c>
      <c r="B43" s="4" t="s">
        <v>10</v>
      </c>
      <c r="C43" s="4" t="s">
        <v>53</v>
      </c>
      <c r="D43" s="91" t="s">
        <v>122</v>
      </c>
      <c r="E43" s="110">
        <f t="shared" si="15"/>
        <v>1.4660653636009139E-2</v>
      </c>
      <c r="F43" s="18">
        <f t="shared" si="15"/>
        <v>1.8123649066601379E-2</v>
      </c>
      <c r="G43" s="18">
        <f t="shared" si="15"/>
        <v>2.185857813297486E-2</v>
      </c>
      <c r="H43" s="18">
        <f t="shared" si="15"/>
        <v>2.5877993798170306E-2</v>
      </c>
      <c r="I43" s="18">
        <f t="shared" si="15"/>
        <v>3.0193990856181466E-2</v>
      </c>
      <c r="J43" s="18">
        <f t="shared" si="15"/>
        <v>3.481824482902076E-2</v>
      </c>
      <c r="K43" s="18">
        <f t="shared" si="15"/>
        <v>3.9500101670071876E-2</v>
      </c>
      <c r="L43" s="18">
        <f t="shared" si="15"/>
        <v>0.2765870450382949</v>
      </c>
      <c r="M43" s="18">
        <f t="shared" si="15"/>
        <v>0.52589843805426817</v>
      </c>
      <c r="N43" s="18">
        <f t="shared" si="15"/>
        <v>0.78756223707797224</v>
      </c>
      <c r="O43" s="18">
        <f t="shared" si="15"/>
        <v>1.0616290506585275</v>
      </c>
      <c r="P43" s="18">
        <f t="shared" si="15"/>
        <v>1.3480833459986012</v>
      </c>
      <c r="Q43" s="18">
        <f t="shared" si="15"/>
        <v>1.6468735529606464</v>
      </c>
      <c r="R43" s="18">
        <f t="shared" si="15"/>
        <v>1.9579274934263422</v>
      </c>
      <c r="S43" s="18">
        <f t="shared" si="15"/>
        <v>2.2811349837229047</v>
      </c>
      <c r="T43" s="18">
        <f t="shared" si="15"/>
        <v>2.6163647073004084</v>
      </c>
      <c r="U43" s="18">
        <f t="shared" si="15"/>
        <v>2.9639457227867618</v>
      </c>
      <c r="V43" s="18">
        <f t="shared" si="15"/>
        <v>3.3238543381187484</v>
      </c>
      <c r="W43" s="18">
        <f t="shared" si="15"/>
        <v>3.6960336021381752</v>
      </c>
      <c r="X43" s="18">
        <f t="shared" si="15"/>
        <v>4.0804248419671207</v>
      </c>
      <c r="Y43" s="18">
        <f t="shared" si="15"/>
        <v>4.4769510888608144</v>
      </c>
      <c r="Z43" s="18">
        <f t="shared" si="15"/>
        <v>4.8855189777711434</v>
      </c>
      <c r="AA43" s="18">
        <f t="shared" si="15"/>
        <v>4.9788047220968572</v>
      </c>
      <c r="AB43" s="18">
        <f t="shared" si="15"/>
        <v>5.0717684355613386</v>
      </c>
      <c r="AC43" s="18">
        <f t="shared" si="15"/>
        <v>5.1643158372606432</v>
      </c>
      <c r="AD43" s="18">
        <f t="shared" si="15"/>
        <v>5.2563461647902852</v>
      </c>
      <c r="AE43" s="18">
        <f t="shared" si="15"/>
        <v>5.3477692255774283</v>
      </c>
      <c r="AF43" s="18">
        <f t="shared" si="15"/>
        <v>5.4384962230647318</v>
      </c>
      <c r="AG43" s="18">
        <f t="shared" si="15"/>
        <v>5.5284516726998039</v>
      </c>
      <c r="AH43" s="18">
        <f t="shared" si="15"/>
        <v>5.6175720557773925</v>
      </c>
      <c r="AI43" s="18">
        <f t="shared" si="15"/>
        <v>5.7057995373696428</v>
      </c>
      <c r="AJ43" s="111">
        <f t="shared" si="15"/>
        <v>5.7930690531827143</v>
      </c>
      <c r="AK43" s="55">
        <f t="shared" si="16"/>
        <v>89.870682454931639</v>
      </c>
      <c r="AT43" s="3" t="s">
        <v>12</v>
      </c>
      <c r="AU43" s="54">
        <f t="shared" ref="AU43:BA47" si="19">_xlfn.XLOOKUP(AU$1,$E$1:$AJ$1,$E45:$AJ45)</f>
        <v>2.281166797686934E-6</v>
      </c>
      <c r="AV43" s="54">
        <f t="shared" si="19"/>
        <v>0</v>
      </c>
      <c r="AW43" s="54">
        <f t="shared" si="19"/>
        <v>0</v>
      </c>
      <c r="AX43" s="54">
        <f t="shared" si="19"/>
        <v>0</v>
      </c>
      <c r="AY43" s="54">
        <f t="shared" si="19"/>
        <v>0</v>
      </c>
      <c r="AZ43" s="54">
        <f t="shared" si="19"/>
        <v>0</v>
      </c>
      <c r="BA43" s="54">
        <f t="shared" si="19"/>
        <v>0</v>
      </c>
    </row>
    <row r="44" spans="1:53">
      <c r="A44" s="95" t="s">
        <v>4</v>
      </c>
      <c r="B44" s="4" t="s">
        <v>11</v>
      </c>
      <c r="C44" s="4" t="s">
        <v>53</v>
      </c>
      <c r="D44" s="91" t="s">
        <v>122</v>
      </c>
      <c r="E44" s="110">
        <f t="shared" si="15"/>
        <v>4.9615860479052681E-5</v>
      </c>
      <c r="F44" s="18">
        <f t="shared" si="15"/>
        <v>5.7900878395472974E-5</v>
      </c>
      <c r="G44" s="18">
        <f t="shared" si="15"/>
        <v>6.6805987835369962E-5</v>
      </c>
      <c r="H44" s="18">
        <f t="shared" si="15"/>
        <v>7.6359122422384667E-5</v>
      </c>
      <c r="I44" s="18">
        <f t="shared" si="15"/>
        <v>8.6586949601976737E-5</v>
      </c>
      <c r="J44" s="18">
        <f t="shared" si="15"/>
        <v>9.7515090245566923E-5</v>
      </c>
      <c r="K44" s="18">
        <f t="shared" si="15"/>
        <v>9.7686497443854445E-5</v>
      </c>
      <c r="L44" s="18">
        <f t="shared" si="15"/>
        <v>9.2918427483470556E-4</v>
      </c>
      <c r="M44" s="18">
        <f t="shared" si="15"/>
        <v>1.8127048818267037E-3</v>
      </c>
      <c r="N44" s="18">
        <f t="shared" si="15"/>
        <v>2.7494691763763767E-3</v>
      </c>
      <c r="O44" s="18">
        <f t="shared" si="15"/>
        <v>3.7404793633431938E-3</v>
      </c>
      <c r="P44" s="18">
        <f t="shared" si="15"/>
        <v>4.7865452276154357E-3</v>
      </c>
      <c r="Q44" s="18">
        <f t="shared" si="15"/>
        <v>5.888352460997363E-3</v>
      </c>
      <c r="R44" s="18">
        <f t="shared" si="15"/>
        <v>7.0464977793651649E-3</v>
      </c>
      <c r="S44" s="18">
        <f t="shared" si="15"/>
        <v>8.2614142331829815E-3</v>
      </c>
      <c r="T44" s="18">
        <f t="shared" si="15"/>
        <v>9.5333387812331083E-3</v>
      </c>
      <c r="U44" s="18">
        <f t="shared" si="15"/>
        <v>1.0864816150237263E-2</v>
      </c>
      <c r="V44" s="18">
        <f t="shared" si="15"/>
        <v>1.2256575448321341E-2</v>
      </c>
      <c r="W44" s="18">
        <f t="shared" si="15"/>
        <v>1.3709428208443199E-2</v>
      </c>
      <c r="X44" s="18">
        <f t="shared" si="15"/>
        <v>1.522421739423048E-2</v>
      </c>
      <c r="Y44" s="18">
        <f t="shared" si="15"/>
        <v>1.6801765999556469E-2</v>
      </c>
      <c r="Z44" s="18">
        <f t="shared" si="15"/>
        <v>1.8442855358352002E-2</v>
      </c>
      <c r="AA44" s="18">
        <f t="shared" si="15"/>
        <v>1.8899765738982E-2</v>
      </c>
      <c r="AB44" s="18">
        <f t="shared" si="15"/>
        <v>1.9360754577855001E-2</v>
      </c>
      <c r="AC44" s="18">
        <f t="shared" si="15"/>
        <v>1.9825587681407998E-2</v>
      </c>
      <c r="AD44" s="18">
        <f t="shared" si="15"/>
        <v>2.0294012031714E-2</v>
      </c>
      <c r="AE44" s="18">
        <f t="shared" si="15"/>
        <v>2.076578544609E-2</v>
      </c>
      <c r="AF44" s="18">
        <f t="shared" si="15"/>
        <v>2.1240653633343001E-2</v>
      </c>
      <c r="AG44" s="18">
        <f t="shared" si="15"/>
        <v>2.1718370878101002E-2</v>
      </c>
      <c r="AH44" s="18">
        <f t="shared" si="15"/>
        <v>2.2198713559901998E-2</v>
      </c>
      <c r="AI44" s="18">
        <f t="shared" si="15"/>
        <v>2.2681449445013997E-2</v>
      </c>
      <c r="AJ44" s="111">
        <f t="shared" si="15"/>
        <v>2.3166324816462004E-2</v>
      </c>
      <c r="AK44" s="55">
        <f t="shared" si="16"/>
        <v>0.34229674904423069</v>
      </c>
      <c r="AT44" s="3" t="s">
        <v>13</v>
      </c>
      <c r="AU44" s="54">
        <f t="shared" si="19"/>
        <v>0</v>
      </c>
      <c r="AV44" s="54">
        <f t="shared" si="19"/>
        <v>0</v>
      </c>
      <c r="AW44" s="54">
        <f t="shared" si="19"/>
        <v>0</v>
      </c>
      <c r="AX44" s="54">
        <f t="shared" si="19"/>
        <v>0</v>
      </c>
      <c r="AY44" s="54">
        <f t="shared" si="19"/>
        <v>0</v>
      </c>
      <c r="AZ44" s="54">
        <f t="shared" si="19"/>
        <v>0</v>
      </c>
      <c r="BA44" s="54">
        <f t="shared" si="19"/>
        <v>0</v>
      </c>
    </row>
    <row r="45" spans="1:53">
      <c r="A45" s="95" t="s">
        <v>4</v>
      </c>
      <c r="B45" s="4" t="s">
        <v>12</v>
      </c>
      <c r="C45" s="4" t="s">
        <v>53</v>
      </c>
      <c r="D45" s="91" t="s">
        <v>122</v>
      </c>
      <c r="E45" s="110">
        <f t="shared" si="15"/>
        <v>2.7783517334859378E-6</v>
      </c>
      <c r="F45" s="18">
        <f t="shared" si="15"/>
        <v>2.281166797686934E-6</v>
      </c>
      <c r="G45" s="18">
        <f t="shared" si="15"/>
        <v>1.7328576842153884E-6</v>
      </c>
      <c r="H45" s="18">
        <f t="shared" si="15"/>
        <v>1.1307056182078973E-6</v>
      </c>
      <c r="I45" s="18">
        <f t="shared" si="15"/>
        <v>4.7195645268279653E-7</v>
      </c>
      <c r="J45" s="18">
        <f t="shared" si="15"/>
        <v>0</v>
      </c>
      <c r="K45" s="18">
        <f t="shared" si="15"/>
        <v>0</v>
      </c>
      <c r="L45" s="18">
        <f t="shared" si="15"/>
        <v>0</v>
      </c>
      <c r="M45" s="18">
        <f t="shared" si="15"/>
        <v>0</v>
      </c>
      <c r="N45" s="18">
        <f t="shared" si="15"/>
        <v>0</v>
      </c>
      <c r="O45" s="18">
        <f t="shared" si="15"/>
        <v>0</v>
      </c>
      <c r="P45" s="18">
        <f t="shared" si="15"/>
        <v>0</v>
      </c>
      <c r="Q45" s="18">
        <f t="shared" si="15"/>
        <v>0</v>
      </c>
      <c r="R45" s="18">
        <f t="shared" si="15"/>
        <v>0</v>
      </c>
      <c r="S45" s="18">
        <f t="shared" si="15"/>
        <v>0</v>
      </c>
      <c r="T45" s="18">
        <f t="shared" si="15"/>
        <v>0</v>
      </c>
      <c r="U45" s="18">
        <f t="shared" si="15"/>
        <v>0</v>
      </c>
      <c r="V45" s="18">
        <f t="shared" si="15"/>
        <v>0</v>
      </c>
      <c r="W45" s="18">
        <f t="shared" si="15"/>
        <v>0</v>
      </c>
      <c r="X45" s="18">
        <f t="shared" si="15"/>
        <v>0</v>
      </c>
      <c r="Y45" s="18">
        <f t="shared" si="15"/>
        <v>0</v>
      </c>
      <c r="Z45" s="18">
        <f t="shared" si="15"/>
        <v>0</v>
      </c>
      <c r="AA45" s="18">
        <f t="shared" si="15"/>
        <v>0</v>
      </c>
      <c r="AB45" s="18">
        <f t="shared" si="15"/>
        <v>0</v>
      </c>
      <c r="AC45" s="18">
        <f t="shared" si="15"/>
        <v>0</v>
      </c>
      <c r="AD45" s="18">
        <f t="shared" si="15"/>
        <v>0</v>
      </c>
      <c r="AE45" s="18">
        <f t="shared" si="15"/>
        <v>0</v>
      </c>
      <c r="AF45" s="18">
        <f t="shared" si="15"/>
        <v>0</v>
      </c>
      <c r="AG45" s="18">
        <f t="shared" si="15"/>
        <v>0</v>
      </c>
      <c r="AH45" s="18">
        <f t="shared" si="15"/>
        <v>0</v>
      </c>
      <c r="AI45" s="18">
        <f t="shared" si="15"/>
        <v>0</v>
      </c>
      <c r="AJ45" s="111">
        <f t="shared" si="15"/>
        <v>0</v>
      </c>
      <c r="AK45" s="55">
        <f t="shared" si="16"/>
        <v>0</v>
      </c>
      <c r="AT45" t="s">
        <v>14</v>
      </c>
      <c r="AU45" s="54">
        <f t="shared" si="19"/>
        <v>0</v>
      </c>
      <c r="AV45" s="54">
        <f t="shared" si="19"/>
        <v>0</v>
      </c>
      <c r="AW45" s="54">
        <f t="shared" si="19"/>
        <v>0</v>
      </c>
      <c r="AX45" s="54">
        <f t="shared" si="19"/>
        <v>0</v>
      </c>
      <c r="AY45" s="54">
        <f t="shared" si="19"/>
        <v>0</v>
      </c>
      <c r="AZ45" s="54">
        <f t="shared" si="19"/>
        <v>0</v>
      </c>
      <c r="BA45" s="54">
        <f t="shared" si="19"/>
        <v>0</v>
      </c>
    </row>
    <row r="46" spans="1:53">
      <c r="A46" s="95" t="s">
        <v>4</v>
      </c>
      <c r="B46" s="4" t="s">
        <v>13</v>
      </c>
      <c r="C46" s="4" t="s">
        <v>53</v>
      </c>
      <c r="D46" s="91" t="s">
        <v>122</v>
      </c>
      <c r="E46" s="110">
        <f t="shared" si="15"/>
        <v>0</v>
      </c>
      <c r="F46" s="18">
        <f t="shared" si="15"/>
        <v>0</v>
      </c>
      <c r="G46" s="18">
        <f t="shared" si="15"/>
        <v>0</v>
      </c>
      <c r="H46" s="18">
        <f t="shared" si="15"/>
        <v>0</v>
      </c>
      <c r="I46" s="18">
        <f t="shared" si="15"/>
        <v>0</v>
      </c>
      <c r="J46" s="18">
        <f t="shared" si="15"/>
        <v>0</v>
      </c>
      <c r="K46" s="18">
        <f t="shared" si="15"/>
        <v>0</v>
      </c>
      <c r="L46" s="18">
        <f t="shared" si="15"/>
        <v>0</v>
      </c>
      <c r="M46" s="18">
        <f t="shared" si="15"/>
        <v>0</v>
      </c>
      <c r="N46" s="18">
        <f t="shared" si="15"/>
        <v>0</v>
      </c>
      <c r="O46" s="18">
        <f t="shared" si="15"/>
        <v>0</v>
      </c>
      <c r="P46" s="18">
        <f t="shared" si="15"/>
        <v>0</v>
      </c>
      <c r="Q46" s="18">
        <f t="shared" si="15"/>
        <v>0</v>
      </c>
      <c r="R46" s="18">
        <f t="shared" si="15"/>
        <v>0</v>
      </c>
      <c r="S46" s="18">
        <f t="shared" si="15"/>
        <v>0</v>
      </c>
      <c r="T46" s="18">
        <f t="shared" si="15"/>
        <v>0</v>
      </c>
      <c r="U46" s="18">
        <f t="shared" si="15"/>
        <v>0</v>
      </c>
      <c r="V46" s="18">
        <f t="shared" si="15"/>
        <v>0</v>
      </c>
      <c r="W46" s="18">
        <f t="shared" si="15"/>
        <v>0</v>
      </c>
      <c r="X46" s="18">
        <f t="shared" si="15"/>
        <v>0</v>
      </c>
      <c r="Y46" s="18">
        <f t="shared" si="15"/>
        <v>0</v>
      </c>
      <c r="Z46" s="18">
        <f t="shared" si="15"/>
        <v>0</v>
      </c>
      <c r="AA46" s="18">
        <f t="shared" si="15"/>
        <v>0</v>
      </c>
      <c r="AB46" s="18">
        <f t="shared" si="15"/>
        <v>0</v>
      </c>
      <c r="AC46" s="18">
        <f t="shared" si="15"/>
        <v>0</v>
      </c>
      <c r="AD46" s="18">
        <f t="shared" si="15"/>
        <v>0</v>
      </c>
      <c r="AE46" s="18">
        <f t="shared" si="15"/>
        <v>0</v>
      </c>
      <c r="AF46" s="18">
        <f t="shared" si="15"/>
        <v>0</v>
      </c>
      <c r="AG46" s="18">
        <f t="shared" si="15"/>
        <v>0</v>
      </c>
      <c r="AH46" s="18">
        <f t="shared" si="15"/>
        <v>0</v>
      </c>
      <c r="AI46" s="18">
        <f t="shared" si="15"/>
        <v>0</v>
      </c>
      <c r="AJ46" s="111">
        <f t="shared" si="15"/>
        <v>0</v>
      </c>
      <c r="AK46" s="55">
        <f t="shared" si="16"/>
        <v>0</v>
      </c>
      <c r="AT46" t="s">
        <v>15</v>
      </c>
      <c r="AU46" s="54">
        <f t="shared" si="19"/>
        <v>0</v>
      </c>
      <c r="AV46" s="54">
        <f t="shared" si="19"/>
        <v>0</v>
      </c>
      <c r="AW46" s="54">
        <f t="shared" si="19"/>
        <v>7.3762833341680489E-2</v>
      </c>
      <c r="AX46" s="54">
        <f t="shared" si="19"/>
        <v>0.17484462141288826</v>
      </c>
      <c r="AY46" s="54">
        <f t="shared" si="19"/>
        <v>0.30716851570898362</v>
      </c>
      <c r="AZ46" s="54">
        <f t="shared" si="19"/>
        <v>0.35614838965389384</v>
      </c>
      <c r="BA46" s="54">
        <f t="shared" si="19"/>
        <v>0.40894224613621488</v>
      </c>
    </row>
    <row r="47" spans="1:53">
      <c r="A47" s="95" t="s">
        <v>4</v>
      </c>
      <c r="B47" s="4" t="s">
        <v>14</v>
      </c>
      <c r="C47" s="4" t="s">
        <v>53</v>
      </c>
      <c r="D47" s="91" t="s">
        <v>122</v>
      </c>
      <c r="E47" s="110">
        <f t="shared" si="15"/>
        <v>0</v>
      </c>
      <c r="F47" s="18">
        <f t="shared" si="15"/>
        <v>0</v>
      </c>
      <c r="G47" s="18">
        <f t="shared" si="15"/>
        <v>0</v>
      </c>
      <c r="H47" s="18">
        <f t="shared" si="15"/>
        <v>0</v>
      </c>
      <c r="I47" s="18">
        <f t="shared" si="15"/>
        <v>0</v>
      </c>
      <c r="J47" s="18">
        <f t="shared" si="15"/>
        <v>0</v>
      </c>
      <c r="K47" s="18">
        <f t="shared" si="15"/>
        <v>0</v>
      </c>
      <c r="L47" s="18">
        <f t="shared" si="15"/>
        <v>0</v>
      </c>
      <c r="M47" s="18">
        <f t="shared" si="15"/>
        <v>0</v>
      </c>
      <c r="N47" s="18">
        <f t="shared" si="15"/>
        <v>0</v>
      </c>
      <c r="O47" s="18">
        <f t="shared" si="15"/>
        <v>0</v>
      </c>
      <c r="P47" s="18">
        <f t="shared" si="15"/>
        <v>0</v>
      </c>
      <c r="Q47" s="18">
        <f t="shared" si="15"/>
        <v>0</v>
      </c>
      <c r="R47" s="18">
        <f t="shared" si="15"/>
        <v>0</v>
      </c>
      <c r="S47" s="18">
        <f t="shared" si="15"/>
        <v>0</v>
      </c>
      <c r="T47" s="18">
        <f t="shared" si="15"/>
        <v>0</v>
      </c>
      <c r="U47" s="18">
        <f t="shared" si="15"/>
        <v>0</v>
      </c>
      <c r="V47" s="18">
        <f t="shared" si="15"/>
        <v>0</v>
      </c>
      <c r="W47" s="18">
        <f t="shared" si="15"/>
        <v>0</v>
      </c>
      <c r="X47" s="18">
        <f t="shared" si="15"/>
        <v>0</v>
      </c>
      <c r="Y47" s="18">
        <f t="shared" si="15"/>
        <v>0</v>
      </c>
      <c r="Z47" s="18">
        <f t="shared" si="15"/>
        <v>0</v>
      </c>
      <c r="AA47" s="18">
        <f t="shared" si="15"/>
        <v>0</v>
      </c>
      <c r="AB47" s="18">
        <f t="shared" si="15"/>
        <v>0</v>
      </c>
      <c r="AC47" s="18">
        <f t="shared" si="15"/>
        <v>0</v>
      </c>
      <c r="AD47" s="18">
        <f t="shared" si="15"/>
        <v>0</v>
      </c>
      <c r="AE47" s="18">
        <f t="shared" si="15"/>
        <v>0</v>
      </c>
      <c r="AF47" s="18">
        <f t="shared" si="15"/>
        <v>0</v>
      </c>
      <c r="AG47" s="18">
        <f t="shared" si="15"/>
        <v>0</v>
      </c>
      <c r="AH47" s="18">
        <f t="shared" si="15"/>
        <v>0</v>
      </c>
      <c r="AI47" s="18">
        <f t="shared" si="15"/>
        <v>0</v>
      </c>
      <c r="AJ47" s="111">
        <f t="shared" si="15"/>
        <v>0</v>
      </c>
      <c r="AK47" s="55">
        <f t="shared" si="16"/>
        <v>0</v>
      </c>
      <c r="AT47" t="s">
        <v>16</v>
      </c>
      <c r="AU47" s="54">
        <f t="shared" si="19"/>
        <v>0</v>
      </c>
      <c r="AV47" s="54">
        <f t="shared" si="19"/>
        <v>0</v>
      </c>
      <c r="AW47" s="54">
        <f t="shared" si="19"/>
        <v>0</v>
      </c>
      <c r="AX47" s="54">
        <f t="shared" si="19"/>
        <v>0</v>
      </c>
      <c r="AY47" s="54">
        <f t="shared" si="19"/>
        <v>0</v>
      </c>
      <c r="AZ47" s="54">
        <f t="shared" si="19"/>
        <v>0</v>
      </c>
      <c r="BA47" s="54">
        <f t="shared" si="19"/>
        <v>0</v>
      </c>
    </row>
    <row r="48" spans="1:53">
      <c r="A48" s="95" t="s">
        <v>4</v>
      </c>
      <c r="B48" s="4" t="s">
        <v>15</v>
      </c>
      <c r="C48" s="4" t="s">
        <v>53</v>
      </c>
      <c r="D48" s="91" t="s">
        <v>122</v>
      </c>
      <c r="E48" s="110">
        <f t="shared" si="15"/>
        <v>0</v>
      </c>
      <c r="F48" s="18">
        <f t="shared" si="15"/>
        <v>0</v>
      </c>
      <c r="G48" s="18">
        <f t="shared" si="15"/>
        <v>0</v>
      </c>
      <c r="H48" s="18">
        <f t="shared" si="15"/>
        <v>0</v>
      </c>
      <c r="I48" s="18">
        <f t="shared" si="15"/>
        <v>0</v>
      </c>
      <c r="J48" s="18">
        <f t="shared" si="15"/>
        <v>0</v>
      </c>
      <c r="K48" s="18">
        <f t="shared" si="15"/>
        <v>0</v>
      </c>
      <c r="L48" s="18">
        <f t="shared" si="15"/>
        <v>1.2739231042837007E-2</v>
      </c>
      <c r="M48" s="18">
        <f t="shared" si="15"/>
        <v>2.6452652460526638E-2</v>
      </c>
      <c r="N48" s="18">
        <f t="shared" si="15"/>
        <v>4.1173896335874732E-2</v>
      </c>
      <c r="O48" s="18">
        <f t="shared" si="15"/>
        <v>5.6934256849357476E-2</v>
      </c>
      <c r="P48" s="18">
        <f t="shared" si="15"/>
        <v>7.3762833341680489E-2</v>
      </c>
      <c r="Q48" s="18">
        <f t="shared" si="15"/>
        <v>9.1686860970370057E-2</v>
      </c>
      <c r="R48" s="18">
        <f t="shared" si="15"/>
        <v>0.11073188519407243</v>
      </c>
      <c r="S48" s="18">
        <f t="shared" si="15"/>
        <v>0.13092036340106694</v>
      </c>
      <c r="T48" s="18">
        <f t="shared" si="15"/>
        <v>0.15226941409301792</v>
      </c>
      <c r="U48" s="18">
        <f t="shared" si="15"/>
        <v>0.17484462141288826</v>
      </c>
      <c r="V48" s="18">
        <f t="shared" si="15"/>
        <v>0.1986728596884188</v>
      </c>
      <c r="W48" s="18">
        <f t="shared" si="15"/>
        <v>0.22378605860998463</v>
      </c>
      <c r="X48" s="18">
        <f t="shared" si="15"/>
        <v>0.25021734428713704</v>
      </c>
      <c r="Y48" s="18">
        <f t="shared" si="15"/>
        <v>0.27800038480242412</v>
      </c>
      <c r="Z48" s="18">
        <f t="shared" si="15"/>
        <v>0.30716851570898362</v>
      </c>
      <c r="AA48" s="18">
        <f t="shared" si="15"/>
        <v>0.31664379740768284</v>
      </c>
      <c r="AB48" s="18">
        <f t="shared" si="15"/>
        <v>0.32628127771340243</v>
      </c>
      <c r="AC48" s="18">
        <f t="shared" si="15"/>
        <v>0.33607922348826702</v>
      </c>
      <c r="AD48" s="18">
        <f t="shared" si="15"/>
        <v>0.34603568856124534</v>
      </c>
      <c r="AE48" s="18">
        <f t="shared" si="15"/>
        <v>0.35614838965389384</v>
      </c>
      <c r="AF48" s="18">
        <f t="shared" si="15"/>
        <v>0.36641453236426247</v>
      </c>
      <c r="AG48" s="18">
        <f t="shared" si="15"/>
        <v>0.3768307229883352</v>
      </c>
      <c r="AH48" s="18">
        <f t="shared" si="15"/>
        <v>0.38739352490332846</v>
      </c>
      <c r="AI48" s="18">
        <f t="shared" si="15"/>
        <v>0.39809882258958718</v>
      </c>
      <c r="AJ48" s="111">
        <f t="shared" ref="AJ48" si="20">SUM(AJ59,AJ70)</f>
        <v>0.40894224613621488</v>
      </c>
      <c r="AK48" s="55">
        <f t="shared" si="16"/>
        <v>5.74822940400486</v>
      </c>
    </row>
    <row r="49" spans="1:37">
      <c r="A49" s="95" t="s">
        <v>4</v>
      </c>
      <c r="B49" s="4" t="s">
        <v>16</v>
      </c>
      <c r="C49" s="4" t="s">
        <v>53</v>
      </c>
      <c r="D49" s="91" t="s">
        <v>122</v>
      </c>
      <c r="E49" s="110">
        <f t="shared" ref="E49:AJ50" si="21">SUM(E60,E71)</f>
        <v>0</v>
      </c>
      <c r="F49" s="18">
        <f t="shared" si="21"/>
        <v>0</v>
      </c>
      <c r="G49" s="18">
        <f t="shared" si="21"/>
        <v>0</v>
      </c>
      <c r="H49" s="18">
        <f t="shared" si="21"/>
        <v>0</v>
      </c>
      <c r="I49" s="18">
        <f t="shared" si="21"/>
        <v>0</v>
      </c>
      <c r="J49" s="18">
        <f t="shared" si="21"/>
        <v>0</v>
      </c>
      <c r="K49" s="18">
        <f t="shared" si="21"/>
        <v>0</v>
      </c>
      <c r="L49" s="18">
        <f t="shared" si="21"/>
        <v>0</v>
      </c>
      <c r="M49" s="18">
        <f t="shared" si="21"/>
        <v>0</v>
      </c>
      <c r="N49" s="18">
        <f t="shared" si="21"/>
        <v>0</v>
      </c>
      <c r="O49" s="18">
        <f t="shared" si="21"/>
        <v>0</v>
      </c>
      <c r="P49" s="18">
        <f t="shared" si="21"/>
        <v>0</v>
      </c>
      <c r="Q49" s="18">
        <f t="shared" si="21"/>
        <v>0</v>
      </c>
      <c r="R49" s="18">
        <f t="shared" si="21"/>
        <v>0</v>
      </c>
      <c r="S49" s="18">
        <f t="shared" si="21"/>
        <v>0</v>
      </c>
      <c r="T49" s="18">
        <f t="shared" si="21"/>
        <v>0</v>
      </c>
      <c r="U49" s="18">
        <f t="shared" si="21"/>
        <v>0</v>
      </c>
      <c r="V49" s="18">
        <f t="shared" si="21"/>
        <v>0</v>
      </c>
      <c r="W49" s="18">
        <f t="shared" si="21"/>
        <v>0</v>
      </c>
      <c r="X49" s="18">
        <f t="shared" si="21"/>
        <v>0</v>
      </c>
      <c r="Y49" s="18">
        <f t="shared" si="21"/>
        <v>0</v>
      </c>
      <c r="Z49" s="18">
        <f t="shared" si="21"/>
        <v>0</v>
      </c>
      <c r="AA49" s="18">
        <f t="shared" si="21"/>
        <v>0</v>
      </c>
      <c r="AB49" s="18">
        <f t="shared" si="21"/>
        <v>0</v>
      </c>
      <c r="AC49" s="18">
        <f t="shared" si="21"/>
        <v>0</v>
      </c>
      <c r="AD49" s="18">
        <f t="shared" si="21"/>
        <v>0</v>
      </c>
      <c r="AE49" s="18">
        <f t="shared" si="21"/>
        <v>0</v>
      </c>
      <c r="AF49" s="18">
        <f t="shared" si="21"/>
        <v>0</v>
      </c>
      <c r="AG49" s="18">
        <f t="shared" si="21"/>
        <v>0</v>
      </c>
      <c r="AH49" s="18">
        <f t="shared" si="21"/>
        <v>0</v>
      </c>
      <c r="AI49" s="18">
        <f t="shared" si="21"/>
        <v>0</v>
      </c>
      <c r="AJ49" s="111">
        <f t="shared" si="21"/>
        <v>0</v>
      </c>
      <c r="AK49" s="55">
        <f t="shared" si="16"/>
        <v>0</v>
      </c>
    </row>
    <row r="50" spans="1:37" ht="17" thickBot="1">
      <c r="A50" s="96" t="s">
        <v>4</v>
      </c>
      <c r="B50" s="32" t="s">
        <v>17</v>
      </c>
      <c r="C50" s="32" t="s">
        <v>53</v>
      </c>
      <c r="D50" s="93" t="s">
        <v>122</v>
      </c>
      <c r="E50" s="112">
        <f t="shared" si="21"/>
        <v>0</v>
      </c>
      <c r="F50" s="113">
        <f t="shared" si="21"/>
        <v>0</v>
      </c>
      <c r="G50" s="113">
        <f t="shared" si="21"/>
        <v>0</v>
      </c>
      <c r="H50" s="113">
        <f t="shared" si="21"/>
        <v>0</v>
      </c>
      <c r="I50" s="113">
        <f t="shared" si="21"/>
        <v>0</v>
      </c>
      <c r="J50" s="113">
        <f t="shared" si="21"/>
        <v>0</v>
      </c>
      <c r="K50" s="113">
        <f t="shared" si="21"/>
        <v>0</v>
      </c>
      <c r="L50" s="113">
        <f t="shared" si="21"/>
        <v>0</v>
      </c>
      <c r="M50" s="113">
        <f t="shared" si="21"/>
        <v>0</v>
      </c>
      <c r="N50" s="113">
        <f t="shared" si="21"/>
        <v>0</v>
      </c>
      <c r="O50" s="113">
        <f t="shared" si="21"/>
        <v>0</v>
      </c>
      <c r="P50" s="113">
        <f t="shared" si="21"/>
        <v>0</v>
      </c>
      <c r="Q50" s="113">
        <f t="shared" si="21"/>
        <v>0</v>
      </c>
      <c r="R50" s="113">
        <f t="shared" si="21"/>
        <v>0</v>
      </c>
      <c r="S50" s="113">
        <f t="shared" si="21"/>
        <v>0</v>
      </c>
      <c r="T50" s="113">
        <f t="shared" si="21"/>
        <v>0</v>
      </c>
      <c r="U50" s="113">
        <f t="shared" si="21"/>
        <v>0</v>
      </c>
      <c r="V50" s="113">
        <f t="shared" si="21"/>
        <v>0</v>
      </c>
      <c r="W50" s="113">
        <f t="shared" si="21"/>
        <v>0</v>
      </c>
      <c r="X50" s="113">
        <f t="shared" si="21"/>
        <v>0</v>
      </c>
      <c r="Y50" s="113">
        <f t="shared" si="21"/>
        <v>0</v>
      </c>
      <c r="Z50" s="113">
        <f t="shared" si="21"/>
        <v>0</v>
      </c>
      <c r="AA50" s="113">
        <f t="shared" si="21"/>
        <v>0</v>
      </c>
      <c r="AB50" s="113">
        <f t="shared" si="21"/>
        <v>0</v>
      </c>
      <c r="AC50" s="113">
        <f t="shared" si="21"/>
        <v>0</v>
      </c>
      <c r="AD50" s="113">
        <f t="shared" si="21"/>
        <v>0</v>
      </c>
      <c r="AE50" s="113">
        <f t="shared" si="21"/>
        <v>0</v>
      </c>
      <c r="AF50" s="113">
        <f t="shared" si="21"/>
        <v>0</v>
      </c>
      <c r="AG50" s="113">
        <f t="shared" si="21"/>
        <v>0</v>
      </c>
      <c r="AH50" s="113">
        <f t="shared" si="21"/>
        <v>0</v>
      </c>
      <c r="AI50" s="113">
        <f t="shared" si="21"/>
        <v>0</v>
      </c>
      <c r="AJ50" s="114">
        <f t="shared" si="21"/>
        <v>0</v>
      </c>
      <c r="AK50" s="55">
        <f t="shared" si="16"/>
        <v>0</v>
      </c>
    </row>
    <row r="51" spans="1:37">
      <c r="A51" s="94" t="s">
        <v>18</v>
      </c>
      <c r="B51" s="88" t="s">
        <v>36</v>
      </c>
      <c r="C51" s="88" t="s">
        <v>53</v>
      </c>
      <c r="D51" s="89" t="s">
        <v>122</v>
      </c>
      <c r="E51" s="139">
        <f>NICCS_Fuel_cons!E13*_xlfn.XLOOKUP($B51,efs!$A$74:$A$84,efs!$F$74:$F$84,0,0)</f>
        <v>12.759015051918968</v>
      </c>
      <c r="F51" s="108">
        <f>NICCS_Fuel_cons!F13*_xlfn.XLOOKUP($B51,efs!$A$74:$A$84,efs!$F$74:$F$84,0,0)</f>
        <v>12.909562057759784</v>
      </c>
      <c r="G51" s="108">
        <f>NICCS_Fuel_cons!G13*_xlfn.XLOOKUP($B51,efs!$A$74:$A$84,efs!$F$74:$F$84,0,0)</f>
        <v>13.053356870054522</v>
      </c>
      <c r="H51" s="108">
        <f>NICCS_Fuel_cons!H13*_xlfn.XLOOKUP($B51,efs!$A$74:$A$84,efs!$F$74:$F$84,0,0)</f>
        <v>13.190123223938871</v>
      </c>
      <c r="I51" s="108">
        <f>NICCS_Fuel_cons!I13*_xlfn.XLOOKUP($B51,efs!$A$74:$A$84,efs!$F$74:$F$84,0,0)</f>
        <v>13.319887097347715</v>
      </c>
      <c r="J51" s="108">
        <f>NICCS_Fuel_cons!J13*_xlfn.XLOOKUP($B51,efs!$A$74:$A$84,efs!$F$74:$F$84,0,0)</f>
        <v>13.442835847908706</v>
      </c>
      <c r="K51" s="108">
        <f>NICCS_Fuel_cons!K13*_xlfn.XLOOKUP($B51,efs!$A$74:$A$84,efs!$F$74:$F$84,0,0)</f>
        <v>13.399040132147926</v>
      </c>
      <c r="L51" s="108">
        <f>NICCS_Fuel_cons!L13*_xlfn.XLOOKUP($B51,efs!$A$74:$A$84,efs!$F$74:$F$84,0,0)</f>
        <v>12.79205135130011</v>
      </c>
      <c r="M51" s="108">
        <f>NICCS_Fuel_cons!M13*_xlfn.XLOOKUP($B51,efs!$A$74:$A$84,efs!$F$74:$F$84,0,0)</f>
        <v>12.144962279560691</v>
      </c>
      <c r="N51" s="108">
        <f>NICCS_Fuel_cons!N13*_xlfn.XLOOKUP($B51,efs!$A$74:$A$84,efs!$F$74:$F$84,0,0)</f>
        <v>11.456744313502275</v>
      </c>
      <c r="O51" s="108">
        <f>NICCS_Fuel_cons!O13*_xlfn.XLOOKUP($B51,efs!$A$74:$A$84,efs!$F$74:$F$84,0,0)</f>
        <v>10.726503052408878</v>
      </c>
      <c r="P51" s="108">
        <f>NICCS_Fuel_cons!P13*_xlfn.XLOOKUP($B51,efs!$A$74:$A$84,efs!$F$74:$F$84,0,0)</f>
        <v>9.9537810236162212</v>
      </c>
      <c r="Q51" s="108">
        <f>NICCS_Fuel_cons!Q13*_xlfn.XLOOKUP($B51,efs!$A$74:$A$84,efs!$F$74:$F$84,0,0)</f>
        <v>9.1386444053925793</v>
      </c>
      <c r="R51" s="108">
        <f>NICCS_Fuel_cons!R13*_xlfn.XLOOKUP($B51,efs!$A$74:$A$84,efs!$F$74:$F$84,0,0)</f>
        <v>8.2814935809948391</v>
      </c>
      <c r="S51" s="108">
        <f>NICCS_Fuel_cons!S13*_xlfn.XLOOKUP($B51,efs!$A$74:$A$84,efs!$F$74:$F$84,0,0)</f>
        <v>7.382848698357118</v>
      </c>
      <c r="T51" s="108">
        <f>NICCS_Fuel_cons!T13*_xlfn.XLOOKUP($B51,efs!$A$74:$A$84,efs!$F$74:$F$84,0,0)</f>
        <v>6.443439990645742</v>
      </c>
      <c r="U51" s="108">
        <f>NICCS_Fuel_cons!U13*_xlfn.XLOOKUP($B51,efs!$A$74:$A$84,efs!$F$74:$F$84,0,0)</f>
        <v>5.4647076636076504</v>
      </c>
      <c r="V51" s="108">
        <f>NICCS_Fuel_cons!V13*_xlfn.XLOOKUP($B51,efs!$A$74:$A$84,efs!$F$74:$F$84,0,0)</f>
        <v>4.4471533087526582</v>
      </c>
      <c r="W51" s="108">
        <f>NICCS_Fuel_cons!W13*_xlfn.XLOOKUP($B51,efs!$A$74:$A$84,efs!$F$74:$F$84,0,0)</f>
        <v>3.3912535232231606</v>
      </c>
      <c r="X51" s="108">
        <f>NICCS_Fuel_cons!X13*_xlfn.XLOOKUP($B51,efs!$A$74:$A$84,efs!$F$74:$F$84,0,0)</f>
        <v>2.2976144204290927</v>
      </c>
      <c r="Y51" s="108">
        <f>NICCS_Fuel_cons!Y13*_xlfn.XLOOKUP($B51,efs!$A$74:$A$84,efs!$F$74:$F$84,0,0)</f>
        <v>1.166932813037918</v>
      </c>
      <c r="Z51" s="108">
        <f>NICCS_Fuel_cons!Z13*_xlfn.XLOOKUP($B51,efs!$A$74:$A$84,efs!$F$74:$F$84,0,0)</f>
        <v>0</v>
      </c>
      <c r="AA51" s="108">
        <f>NICCS_Fuel_cons!AA13*_xlfn.XLOOKUP($B51,efs!$A$74:$A$84,efs!$F$74:$F$84,0,0)</f>
        <v>0</v>
      </c>
      <c r="AB51" s="108">
        <f>NICCS_Fuel_cons!AB13*_xlfn.XLOOKUP($B51,efs!$A$74:$A$84,efs!$F$74:$F$84,0,0)</f>
        <v>0</v>
      </c>
      <c r="AC51" s="108">
        <f>NICCS_Fuel_cons!AC13*_xlfn.XLOOKUP($B51,efs!$A$74:$A$84,efs!$F$74:$F$84,0,0)</f>
        <v>0</v>
      </c>
      <c r="AD51" s="108">
        <f>NICCS_Fuel_cons!AD13*_xlfn.XLOOKUP($B51,efs!$A$74:$A$84,efs!$F$74:$F$84,0,0)</f>
        <v>0</v>
      </c>
      <c r="AE51" s="108">
        <f>NICCS_Fuel_cons!AE13*_xlfn.XLOOKUP($B51,efs!$A$74:$A$84,efs!$F$74:$F$84,0,0)</f>
        <v>0</v>
      </c>
      <c r="AF51" s="108">
        <f>NICCS_Fuel_cons!AF13*_xlfn.XLOOKUP($B51,efs!$A$74:$A$84,efs!$F$74:$F$84,0,0)</f>
        <v>0</v>
      </c>
      <c r="AG51" s="108">
        <f>NICCS_Fuel_cons!AG13*_xlfn.XLOOKUP($B51,efs!$A$74:$A$84,efs!$F$74:$F$84,0,0)</f>
        <v>0</v>
      </c>
      <c r="AH51" s="108">
        <f>NICCS_Fuel_cons!AH13*_xlfn.XLOOKUP($B51,efs!$A$74:$A$84,efs!$F$74:$F$84,0,0)</f>
        <v>0</v>
      </c>
      <c r="AI51" s="108">
        <f>NICCS_Fuel_cons!AI13*_xlfn.XLOOKUP($B51,efs!$A$74:$A$84,efs!$F$74:$F$84,0,0)</f>
        <v>0</v>
      </c>
      <c r="AJ51" s="109">
        <f>NICCS_Fuel_cons!AJ13*_xlfn.XLOOKUP($B51,efs!$A$74:$A$84,efs!$F$74:$F$84,0,0)</f>
        <v>0</v>
      </c>
      <c r="AK51" s="55">
        <f t="shared" si="16"/>
        <v>118.48717055697686</v>
      </c>
    </row>
    <row r="52" spans="1:37">
      <c r="A52" s="95" t="s">
        <v>18</v>
      </c>
      <c r="B52" s="4" t="s">
        <v>8</v>
      </c>
      <c r="C52" s="4" t="s">
        <v>53</v>
      </c>
      <c r="D52" s="91" t="s">
        <v>122</v>
      </c>
      <c r="E52" s="110">
        <f>NICCS_Fuel_cons!E14*_xlfn.XLOOKUP($B52,efs!$A$74:$A$84,efs!$F$74:$F$84,0,0)</f>
        <v>1.3098563714456495</v>
      </c>
      <c r="F52" s="18">
        <f>NICCS_Fuel_cons!F14*_xlfn.XLOOKUP($B52,efs!$A$74:$A$84,efs!$F$74:$F$84,0,0)</f>
        <v>1.4826259992488344</v>
      </c>
      <c r="G52" s="18">
        <f>NICCS_Fuel_cons!G14*_xlfn.XLOOKUP($B52,efs!$A$74:$A$84,efs!$F$74:$F$84,0,0)</f>
        <v>1.6625781768802861</v>
      </c>
      <c r="H52" s="18">
        <f>NICCS_Fuel_cons!H14*_xlfn.XLOOKUP($B52,efs!$A$74:$A$84,efs!$F$74:$F$84,0,0)</f>
        <v>1.8497496047672688</v>
      </c>
      <c r="I52" s="18">
        <f>NICCS_Fuel_cons!I14*_xlfn.XLOOKUP($B52,efs!$A$74:$A$84,efs!$F$74:$F$84,0,0)</f>
        <v>2.0442130087901194</v>
      </c>
      <c r="J52" s="18">
        <f>NICCS_Fuel_cons!J14*_xlfn.XLOOKUP($B52,efs!$A$74:$A$84,efs!$F$74:$F$84,0,0)</f>
        <v>2.2460734335584873</v>
      </c>
      <c r="K52" s="18">
        <f>NICCS_Fuel_cons!K14*_xlfn.XLOOKUP($B52,efs!$A$74:$A$84,efs!$F$74:$F$84,0,0)</f>
        <v>2.5682356215269215</v>
      </c>
      <c r="L52" s="18">
        <f>NICCS_Fuel_cons!L14*_xlfn.XLOOKUP($B52,efs!$A$74:$A$84,efs!$F$74:$F$84,0,0)</f>
        <v>2.4518921974110142</v>
      </c>
      <c r="M52" s="18">
        <f>NICCS_Fuel_cons!M14*_xlfn.XLOOKUP($B52,efs!$A$74:$A$84,efs!$F$74:$F$84,0,0)</f>
        <v>2.3278626260423403</v>
      </c>
      <c r="N52" s="18">
        <f>NICCS_Fuel_cons!N14*_xlfn.XLOOKUP($B52,efs!$A$74:$A$84,efs!$F$74:$F$84,0,0)</f>
        <v>2.1959497518085129</v>
      </c>
      <c r="O52" s="18">
        <f>NICCS_Fuel_cons!O14*_xlfn.XLOOKUP($B52,efs!$A$74:$A$84,efs!$F$74:$F$84,0,0)</f>
        <v>2.0559821421474949</v>
      </c>
      <c r="P52" s="18">
        <f>NICCS_Fuel_cons!P14*_xlfn.XLOOKUP($B52,efs!$A$74:$A$84,efs!$F$74:$F$84,0,0)</f>
        <v>1.9078721118534272</v>
      </c>
      <c r="Q52" s="18">
        <f>NICCS_Fuel_cons!Q14*_xlfn.XLOOKUP($B52,efs!$A$74:$A$84,efs!$F$74:$F$84,0,0)</f>
        <v>1.7516323455204519</v>
      </c>
      <c r="R52" s="18">
        <f>NICCS_Fuel_cons!R14*_xlfn.XLOOKUP($B52,efs!$A$74:$A$84,efs!$F$74:$F$84,0,0)</f>
        <v>1.5873395858504686</v>
      </c>
      <c r="S52" s="18">
        <f>NICCS_Fuel_cons!S14*_xlfn.XLOOKUP($B52,efs!$A$74:$A$84,efs!$F$74:$F$84,0,0)</f>
        <v>1.4150935312128887</v>
      </c>
      <c r="T52" s="18">
        <f>NICCS_Fuel_cons!T14*_xlfn.XLOOKUP($B52,efs!$A$74:$A$84,efs!$F$74:$F$84,0,0)</f>
        <v>1.2350341476658244</v>
      </c>
      <c r="U52" s="18">
        <f>NICCS_Fuel_cons!U14*_xlfn.XLOOKUP($B52,efs!$A$74:$A$84,efs!$F$74:$F$84,0,0)</f>
        <v>1.0474374839161342</v>
      </c>
      <c r="V52" s="18">
        <f>NICCS_Fuel_cons!V14*_xlfn.XLOOKUP($B52,efs!$A$74:$A$84,efs!$F$74:$F$84,0,0)</f>
        <v>0.85239968156577195</v>
      </c>
      <c r="W52" s="18">
        <f>NICCS_Fuel_cons!W14*_xlfn.XLOOKUP($B52,efs!$A$74:$A$84,efs!$F$74:$F$84,0,0)</f>
        <v>0.65001209146869088</v>
      </c>
      <c r="X52" s="18">
        <f>NICCS_Fuel_cons!X14*_xlfn.XLOOKUP($B52,efs!$A$74:$A$84,efs!$F$74:$F$84,0,0)</f>
        <v>0.44039088926394626</v>
      </c>
      <c r="Y52" s="18">
        <f>NICCS_Fuel_cons!Y14*_xlfn.XLOOKUP($B52,efs!$A$74:$A$84,efs!$F$74:$F$84,0,0)</f>
        <v>0.22366963519887381</v>
      </c>
      <c r="Z52" s="18">
        <f>NICCS_Fuel_cons!Z14*_xlfn.XLOOKUP($B52,efs!$A$74:$A$84,efs!$F$74:$F$84,0,0)</f>
        <v>0</v>
      </c>
      <c r="AA52" s="18">
        <f>NICCS_Fuel_cons!AA14*_xlfn.XLOOKUP($B52,efs!$A$74:$A$84,efs!$F$74:$F$84,0,0)</f>
        <v>0</v>
      </c>
      <c r="AB52" s="18">
        <f>NICCS_Fuel_cons!AB14*_xlfn.XLOOKUP($B52,efs!$A$74:$A$84,efs!$F$74:$F$84,0,0)</f>
        <v>0</v>
      </c>
      <c r="AC52" s="18">
        <f>NICCS_Fuel_cons!AC14*_xlfn.XLOOKUP($B52,efs!$A$74:$A$84,efs!$F$74:$F$84,0,0)</f>
        <v>0</v>
      </c>
      <c r="AD52" s="18">
        <f>NICCS_Fuel_cons!AD14*_xlfn.XLOOKUP($B52,efs!$A$74:$A$84,efs!$F$74:$F$84,0,0)</f>
        <v>0</v>
      </c>
      <c r="AE52" s="18">
        <f>NICCS_Fuel_cons!AE14*_xlfn.XLOOKUP($B52,efs!$A$74:$A$84,efs!$F$74:$F$84,0,0)</f>
        <v>0</v>
      </c>
      <c r="AF52" s="18">
        <f>NICCS_Fuel_cons!AF14*_xlfn.XLOOKUP($B52,efs!$A$74:$A$84,efs!$F$74:$F$84,0,0)</f>
        <v>0</v>
      </c>
      <c r="AG52" s="18">
        <f>NICCS_Fuel_cons!AG14*_xlfn.XLOOKUP($B52,efs!$A$74:$A$84,efs!$F$74:$F$84,0,0)</f>
        <v>0</v>
      </c>
      <c r="AH52" s="18">
        <f>NICCS_Fuel_cons!AH14*_xlfn.XLOOKUP($B52,efs!$A$74:$A$84,efs!$F$74:$F$84,0,0)</f>
        <v>0</v>
      </c>
      <c r="AI52" s="18">
        <f>NICCS_Fuel_cons!AI14*_xlfn.XLOOKUP($B52,efs!$A$74:$A$84,efs!$F$74:$F$84,0,0)</f>
        <v>0</v>
      </c>
      <c r="AJ52" s="111">
        <f>NICCS_Fuel_cons!AJ14*_xlfn.XLOOKUP($B52,efs!$A$74:$A$84,efs!$F$74:$F$84,0,0)</f>
        <v>0</v>
      </c>
      <c r="AK52" s="55">
        <f t="shared" si="16"/>
        <v>22.710803842452762</v>
      </c>
    </row>
    <row r="53" spans="1:37">
      <c r="A53" s="95" t="s">
        <v>18</v>
      </c>
      <c r="B53" s="4" t="s">
        <v>37</v>
      </c>
      <c r="C53" s="4" t="s">
        <v>53</v>
      </c>
      <c r="D53" s="91" t="s">
        <v>122</v>
      </c>
      <c r="E53" s="110">
        <f>NICCS_Fuel_cons!E15*_xlfn.XLOOKUP($B53,efs!$A$74:$A$84,efs!$F$74:$F$84,0,0)</f>
        <v>0</v>
      </c>
      <c r="F53" s="18">
        <f>NICCS_Fuel_cons!F15*_xlfn.XLOOKUP($B53,efs!$A$74:$A$84,efs!$F$74:$F$84,0,0)</f>
        <v>0</v>
      </c>
      <c r="G53" s="18">
        <f>NICCS_Fuel_cons!G15*_xlfn.XLOOKUP($B53,efs!$A$74:$A$84,efs!$F$74:$F$84,0,0)</f>
        <v>0</v>
      </c>
      <c r="H53" s="18">
        <f>NICCS_Fuel_cons!H15*_xlfn.XLOOKUP($B53,efs!$A$74:$A$84,efs!$F$74:$F$84,0,0)</f>
        <v>0</v>
      </c>
      <c r="I53" s="18">
        <f>NICCS_Fuel_cons!I15*_xlfn.XLOOKUP($B53,efs!$A$74:$A$84,efs!$F$74:$F$84,0,0)</f>
        <v>0</v>
      </c>
      <c r="J53" s="18">
        <f>NICCS_Fuel_cons!J15*_xlfn.XLOOKUP($B53,efs!$A$74:$A$84,efs!$F$74:$F$84,0,0)</f>
        <v>0</v>
      </c>
      <c r="K53" s="18">
        <f>NICCS_Fuel_cons!K15*_xlfn.XLOOKUP($B53,efs!$A$74:$A$84,efs!$F$74:$F$84,0,0)</f>
        <v>0</v>
      </c>
      <c r="L53" s="18">
        <f>NICCS_Fuel_cons!L15*_xlfn.XLOOKUP($B53,efs!$A$74:$A$84,efs!$F$74:$F$84,0,0)</f>
        <v>0.11616486945179433</v>
      </c>
      <c r="M53" s="18">
        <f>NICCS_Fuel_cons!M15*_xlfn.XLOOKUP($B53,efs!$A$74:$A$84,efs!$F$74:$F$84,0,0)</f>
        <v>0.23754476498915814</v>
      </c>
      <c r="N53" s="18">
        <f>NICCS_Fuel_cons!N15*_xlfn.XLOOKUP($B53,efs!$A$74:$A$84,efs!$F$74:$F$84,0,0)</f>
        <v>0.36413622009488011</v>
      </c>
      <c r="O53" s="18">
        <f>NICCS_Fuel_cons!O15*_xlfn.XLOOKUP($B53,efs!$A$74:$A$84,efs!$F$74:$F$84,0,0)</f>
        <v>0.49589315897769159</v>
      </c>
      <c r="P53" s="18">
        <f>NICCS_Fuel_cons!P15*_xlfn.XLOOKUP($B53,efs!$A$74:$A$84,efs!$F$74:$F$84,0,0)</f>
        <v>0.63273336620074305</v>
      </c>
      <c r="Q53" s="18">
        <f>NICCS_Fuel_cons!Q15*_xlfn.XLOOKUP($B53,efs!$A$74:$A$84,efs!$F$74:$F$84,0,0)</f>
        <v>0.77455661969611456</v>
      </c>
      <c r="R53" s="18">
        <f>NICCS_Fuel_cons!R15*_xlfn.XLOOKUP($B53,efs!$A$74:$A$84,efs!$F$74:$F$84,0,0)</f>
        <v>0.92125397092026695</v>
      </c>
      <c r="S53" s="18">
        <f>NICCS_Fuel_cons!S15*_xlfn.XLOOKUP($B53,efs!$A$74:$A$84,efs!$F$74:$F$84,0,0)</f>
        <v>1.0727007034909566</v>
      </c>
      <c r="T53" s="18">
        <f>NICCS_Fuel_cons!T15*_xlfn.XLOOKUP($B53,efs!$A$74:$A$84,efs!$F$74:$F$84,0,0)</f>
        <v>1.2287731060752003</v>
      </c>
      <c r="U53" s="18">
        <f>NICCS_Fuel_cons!U15*_xlfn.XLOOKUP($B53,efs!$A$74:$A$84,efs!$F$74:$F$84,0,0)</f>
        <v>1.3895032921032764</v>
      </c>
      <c r="V53" s="18">
        <f>NICCS_Fuel_cons!V15*_xlfn.XLOOKUP($B53,efs!$A$74:$A$84,efs!$F$74:$F$84,0,0)</f>
        <v>1.5548104303379164</v>
      </c>
      <c r="W53" s="18">
        <f>NICCS_Fuel_cons!W15*_xlfn.XLOOKUP($B53,efs!$A$74:$A$84,efs!$F$74:$F$84,0,0)</f>
        <v>1.7245782299595431</v>
      </c>
      <c r="X53" s="18">
        <f>NICCS_Fuel_cons!X15*_xlfn.XLOOKUP($B53,efs!$A$74:$A$84,efs!$F$74:$F$84,0,0)</f>
        <v>1.8986860308925109</v>
      </c>
      <c r="Y53" s="18">
        <f>NICCS_Fuel_cons!Y15*_xlfn.XLOOKUP($B53,efs!$A$74:$A$84,efs!$F$74:$F$84,0,0)</f>
        <v>2.0770001976946673</v>
      </c>
      <c r="Z53" s="18">
        <f>NICCS_Fuel_cons!Z15*_xlfn.XLOOKUP($B53,efs!$A$74:$A$84,efs!$F$74:$F$84,0,0)</f>
        <v>2.2593777004214863</v>
      </c>
      <c r="AA53" s="18">
        <f>NICCS_Fuel_cons!AA15*_xlfn.XLOOKUP($B53,efs!$A$74:$A$84,efs!$F$74:$F$84,0,0)</f>
        <v>2.2928065716709152</v>
      </c>
      <c r="AB53" s="18">
        <f>NICCS_Fuel_cons!AB15*_xlfn.XLOOKUP($B53,efs!$A$74:$A$84,efs!$F$74:$F$84,0,0)</f>
        <v>2.3255956718922861</v>
      </c>
      <c r="AC53" s="18">
        <f>NICCS_Fuel_cons!AC15*_xlfn.XLOOKUP($B53,efs!$A$74:$A$84,efs!$F$74:$F$84,0,0)</f>
        <v>2.3576901145630864</v>
      </c>
      <c r="AD53" s="18">
        <f>NICCS_Fuel_cons!AD15*_xlfn.XLOOKUP($B53,efs!$A$74:$A$84,efs!$F$74:$F$84,0,0)</f>
        <v>2.3890314924792571</v>
      </c>
      <c r="AE53" s="18">
        <f>NICCS_Fuel_cons!AE15*_xlfn.XLOOKUP($B53,efs!$A$74:$A$84,efs!$F$74:$F$84,0,0)</f>
        <v>2.4195689814431431</v>
      </c>
      <c r="AF53" s="18">
        <f>NICCS_Fuel_cons!AF15*_xlfn.XLOOKUP($B53,efs!$A$74:$A$84,efs!$F$74:$F$84,0,0)</f>
        <v>2.4492540141042287</v>
      </c>
      <c r="AG53" s="18">
        <f>NICCS_Fuel_cons!AG15*_xlfn.XLOOKUP($B53,efs!$A$74:$A$84,efs!$F$74:$F$84,0,0)</f>
        <v>2.478048043513315</v>
      </c>
      <c r="AH53" s="18">
        <f>NICCS_Fuel_cons!AH15*_xlfn.XLOOKUP($B53,efs!$A$74:$A$84,efs!$F$74:$F$84,0,0)</f>
        <v>2.5059201960014859</v>
      </c>
      <c r="AI53" s="18">
        <f>NICCS_Fuel_cons!AI15*_xlfn.XLOOKUP($B53,efs!$A$74:$A$84,efs!$F$74:$F$84,0,0)</f>
        <v>2.5328450143329717</v>
      </c>
      <c r="AJ53" s="111">
        <f>NICCS_Fuel_cons!AJ15*_xlfn.XLOOKUP($B53,efs!$A$74:$A$84,efs!$F$74:$F$84,0,0)</f>
        <v>2.5587931594949147</v>
      </c>
      <c r="AK53" s="55">
        <f t="shared" si="16"/>
        <v>41.057265920801811</v>
      </c>
    </row>
    <row r="54" spans="1:37">
      <c r="A54" s="95" t="s">
        <v>18</v>
      </c>
      <c r="B54" s="4" t="s">
        <v>10</v>
      </c>
      <c r="C54" s="4" t="s">
        <v>53</v>
      </c>
      <c r="D54" s="91" t="s">
        <v>122</v>
      </c>
      <c r="E54" s="110">
        <f>NICCS_Fuel_cons!E16*_xlfn.XLOOKUP($B54,efs!$A$74:$A$84,efs!$F$74:$F$84,0,0)</f>
        <v>0</v>
      </c>
      <c r="F54" s="18">
        <f>NICCS_Fuel_cons!F16*_xlfn.XLOOKUP($B54,efs!$A$74:$A$84,efs!$F$74:$F$84,0,0)</f>
        <v>0</v>
      </c>
      <c r="G54" s="18">
        <f>NICCS_Fuel_cons!G16*_xlfn.XLOOKUP($B54,efs!$A$74:$A$84,efs!$F$74:$F$84,0,0)</f>
        <v>0</v>
      </c>
      <c r="H54" s="18">
        <f>NICCS_Fuel_cons!H16*_xlfn.XLOOKUP($B54,efs!$A$74:$A$84,efs!$F$74:$F$84,0,0)</f>
        <v>0</v>
      </c>
      <c r="I54" s="18">
        <f>NICCS_Fuel_cons!I16*_xlfn.XLOOKUP($B54,efs!$A$74:$A$84,efs!$F$74:$F$84,0,0)</f>
        <v>0</v>
      </c>
      <c r="J54" s="18">
        <f>NICCS_Fuel_cons!J16*_xlfn.XLOOKUP($B54,efs!$A$74:$A$84,efs!$F$74:$F$84,0,0)</f>
        <v>0</v>
      </c>
      <c r="K54" s="18">
        <f>NICCS_Fuel_cons!K16*_xlfn.XLOOKUP($B54,efs!$A$74:$A$84,efs!$F$74:$F$84,0,0)</f>
        <v>0</v>
      </c>
      <c r="L54" s="18">
        <f>NICCS_Fuel_cons!L16*_xlfn.XLOOKUP($B54,efs!$A$74:$A$84,efs!$F$74:$F$84,0,0)</f>
        <v>0.19247136924368574</v>
      </c>
      <c r="M54" s="18">
        <f>NICCS_Fuel_cons!M16*_xlfn.XLOOKUP($B54,efs!$A$74:$A$84,efs!$F$74:$F$84,0,0)</f>
        <v>0.39358341631077853</v>
      </c>
      <c r="N54" s="18">
        <f>NICCS_Fuel_cons!N16*_xlfn.XLOOKUP($B54,efs!$A$74:$A$84,efs!$F$74:$F$84,0,0)</f>
        <v>0.60333039759465013</v>
      </c>
      <c r="O54" s="18">
        <f>NICCS_Fuel_cons!O16*_xlfn.XLOOKUP($B54,efs!$A$74:$A$84,efs!$F$74:$F$84,0,0)</f>
        <v>0.82163597099052865</v>
      </c>
      <c r="P54" s="18">
        <f>NICCS_Fuel_cons!P16*_xlfn.XLOOKUP($B54,efs!$A$74:$A$84,efs!$F$74:$F$84,0,0)</f>
        <v>1.0483639153002324</v>
      </c>
      <c r="Q54" s="18">
        <f>NICCS_Fuel_cons!Q16*_xlfn.XLOOKUP($B54,efs!$A$74:$A$84,efs!$F$74:$F$84,0,0)</f>
        <v>1.2833481744800359</v>
      </c>
      <c r="R54" s="18">
        <f>NICCS_Fuel_cons!R16*_xlfn.XLOOKUP($B54,efs!$A$74:$A$84,efs!$F$74:$F$84,0,0)</f>
        <v>1.5264082337542499</v>
      </c>
      <c r="S54" s="18">
        <f>NICCS_Fuel_cons!S16*_xlfn.XLOOKUP($B54,efs!$A$74:$A$84,efs!$F$74:$F$84,0,0)</f>
        <v>1.7773374529142569</v>
      </c>
      <c r="T54" s="18">
        <f>NICCS_Fuel_cons!T16*_xlfn.XLOOKUP($B54,efs!$A$74:$A$84,efs!$F$74:$F$84,0,0)</f>
        <v>2.0359308569984997</v>
      </c>
      <c r="U54" s="18">
        <f>NICCS_Fuel_cons!U16*_xlfn.XLOOKUP($B54,efs!$A$74:$A$84,efs!$F$74:$F$84,0,0)</f>
        <v>2.3022416541406066</v>
      </c>
      <c r="V54" s="18">
        <f>NICCS_Fuel_cons!V16*_xlfn.XLOOKUP($B54,efs!$A$74:$A$84,efs!$F$74:$F$84,0,0)</f>
        <v>2.5761359165964315</v>
      </c>
      <c r="W54" s="18">
        <f>NICCS_Fuel_cons!W16*_xlfn.XLOOKUP($B54,efs!$A$74:$A$84,efs!$F$74:$F$84,0,0)</f>
        <v>2.8574209643123569</v>
      </c>
      <c r="X54" s="18">
        <f>NICCS_Fuel_cons!X16*_xlfn.XLOOKUP($B54,efs!$A$74:$A$84,efs!$F$74:$F$84,0,0)</f>
        <v>3.1458968778972429</v>
      </c>
      <c r="Y54" s="18">
        <f>NICCS_Fuel_cons!Y16*_xlfn.XLOOKUP($B54,efs!$A$74:$A$84,efs!$F$74:$F$84,0,0)</f>
        <v>3.4413422393212496</v>
      </c>
      <c r="Z54" s="18">
        <f>NICCS_Fuel_cons!Z16*_xlfn.XLOOKUP($B54,efs!$A$74:$A$84,efs!$F$74:$F$84,0,0)</f>
        <v>3.7435200649817144</v>
      </c>
      <c r="AA54" s="18">
        <f>NICCS_Fuel_cons!AA16*_xlfn.XLOOKUP($B54,efs!$A$74:$A$84,efs!$F$74:$F$84,0,0)</f>
        <v>3.7989077278096608</v>
      </c>
      <c r="AB54" s="18">
        <f>NICCS_Fuel_cons!AB16*_xlfn.XLOOKUP($B54,efs!$A$74:$A$84,efs!$F$74:$F$84,0,0)</f>
        <v>3.8532353661538385</v>
      </c>
      <c r="AC54" s="18">
        <f>NICCS_Fuel_cons!AC16*_xlfn.XLOOKUP($B54,efs!$A$74:$A$84,efs!$F$74:$F$84,0,0)</f>
        <v>3.9064120395759647</v>
      </c>
      <c r="AD54" s="18">
        <f>NICCS_Fuel_cons!AD16*_xlfn.XLOOKUP($B54,efs!$A$74:$A$84,efs!$F$74:$F$84,0,0)</f>
        <v>3.9583409742872671</v>
      </c>
      <c r="AE54" s="18">
        <f>NICCS_Fuel_cons!AE16*_xlfn.XLOOKUP($B54,efs!$A$74:$A$84,efs!$F$74:$F$84,0,0)</f>
        <v>4.0089379606384821</v>
      </c>
      <c r="AF54" s="18">
        <f>NICCS_Fuel_cons!AF16*_xlfn.XLOOKUP($B54,efs!$A$74:$A$84,efs!$F$74:$F$84,0,0)</f>
        <v>4.058122528307571</v>
      </c>
      <c r="AG54" s="18">
        <f>NICCS_Fuel_cons!AG16*_xlfn.XLOOKUP($B54,efs!$A$74:$A$84,efs!$F$74:$F$84,0,0)</f>
        <v>4.1058308095854104</v>
      </c>
      <c r="AH54" s="18">
        <f>NICCS_Fuel_cons!AH16*_xlfn.XLOOKUP($B54,efs!$A$74:$A$84,efs!$F$74:$F$84,0,0)</f>
        <v>4.1520116504754645</v>
      </c>
      <c r="AI54" s="18">
        <f>NICCS_Fuel_cons!AI16*_xlfn.XLOOKUP($B54,efs!$A$74:$A$84,efs!$F$74:$F$84,0,0)</f>
        <v>4.1966228713665537</v>
      </c>
      <c r="AJ54" s="111">
        <f>NICCS_Fuel_cons!AJ16*_xlfn.XLOOKUP($B54,efs!$A$74:$A$84,efs!$F$74:$F$84,0,0)</f>
        <v>4.2396158610046601</v>
      </c>
      <c r="AK54" s="55">
        <f t="shared" si="16"/>
        <v>68.027005294041402</v>
      </c>
    </row>
    <row r="55" spans="1:37">
      <c r="A55" s="95" t="s">
        <v>18</v>
      </c>
      <c r="B55" s="4" t="s">
        <v>11</v>
      </c>
      <c r="C55" s="4" t="s">
        <v>53</v>
      </c>
      <c r="D55" s="91" t="s">
        <v>122</v>
      </c>
      <c r="E55" s="110">
        <f>NICCS_Fuel_cons!E17*_xlfn.XLOOKUP($B55,efs!$A$74:$A$84,efs!$F$74:$F$84,0,0)</f>
        <v>3.0402179194820316E-6</v>
      </c>
      <c r="F55" s="18">
        <f>NICCS_Fuel_cons!F17*_xlfn.XLOOKUP($B55,efs!$A$74:$A$84,efs!$F$74:$F$84,0,0)</f>
        <v>3.0051034212694702E-6</v>
      </c>
      <c r="G55" s="18">
        <f>NICCS_Fuel_cons!G17*_xlfn.XLOOKUP($B55,efs!$A$74:$A$84,efs!$F$74:$F$84,0,0)</f>
        <v>2.9648261453137442E-6</v>
      </c>
      <c r="H55" s="18">
        <f>NICCS_Fuel_cons!H17*_xlfn.XLOOKUP($B55,efs!$A$74:$A$84,efs!$F$74:$F$84,0,0)</f>
        <v>2.9192909044549856E-6</v>
      </c>
      <c r="I55" s="18">
        <f>NICCS_Fuel_cons!I17*_xlfn.XLOOKUP($B55,efs!$A$74:$A$84,efs!$F$74:$F$84,0,0)</f>
        <v>2.8684722751621577E-6</v>
      </c>
      <c r="J55" s="18">
        <f>NICCS_Fuel_cons!J17*_xlfn.XLOOKUP($B55,efs!$A$74:$A$84,efs!$F$74:$F$84,0,0)</f>
        <v>2.8123761798096263E-6</v>
      </c>
      <c r="K55" s="18">
        <f>NICCS_Fuel_cons!K17*_xlfn.XLOOKUP($B55,efs!$A$74:$A$84,efs!$F$74:$F$84,0,0)</f>
        <v>2.767208075118395E-6</v>
      </c>
      <c r="L55" s="18">
        <f>NICCS_Fuel_cons!L17*_xlfn.XLOOKUP($B55,efs!$A$74:$A$84,efs!$F$74:$F$84,0,0)</f>
        <v>4.3634782761355442E-4</v>
      </c>
      <c r="M55" s="18">
        <f>NICCS_Fuel_cons!M17*_xlfn.XLOOKUP($B55,efs!$A$74:$A$84,efs!$F$74:$F$84,0,0)</f>
        <v>8.8939066458487118E-4</v>
      </c>
      <c r="N55" s="18">
        <f>NICCS_Fuel_cons!N17*_xlfn.XLOOKUP($B55,efs!$A$74:$A$84,efs!$F$74:$F$84,0,0)</f>
        <v>1.3618825641845485E-3</v>
      </c>
      <c r="O55" s="18">
        <f>NICCS_Fuel_cons!O17*_xlfn.XLOOKUP($B55,efs!$A$74:$A$84,efs!$F$74:$F$84,0,0)</f>
        <v>1.8536513159719923E-3</v>
      </c>
      <c r="P55" s="18">
        <f>NICCS_Fuel_cons!P17*_xlfn.XLOOKUP($B55,efs!$A$74:$A$84,efs!$F$74:$F$84,0,0)</f>
        <v>2.3643898709952418E-3</v>
      </c>
      <c r="Q55" s="18">
        <f>NICCS_Fuel_cons!Q17*_xlfn.XLOOKUP($B55,efs!$A$74:$A$84,efs!$F$74:$F$84,0,0)</f>
        <v>2.8937240600034209E-3</v>
      </c>
      <c r="R55" s="18">
        <f>NICCS_Fuel_cons!R17*_xlfn.XLOOKUP($B55,efs!$A$74:$A$84,efs!$F$74:$F$84,0,0)</f>
        <v>3.4412472021366244E-3</v>
      </c>
      <c r="S55" s="18">
        <f>NICCS_Fuel_cons!S17*_xlfn.XLOOKUP($B55,efs!$A$74:$A$84,efs!$F$74:$F$84,0,0)</f>
        <v>4.0064937714410923E-3</v>
      </c>
      <c r="T55" s="18">
        <f>NICCS_Fuel_cons!T17*_xlfn.XLOOKUP($B55,efs!$A$74:$A$84,efs!$F$74:$F$84,0,0)</f>
        <v>4.5890020377402641E-3</v>
      </c>
      <c r="U55" s="18">
        <f>NICCS_Fuel_cons!U17*_xlfn.XLOOKUP($B55,efs!$A$74:$A$84,efs!$F$74:$F$84,0,0)</f>
        <v>5.1888921951879479E-3</v>
      </c>
      <c r="V55" s="18">
        <f>NICCS_Fuel_cons!V17*_xlfn.XLOOKUP($B55,efs!$A$74:$A$84,efs!$F$74:$F$84,0,0)</f>
        <v>5.8058625608628589E-3</v>
      </c>
      <c r="W55" s="18">
        <f>NICCS_Fuel_cons!W17*_xlfn.XLOOKUP($B55,efs!$A$74:$A$84,efs!$F$74:$F$84,0,0)</f>
        <v>6.4394790569769983E-3</v>
      </c>
      <c r="X55" s="18">
        <f>NICCS_Fuel_cons!X17*_xlfn.XLOOKUP($B55,efs!$A$74:$A$84,efs!$F$74:$F$84,0,0)</f>
        <v>7.0892913197060448E-3</v>
      </c>
      <c r="Y55" s="18">
        <f>NICCS_Fuel_cons!Y17*_xlfn.XLOOKUP($B55,efs!$A$74:$A$84,efs!$F$74:$F$84,0,0)</f>
        <v>7.7548005599307373E-3</v>
      </c>
      <c r="Z55" s="18">
        <f>NICCS_Fuel_cons!Z17*_xlfn.XLOOKUP($B55,efs!$A$74:$A$84,efs!$F$74:$F$84,0,0)</f>
        <v>8.4354729333120018E-3</v>
      </c>
      <c r="AA55" s="18">
        <f>NICCS_Fuel_cons!AA17*_xlfn.XLOOKUP($B55,efs!$A$74:$A$84,efs!$F$74:$F$84,0,0)</f>
        <v>8.5602809008170008E-3</v>
      </c>
      <c r="AB55" s="18">
        <f>NICCS_Fuel_cons!AB17*_xlfn.XLOOKUP($B55,efs!$A$74:$A$84,efs!$F$74:$F$84,0,0)</f>
        <v>8.6827002587550016E-3</v>
      </c>
      <c r="AC55" s="18">
        <f>NICCS_Fuel_cons!AC17*_xlfn.XLOOKUP($B55,efs!$A$74:$A$84,efs!$F$74:$F$84,0,0)</f>
        <v>8.8025260861980016E-3</v>
      </c>
      <c r="AD55" s="18">
        <f>NICCS_Fuel_cons!AD17*_xlfn.XLOOKUP($B55,efs!$A$74:$A$84,efs!$F$74:$F$84,0,0)</f>
        <v>8.9195403176189989E-3</v>
      </c>
      <c r="AE55" s="18">
        <f>NICCS_Fuel_cons!AE17*_xlfn.XLOOKUP($B55,efs!$A$74:$A$84,efs!$F$74:$F$84,0,0)</f>
        <v>9.0335531989350019E-3</v>
      </c>
      <c r="AF55" s="18">
        <f>NICCS_Fuel_cons!AF17*_xlfn.XLOOKUP($B55,efs!$A$74:$A$84,efs!$F$74:$F$84,0,0)</f>
        <v>9.1443834020880008E-3</v>
      </c>
      <c r="AG55" s="18">
        <f>NICCS_Fuel_cons!AG17*_xlfn.XLOOKUP($B55,efs!$A$74:$A$84,efs!$F$74:$F$84,0,0)</f>
        <v>9.251887010571001E-3</v>
      </c>
      <c r="AH55" s="18">
        <f>NICCS_Fuel_cons!AH17*_xlfn.XLOOKUP($B55,efs!$A$74:$A$84,efs!$F$74:$F$84,0,0)</f>
        <v>9.3559487563619984E-3</v>
      </c>
      <c r="AI55" s="18">
        <f>NICCS_Fuel_cons!AI17*_xlfn.XLOOKUP($B55,efs!$A$74:$A$84,efs!$F$74:$F$84,0,0)</f>
        <v>9.4564735938990011E-3</v>
      </c>
      <c r="AJ55" s="111">
        <f>NICCS_Fuel_cons!AJ17*_xlfn.XLOOKUP($B55,efs!$A$74:$A$84,efs!$F$74:$F$84,0,0)</f>
        <v>9.5533519848570014E-3</v>
      </c>
      <c r="AK55" s="55">
        <f t="shared" si="16"/>
        <v>0.15331334065882432</v>
      </c>
    </row>
    <row r="56" spans="1:37">
      <c r="A56" s="95" t="s">
        <v>18</v>
      </c>
      <c r="B56" s="4" t="s">
        <v>12</v>
      </c>
      <c r="C56" s="4" t="s">
        <v>53</v>
      </c>
      <c r="D56" s="91" t="s">
        <v>122</v>
      </c>
      <c r="E56" s="110">
        <f>NICCS_Fuel_cons!E18*_xlfn.XLOOKUP($B56,efs!$A$74:$A$84,efs!$F$74:$F$84,0,0)</f>
        <v>0</v>
      </c>
      <c r="F56" s="18">
        <f>NICCS_Fuel_cons!F18*_xlfn.XLOOKUP($B56,efs!$A$74:$A$84,efs!$F$74:$F$84,0,0)</f>
        <v>0</v>
      </c>
      <c r="G56" s="18">
        <f>NICCS_Fuel_cons!G18*_xlfn.XLOOKUP($B56,efs!$A$74:$A$84,efs!$F$74:$F$84,0,0)</f>
        <v>0</v>
      </c>
      <c r="H56" s="18">
        <f>NICCS_Fuel_cons!H18*_xlfn.XLOOKUP($B56,efs!$A$74:$A$84,efs!$F$74:$F$84,0,0)</f>
        <v>0</v>
      </c>
      <c r="I56" s="18">
        <f>NICCS_Fuel_cons!I18*_xlfn.XLOOKUP($B56,efs!$A$74:$A$84,efs!$F$74:$F$84,0,0)</f>
        <v>0</v>
      </c>
      <c r="J56" s="18">
        <f>NICCS_Fuel_cons!J18*_xlfn.XLOOKUP($B56,efs!$A$74:$A$84,efs!$F$74:$F$84,0,0)</f>
        <v>0</v>
      </c>
      <c r="K56" s="18">
        <f>NICCS_Fuel_cons!K18*_xlfn.XLOOKUP($B56,efs!$A$74:$A$84,efs!$F$74:$F$84,0,0)</f>
        <v>0</v>
      </c>
      <c r="L56" s="18">
        <f>NICCS_Fuel_cons!L18*_xlfn.XLOOKUP($B56,efs!$A$74:$A$84,efs!$F$74:$F$84,0,0)</f>
        <v>0</v>
      </c>
      <c r="M56" s="18">
        <f>NICCS_Fuel_cons!M18*_xlfn.XLOOKUP($B56,efs!$A$74:$A$84,efs!$F$74:$F$84,0,0)</f>
        <v>0</v>
      </c>
      <c r="N56" s="18">
        <f>NICCS_Fuel_cons!N18*_xlfn.XLOOKUP($B56,efs!$A$74:$A$84,efs!$F$74:$F$84,0,0)</f>
        <v>0</v>
      </c>
      <c r="O56" s="18">
        <f>NICCS_Fuel_cons!O18*_xlfn.XLOOKUP($B56,efs!$A$74:$A$84,efs!$F$74:$F$84,0,0)</f>
        <v>0</v>
      </c>
      <c r="P56" s="18">
        <f>NICCS_Fuel_cons!P18*_xlfn.XLOOKUP($B56,efs!$A$74:$A$84,efs!$F$74:$F$84,0,0)</f>
        <v>0</v>
      </c>
      <c r="Q56" s="18">
        <f>NICCS_Fuel_cons!Q18*_xlfn.XLOOKUP($B56,efs!$A$74:$A$84,efs!$F$74:$F$84,0,0)</f>
        <v>0</v>
      </c>
      <c r="R56" s="18">
        <f>NICCS_Fuel_cons!R18*_xlfn.XLOOKUP($B56,efs!$A$74:$A$84,efs!$F$74:$F$84,0,0)</f>
        <v>0</v>
      </c>
      <c r="S56" s="18">
        <f>NICCS_Fuel_cons!S18*_xlfn.XLOOKUP($B56,efs!$A$74:$A$84,efs!$F$74:$F$84,0,0)</f>
        <v>0</v>
      </c>
      <c r="T56" s="18">
        <f>NICCS_Fuel_cons!T18*_xlfn.XLOOKUP($B56,efs!$A$74:$A$84,efs!$F$74:$F$84,0,0)</f>
        <v>0</v>
      </c>
      <c r="U56" s="18">
        <f>NICCS_Fuel_cons!U18*_xlfn.XLOOKUP($B56,efs!$A$74:$A$84,efs!$F$74:$F$84,0,0)</f>
        <v>0</v>
      </c>
      <c r="V56" s="18">
        <f>NICCS_Fuel_cons!V18*_xlfn.XLOOKUP($B56,efs!$A$74:$A$84,efs!$F$74:$F$84,0,0)</f>
        <v>0</v>
      </c>
      <c r="W56" s="18">
        <f>NICCS_Fuel_cons!W18*_xlfn.XLOOKUP($B56,efs!$A$74:$A$84,efs!$F$74:$F$84,0,0)</f>
        <v>0</v>
      </c>
      <c r="X56" s="18">
        <f>NICCS_Fuel_cons!X18*_xlfn.XLOOKUP($B56,efs!$A$74:$A$84,efs!$F$74:$F$84,0,0)</f>
        <v>0</v>
      </c>
      <c r="Y56" s="18">
        <f>NICCS_Fuel_cons!Y18*_xlfn.XLOOKUP($B56,efs!$A$74:$A$84,efs!$F$74:$F$84,0,0)</f>
        <v>0</v>
      </c>
      <c r="Z56" s="18">
        <f>NICCS_Fuel_cons!Z18*_xlfn.XLOOKUP($B56,efs!$A$74:$A$84,efs!$F$74:$F$84,0,0)</f>
        <v>0</v>
      </c>
      <c r="AA56" s="18">
        <f>NICCS_Fuel_cons!AA18*_xlfn.XLOOKUP($B56,efs!$A$74:$A$84,efs!$F$74:$F$84,0,0)</f>
        <v>0</v>
      </c>
      <c r="AB56" s="18">
        <f>NICCS_Fuel_cons!AB18*_xlfn.XLOOKUP($B56,efs!$A$74:$A$84,efs!$F$74:$F$84,0,0)</f>
        <v>0</v>
      </c>
      <c r="AC56" s="18">
        <f>NICCS_Fuel_cons!AC18*_xlfn.XLOOKUP($B56,efs!$A$74:$A$84,efs!$F$74:$F$84,0,0)</f>
        <v>0</v>
      </c>
      <c r="AD56" s="18">
        <f>NICCS_Fuel_cons!AD18*_xlfn.XLOOKUP($B56,efs!$A$74:$A$84,efs!$F$74:$F$84,0,0)</f>
        <v>0</v>
      </c>
      <c r="AE56" s="18">
        <f>NICCS_Fuel_cons!AE18*_xlfn.XLOOKUP($B56,efs!$A$74:$A$84,efs!$F$74:$F$84,0,0)</f>
        <v>0</v>
      </c>
      <c r="AF56" s="18">
        <f>NICCS_Fuel_cons!AF18*_xlfn.XLOOKUP($B56,efs!$A$74:$A$84,efs!$F$74:$F$84,0,0)</f>
        <v>0</v>
      </c>
      <c r="AG56" s="18">
        <f>NICCS_Fuel_cons!AG18*_xlfn.XLOOKUP($B56,efs!$A$74:$A$84,efs!$F$74:$F$84,0,0)</f>
        <v>0</v>
      </c>
      <c r="AH56" s="18">
        <f>NICCS_Fuel_cons!AH18*_xlfn.XLOOKUP($B56,efs!$A$74:$A$84,efs!$F$74:$F$84,0,0)</f>
        <v>0</v>
      </c>
      <c r="AI56" s="18">
        <f>NICCS_Fuel_cons!AI18*_xlfn.XLOOKUP($B56,efs!$A$74:$A$84,efs!$F$74:$F$84,0,0)</f>
        <v>0</v>
      </c>
      <c r="AJ56" s="111">
        <f>NICCS_Fuel_cons!AJ18*_xlfn.XLOOKUP($B56,efs!$A$74:$A$84,efs!$F$74:$F$84,0,0)</f>
        <v>0</v>
      </c>
      <c r="AK56" s="55">
        <f t="shared" si="16"/>
        <v>0</v>
      </c>
    </row>
    <row r="57" spans="1:37">
      <c r="A57" s="95" t="s">
        <v>18</v>
      </c>
      <c r="B57" s="4" t="s">
        <v>13</v>
      </c>
      <c r="C57" s="4" t="s">
        <v>53</v>
      </c>
      <c r="D57" s="91" t="s">
        <v>122</v>
      </c>
      <c r="E57" s="110">
        <f>NICCS_Fuel_cons!E19*_xlfn.XLOOKUP($B57,efs!$A$74:$A$84,efs!$F$74:$F$84,0,0)</f>
        <v>0</v>
      </c>
      <c r="F57" s="18">
        <f>NICCS_Fuel_cons!F19*_xlfn.XLOOKUP($B57,efs!$A$74:$A$84,efs!$F$74:$F$84,0,0)</f>
        <v>0</v>
      </c>
      <c r="G57" s="18">
        <f>NICCS_Fuel_cons!G19*_xlfn.XLOOKUP($B57,efs!$A$74:$A$84,efs!$F$74:$F$84,0,0)</f>
        <v>0</v>
      </c>
      <c r="H57" s="18">
        <f>NICCS_Fuel_cons!H19*_xlfn.XLOOKUP($B57,efs!$A$74:$A$84,efs!$F$74:$F$84,0,0)</f>
        <v>0</v>
      </c>
      <c r="I57" s="18">
        <f>NICCS_Fuel_cons!I19*_xlfn.XLOOKUP($B57,efs!$A$74:$A$84,efs!$F$74:$F$84,0,0)</f>
        <v>0</v>
      </c>
      <c r="J57" s="18">
        <f>NICCS_Fuel_cons!J19*_xlfn.XLOOKUP($B57,efs!$A$74:$A$84,efs!$F$74:$F$84,0,0)</f>
        <v>0</v>
      </c>
      <c r="K57" s="18">
        <f>NICCS_Fuel_cons!K19*_xlfn.XLOOKUP($B57,efs!$A$74:$A$84,efs!$F$74:$F$84,0,0)</f>
        <v>0</v>
      </c>
      <c r="L57" s="18">
        <f>NICCS_Fuel_cons!L19*_xlfn.XLOOKUP($B57,efs!$A$74:$A$84,efs!$F$74:$F$84,0,0)</f>
        <v>0</v>
      </c>
      <c r="M57" s="18">
        <f>NICCS_Fuel_cons!M19*_xlfn.XLOOKUP($B57,efs!$A$74:$A$84,efs!$F$74:$F$84,0,0)</f>
        <v>0</v>
      </c>
      <c r="N57" s="18">
        <f>NICCS_Fuel_cons!N19*_xlfn.XLOOKUP($B57,efs!$A$74:$A$84,efs!$F$74:$F$84,0,0)</f>
        <v>0</v>
      </c>
      <c r="O57" s="18">
        <f>NICCS_Fuel_cons!O19*_xlfn.XLOOKUP($B57,efs!$A$74:$A$84,efs!$F$74:$F$84,0,0)</f>
        <v>0</v>
      </c>
      <c r="P57" s="18">
        <f>NICCS_Fuel_cons!P19*_xlfn.XLOOKUP($B57,efs!$A$74:$A$84,efs!$F$74:$F$84,0,0)</f>
        <v>0</v>
      </c>
      <c r="Q57" s="18">
        <f>NICCS_Fuel_cons!Q19*_xlfn.XLOOKUP($B57,efs!$A$74:$A$84,efs!$F$74:$F$84,0,0)</f>
        <v>0</v>
      </c>
      <c r="R57" s="18">
        <f>NICCS_Fuel_cons!R19*_xlfn.XLOOKUP($B57,efs!$A$74:$A$84,efs!$F$74:$F$84,0,0)</f>
        <v>0</v>
      </c>
      <c r="S57" s="18">
        <f>NICCS_Fuel_cons!S19*_xlfn.XLOOKUP($B57,efs!$A$74:$A$84,efs!$F$74:$F$84,0,0)</f>
        <v>0</v>
      </c>
      <c r="T57" s="18">
        <f>NICCS_Fuel_cons!T19*_xlfn.XLOOKUP($B57,efs!$A$74:$A$84,efs!$F$74:$F$84,0,0)</f>
        <v>0</v>
      </c>
      <c r="U57" s="18">
        <f>NICCS_Fuel_cons!U19*_xlfn.XLOOKUP($B57,efs!$A$74:$A$84,efs!$F$74:$F$84,0,0)</f>
        <v>0</v>
      </c>
      <c r="V57" s="18">
        <f>NICCS_Fuel_cons!V19*_xlfn.XLOOKUP($B57,efs!$A$74:$A$84,efs!$F$74:$F$84,0,0)</f>
        <v>0</v>
      </c>
      <c r="W57" s="18">
        <f>NICCS_Fuel_cons!W19*_xlfn.XLOOKUP($B57,efs!$A$74:$A$84,efs!$F$74:$F$84,0,0)</f>
        <v>0</v>
      </c>
      <c r="X57" s="18">
        <f>NICCS_Fuel_cons!X19*_xlfn.XLOOKUP($B57,efs!$A$74:$A$84,efs!$F$74:$F$84,0,0)</f>
        <v>0</v>
      </c>
      <c r="Y57" s="18">
        <f>NICCS_Fuel_cons!Y19*_xlfn.XLOOKUP($B57,efs!$A$74:$A$84,efs!$F$74:$F$84,0,0)</f>
        <v>0</v>
      </c>
      <c r="Z57" s="18">
        <f>NICCS_Fuel_cons!Z19*_xlfn.XLOOKUP($B57,efs!$A$74:$A$84,efs!$F$74:$F$84,0,0)</f>
        <v>0</v>
      </c>
      <c r="AA57" s="18">
        <f>NICCS_Fuel_cons!AA19*_xlfn.XLOOKUP($B57,efs!$A$74:$A$84,efs!$F$74:$F$84,0,0)</f>
        <v>0</v>
      </c>
      <c r="AB57" s="18">
        <f>NICCS_Fuel_cons!AB19*_xlfn.XLOOKUP($B57,efs!$A$74:$A$84,efs!$F$74:$F$84,0,0)</f>
        <v>0</v>
      </c>
      <c r="AC57" s="18">
        <f>NICCS_Fuel_cons!AC19*_xlfn.XLOOKUP($B57,efs!$A$74:$A$84,efs!$F$74:$F$84,0,0)</f>
        <v>0</v>
      </c>
      <c r="AD57" s="18">
        <f>NICCS_Fuel_cons!AD19*_xlfn.XLOOKUP($B57,efs!$A$74:$A$84,efs!$F$74:$F$84,0,0)</f>
        <v>0</v>
      </c>
      <c r="AE57" s="18">
        <f>NICCS_Fuel_cons!AE19*_xlfn.XLOOKUP($B57,efs!$A$74:$A$84,efs!$F$74:$F$84,0,0)</f>
        <v>0</v>
      </c>
      <c r="AF57" s="18">
        <f>NICCS_Fuel_cons!AF19*_xlfn.XLOOKUP($B57,efs!$A$74:$A$84,efs!$F$74:$F$84,0,0)</f>
        <v>0</v>
      </c>
      <c r="AG57" s="18">
        <f>NICCS_Fuel_cons!AG19*_xlfn.XLOOKUP($B57,efs!$A$74:$A$84,efs!$F$74:$F$84,0,0)</f>
        <v>0</v>
      </c>
      <c r="AH57" s="18">
        <f>NICCS_Fuel_cons!AH19*_xlfn.XLOOKUP($B57,efs!$A$74:$A$84,efs!$F$74:$F$84,0,0)</f>
        <v>0</v>
      </c>
      <c r="AI57" s="18">
        <f>NICCS_Fuel_cons!AI19*_xlfn.XLOOKUP($B57,efs!$A$74:$A$84,efs!$F$74:$F$84,0,0)</f>
        <v>0</v>
      </c>
      <c r="AJ57" s="111">
        <f>NICCS_Fuel_cons!AJ19*_xlfn.XLOOKUP($B57,efs!$A$74:$A$84,efs!$F$74:$F$84,0,0)</f>
        <v>0</v>
      </c>
      <c r="AK57" s="55">
        <f t="shared" si="16"/>
        <v>0</v>
      </c>
    </row>
    <row r="58" spans="1:37">
      <c r="A58" s="95" t="s">
        <v>18</v>
      </c>
      <c r="B58" s="4" t="s">
        <v>14</v>
      </c>
      <c r="C58" s="4" t="s">
        <v>53</v>
      </c>
      <c r="D58" s="91" t="s">
        <v>122</v>
      </c>
      <c r="E58" s="110">
        <f>NICCS_Fuel_cons!E20*_xlfn.XLOOKUP($B58,efs!$A$74:$A$84,efs!$F$74:$F$84,0,0)</f>
        <v>0</v>
      </c>
      <c r="F58" s="18">
        <f>NICCS_Fuel_cons!F20*_xlfn.XLOOKUP($B58,efs!$A$74:$A$84,efs!$F$74:$F$84,0,0)</f>
        <v>0</v>
      </c>
      <c r="G58" s="18">
        <f>NICCS_Fuel_cons!G20*_xlfn.XLOOKUP($B58,efs!$A$74:$A$84,efs!$F$74:$F$84,0,0)</f>
        <v>0</v>
      </c>
      <c r="H58" s="18">
        <f>NICCS_Fuel_cons!H20*_xlfn.XLOOKUP($B58,efs!$A$74:$A$84,efs!$F$74:$F$84,0,0)</f>
        <v>0</v>
      </c>
      <c r="I58" s="18">
        <f>NICCS_Fuel_cons!I20*_xlfn.XLOOKUP($B58,efs!$A$74:$A$84,efs!$F$74:$F$84,0,0)</f>
        <v>0</v>
      </c>
      <c r="J58" s="18">
        <f>NICCS_Fuel_cons!J20*_xlfn.XLOOKUP($B58,efs!$A$74:$A$84,efs!$F$74:$F$84,0,0)</f>
        <v>0</v>
      </c>
      <c r="K58" s="18">
        <f>NICCS_Fuel_cons!K20*_xlfn.XLOOKUP($B58,efs!$A$74:$A$84,efs!$F$74:$F$84,0,0)</f>
        <v>0</v>
      </c>
      <c r="L58" s="18">
        <f>NICCS_Fuel_cons!L20*_xlfn.XLOOKUP($B58,efs!$A$74:$A$84,efs!$F$74:$F$84,0,0)</f>
        <v>0</v>
      </c>
      <c r="M58" s="18">
        <f>NICCS_Fuel_cons!M20*_xlfn.XLOOKUP($B58,efs!$A$74:$A$84,efs!$F$74:$F$84,0,0)</f>
        <v>0</v>
      </c>
      <c r="N58" s="18">
        <f>NICCS_Fuel_cons!N20*_xlfn.XLOOKUP($B58,efs!$A$74:$A$84,efs!$F$74:$F$84,0,0)</f>
        <v>0</v>
      </c>
      <c r="O58" s="18">
        <f>NICCS_Fuel_cons!O20*_xlfn.XLOOKUP($B58,efs!$A$74:$A$84,efs!$F$74:$F$84,0,0)</f>
        <v>0</v>
      </c>
      <c r="P58" s="18">
        <f>NICCS_Fuel_cons!P20*_xlfn.XLOOKUP($B58,efs!$A$74:$A$84,efs!$F$74:$F$84,0,0)</f>
        <v>0</v>
      </c>
      <c r="Q58" s="18">
        <f>NICCS_Fuel_cons!Q20*_xlfn.XLOOKUP($B58,efs!$A$74:$A$84,efs!$F$74:$F$84,0,0)</f>
        <v>0</v>
      </c>
      <c r="R58" s="18">
        <f>NICCS_Fuel_cons!R20*_xlfn.XLOOKUP($B58,efs!$A$74:$A$84,efs!$F$74:$F$84,0,0)</f>
        <v>0</v>
      </c>
      <c r="S58" s="18">
        <f>NICCS_Fuel_cons!S20*_xlfn.XLOOKUP($B58,efs!$A$74:$A$84,efs!$F$74:$F$84,0,0)</f>
        <v>0</v>
      </c>
      <c r="T58" s="18">
        <f>NICCS_Fuel_cons!T20*_xlfn.XLOOKUP($B58,efs!$A$74:$A$84,efs!$F$74:$F$84,0,0)</f>
        <v>0</v>
      </c>
      <c r="U58" s="18">
        <f>NICCS_Fuel_cons!U20*_xlfn.XLOOKUP($B58,efs!$A$74:$A$84,efs!$F$74:$F$84,0,0)</f>
        <v>0</v>
      </c>
      <c r="V58" s="18">
        <f>NICCS_Fuel_cons!V20*_xlfn.XLOOKUP($B58,efs!$A$74:$A$84,efs!$F$74:$F$84,0,0)</f>
        <v>0</v>
      </c>
      <c r="W58" s="18">
        <f>NICCS_Fuel_cons!W20*_xlfn.XLOOKUP($B58,efs!$A$74:$A$84,efs!$F$74:$F$84,0,0)</f>
        <v>0</v>
      </c>
      <c r="X58" s="18">
        <f>NICCS_Fuel_cons!X20*_xlfn.XLOOKUP($B58,efs!$A$74:$A$84,efs!$F$74:$F$84,0,0)</f>
        <v>0</v>
      </c>
      <c r="Y58" s="18">
        <f>NICCS_Fuel_cons!Y20*_xlfn.XLOOKUP($B58,efs!$A$74:$A$84,efs!$F$74:$F$84,0,0)</f>
        <v>0</v>
      </c>
      <c r="Z58" s="18">
        <f>NICCS_Fuel_cons!Z20*_xlfn.XLOOKUP($B58,efs!$A$74:$A$84,efs!$F$74:$F$84,0,0)</f>
        <v>0</v>
      </c>
      <c r="AA58" s="18">
        <f>NICCS_Fuel_cons!AA20*_xlfn.XLOOKUP($B58,efs!$A$74:$A$84,efs!$F$74:$F$84,0,0)</f>
        <v>0</v>
      </c>
      <c r="AB58" s="18">
        <f>NICCS_Fuel_cons!AB20*_xlfn.XLOOKUP($B58,efs!$A$74:$A$84,efs!$F$74:$F$84,0,0)</f>
        <v>0</v>
      </c>
      <c r="AC58" s="18">
        <f>NICCS_Fuel_cons!AC20*_xlfn.XLOOKUP($B58,efs!$A$74:$A$84,efs!$F$74:$F$84,0,0)</f>
        <v>0</v>
      </c>
      <c r="AD58" s="18">
        <f>NICCS_Fuel_cons!AD20*_xlfn.XLOOKUP($B58,efs!$A$74:$A$84,efs!$F$74:$F$84,0,0)</f>
        <v>0</v>
      </c>
      <c r="AE58" s="18">
        <f>NICCS_Fuel_cons!AE20*_xlfn.XLOOKUP($B58,efs!$A$74:$A$84,efs!$F$74:$F$84,0,0)</f>
        <v>0</v>
      </c>
      <c r="AF58" s="18">
        <f>NICCS_Fuel_cons!AF20*_xlfn.XLOOKUP($B58,efs!$A$74:$A$84,efs!$F$74:$F$84,0,0)</f>
        <v>0</v>
      </c>
      <c r="AG58" s="18">
        <f>NICCS_Fuel_cons!AG20*_xlfn.XLOOKUP($B58,efs!$A$74:$A$84,efs!$F$74:$F$84,0,0)</f>
        <v>0</v>
      </c>
      <c r="AH58" s="18">
        <f>NICCS_Fuel_cons!AH20*_xlfn.XLOOKUP($B58,efs!$A$74:$A$84,efs!$F$74:$F$84,0,0)</f>
        <v>0</v>
      </c>
      <c r="AI58" s="18">
        <f>NICCS_Fuel_cons!AI20*_xlfn.XLOOKUP($B58,efs!$A$74:$A$84,efs!$F$74:$F$84,0,0)</f>
        <v>0</v>
      </c>
      <c r="AJ58" s="111">
        <f>NICCS_Fuel_cons!AJ20*_xlfn.XLOOKUP($B58,efs!$A$74:$A$84,efs!$F$74:$F$84,0,0)</f>
        <v>0</v>
      </c>
      <c r="AK58" s="55">
        <f t="shared" si="16"/>
        <v>0</v>
      </c>
    </row>
    <row r="59" spans="1:37">
      <c r="A59" s="95" t="s">
        <v>18</v>
      </c>
      <c r="B59" s="4" t="s">
        <v>15</v>
      </c>
      <c r="C59" s="4" t="s">
        <v>53</v>
      </c>
      <c r="D59" s="91" t="s">
        <v>122</v>
      </c>
      <c r="E59" s="110">
        <f>NICCS_Fuel_cons!E21*_xlfn.XLOOKUP($B59,efs!$A$74:$A$84,efs!$F$74:$F$84,0,0)</f>
        <v>0</v>
      </c>
      <c r="F59" s="18">
        <f>NICCS_Fuel_cons!F21*_xlfn.XLOOKUP($B59,efs!$A$74:$A$84,efs!$F$74:$F$84,0,0)</f>
        <v>0</v>
      </c>
      <c r="G59" s="18">
        <f>NICCS_Fuel_cons!G21*_xlfn.XLOOKUP($B59,efs!$A$74:$A$84,efs!$F$74:$F$84,0,0)</f>
        <v>0</v>
      </c>
      <c r="H59" s="18">
        <f>NICCS_Fuel_cons!H21*_xlfn.XLOOKUP($B59,efs!$A$74:$A$84,efs!$F$74:$F$84,0,0)</f>
        <v>0</v>
      </c>
      <c r="I59" s="18">
        <f>NICCS_Fuel_cons!I21*_xlfn.XLOOKUP($B59,efs!$A$74:$A$84,efs!$F$74:$F$84,0,0)</f>
        <v>0</v>
      </c>
      <c r="J59" s="18">
        <f>NICCS_Fuel_cons!J21*_xlfn.XLOOKUP($B59,efs!$A$74:$A$84,efs!$F$74:$F$84,0,0)</f>
        <v>0</v>
      </c>
      <c r="K59" s="18">
        <f>NICCS_Fuel_cons!K21*_xlfn.XLOOKUP($B59,efs!$A$74:$A$84,efs!$F$74:$F$84,0,0)</f>
        <v>0</v>
      </c>
      <c r="L59" s="18">
        <f>NICCS_Fuel_cons!L21*_xlfn.XLOOKUP($B59,efs!$A$74:$A$84,efs!$F$74:$F$84,0,0)</f>
        <v>2.0082936847339509E-3</v>
      </c>
      <c r="M59" s="18">
        <f>NICCS_Fuel_cons!M21*_xlfn.XLOOKUP($B59,efs!$A$74:$A$84,efs!$F$74:$F$84,0,0)</f>
        <v>4.1067463306305799E-3</v>
      </c>
      <c r="N59" s="18">
        <f>NICCS_Fuel_cons!N21*_xlfn.XLOOKUP($B59,efs!$A$74:$A$84,efs!$F$74:$F$84,0,0)</f>
        <v>6.2952980074833104E-3</v>
      </c>
      <c r="O59" s="18">
        <f>NICCS_Fuel_cons!O21*_xlfn.XLOOKUP($B59,efs!$A$74:$A$84,efs!$F$74:$F$84,0,0)</f>
        <v>8.5731521429629944E-3</v>
      </c>
      <c r="P59" s="18">
        <f>NICCS_Fuel_cons!P21*_xlfn.XLOOKUP($B59,efs!$A$74:$A$84,efs!$F$74:$F$84,0,0)</f>
        <v>1.0938887371527786E-2</v>
      </c>
      <c r="Q59" s="18">
        <f>NICCS_Fuel_cons!Q21*_xlfn.XLOOKUP($B59,efs!$A$74:$A$84,efs!$F$74:$F$84,0,0)</f>
        <v>1.3390771023507194E-2</v>
      </c>
      <c r="R59" s="18">
        <f>NICCS_Fuel_cons!R21*_xlfn.XLOOKUP($B59,efs!$A$74:$A$84,efs!$F$74:$F$84,0,0)</f>
        <v>1.5926919563259312E-2</v>
      </c>
      <c r="S59" s="18">
        <f>NICCS_Fuel_cons!S21*_xlfn.XLOOKUP($B59,efs!$A$74:$A$84,efs!$F$74:$F$84,0,0)</f>
        <v>1.8545176855938681E-2</v>
      </c>
      <c r="T59" s="18">
        <f>NICCS_Fuel_cons!T21*_xlfn.XLOOKUP($B59,efs!$A$74:$A$84,efs!$F$74:$F$84,0,0)</f>
        <v>2.1243404142297927E-2</v>
      </c>
      <c r="U59" s="18">
        <f>NICCS_Fuel_cons!U21*_xlfn.XLOOKUP($B59,efs!$A$74:$A$84,efs!$F$74:$F$84,0,0)</f>
        <v>2.402215660911192E-2</v>
      </c>
      <c r="V59" s="18">
        <f>NICCS_Fuel_cons!V21*_xlfn.XLOOKUP($B59,efs!$A$74:$A$84,efs!$F$74:$F$84,0,0)</f>
        <v>2.6880036821303237E-2</v>
      </c>
      <c r="W59" s="18">
        <f>NICCS_Fuel_cons!W21*_xlfn.XLOOKUP($B59,efs!$A$74:$A$84,efs!$F$74:$F$84,0,0)</f>
        <v>2.9815034307722962E-2</v>
      </c>
      <c r="X59" s="18">
        <f>NICCS_Fuel_cons!X21*_xlfn.XLOOKUP($B59,efs!$A$74:$A$84,efs!$F$74:$F$84,0,0)</f>
        <v>3.2825063060190979E-2</v>
      </c>
      <c r="Y59" s="18">
        <f>NICCS_Fuel_cons!Y21*_xlfn.XLOOKUP($B59,efs!$A$74:$A$84,efs!$F$74:$F$84,0,0)</f>
        <v>3.5907812748434485E-2</v>
      </c>
      <c r="Z59" s="18">
        <f>NICCS_Fuel_cons!Z21*_xlfn.XLOOKUP($B59,efs!$A$74:$A$84,efs!$F$74:$F$84,0,0)</f>
        <v>3.9060810627159014E-2</v>
      </c>
      <c r="AA59" s="18">
        <f>NICCS_Fuel_cons!AA21*_xlfn.XLOOKUP($B59,efs!$A$74:$A$84,efs!$F$74:$F$84,0,0)</f>
        <v>3.9638739146640296E-2</v>
      </c>
      <c r="AB59" s="18">
        <f>NICCS_Fuel_cons!AB21*_xlfn.XLOOKUP($B59,efs!$A$74:$A$84,efs!$F$74:$F$84,0,0)</f>
        <v>4.0205607109505909E-2</v>
      </c>
      <c r="AC59" s="18">
        <f>NICCS_Fuel_cons!AC21*_xlfn.XLOOKUP($B59,efs!$A$74:$A$84,efs!$F$74:$F$84,0,0)</f>
        <v>4.0760465620818323E-2</v>
      </c>
      <c r="AD59" s="18">
        <f>NICCS_Fuel_cons!AD21*_xlfn.XLOOKUP($B59,efs!$A$74:$A$84,efs!$F$74:$F$84,0,0)</f>
        <v>4.1302304919023938E-2</v>
      </c>
      <c r="AE59" s="18">
        <f>NICCS_Fuel_cons!AE21*_xlfn.XLOOKUP($B59,efs!$A$74:$A$84,efs!$F$74:$F$84,0,0)</f>
        <v>4.183024633989605E-2</v>
      </c>
      <c r="AF59" s="18">
        <f>NICCS_Fuel_cons!AF21*_xlfn.XLOOKUP($B59,efs!$A$74:$A$84,efs!$F$74:$F$84,0,0)</f>
        <v>4.2343450236269557E-2</v>
      </c>
      <c r="AG59" s="18">
        <f>NICCS_Fuel_cons!AG21*_xlfn.XLOOKUP($B59,efs!$A$74:$A$84,efs!$F$74:$F$84,0,0)</f>
        <v>4.2841250196732711E-2</v>
      </c>
      <c r="AH59" s="18">
        <f>NICCS_Fuel_cons!AH21*_xlfn.XLOOKUP($B59,efs!$A$74:$A$84,efs!$F$74:$F$84,0,0)</f>
        <v>4.3323112467883146E-2</v>
      </c>
      <c r="AI59" s="18">
        <f>NICCS_Fuel_cons!AI21*_xlfn.XLOOKUP($B59,efs!$A$74:$A$84,efs!$F$74:$F$84,0,0)</f>
        <v>4.3788596937266298E-2</v>
      </c>
      <c r="AJ59" s="111">
        <f>NICCS_Fuel_cons!AJ21*_xlfn.XLOOKUP($B59,efs!$A$74:$A$84,efs!$F$74:$F$84,0,0)</f>
        <v>4.423719638308167E-2</v>
      </c>
      <c r="AK59" s="55">
        <f t="shared" si="16"/>
        <v>0.70981053265338212</v>
      </c>
    </row>
    <row r="60" spans="1:37">
      <c r="A60" s="97" t="s">
        <v>18</v>
      </c>
      <c r="B60" s="40" t="s">
        <v>16</v>
      </c>
      <c r="C60" s="4" t="s">
        <v>53</v>
      </c>
      <c r="D60" s="91" t="s">
        <v>122</v>
      </c>
      <c r="E60" s="110">
        <f>NICCS_Fuel_cons!E22*_xlfn.XLOOKUP($B60,efs!$A$74:$A$84,efs!$F$74:$F$84,0,0)</f>
        <v>0</v>
      </c>
      <c r="F60" s="18">
        <f>NICCS_Fuel_cons!F22*_xlfn.XLOOKUP($B60,efs!$A$74:$A$84,efs!$F$74:$F$84,0,0)</f>
        <v>0</v>
      </c>
      <c r="G60" s="18">
        <f>NICCS_Fuel_cons!G22*_xlfn.XLOOKUP($B60,efs!$A$74:$A$84,efs!$F$74:$F$84,0,0)</f>
        <v>0</v>
      </c>
      <c r="H60" s="18">
        <f>NICCS_Fuel_cons!H22*_xlfn.XLOOKUP($B60,efs!$A$74:$A$84,efs!$F$74:$F$84,0,0)</f>
        <v>0</v>
      </c>
      <c r="I60" s="18">
        <f>NICCS_Fuel_cons!I22*_xlfn.XLOOKUP($B60,efs!$A$74:$A$84,efs!$F$74:$F$84,0,0)</f>
        <v>0</v>
      </c>
      <c r="J60" s="18">
        <f>NICCS_Fuel_cons!J22*_xlfn.XLOOKUP($B60,efs!$A$74:$A$84,efs!$F$74:$F$84,0,0)</f>
        <v>0</v>
      </c>
      <c r="K60" s="18">
        <f>NICCS_Fuel_cons!K22*_xlfn.XLOOKUP($B60,efs!$A$74:$A$84,efs!$F$74:$F$84,0,0)</f>
        <v>0</v>
      </c>
      <c r="L60" s="18">
        <f>NICCS_Fuel_cons!L22*_xlfn.XLOOKUP($B60,efs!$A$74:$A$84,efs!$F$74:$F$84,0,0)</f>
        <v>0</v>
      </c>
      <c r="M60" s="18">
        <f>NICCS_Fuel_cons!M22*_xlfn.XLOOKUP($B60,efs!$A$74:$A$84,efs!$F$74:$F$84,0,0)</f>
        <v>0</v>
      </c>
      <c r="N60" s="18">
        <f>NICCS_Fuel_cons!N22*_xlfn.XLOOKUP($B60,efs!$A$74:$A$84,efs!$F$74:$F$84,0,0)</f>
        <v>0</v>
      </c>
      <c r="O60" s="18">
        <f>NICCS_Fuel_cons!O22*_xlfn.XLOOKUP($B60,efs!$A$74:$A$84,efs!$F$74:$F$84,0,0)</f>
        <v>0</v>
      </c>
      <c r="P60" s="18">
        <f>NICCS_Fuel_cons!P22*_xlfn.XLOOKUP($B60,efs!$A$74:$A$84,efs!$F$74:$F$84,0,0)</f>
        <v>0</v>
      </c>
      <c r="Q60" s="18">
        <f>NICCS_Fuel_cons!Q22*_xlfn.XLOOKUP($B60,efs!$A$74:$A$84,efs!$F$74:$F$84,0,0)</f>
        <v>0</v>
      </c>
      <c r="R60" s="18">
        <f>NICCS_Fuel_cons!R22*_xlfn.XLOOKUP($B60,efs!$A$74:$A$84,efs!$F$74:$F$84,0,0)</f>
        <v>0</v>
      </c>
      <c r="S60" s="18">
        <f>NICCS_Fuel_cons!S22*_xlfn.XLOOKUP($B60,efs!$A$74:$A$84,efs!$F$74:$F$84,0,0)</f>
        <v>0</v>
      </c>
      <c r="T60" s="18">
        <f>NICCS_Fuel_cons!T22*_xlfn.XLOOKUP($B60,efs!$A$74:$A$84,efs!$F$74:$F$84,0,0)</f>
        <v>0</v>
      </c>
      <c r="U60" s="18">
        <f>NICCS_Fuel_cons!U22*_xlfn.XLOOKUP($B60,efs!$A$74:$A$84,efs!$F$74:$F$84,0,0)</f>
        <v>0</v>
      </c>
      <c r="V60" s="18">
        <f>NICCS_Fuel_cons!V22*_xlfn.XLOOKUP($B60,efs!$A$74:$A$84,efs!$F$74:$F$84,0,0)</f>
        <v>0</v>
      </c>
      <c r="W60" s="18">
        <f>NICCS_Fuel_cons!W22*_xlfn.XLOOKUP($B60,efs!$A$74:$A$84,efs!$F$74:$F$84,0,0)</f>
        <v>0</v>
      </c>
      <c r="X60" s="18">
        <f>NICCS_Fuel_cons!X22*_xlfn.XLOOKUP($B60,efs!$A$74:$A$84,efs!$F$74:$F$84,0,0)</f>
        <v>0</v>
      </c>
      <c r="Y60" s="18">
        <f>NICCS_Fuel_cons!Y22*_xlfn.XLOOKUP($B60,efs!$A$74:$A$84,efs!$F$74:$F$84,0,0)</f>
        <v>0</v>
      </c>
      <c r="Z60" s="18">
        <f>NICCS_Fuel_cons!Z22*_xlfn.XLOOKUP($B60,efs!$A$74:$A$84,efs!$F$74:$F$84,0,0)</f>
        <v>0</v>
      </c>
      <c r="AA60" s="18">
        <f>NICCS_Fuel_cons!AA22*_xlfn.XLOOKUP($B60,efs!$A$74:$A$84,efs!$F$74:$F$84,0,0)</f>
        <v>0</v>
      </c>
      <c r="AB60" s="18">
        <f>NICCS_Fuel_cons!AB22*_xlfn.XLOOKUP($B60,efs!$A$74:$A$84,efs!$F$74:$F$84,0,0)</f>
        <v>0</v>
      </c>
      <c r="AC60" s="18">
        <f>NICCS_Fuel_cons!AC22*_xlfn.XLOOKUP($B60,efs!$A$74:$A$84,efs!$F$74:$F$84,0,0)</f>
        <v>0</v>
      </c>
      <c r="AD60" s="18">
        <f>NICCS_Fuel_cons!AD22*_xlfn.XLOOKUP($B60,efs!$A$74:$A$84,efs!$F$74:$F$84,0,0)</f>
        <v>0</v>
      </c>
      <c r="AE60" s="18">
        <f>NICCS_Fuel_cons!AE22*_xlfn.XLOOKUP($B60,efs!$A$74:$A$84,efs!$F$74:$F$84,0,0)</f>
        <v>0</v>
      </c>
      <c r="AF60" s="18">
        <f>NICCS_Fuel_cons!AF22*_xlfn.XLOOKUP($B60,efs!$A$74:$A$84,efs!$F$74:$F$84,0,0)</f>
        <v>0</v>
      </c>
      <c r="AG60" s="18">
        <f>NICCS_Fuel_cons!AG22*_xlfn.XLOOKUP($B60,efs!$A$74:$A$84,efs!$F$74:$F$84,0,0)</f>
        <v>0</v>
      </c>
      <c r="AH60" s="18">
        <f>NICCS_Fuel_cons!AH22*_xlfn.XLOOKUP($B60,efs!$A$74:$A$84,efs!$F$74:$F$84,0,0)</f>
        <v>0</v>
      </c>
      <c r="AI60" s="18">
        <f>NICCS_Fuel_cons!AI22*_xlfn.XLOOKUP($B60,efs!$A$74:$A$84,efs!$F$74:$F$84,0,0)</f>
        <v>0</v>
      </c>
      <c r="AJ60" s="111">
        <f>NICCS_Fuel_cons!AJ22*_xlfn.XLOOKUP($B60,efs!$A$74:$A$84,efs!$F$74:$F$84,0,0)</f>
        <v>0</v>
      </c>
      <c r="AK60" s="55">
        <f t="shared" si="16"/>
        <v>0</v>
      </c>
    </row>
    <row r="61" spans="1:37" ht="17" thickBot="1">
      <c r="A61" s="96" t="s">
        <v>18</v>
      </c>
      <c r="B61" s="32" t="s">
        <v>17</v>
      </c>
      <c r="C61" s="32" t="s">
        <v>53</v>
      </c>
      <c r="D61" s="93" t="s">
        <v>122</v>
      </c>
      <c r="E61" s="112">
        <f>NICCS_Fuel_cons!E23*_xlfn.XLOOKUP($B61,efs!$A$74:$A$84,efs!$F$74:$F$84,0,0)</f>
        <v>0</v>
      </c>
      <c r="F61" s="113">
        <f>NICCS_Fuel_cons!F23*_xlfn.XLOOKUP($B61,efs!$A$74:$A$84,efs!$F$74:$F$84,0,0)</f>
        <v>0</v>
      </c>
      <c r="G61" s="113">
        <f>NICCS_Fuel_cons!G23*_xlfn.XLOOKUP($B61,efs!$A$74:$A$84,efs!$F$74:$F$84,0,0)</f>
        <v>0</v>
      </c>
      <c r="H61" s="113">
        <f>NICCS_Fuel_cons!H23*_xlfn.XLOOKUP($B61,efs!$A$74:$A$84,efs!$F$74:$F$84,0,0)</f>
        <v>0</v>
      </c>
      <c r="I61" s="113">
        <f>NICCS_Fuel_cons!I23*_xlfn.XLOOKUP($B61,efs!$A$74:$A$84,efs!$F$74:$F$84,0,0)</f>
        <v>0</v>
      </c>
      <c r="J61" s="113">
        <f>NICCS_Fuel_cons!J23*_xlfn.XLOOKUP($B61,efs!$A$74:$A$84,efs!$F$74:$F$84,0,0)</f>
        <v>0</v>
      </c>
      <c r="K61" s="113">
        <f>NICCS_Fuel_cons!K23*_xlfn.XLOOKUP($B61,efs!$A$74:$A$84,efs!$F$74:$F$84,0,0)</f>
        <v>0</v>
      </c>
      <c r="L61" s="113">
        <f>NICCS_Fuel_cons!L23*_xlfn.XLOOKUP($B61,efs!$A$74:$A$84,efs!$F$74:$F$84,0,0)</f>
        <v>0</v>
      </c>
      <c r="M61" s="113">
        <f>NICCS_Fuel_cons!M23*_xlfn.XLOOKUP($B61,efs!$A$74:$A$84,efs!$F$74:$F$84,0,0)</f>
        <v>0</v>
      </c>
      <c r="N61" s="113">
        <f>NICCS_Fuel_cons!N23*_xlfn.XLOOKUP($B61,efs!$A$74:$A$84,efs!$F$74:$F$84,0,0)</f>
        <v>0</v>
      </c>
      <c r="O61" s="113">
        <f>NICCS_Fuel_cons!O23*_xlfn.XLOOKUP($B61,efs!$A$74:$A$84,efs!$F$74:$F$84,0,0)</f>
        <v>0</v>
      </c>
      <c r="P61" s="113">
        <f>NICCS_Fuel_cons!P23*_xlfn.XLOOKUP($B61,efs!$A$74:$A$84,efs!$F$74:$F$84,0,0)</f>
        <v>0</v>
      </c>
      <c r="Q61" s="113">
        <f>NICCS_Fuel_cons!Q23*_xlfn.XLOOKUP($B61,efs!$A$74:$A$84,efs!$F$74:$F$84,0,0)</f>
        <v>0</v>
      </c>
      <c r="R61" s="113">
        <f>NICCS_Fuel_cons!R23*_xlfn.XLOOKUP($B61,efs!$A$74:$A$84,efs!$F$74:$F$84,0,0)</f>
        <v>0</v>
      </c>
      <c r="S61" s="113">
        <f>NICCS_Fuel_cons!S23*_xlfn.XLOOKUP($B61,efs!$A$74:$A$84,efs!$F$74:$F$84,0,0)</f>
        <v>0</v>
      </c>
      <c r="T61" s="113">
        <f>NICCS_Fuel_cons!T23*_xlfn.XLOOKUP($B61,efs!$A$74:$A$84,efs!$F$74:$F$84,0,0)</f>
        <v>0</v>
      </c>
      <c r="U61" s="113">
        <f>NICCS_Fuel_cons!U23*_xlfn.XLOOKUP($B61,efs!$A$74:$A$84,efs!$F$74:$F$84,0,0)</f>
        <v>0</v>
      </c>
      <c r="V61" s="113">
        <f>NICCS_Fuel_cons!V23*_xlfn.XLOOKUP($B61,efs!$A$74:$A$84,efs!$F$74:$F$84,0,0)</f>
        <v>0</v>
      </c>
      <c r="W61" s="113">
        <f>NICCS_Fuel_cons!W23*_xlfn.XLOOKUP($B61,efs!$A$74:$A$84,efs!$F$74:$F$84,0,0)</f>
        <v>0</v>
      </c>
      <c r="X61" s="113">
        <f>NICCS_Fuel_cons!X23*_xlfn.XLOOKUP($B61,efs!$A$74:$A$84,efs!$F$74:$F$84,0,0)</f>
        <v>0</v>
      </c>
      <c r="Y61" s="113">
        <f>NICCS_Fuel_cons!Y23*_xlfn.XLOOKUP($B61,efs!$A$74:$A$84,efs!$F$74:$F$84,0,0)</f>
        <v>0</v>
      </c>
      <c r="Z61" s="113">
        <f>NICCS_Fuel_cons!Z23*_xlfn.XLOOKUP($B61,efs!$A$74:$A$84,efs!$F$74:$F$84,0,0)</f>
        <v>0</v>
      </c>
      <c r="AA61" s="113">
        <f>NICCS_Fuel_cons!AA23*_xlfn.XLOOKUP($B61,efs!$A$74:$A$84,efs!$F$74:$F$84,0,0)</f>
        <v>0</v>
      </c>
      <c r="AB61" s="113">
        <f>NICCS_Fuel_cons!AB23*_xlfn.XLOOKUP($B61,efs!$A$74:$A$84,efs!$F$74:$F$84,0,0)</f>
        <v>0</v>
      </c>
      <c r="AC61" s="113">
        <f>NICCS_Fuel_cons!AC23*_xlfn.XLOOKUP($B61,efs!$A$74:$A$84,efs!$F$74:$F$84,0,0)</f>
        <v>0</v>
      </c>
      <c r="AD61" s="113">
        <f>NICCS_Fuel_cons!AD23*_xlfn.XLOOKUP($B61,efs!$A$74:$A$84,efs!$F$74:$F$84,0,0)</f>
        <v>0</v>
      </c>
      <c r="AE61" s="113">
        <f>NICCS_Fuel_cons!AE23*_xlfn.XLOOKUP($B61,efs!$A$74:$A$84,efs!$F$74:$F$84,0,0)</f>
        <v>0</v>
      </c>
      <c r="AF61" s="113">
        <f>NICCS_Fuel_cons!AF23*_xlfn.XLOOKUP($B61,efs!$A$74:$A$84,efs!$F$74:$F$84,0,0)</f>
        <v>0</v>
      </c>
      <c r="AG61" s="113">
        <f>NICCS_Fuel_cons!AG23*_xlfn.XLOOKUP($B61,efs!$A$74:$A$84,efs!$F$74:$F$84,0,0)</f>
        <v>0</v>
      </c>
      <c r="AH61" s="113">
        <f>NICCS_Fuel_cons!AH23*_xlfn.XLOOKUP($B61,efs!$A$74:$A$84,efs!$F$74:$F$84,0,0)</f>
        <v>0</v>
      </c>
      <c r="AI61" s="113">
        <f>NICCS_Fuel_cons!AI23*_xlfn.XLOOKUP($B61,efs!$A$74:$A$84,efs!$F$74:$F$84,0,0)</f>
        <v>0</v>
      </c>
      <c r="AJ61" s="114">
        <f>NICCS_Fuel_cons!AJ23*_xlfn.XLOOKUP($B61,efs!$A$74:$A$84,efs!$F$74:$F$84,0,0)</f>
        <v>0</v>
      </c>
      <c r="AK61" s="55">
        <f t="shared" si="16"/>
        <v>0</v>
      </c>
    </row>
    <row r="62" spans="1:37">
      <c r="A62" s="29" t="s">
        <v>19</v>
      </c>
      <c r="B62" s="29" t="s">
        <v>36</v>
      </c>
      <c r="C62" s="88" t="s">
        <v>53</v>
      </c>
      <c r="D62" s="89" t="s">
        <v>122</v>
      </c>
      <c r="E62" s="107">
        <f>NICCS_Fuel_cons!E24*_xlfn.XLOOKUP($B62,efs!$A$74:$A$84,efs!$F$74:$F$84,0,0)</f>
        <v>2.0971248942053</v>
      </c>
      <c r="F62" s="108">
        <f>NICCS_Fuel_cons!F24*_xlfn.XLOOKUP($B62,efs!$A$74:$A$84,efs!$F$74:$F$84,0,0)</f>
        <v>2.1016245569352185</v>
      </c>
      <c r="G62" s="108">
        <f>NICCS_Fuel_cons!G24*_xlfn.XLOOKUP($B62,efs!$A$74:$A$84,efs!$F$74:$F$84,0,0)</f>
        <v>2.101335788656626</v>
      </c>
      <c r="H62" s="108">
        <f>NICCS_Fuel_cons!H24*_xlfn.XLOOKUP($B62,efs!$A$74:$A$84,efs!$F$74:$F$84,0,0)</f>
        <v>2.095884862008079</v>
      </c>
      <c r="I62" s="108">
        <f>NICCS_Fuel_cons!I24*_xlfn.XLOOKUP($B62,efs!$A$74:$A$84,efs!$F$74:$F$84,0,0)</f>
        <v>2.0848544084770588</v>
      </c>
      <c r="J62" s="108">
        <f>NICCS_Fuel_cons!J24*_xlfn.XLOOKUP($B62,efs!$A$74:$A$84,efs!$F$74:$F$84,0,0)</f>
        <v>2.0678135939623843</v>
      </c>
      <c r="K62" s="108">
        <f>NICCS_Fuel_cons!K24*_xlfn.XLOOKUP($B62,efs!$A$74:$A$84,efs!$F$74:$F$84,0,0)</f>
        <v>2.0725424695815664</v>
      </c>
      <c r="L62" s="108">
        <f>NICCS_Fuel_cons!L24*_xlfn.XLOOKUP($B62,efs!$A$74:$A$84,efs!$F$74:$F$84,0,0)</f>
        <v>2.0152135147562156</v>
      </c>
      <c r="M62" s="108">
        <f>NICCS_Fuel_cons!M24*_xlfn.XLOOKUP($B62,efs!$A$74:$A$84,efs!$F$74:$F$84,0,0)</f>
        <v>1.9483487551854375</v>
      </c>
      <c r="N62" s="108">
        <f>NICCS_Fuel_cons!N24*_xlfn.XLOOKUP($B62,efs!$A$74:$A$84,efs!$F$74:$F$84,0,0)</f>
        <v>1.8714334446961776</v>
      </c>
      <c r="O62" s="108">
        <f>NICCS_Fuel_cons!O24*_xlfn.XLOOKUP($B62,efs!$A$74:$A$84,efs!$F$74:$F$84,0,0)</f>
        <v>1.7839565739866947</v>
      </c>
      <c r="P62" s="108">
        <f>NICCS_Fuel_cons!P24*_xlfn.XLOOKUP($B62,efs!$A$74:$A$84,efs!$F$74:$F$84,0,0)</f>
        <v>1.6854294503088716</v>
      </c>
      <c r="Q62" s="108">
        <f>NICCS_Fuel_cons!Q24*_xlfn.XLOOKUP($B62,efs!$A$74:$A$84,efs!$F$74:$F$84,0,0)</f>
        <v>1.5753849961506281</v>
      </c>
      <c r="R62" s="108">
        <f>NICCS_Fuel_cons!R24*_xlfn.XLOOKUP($B62,efs!$A$74:$A$84,efs!$F$74:$F$84,0,0)</f>
        <v>1.4533774038108405</v>
      </c>
      <c r="S62" s="108">
        <f>NICCS_Fuel_cons!S24*_xlfn.XLOOKUP($B62,efs!$A$74:$A$84,efs!$F$74:$F$84,0,0)</f>
        <v>1.3189667587495904</v>
      </c>
      <c r="T62" s="108">
        <f>NICCS_Fuel_cons!T24*_xlfn.XLOOKUP($B62,efs!$A$74:$A$84,efs!$F$74:$F$84,0,0)</f>
        <v>1.1717140256907999</v>
      </c>
      <c r="U62" s="108">
        <f>NICCS_Fuel_cons!U24*_xlfn.XLOOKUP($B62,efs!$A$74:$A$84,efs!$F$74:$F$84,0,0)</f>
        <v>1.0115594460957098</v>
      </c>
      <c r="V62" s="108">
        <f>NICCS_Fuel_cons!V24*_xlfn.XLOOKUP($B62,efs!$A$74:$A$84,efs!$F$74:$F$84,0,0)</f>
        <v>0.83796850082231955</v>
      </c>
      <c r="W62" s="108">
        <f>NICCS_Fuel_cons!W24*_xlfn.XLOOKUP($B62,efs!$A$74:$A$84,efs!$F$74:$F$84,0,0)</f>
        <v>0.65047744100022309</v>
      </c>
      <c r="X62" s="108">
        <f>NICCS_Fuel_cons!X24*_xlfn.XLOOKUP($B62,efs!$A$74:$A$84,efs!$F$74:$F$84,0,0)</f>
        <v>0.44862775147234152</v>
      </c>
      <c r="Y62" s="108">
        <f>NICCS_Fuel_cons!Y24*_xlfn.XLOOKUP($B62,efs!$A$74:$A$84,efs!$F$74:$F$84,0,0)</f>
        <v>0.23195770358161383</v>
      </c>
      <c r="Z62" s="108">
        <f>NICCS_Fuel_cons!Z24*_xlfn.XLOOKUP($B62,efs!$A$74:$A$84,efs!$F$74:$F$84,0,0)</f>
        <v>0</v>
      </c>
      <c r="AA62" s="108">
        <f>NICCS_Fuel_cons!AA24*_xlfn.XLOOKUP($B62,efs!$A$74:$A$84,efs!$F$74:$F$84,0,0)</f>
        <v>0</v>
      </c>
      <c r="AB62" s="108">
        <f>NICCS_Fuel_cons!AB24*_xlfn.XLOOKUP($B62,efs!$A$74:$A$84,efs!$F$74:$F$84,0,0)</f>
        <v>0</v>
      </c>
      <c r="AC62" s="108">
        <f>NICCS_Fuel_cons!AC24*_xlfn.XLOOKUP($B62,efs!$A$74:$A$84,efs!$F$74:$F$84,0,0)</f>
        <v>0</v>
      </c>
      <c r="AD62" s="108">
        <f>NICCS_Fuel_cons!AD24*_xlfn.XLOOKUP($B62,efs!$A$74:$A$84,efs!$F$74:$F$84,0,0)</f>
        <v>0</v>
      </c>
      <c r="AE62" s="108">
        <f>NICCS_Fuel_cons!AE24*_xlfn.XLOOKUP($B62,efs!$A$74:$A$84,efs!$F$74:$F$84,0,0)</f>
        <v>0</v>
      </c>
      <c r="AF62" s="108">
        <f>NICCS_Fuel_cons!AF24*_xlfn.XLOOKUP($B62,efs!$A$74:$A$84,efs!$F$74:$F$84,0,0)</f>
        <v>0</v>
      </c>
      <c r="AG62" s="108">
        <f>NICCS_Fuel_cons!AG24*_xlfn.XLOOKUP($B62,efs!$A$74:$A$84,efs!$F$74:$F$84,0,0)</f>
        <v>0</v>
      </c>
      <c r="AH62" s="108">
        <f>NICCS_Fuel_cons!AH24*_xlfn.XLOOKUP($B62,efs!$A$74:$A$84,efs!$F$74:$F$84,0,0)</f>
        <v>0</v>
      </c>
      <c r="AI62" s="108">
        <f>NICCS_Fuel_cons!AI24*_xlfn.XLOOKUP($B62,efs!$A$74:$A$84,efs!$F$74:$F$84,0,0)</f>
        <v>0</v>
      </c>
      <c r="AJ62" s="109">
        <f>NICCS_Fuel_cons!AJ24*_xlfn.XLOOKUP($B62,efs!$A$74:$A$84,efs!$F$74:$F$84,0,0)</f>
        <v>0</v>
      </c>
      <c r="AK62" s="55">
        <f t="shared" si="16"/>
        <v>20.07695823588903</v>
      </c>
    </row>
    <row r="63" spans="1:37">
      <c r="A63" s="4" t="s">
        <v>19</v>
      </c>
      <c r="B63" s="4" t="s">
        <v>8</v>
      </c>
      <c r="C63" s="4" t="s">
        <v>53</v>
      </c>
      <c r="D63" s="91" t="s">
        <v>122</v>
      </c>
      <c r="E63" s="110">
        <f>NICCS_Fuel_cons!E25*_xlfn.XLOOKUP($B63,efs!$A$74:$A$84,efs!$F$74:$F$84,0,0)</f>
        <v>4.7521550238829775</v>
      </c>
      <c r="F63" s="18">
        <f>NICCS_Fuel_cons!F25*_xlfn.XLOOKUP($B63,efs!$A$74:$A$84,efs!$F$74:$F$84,0,0)</f>
        <v>5.0619329204005412</v>
      </c>
      <c r="G63" s="18">
        <f>NICCS_Fuel_cons!G25*_xlfn.XLOOKUP($B63,efs!$A$74:$A$84,efs!$F$74:$F$84,0,0)</f>
        <v>5.3875229832686182</v>
      </c>
      <c r="H63" s="18">
        <f>NICCS_Fuel_cons!H25*_xlfn.XLOOKUP($B63,efs!$A$74:$A$84,efs!$F$74:$F$84,0,0)</f>
        <v>5.7294023292772964</v>
      </c>
      <c r="I63" s="18">
        <f>NICCS_Fuel_cons!I25*_xlfn.XLOOKUP($B63,efs!$A$74:$A$84,efs!$F$74:$F$84,0,0)</f>
        <v>6.087935818578611</v>
      </c>
      <c r="J63" s="18">
        <f>NICCS_Fuel_cons!J25*_xlfn.XLOOKUP($B63,efs!$A$74:$A$84,efs!$F$74:$F$84,0,0)</f>
        <v>6.4634294126819647</v>
      </c>
      <c r="K63" s="18">
        <f>NICCS_Fuel_cons!K25*_xlfn.XLOOKUP($B63,efs!$A$74:$A$84,efs!$F$74:$F$84,0,0)</f>
        <v>6.7950742192129949</v>
      </c>
      <c r="L63" s="18">
        <f>NICCS_Fuel_cons!L25*_xlfn.XLOOKUP($B63,efs!$A$74:$A$84,efs!$F$74:$F$84,0,0)</f>
        <v>6.6071144988860979</v>
      </c>
      <c r="M63" s="18">
        <f>NICCS_Fuel_cons!M25*_xlfn.XLOOKUP($B63,efs!$A$74:$A$84,efs!$F$74:$F$84,0,0)</f>
        <v>6.3878905212828796</v>
      </c>
      <c r="N63" s="18">
        <f>NICCS_Fuel_cons!N25*_xlfn.XLOOKUP($B63,efs!$A$74:$A$84,efs!$F$74:$F$84,0,0)</f>
        <v>6.1357146305404084</v>
      </c>
      <c r="O63" s="18">
        <f>NICCS_Fuel_cons!O25*_xlfn.XLOOKUP($B63,efs!$A$74:$A$84,efs!$F$74:$F$84,0,0)</f>
        <v>5.8489114225678156</v>
      </c>
      <c r="P63" s="18">
        <f>NICCS_Fuel_cons!P25*_xlfn.XLOOKUP($B63,efs!$A$74:$A$84,efs!$F$74:$F$84,0,0)</f>
        <v>5.5258786607197301</v>
      </c>
      <c r="Q63" s="18">
        <f>NICCS_Fuel_cons!Q25*_xlfn.XLOOKUP($B63,efs!$A$74:$A$84,efs!$F$74:$F$84,0,0)</f>
        <v>5.1650849764441009</v>
      </c>
      <c r="R63" s="18">
        <f>NICCS_Fuel_cons!R25*_xlfn.XLOOKUP($B63,efs!$A$74:$A$84,efs!$F$74:$F$84,0,0)</f>
        <v>4.7650687367654401</v>
      </c>
      <c r="S63" s="18">
        <f>NICCS_Fuel_cons!S25*_xlfn.XLOOKUP($B63,efs!$A$74:$A$84,efs!$F$74:$F$84,0,0)</f>
        <v>4.324387630130321</v>
      </c>
      <c r="T63" s="18">
        <f>NICCS_Fuel_cons!T25*_xlfn.XLOOKUP($B63,efs!$A$74:$A$84,efs!$F$74:$F$84,0,0)</f>
        <v>3.8416022277552107</v>
      </c>
      <c r="U63" s="18">
        <f>NICCS_Fuel_cons!U25*_xlfn.XLOOKUP($B63,efs!$A$74:$A$84,efs!$F$74:$F$84,0,0)</f>
        <v>3.3165166042431369</v>
      </c>
      <c r="V63" s="18">
        <f>NICCS_Fuel_cons!V25*_xlfn.XLOOKUP($B63,efs!$A$74:$A$84,efs!$F$74:$F$84,0,0)</f>
        <v>2.7473782757271592</v>
      </c>
      <c r="W63" s="18">
        <f>NICCS_Fuel_cons!W25*_xlfn.XLOOKUP($B63,efs!$A$74:$A$84,efs!$F$74:$F$84,0,0)</f>
        <v>2.1326667869984068</v>
      </c>
      <c r="X63" s="18">
        <f>NICCS_Fuel_cons!X25*_xlfn.XLOOKUP($B63,efs!$A$74:$A$84,efs!$F$74:$F$84,0,0)</f>
        <v>1.4708788421926395</v>
      </c>
      <c r="Y63" s="18">
        <f>NICCS_Fuel_cons!Y25*_xlfn.XLOOKUP($B63,efs!$A$74:$A$84,efs!$F$74:$F$84,0,0)</f>
        <v>0.76050060960801424</v>
      </c>
      <c r="Z63" s="18">
        <f>NICCS_Fuel_cons!Z25*_xlfn.XLOOKUP($B63,efs!$A$74:$A$84,efs!$F$74:$F$84,0,0)</f>
        <v>0</v>
      </c>
      <c r="AA63" s="18">
        <f>NICCS_Fuel_cons!AA25*_xlfn.XLOOKUP($B63,efs!$A$74:$A$84,efs!$F$74:$F$84,0,0)</f>
        <v>0</v>
      </c>
      <c r="AB63" s="18">
        <f>NICCS_Fuel_cons!AB25*_xlfn.XLOOKUP($B63,efs!$A$74:$A$84,efs!$F$74:$F$84,0,0)</f>
        <v>0</v>
      </c>
      <c r="AC63" s="18">
        <f>NICCS_Fuel_cons!AC25*_xlfn.XLOOKUP($B63,efs!$A$74:$A$84,efs!$F$74:$F$84,0,0)</f>
        <v>0</v>
      </c>
      <c r="AD63" s="18">
        <f>NICCS_Fuel_cons!AD25*_xlfn.XLOOKUP($B63,efs!$A$74:$A$84,efs!$F$74:$F$84,0,0)</f>
        <v>0</v>
      </c>
      <c r="AE63" s="18">
        <f>NICCS_Fuel_cons!AE25*_xlfn.XLOOKUP($B63,efs!$A$74:$A$84,efs!$F$74:$F$84,0,0)</f>
        <v>0</v>
      </c>
      <c r="AF63" s="18">
        <f>NICCS_Fuel_cons!AF25*_xlfn.XLOOKUP($B63,efs!$A$74:$A$84,efs!$F$74:$F$84,0,0)</f>
        <v>0</v>
      </c>
      <c r="AG63" s="18">
        <f>NICCS_Fuel_cons!AG25*_xlfn.XLOOKUP($B63,efs!$A$74:$A$84,efs!$F$74:$F$84,0,0)</f>
        <v>0</v>
      </c>
      <c r="AH63" s="18">
        <f>NICCS_Fuel_cons!AH25*_xlfn.XLOOKUP($B63,efs!$A$74:$A$84,efs!$F$74:$F$84,0,0)</f>
        <v>0</v>
      </c>
      <c r="AI63" s="18">
        <f>NICCS_Fuel_cons!AI25*_xlfn.XLOOKUP($B63,efs!$A$74:$A$84,efs!$F$74:$F$84,0,0)</f>
        <v>0</v>
      </c>
      <c r="AJ63" s="111">
        <f>NICCS_Fuel_cons!AJ25*_xlfn.XLOOKUP($B63,efs!$A$74:$A$84,efs!$F$74:$F$84,0,0)</f>
        <v>0</v>
      </c>
      <c r="AK63" s="55">
        <f t="shared" si="16"/>
        <v>65.824668643074347</v>
      </c>
    </row>
    <row r="64" spans="1:37">
      <c r="A64" s="4" t="s">
        <v>19</v>
      </c>
      <c r="B64" s="4" t="s">
        <v>37</v>
      </c>
      <c r="C64" s="4" t="s">
        <v>53</v>
      </c>
      <c r="D64" s="91" t="s">
        <v>122</v>
      </c>
      <c r="E64" s="110">
        <f>NICCS_Fuel_cons!E26*_xlfn.XLOOKUP($B64,efs!$A$74:$A$84,efs!$F$74:$F$84,0,0)</f>
        <v>5.1528592451811579E-2</v>
      </c>
      <c r="F64" s="18">
        <f>NICCS_Fuel_cons!F26*_xlfn.XLOOKUP($B64,efs!$A$74:$A$84,efs!$F$74:$F$84,0,0)</f>
        <v>6.3700169834092504E-2</v>
      </c>
      <c r="G64" s="18">
        <f>NICCS_Fuel_cons!G26*_xlfn.XLOOKUP($B64,efs!$A$74:$A$84,efs!$F$74:$F$84,0,0)</f>
        <v>7.6827527077211341E-2</v>
      </c>
      <c r="H64" s="18">
        <f>NICCS_Fuel_cons!H26*_xlfn.XLOOKUP($B64,efs!$A$74:$A$84,efs!$F$74:$F$84,0,0)</f>
        <v>9.0954784759474827E-2</v>
      </c>
      <c r="I64" s="18">
        <f>NICCS_Fuel_cons!I26*_xlfn.XLOOKUP($B64,efs!$A$74:$A$84,efs!$F$74:$F$84,0,0)</f>
        <v>0.10612445310763086</v>
      </c>
      <c r="J64" s="18">
        <f>NICCS_Fuel_cons!J26*_xlfn.XLOOKUP($B64,efs!$A$74:$A$84,efs!$F$74:$F$84,0,0)</f>
        <v>0.12237756871052695</v>
      </c>
      <c r="K64" s="18">
        <f>NICCS_Fuel_cons!K26*_xlfn.XLOOKUP($B64,efs!$A$74:$A$84,efs!$F$74:$F$84,0,0)</f>
        <v>0.13883314423054924</v>
      </c>
      <c r="L64" s="18">
        <f>NICCS_Fuel_cons!L26*_xlfn.XLOOKUP($B64,efs!$A$74:$A$84,efs!$F$74:$F$84,0,0)</f>
        <v>0.13499285667520591</v>
      </c>
      <c r="M64" s="18">
        <f>NICCS_Fuel_cons!M26*_xlfn.XLOOKUP($B64,efs!$A$74:$A$84,efs!$F$74:$F$84,0,0)</f>
        <v>0.1305137953552683</v>
      </c>
      <c r="N64" s="18">
        <f>NICCS_Fuel_cons!N26*_xlfn.XLOOKUP($B64,efs!$A$74:$A$84,efs!$F$74:$F$84,0,0)</f>
        <v>0.12536147903296452</v>
      </c>
      <c r="O64" s="18">
        <f>NICCS_Fuel_cons!O26*_xlfn.XLOOKUP($B64,efs!$A$74:$A$84,efs!$F$74:$F$84,0,0)</f>
        <v>0.11950167679185597</v>
      </c>
      <c r="P64" s="18">
        <f>NICCS_Fuel_cons!P26*_xlfn.XLOOKUP($B64,efs!$A$74:$A$84,efs!$F$74:$F$84,0,0)</f>
        <v>0.11290165263170159</v>
      </c>
      <c r="Q64" s="18">
        <f>NICCS_Fuel_cons!Q26*_xlfn.XLOOKUP($B64,efs!$A$74:$A$84,efs!$F$74:$F$84,0,0)</f>
        <v>0.10553011848938412</v>
      </c>
      <c r="R64" s="18">
        <f>NICCS_Fuel_cons!R26*_xlfn.XLOOKUP($B64,efs!$A$74:$A$84,efs!$F$74:$F$84,0,0)</f>
        <v>9.7357211099963245E-2</v>
      </c>
      <c r="S64" s="18">
        <f>NICCS_Fuel_cons!S26*_xlfn.XLOOKUP($B64,efs!$A$74:$A$84,efs!$F$74:$F$84,0,0)</f>
        <v>8.8353461962954155E-2</v>
      </c>
      <c r="T64" s="18">
        <f>NICCS_Fuel_cons!T26*_xlfn.XLOOKUP($B64,efs!$A$74:$A$84,efs!$F$74:$F$84,0,0)</f>
        <v>7.8489461477009442E-2</v>
      </c>
      <c r="U64" s="18">
        <f>NICCS_Fuel_cons!U26*_xlfn.XLOOKUP($B64,efs!$A$74:$A$84,efs!$F$74:$F$84,0,0)</f>
        <v>6.7761206604337459E-2</v>
      </c>
      <c r="V64" s="18">
        <f>NICCS_Fuel_cons!V26*_xlfn.XLOOKUP($B64,efs!$A$74:$A$84,efs!$F$74:$F$84,0,0)</f>
        <v>5.6132891577758699E-2</v>
      </c>
      <c r="W64" s="18">
        <f>NICCS_Fuel_cons!W26*_xlfn.XLOOKUP($B64,efs!$A$74:$A$84,efs!$F$74:$F$84,0,0)</f>
        <v>4.3573451309461109E-2</v>
      </c>
      <c r="X64" s="18">
        <f>NICCS_Fuel_cons!X26*_xlfn.XLOOKUP($B64,efs!$A$74:$A$84,efs!$F$74:$F$84,0,0)</f>
        <v>3.0052171301735278E-2</v>
      </c>
      <c r="Y64" s="18">
        <f>NICCS_Fuel_cons!Y26*_xlfn.XLOOKUP($B64,efs!$A$74:$A$84,efs!$F$74:$F$84,0,0)</f>
        <v>1.5538121794548792E-2</v>
      </c>
      <c r="Z64" s="18">
        <f>NICCS_Fuel_cons!Z26*_xlfn.XLOOKUP($B64,efs!$A$74:$A$84,efs!$F$74:$F$84,0,0)</f>
        <v>0</v>
      </c>
      <c r="AA64" s="18">
        <f>NICCS_Fuel_cons!AA26*_xlfn.XLOOKUP($B64,efs!$A$74:$A$84,efs!$F$74:$F$84,0,0)</f>
        <v>0</v>
      </c>
      <c r="AB64" s="18">
        <f>NICCS_Fuel_cons!AB26*_xlfn.XLOOKUP($B64,efs!$A$74:$A$84,efs!$F$74:$F$84,0,0)</f>
        <v>0</v>
      </c>
      <c r="AC64" s="18">
        <f>NICCS_Fuel_cons!AC26*_xlfn.XLOOKUP($B64,efs!$A$74:$A$84,efs!$F$74:$F$84,0,0)</f>
        <v>0</v>
      </c>
      <c r="AD64" s="18">
        <f>NICCS_Fuel_cons!AD26*_xlfn.XLOOKUP($B64,efs!$A$74:$A$84,efs!$F$74:$F$84,0,0)</f>
        <v>0</v>
      </c>
      <c r="AE64" s="18">
        <f>NICCS_Fuel_cons!AE26*_xlfn.XLOOKUP($B64,efs!$A$74:$A$84,efs!$F$74:$F$84,0,0)</f>
        <v>0</v>
      </c>
      <c r="AF64" s="18">
        <f>NICCS_Fuel_cons!AF26*_xlfn.XLOOKUP($B64,efs!$A$74:$A$84,efs!$F$74:$F$84,0,0)</f>
        <v>0</v>
      </c>
      <c r="AG64" s="18">
        <f>NICCS_Fuel_cons!AG26*_xlfn.XLOOKUP($B64,efs!$A$74:$A$84,efs!$F$74:$F$84,0,0)</f>
        <v>0</v>
      </c>
      <c r="AH64" s="18">
        <f>NICCS_Fuel_cons!AH26*_xlfn.XLOOKUP($B64,efs!$A$74:$A$84,efs!$F$74:$F$84,0,0)</f>
        <v>0</v>
      </c>
      <c r="AI64" s="18">
        <f>NICCS_Fuel_cons!AI26*_xlfn.XLOOKUP($B64,efs!$A$74:$A$84,efs!$F$74:$F$84,0,0)</f>
        <v>0</v>
      </c>
      <c r="AJ64" s="111">
        <f>NICCS_Fuel_cons!AJ26*_xlfn.XLOOKUP($B64,efs!$A$74:$A$84,efs!$F$74:$F$84,0,0)</f>
        <v>0</v>
      </c>
      <c r="AK64" s="55">
        <f t="shared" si="16"/>
        <v>1.344892700334698</v>
      </c>
    </row>
    <row r="65" spans="1:53">
      <c r="A65" s="4" t="s">
        <v>19</v>
      </c>
      <c r="B65" s="4" t="s">
        <v>10</v>
      </c>
      <c r="C65" s="4" t="s">
        <v>53</v>
      </c>
      <c r="D65" s="91" t="s">
        <v>122</v>
      </c>
      <c r="E65" s="110">
        <f>NICCS_Fuel_cons!E27*_xlfn.XLOOKUP($B65,efs!$A$74:$A$84,efs!$F$74:$F$84,0,0)</f>
        <v>1.4660653636009139E-2</v>
      </c>
      <c r="F65" s="18">
        <f>NICCS_Fuel_cons!F27*_xlfn.XLOOKUP($B65,efs!$A$74:$A$84,efs!$F$74:$F$84,0,0)</f>
        <v>1.8123649066601379E-2</v>
      </c>
      <c r="G65" s="18">
        <f>NICCS_Fuel_cons!G27*_xlfn.XLOOKUP($B65,efs!$A$74:$A$84,efs!$F$74:$F$84,0,0)</f>
        <v>2.185857813297486E-2</v>
      </c>
      <c r="H65" s="18">
        <f>NICCS_Fuel_cons!H27*_xlfn.XLOOKUP($B65,efs!$A$74:$A$84,efs!$F$74:$F$84,0,0)</f>
        <v>2.5877993798170306E-2</v>
      </c>
      <c r="I65" s="18">
        <f>NICCS_Fuel_cons!I27*_xlfn.XLOOKUP($B65,efs!$A$74:$A$84,efs!$F$74:$F$84,0,0)</f>
        <v>3.0193990856181466E-2</v>
      </c>
      <c r="J65" s="18">
        <f>NICCS_Fuel_cons!J27*_xlfn.XLOOKUP($B65,efs!$A$74:$A$84,efs!$F$74:$F$84,0,0)</f>
        <v>3.481824482902076E-2</v>
      </c>
      <c r="K65" s="18">
        <f>NICCS_Fuel_cons!K27*_xlfn.XLOOKUP($B65,efs!$A$74:$A$84,efs!$F$74:$F$84,0,0)</f>
        <v>3.9500101670071876E-2</v>
      </c>
      <c r="L65" s="18">
        <f>NICCS_Fuel_cons!L27*_xlfn.XLOOKUP($B65,efs!$A$74:$A$84,efs!$F$74:$F$84,0,0)</f>
        <v>8.4115675794609143E-2</v>
      </c>
      <c r="M65" s="18">
        <f>NICCS_Fuel_cons!M27*_xlfn.XLOOKUP($B65,efs!$A$74:$A$84,efs!$F$74:$F$84,0,0)</f>
        <v>0.13231502174348966</v>
      </c>
      <c r="N65" s="18">
        <f>NICCS_Fuel_cons!N27*_xlfn.XLOOKUP($B65,efs!$A$74:$A$84,efs!$F$74:$F$84,0,0)</f>
        <v>0.18423183948332211</v>
      </c>
      <c r="O65" s="18">
        <f>NICCS_Fuel_cons!O27*_xlfn.XLOOKUP($B65,efs!$A$74:$A$84,efs!$F$74:$F$84,0,0)</f>
        <v>0.2399930796679989</v>
      </c>
      <c r="P65" s="18">
        <f>NICCS_Fuel_cons!P27*_xlfn.XLOOKUP($B65,efs!$A$74:$A$84,efs!$F$74:$F$84,0,0)</f>
        <v>0.29971943069836887</v>
      </c>
      <c r="Q65" s="18">
        <f>NICCS_Fuel_cons!Q27*_xlfn.XLOOKUP($B65,efs!$A$74:$A$84,efs!$F$74:$F$84,0,0)</f>
        <v>0.36352537848061062</v>
      </c>
      <c r="R65" s="18">
        <f>NICCS_Fuel_cons!R27*_xlfn.XLOOKUP($B65,efs!$A$74:$A$84,efs!$F$74:$F$84,0,0)</f>
        <v>0.43151925967209226</v>
      </c>
      <c r="S65" s="18">
        <f>NICCS_Fuel_cons!S27*_xlfn.XLOOKUP($B65,efs!$A$74:$A$84,efs!$F$74:$F$84,0,0)</f>
        <v>0.50379753080864775</v>
      </c>
      <c r="T65" s="18">
        <f>NICCS_Fuel_cons!T27*_xlfn.XLOOKUP($B65,efs!$A$74:$A$84,efs!$F$74:$F$84,0,0)</f>
        <v>0.58043385030190864</v>
      </c>
      <c r="U65" s="18">
        <f>NICCS_Fuel_cons!U27*_xlfn.XLOOKUP($B65,efs!$A$74:$A$84,efs!$F$74:$F$84,0,0)</f>
        <v>0.66170406864615505</v>
      </c>
      <c r="V65" s="18">
        <f>NICCS_Fuel_cons!V27*_xlfn.XLOOKUP($B65,efs!$A$74:$A$84,efs!$F$74:$F$84,0,0)</f>
        <v>0.74771842152231704</v>
      </c>
      <c r="W65" s="18">
        <f>NICCS_Fuel_cons!W27*_xlfn.XLOOKUP($B65,efs!$A$74:$A$84,efs!$F$74:$F$84,0,0)</f>
        <v>0.8386126378258183</v>
      </c>
      <c r="X65" s="18">
        <f>NICCS_Fuel_cons!X27*_xlfn.XLOOKUP($B65,efs!$A$74:$A$84,efs!$F$74:$F$84,0,0)</f>
        <v>0.93452796406987815</v>
      </c>
      <c r="Y65" s="18">
        <f>NICCS_Fuel_cons!Y27*_xlfn.XLOOKUP($B65,efs!$A$74:$A$84,efs!$F$74:$F$84,0,0)</f>
        <v>1.035608849539565</v>
      </c>
      <c r="Z65" s="18">
        <f>NICCS_Fuel_cons!Z27*_xlfn.XLOOKUP($B65,efs!$A$74:$A$84,efs!$F$74:$F$84,0,0)</f>
        <v>1.1419989127894288</v>
      </c>
      <c r="AA65" s="18">
        <f>NICCS_Fuel_cons!AA27*_xlfn.XLOOKUP($B65,efs!$A$74:$A$84,efs!$F$74:$F$84,0,0)</f>
        <v>1.1798969942871964</v>
      </c>
      <c r="AB65" s="18">
        <f>NICCS_Fuel_cons!AB27*_xlfn.XLOOKUP($B65,efs!$A$74:$A$84,efs!$F$74:$F$84,0,0)</f>
        <v>1.2185330694075001</v>
      </c>
      <c r="AC65" s="18">
        <f>NICCS_Fuel_cons!AC27*_xlfn.XLOOKUP($B65,efs!$A$74:$A$84,efs!$F$74:$F$84,0,0)</f>
        <v>1.2579037976846783</v>
      </c>
      <c r="AD65" s="18">
        <f>NICCS_Fuel_cons!AD27*_xlfn.XLOOKUP($B65,efs!$A$74:$A$84,efs!$F$74:$F$84,0,0)</f>
        <v>1.2980051905030177</v>
      </c>
      <c r="AE65" s="18">
        <f>NICCS_Fuel_cons!AE27*_xlfn.XLOOKUP($B65,efs!$A$74:$A$84,efs!$F$74:$F$84,0,0)</f>
        <v>1.3388312649389462</v>
      </c>
      <c r="AF65" s="18">
        <f>NICCS_Fuel_cons!AF27*_xlfn.XLOOKUP($B65,efs!$A$74:$A$84,efs!$F$74:$F$84,0,0)</f>
        <v>1.3803736947571608</v>
      </c>
      <c r="AG65" s="18">
        <f>NICCS_Fuel_cons!AG27*_xlfn.XLOOKUP($B65,efs!$A$74:$A$84,efs!$F$74:$F$84,0,0)</f>
        <v>1.4226208631143931</v>
      </c>
      <c r="AH65" s="18">
        <f>NICCS_Fuel_cons!AH27*_xlfn.XLOOKUP($B65,efs!$A$74:$A$84,efs!$F$74:$F$84,0,0)</f>
        <v>1.4655604053019284</v>
      </c>
      <c r="AI65" s="18">
        <f>NICCS_Fuel_cons!AI27*_xlfn.XLOOKUP($B65,efs!$A$74:$A$84,efs!$F$74:$F$84,0,0)</f>
        <v>1.509176666003089</v>
      </c>
      <c r="AJ65" s="111">
        <f>NICCS_Fuel_cons!AJ27*_xlfn.XLOOKUP($B65,efs!$A$74:$A$84,efs!$F$74:$F$84,0,0)</f>
        <v>1.5534531921780539</v>
      </c>
      <c r="AK65" s="55">
        <f t="shared" si="16"/>
        <v>21.843677160890245</v>
      </c>
    </row>
    <row r="66" spans="1:53">
      <c r="A66" s="4" t="s">
        <v>19</v>
      </c>
      <c r="B66" s="4" t="s">
        <v>11</v>
      </c>
      <c r="C66" s="4" t="s">
        <v>53</v>
      </c>
      <c r="D66" s="91" t="s">
        <v>122</v>
      </c>
      <c r="E66" s="110">
        <f>NICCS_Fuel_cons!E28*_xlfn.XLOOKUP($B66,efs!$A$74:$A$84,efs!$F$74:$F$84,0,0)</f>
        <v>4.6575642559570649E-5</v>
      </c>
      <c r="F66" s="18">
        <f>NICCS_Fuel_cons!F28*_xlfn.XLOOKUP($B66,efs!$A$74:$A$84,efs!$F$74:$F$84,0,0)</f>
        <v>5.4895774974203505E-5</v>
      </c>
      <c r="G66" s="18">
        <f>NICCS_Fuel_cons!G28*_xlfn.XLOOKUP($B66,efs!$A$74:$A$84,efs!$F$74:$F$84,0,0)</f>
        <v>6.3841161690056215E-5</v>
      </c>
      <c r="H66" s="18">
        <f>NICCS_Fuel_cons!H28*_xlfn.XLOOKUP($B66,efs!$A$74:$A$84,efs!$F$74:$F$84,0,0)</f>
        <v>7.3439831517929679E-5</v>
      </c>
      <c r="I66" s="18">
        <f>NICCS_Fuel_cons!I28*_xlfn.XLOOKUP($B66,efs!$A$74:$A$84,efs!$F$74:$F$84,0,0)</f>
        <v>8.3718477326814576E-5</v>
      </c>
      <c r="J66" s="18">
        <f>NICCS_Fuel_cons!J28*_xlfn.XLOOKUP($B66,efs!$A$74:$A$84,efs!$F$74:$F$84,0,0)</f>
        <v>9.4702714065757291E-5</v>
      </c>
      <c r="K66" s="18">
        <f>NICCS_Fuel_cons!K28*_xlfn.XLOOKUP($B66,efs!$A$74:$A$84,efs!$F$74:$F$84,0,0)</f>
        <v>9.4919289368736049E-5</v>
      </c>
      <c r="L66" s="18">
        <f>NICCS_Fuel_cons!L28*_xlfn.XLOOKUP($B66,efs!$A$74:$A$84,efs!$F$74:$F$84,0,0)</f>
        <v>4.9283644722115114E-4</v>
      </c>
      <c r="M66" s="18">
        <f>NICCS_Fuel_cons!M28*_xlfn.XLOOKUP($B66,efs!$A$74:$A$84,efs!$F$74:$F$84,0,0)</f>
        <v>9.2331421724183244E-4</v>
      </c>
      <c r="N66" s="18">
        <f>NICCS_Fuel_cons!N28*_xlfn.XLOOKUP($B66,efs!$A$74:$A$84,efs!$F$74:$F$84,0,0)</f>
        <v>1.3875866121918282E-3</v>
      </c>
      <c r="O66" s="18">
        <f>NICCS_Fuel_cons!O28*_xlfn.XLOOKUP($B66,efs!$A$74:$A$84,efs!$F$74:$F$84,0,0)</f>
        <v>1.8868280473712017E-3</v>
      </c>
      <c r="P66" s="18">
        <f>NICCS_Fuel_cons!P28*_xlfn.XLOOKUP($B66,efs!$A$74:$A$84,efs!$F$74:$F$84,0,0)</f>
        <v>2.4221553566201939E-3</v>
      </c>
      <c r="Q66" s="18">
        <f>NICCS_Fuel_cons!Q28*_xlfn.XLOOKUP($B66,efs!$A$74:$A$84,efs!$F$74:$F$84,0,0)</f>
        <v>2.9946284009939421E-3</v>
      </c>
      <c r="R66" s="18">
        <f>NICCS_Fuel_cons!R28*_xlfn.XLOOKUP($B66,efs!$A$74:$A$84,efs!$F$74:$F$84,0,0)</f>
        <v>3.6052505772285401E-3</v>
      </c>
      <c r="S66" s="18">
        <f>NICCS_Fuel_cons!S28*_xlfn.XLOOKUP($B66,efs!$A$74:$A$84,efs!$F$74:$F$84,0,0)</f>
        <v>4.2549204617418901E-3</v>
      </c>
      <c r="T66" s="18">
        <f>NICCS_Fuel_cons!T28*_xlfn.XLOOKUP($B66,efs!$A$74:$A$84,efs!$F$74:$F$84,0,0)</f>
        <v>4.9443367434928442E-3</v>
      </c>
      <c r="U66" s="18">
        <f>NICCS_Fuel_cons!U28*_xlfn.XLOOKUP($B66,efs!$A$74:$A$84,efs!$F$74:$F$84,0,0)</f>
        <v>5.6759239550493151E-3</v>
      </c>
      <c r="V66" s="18">
        <f>NICCS_Fuel_cons!V28*_xlfn.XLOOKUP($B66,efs!$A$74:$A$84,efs!$F$74:$F$84,0,0)</f>
        <v>6.4507128874584825E-3</v>
      </c>
      <c r="W66" s="18">
        <f>NICCS_Fuel_cons!W28*_xlfn.XLOOKUP($B66,efs!$A$74:$A$84,efs!$F$74:$F$84,0,0)</f>
        <v>7.2699491514662011E-3</v>
      </c>
      <c r="X66" s="18">
        <f>NICCS_Fuel_cons!X28*_xlfn.XLOOKUP($B66,efs!$A$74:$A$84,efs!$F$74:$F$84,0,0)</f>
        <v>8.1349260745244342E-3</v>
      </c>
      <c r="Y66" s="18">
        <f>NICCS_Fuel_cons!Y28*_xlfn.XLOOKUP($B66,efs!$A$74:$A$84,efs!$F$74:$F$84,0,0)</f>
        <v>9.0469654396257322E-3</v>
      </c>
      <c r="Z66" s="18">
        <f>NICCS_Fuel_cons!Z28*_xlfn.XLOOKUP($B66,efs!$A$74:$A$84,efs!$F$74:$F$84,0,0)</f>
        <v>1.000738242504E-2</v>
      </c>
      <c r="AA66" s="18">
        <f>NICCS_Fuel_cons!AA28*_xlfn.XLOOKUP($B66,efs!$A$74:$A$84,efs!$F$74:$F$84,0,0)</f>
        <v>1.0339484838165E-2</v>
      </c>
      <c r="AB66" s="18">
        <f>NICCS_Fuel_cons!AB28*_xlfn.XLOOKUP($B66,efs!$A$74:$A$84,efs!$F$74:$F$84,0,0)</f>
        <v>1.0678054319100001E-2</v>
      </c>
      <c r="AC66" s="18">
        <f>NICCS_Fuel_cons!AC28*_xlfn.XLOOKUP($B66,efs!$A$74:$A$84,efs!$F$74:$F$84,0,0)</f>
        <v>1.1023061595209998E-2</v>
      </c>
      <c r="AD66" s="18">
        <f>NICCS_Fuel_cons!AD28*_xlfn.XLOOKUP($B66,efs!$A$74:$A$84,efs!$F$74:$F$84,0,0)</f>
        <v>1.1374471714094999E-2</v>
      </c>
      <c r="AE66" s="18">
        <f>NICCS_Fuel_cons!AE28*_xlfn.XLOOKUP($B66,efs!$A$74:$A$84,efs!$F$74:$F$84,0,0)</f>
        <v>1.1732232247154998E-2</v>
      </c>
      <c r="AF66" s="18">
        <f>NICCS_Fuel_cons!AF28*_xlfn.XLOOKUP($B66,efs!$A$74:$A$84,efs!$F$74:$F$84,0,0)</f>
        <v>1.2096270231255001E-2</v>
      </c>
      <c r="AG66" s="18">
        <f>NICCS_Fuel_cons!AG28*_xlfn.XLOOKUP($B66,efs!$A$74:$A$84,efs!$F$74:$F$84,0,0)</f>
        <v>1.246648386753E-2</v>
      </c>
      <c r="AH66" s="18">
        <f>NICCS_Fuel_cons!AH28*_xlfn.XLOOKUP($B66,efs!$A$74:$A$84,efs!$F$74:$F$84,0,0)</f>
        <v>1.284276480354E-2</v>
      </c>
      <c r="AI66" s="18">
        <f>NICCS_Fuel_cons!AI28*_xlfn.XLOOKUP($B66,efs!$A$74:$A$84,efs!$F$74:$F$84,0,0)</f>
        <v>1.3224975851114996E-2</v>
      </c>
      <c r="AJ66" s="111">
        <f>NICCS_Fuel_cons!AJ28*_xlfn.XLOOKUP($B66,efs!$A$74:$A$84,efs!$F$74:$F$84,0,0)</f>
        <v>1.3612972831605001E-2</v>
      </c>
      <c r="AK66" s="55">
        <f t="shared" si="16"/>
        <v>0.18898340838540631</v>
      </c>
    </row>
    <row r="67" spans="1:53">
      <c r="A67" s="4" t="s">
        <v>19</v>
      </c>
      <c r="B67" s="4" t="s">
        <v>12</v>
      </c>
      <c r="C67" s="4" t="s">
        <v>53</v>
      </c>
      <c r="D67" s="91" t="s">
        <v>122</v>
      </c>
      <c r="E67" s="110">
        <f>NICCS_Fuel_cons!E29*_xlfn.XLOOKUP($B67,efs!$A$74:$A$84,efs!$F$74:$F$84,0,0)</f>
        <v>2.7783517334859378E-6</v>
      </c>
      <c r="F67" s="18">
        <f>NICCS_Fuel_cons!F29*_xlfn.XLOOKUP($B67,efs!$A$74:$A$84,efs!$F$74:$F$84,0,0)</f>
        <v>2.281166797686934E-6</v>
      </c>
      <c r="G67" s="18">
        <f>NICCS_Fuel_cons!G29*_xlfn.XLOOKUP($B67,efs!$A$74:$A$84,efs!$F$74:$F$84,0,0)</f>
        <v>1.7328576842153884E-6</v>
      </c>
      <c r="H67" s="18">
        <f>NICCS_Fuel_cons!H29*_xlfn.XLOOKUP($B67,efs!$A$74:$A$84,efs!$F$74:$F$84,0,0)</f>
        <v>1.1307056182078973E-6</v>
      </c>
      <c r="I67" s="18">
        <f>NICCS_Fuel_cons!I29*_xlfn.XLOOKUP($B67,efs!$A$74:$A$84,efs!$F$74:$F$84,0,0)</f>
        <v>4.7195645268279653E-7</v>
      </c>
      <c r="J67" s="18">
        <f>NICCS_Fuel_cons!J29*_xlfn.XLOOKUP($B67,efs!$A$74:$A$84,efs!$F$74:$F$84,0,0)</f>
        <v>0</v>
      </c>
      <c r="K67" s="18">
        <f>NICCS_Fuel_cons!K29*_xlfn.XLOOKUP($B67,efs!$A$74:$A$84,efs!$F$74:$F$84,0,0)</f>
        <v>0</v>
      </c>
      <c r="L67" s="18">
        <f>NICCS_Fuel_cons!L29*_xlfn.XLOOKUP($B67,efs!$A$74:$A$84,efs!$F$74:$F$84,0,0)</f>
        <v>0</v>
      </c>
      <c r="M67" s="18">
        <f>NICCS_Fuel_cons!M29*_xlfn.XLOOKUP($B67,efs!$A$74:$A$84,efs!$F$74:$F$84,0,0)</f>
        <v>0</v>
      </c>
      <c r="N67" s="18">
        <f>NICCS_Fuel_cons!N29*_xlfn.XLOOKUP($B67,efs!$A$74:$A$84,efs!$F$74:$F$84,0,0)</f>
        <v>0</v>
      </c>
      <c r="O67" s="18">
        <f>NICCS_Fuel_cons!O29*_xlfn.XLOOKUP($B67,efs!$A$74:$A$84,efs!$F$74:$F$84,0,0)</f>
        <v>0</v>
      </c>
      <c r="P67" s="18">
        <f>NICCS_Fuel_cons!P29*_xlfn.XLOOKUP($B67,efs!$A$74:$A$84,efs!$F$74:$F$84,0,0)</f>
        <v>0</v>
      </c>
      <c r="Q67" s="18">
        <f>NICCS_Fuel_cons!Q29*_xlfn.XLOOKUP($B67,efs!$A$74:$A$84,efs!$F$74:$F$84,0,0)</f>
        <v>0</v>
      </c>
      <c r="R67" s="18">
        <f>NICCS_Fuel_cons!R29*_xlfn.XLOOKUP($B67,efs!$A$74:$A$84,efs!$F$74:$F$84,0,0)</f>
        <v>0</v>
      </c>
      <c r="S67" s="18">
        <f>NICCS_Fuel_cons!S29*_xlfn.XLOOKUP($B67,efs!$A$74:$A$84,efs!$F$74:$F$84,0,0)</f>
        <v>0</v>
      </c>
      <c r="T67" s="18">
        <f>NICCS_Fuel_cons!T29*_xlfn.XLOOKUP($B67,efs!$A$74:$A$84,efs!$F$74:$F$84,0,0)</f>
        <v>0</v>
      </c>
      <c r="U67" s="18">
        <f>NICCS_Fuel_cons!U29*_xlfn.XLOOKUP($B67,efs!$A$74:$A$84,efs!$F$74:$F$84,0,0)</f>
        <v>0</v>
      </c>
      <c r="V67" s="18">
        <f>NICCS_Fuel_cons!V29*_xlfn.XLOOKUP($B67,efs!$A$74:$A$84,efs!$F$74:$F$84,0,0)</f>
        <v>0</v>
      </c>
      <c r="W67" s="18">
        <f>NICCS_Fuel_cons!W29*_xlfn.XLOOKUP($B67,efs!$A$74:$A$84,efs!$F$74:$F$84,0,0)</f>
        <v>0</v>
      </c>
      <c r="X67" s="18">
        <f>NICCS_Fuel_cons!X29*_xlfn.XLOOKUP($B67,efs!$A$74:$A$84,efs!$F$74:$F$84,0,0)</f>
        <v>0</v>
      </c>
      <c r="Y67" s="18">
        <f>NICCS_Fuel_cons!Y29*_xlfn.XLOOKUP($B67,efs!$A$74:$A$84,efs!$F$74:$F$84,0,0)</f>
        <v>0</v>
      </c>
      <c r="Z67" s="18">
        <f>NICCS_Fuel_cons!Z29*_xlfn.XLOOKUP($B67,efs!$A$74:$A$84,efs!$F$74:$F$84,0,0)</f>
        <v>0</v>
      </c>
      <c r="AA67" s="18">
        <f>NICCS_Fuel_cons!AA29*_xlfn.XLOOKUP($B67,efs!$A$74:$A$84,efs!$F$74:$F$84,0,0)</f>
        <v>0</v>
      </c>
      <c r="AB67" s="18">
        <f>NICCS_Fuel_cons!AB29*_xlfn.XLOOKUP($B67,efs!$A$74:$A$84,efs!$F$74:$F$84,0,0)</f>
        <v>0</v>
      </c>
      <c r="AC67" s="18">
        <f>NICCS_Fuel_cons!AC29*_xlfn.XLOOKUP($B67,efs!$A$74:$A$84,efs!$F$74:$F$84,0,0)</f>
        <v>0</v>
      </c>
      <c r="AD67" s="18">
        <f>NICCS_Fuel_cons!AD29*_xlfn.XLOOKUP($B67,efs!$A$74:$A$84,efs!$F$74:$F$84,0,0)</f>
        <v>0</v>
      </c>
      <c r="AE67" s="18">
        <f>NICCS_Fuel_cons!AE29*_xlfn.XLOOKUP($B67,efs!$A$74:$A$84,efs!$F$74:$F$84,0,0)</f>
        <v>0</v>
      </c>
      <c r="AF67" s="18">
        <f>NICCS_Fuel_cons!AF29*_xlfn.XLOOKUP($B67,efs!$A$74:$A$84,efs!$F$74:$F$84,0,0)</f>
        <v>0</v>
      </c>
      <c r="AG67" s="18">
        <f>NICCS_Fuel_cons!AG29*_xlfn.XLOOKUP($B67,efs!$A$74:$A$84,efs!$F$74:$F$84,0,0)</f>
        <v>0</v>
      </c>
      <c r="AH67" s="18">
        <f>NICCS_Fuel_cons!AH29*_xlfn.XLOOKUP($B67,efs!$A$74:$A$84,efs!$F$74:$F$84,0,0)</f>
        <v>0</v>
      </c>
      <c r="AI67" s="18">
        <f>NICCS_Fuel_cons!AI29*_xlfn.XLOOKUP($B67,efs!$A$74:$A$84,efs!$F$74:$F$84,0,0)</f>
        <v>0</v>
      </c>
      <c r="AJ67" s="111">
        <f>NICCS_Fuel_cons!AJ29*_xlfn.XLOOKUP($B67,efs!$A$74:$A$84,efs!$F$74:$F$84,0,0)</f>
        <v>0</v>
      </c>
      <c r="AK67" s="55">
        <f t="shared" si="16"/>
        <v>0</v>
      </c>
    </row>
    <row r="68" spans="1:53">
      <c r="A68" s="4" t="s">
        <v>19</v>
      </c>
      <c r="B68" s="4" t="s">
        <v>13</v>
      </c>
      <c r="C68" s="4" t="s">
        <v>53</v>
      </c>
      <c r="D68" s="91" t="s">
        <v>122</v>
      </c>
      <c r="E68" s="110">
        <f>NICCS_Fuel_cons!E30*_xlfn.XLOOKUP($B68,efs!$A$74:$A$84,efs!$F$74:$F$84,0,0)</f>
        <v>0</v>
      </c>
      <c r="F68" s="18">
        <f>NICCS_Fuel_cons!F30*_xlfn.XLOOKUP($B68,efs!$A$74:$A$84,efs!$F$74:$F$84,0,0)</f>
        <v>0</v>
      </c>
      <c r="G68" s="18">
        <f>NICCS_Fuel_cons!G30*_xlfn.XLOOKUP($B68,efs!$A$74:$A$84,efs!$F$74:$F$84,0,0)</f>
        <v>0</v>
      </c>
      <c r="H68" s="18">
        <f>NICCS_Fuel_cons!H30*_xlfn.XLOOKUP($B68,efs!$A$74:$A$84,efs!$F$74:$F$84,0,0)</f>
        <v>0</v>
      </c>
      <c r="I68" s="18">
        <f>NICCS_Fuel_cons!I30*_xlfn.XLOOKUP($B68,efs!$A$74:$A$84,efs!$F$74:$F$84,0,0)</f>
        <v>0</v>
      </c>
      <c r="J68" s="18">
        <f>NICCS_Fuel_cons!J30*_xlfn.XLOOKUP($B68,efs!$A$74:$A$84,efs!$F$74:$F$84,0,0)</f>
        <v>0</v>
      </c>
      <c r="K68" s="18">
        <f>NICCS_Fuel_cons!K30*_xlfn.XLOOKUP($B68,efs!$A$74:$A$84,efs!$F$74:$F$84,0,0)</f>
        <v>0</v>
      </c>
      <c r="L68" s="18">
        <f>NICCS_Fuel_cons!L30*_xlfn.XLOOKUP($B68,efs!$A$74:$A$84,efs!$F$74:$F$84,0,0)</f>
        <v>0</v>
      </c>
      <c r="M68" s="18">
        <f>NICCS_Fuel_cons!M30*_xlfn.XLOOKUP($B68,efs!$A$74:$A$84,efs!$F$74:$F$84,0,0)</f>
        <v>0</v>
      </c>
      <c r="N68" s="18">
        <f>NICCS_Fuel_cons!N30*_xlfn.XLOOKUP($B68,efs!$A$74:$A$84,efs!$F$74:$F$84,0,0)</f>
        <v>0</v>
      </c>
      <c r="O68" s="18">
        <f>NICCS_Fuel_cons!O30*_xlfn.XLOOKUP($B68,efs!$A$74:$A$84,efs!$F$74:$F$84,0,0)</f>
        <v>0</v>
      </c>
      <c r="P68" s="18">
        <f>NICCS_Fuel_cons!P30*_xlfn.XLOOKUP($B68,efs!$A$74:$A$84,efs!$F$74:$F$84,0,0)</f>
        <v>0</v>
      </c>
      <c r="Q68" s="18">
        <f>NICCS_Fuel_cons!Q30*_xlfn.XLOOKUP($B68,efs!$A$74:$A$84,efs!$F$74:$F$84,0,0)</f>
        <v>0</v>
      </c>
      <c r="R68" s="18">
        <f>NICCS_Fuel_cons!R30*_xlfn.XLOOKUP($B68,efs!$A$74:$A$84,efs!$F$74:$F$84,0,0)</f>
        <v>0</v>
      </c>
      <c r="S68" s="18">
        <f>NICCS_Fuel_cons!S30*_xlfn.XLOOKUP($B68,efs!$A$74:$A$84,efs!$F$74:$F$84,0,0)</f>
        <v>0</v>
      </c>
      <c r="T68" s="18">
        <f>NICCS_Fuel_cons!T30*_xlfn.XLOOKUP($B68,efs!$A$74:$A$84,efs!$F$74:$F$84,0,0)</f>
        <v>0</v>
      </c>
      <c r="U68" s="18">
        <f>NICCS_Fuel_cons!U30*_xlfn.XLOOKUP($B68,efs!$A$74:$A$84,efs!$F$74:$F$84,0,0)</f>
        <v>0</v>
      </c>
      <c r="V68" s="18">
        <f>NICCS_Fuel_cons!V30*_xlfn.XLOOKUP($B68,efs!$A$74:$A$84,efs!$F$74:$F$84,0,0)</f>
        <v>0</v>
      </c>
      <c r="W68" s="18">
        <f>NICCS_Fuel_cons!W30*_xlfn.XLOOKUP($B68,efs!$A$74:$A$84,efs!$F$74:$F$84,0,0)</f>
        <v>0</v>
      </c>
      <c r="X68" s="18">
        <f>NICCS_Fuel_cons!X30*_xlfn.XLOOKUP($B68,efs!$A$74:$A$84,efs!$F$74:$F$84,0,0)</f>
        <v>0</v>
      </c>
      <c r="Y68" s="18">
        <f>NICCS_Fuel_cons!Y30*_xlfn.XLOOKUP($B68,efs!$A$74:$A$84,efs!$F$74:$F$84,0,0)</f>
        <v>0</v>
      </c>
      <c r="Z68" s="18">
        <f>NICCS_Fuel_cons!Z30*_xlfn.XLOOKUP($B68,efs!$A$74:$A$84,efs!$F$74:$F$84,0,0)</f>
        <v>0</v>
      </c>
      <c r="AA68" s="18">
        <f>NICCS_Fuel_cons!AA30*_xlfn.XLOOKUP($B68,efs!$A$74:$A$84,efs!$F$74:$F$84,0,0)</f>
        <v>0</v>
      </c>
      <c r="AB68" s="18">
        <f>NICCS_Fuel_cons!AB30*_xlfn.XLOOKUP($B68,efs!$A$74:$A$84,efs!$F$74:$F$84,0,0)</f>
        <v>0</v>
      </c>
      <c r="AC68" s="18">
        <f>NICCS_Fuel_cons!AC30*_xlfn.XLOOKUP($B68,efs!$A$74:$A$84,efs!$F$74:$F$84,0,0)</f>
        <v>0</v>
      </c>
      <c r="AD68" s="18">
        <f>NICCS_Fuel_cons!AD30*_xlfn.XLOOKUP($B68,efs!$A$74:$A$84,efs!$F$74:$F$84,0,0)</f>
        <v>0</v>
      </c>
      <c r="AE68" s="18">
        <f>NICCS_Fuel_cons!AE30*_xlfn.XLOOKUP($B68,efs!$A$74:$A$84,efs!$F$74:$F$84,0,0)</f>
        <v>0</v>
      </c>
      <c r="AF68" s="18">
        <f>NICCS_Fuel_cons!AF30*_xlfn.XLOOKUP($B68,efs!$A$74:$A$84,efs!$F$74:$F$84,0,0)</f>
        <v>0</v>
      </c>
      <c r="AG68" s="18">
        <f>NICCS_Fuel_cons!AG30*_xlfn.XLOOKUP($B68,efs!$A$74:$A$84,efs!$F$74:$F$84,0,0)</f>
        <v>0</v>
      </c>
      <c r="AH68" s="18">
        <f>NICCS_Fuel_cons!AH30*_xlfn.XLOOKUP($B68,efs!$A$74:$A$84,efs!$F$74:$F$84,0,0)</f>
        <v>0</v>
      </c>
      <c r="AI68" s="18">
        <f>NICCS_Fuel_cons!AI30*_xlfn.XLOOKUP($B68,efs!$A$74:$A$84,efs!$F$74:$F$84,0,0)</f>
        <v>0</v>
      </c>
      <c r="AJ68" s="111">
        <f>NICCS_Fuel_cons!AJ30*_xlfn.XLOOKUP($B68,efs!$A$74:$A$84,efs!$F$74:$F$84,0,0)</f>
        <v>0</v>
      </c>
      <c r="AK68" s="55">
        <f t="shared" si="16"/>
        <v>0</v>
      </c>
    </row>
    <row r="69" spans="1:53">
      <c r="A69" s="4" t="s">
        <v>19</v>
      </c>
      <c r="B69" s="4" t="s">
        <v>14</v>
      </c>
      <c r="C69" s="4" t="s">
        <v>53</v>
      </c>
      <c r="D69" s="91" t="s">
        <v>122</v>
      </c>
      <c r="E69" s="110">
        <f>NICCS_Fuel_cons!E31*_xlfn.XLOOKUP($B69,efs!$A$74:$A$84,efs!$F$74:$F$84,0,0)</f>
        <v>0</v>
      </c>
      <c r="F69" s="18">
        <f>NICCS_Fuel_cons!F31*_xlfn.XLOOKUP($B69,efs!$A$74:$A$84,efs!$F$74:$F$84,0,0)</f>
        <v>0</v>
      </c>
      <c r="G69" s="18">
        <f>NICCS_Fuel_cons!G31*_xlfn.XLOOKUP($B69,efs!$A$74:$A$84,efs!$F$74:$F$84,0,0)</f>
        <v>0</v>
      </c>
      <c r="H69" s="18">
        <f>NICCS_Fuel_cons!H31*_xlfn.XLOOKUP($B69,efs!$A$74:$A$84,efs!$F$74:$F$84,0,0)</f>
        <v>0</v>
      </c>
      <c r="I69" s="18">
        <f>NICCS_Fuel_cons!I31*_xlfn.XLOOKUP($B69,efs!$A$74:$A$84,efs!$F$74:$F$84,0,0)</f>
        <v>0</v>
      </c>
      <c r="J69" s="18">
        <f>NICCS_Fuel_cons!J31*_xlfn.XLOOKUP($B69,efs!$A$74:$A$84,efs!$F$74:$F$84,0,0)</f>
        <v>0</v>
      </c>
      <c r="K69" s="18">
        <f>NICCS_Fuel_cons!K31*_xlfn.XLOOKUP($B69,efs!$A$74:$A$84,efs!$F$74:$F$84,0,0)</f>
        <v>0</v>
      </c>
      <c r="L69" s="18">
        <f>NICCS_Fuel_cons!L31*_xlfn.XLOOKUP($B69,efs!$A$74:$A$84,efs!$F$74:$F$84,0,0)</f>
        <v>0</v>
      </c>
      <c r="M69" s="18">
        <f>NICCS_Fuel_cons!M31*_xlfn.XLOOKUP($B69,efs!$A$74:$A$84,efs!$F$74:$F$84,0,0)</f>
        <v>0</v>
      </c>
      <c r="N69" s="18">
        <f>NICCS_Fuel_cons!N31*_xlfn.XLOOKUP($B69,efs!$A$74:$A$84,efs!$F$74:$F$84,0,0)</f>
        <v>0</v>
      </c>
      <c r="O69" s="18">
        <f>NICCS_Fuel_cons!O31*_xlfn.XLOOKUP($B69,efs!$A$74:$A$84,efs!$F$74:$F$84,0,0)</f>
        <v>0</v>
      </c>
      <c r="P69" s="18">
        <f>NICCS_Fuel_cons!P31*_xlfn.XLOOKUP($B69,efs!$A$74:$A$84,efs!$F$74:$F$84,0,0)</f>
        <v>0</v>
      </c>
      <c r="Q69" s="18">
        <f>NICCS_Fuel_cons!Q31*_xlfn.XLOOKUP($B69,efs!$A$74:$A$84,efs!$F$74:$F$84,0,0)</f>
        <v>0</v>
      </c>
      <c r="R69" s="18">
        <f>NICCS_Fuel_cons!R31*_xlfn.XLOOKUP($B69,efs!$A$74:$A$84,efs!$F$74:$F$84,0,0)</f>
        <v>0</v>
      </c>
      <c r="S69" s="18">
        <f>NICCS_Fuel_cons!S31*_xlfn.XLOOKUP($B69,efs!$A$74:$A$84,efs!$F$74:$F$84,0,0)</f>
        <v>0</v>
      </c>
      <c r="T69" s="18">
        <f>NICCS_Fuel_cons!T31*_xlfn.XLOOKUP($B69,efs!$A$74:$A$84,efs!$F$74:$F$84,0,0)</f>
        <v>0</v>
      </c>
      <c r="U69" s="18">
        <f>NICCS_Fuel_cons!U31*_xlfn.XLOOKUP($B69,efs!$A$74:$A$84,efs!$F$74:$F$84,0,0)</f>
        <v>0</v>
      </c>
      <c r="V69" s="18">
        <f>NICCS_Fuel_cons!V31*_xlfn.XLOOKUP($B69,efs!$A$74:$A$84,efs!$F$74:$F$84,0,0)</f>
        <v>0</v>
      </c>
      <c r="W69" s="18">
        <f>NICCS_Fuel_cons!W31*_xlfn.XLOOKUP($B69,efs!$A$74:$A$84,efs!$F$74:$F$84,0,0)</f>
        <v>0</v>
      </c>
      <c r="X69" s="18">
        <f>NICCS_Fuel_cons!X31*_xlfn.XLOOKUP($B69,efs!$A$74:$A$84,efs!$F$74:$F$84,0,0)</f>
        <v>0</v>
      </c>
      <c r="Y69" s="18">
        <f>NICCS_Fuel_cons!Y31*_xlfn.XLOOKUP($B69,efs!$A$74:$A$84,efs!$F$74:$F$84,0,0)</f>
        <v>0</v>
      </c>
      <c r="Z69" s="18">
        <f>NICCS_Fuel_cons!Z31*_xlfn.XLOOKUP($B69,efs!$A$74:$A$84,efs!$F$74:$F$84,0,0)</f>
        <v>0</v>
      </c>
      <c r="AA69" s="18">
        <f>NICCS_Fuel_cons!AA31*_xlfn.XLOOKUP($B69,efs!$A$74:$A$84,efs!$F$74:$F$84,0,0)</f>
        <v>0</v>
      </c>
      <c r="AB69" s="18">
        <f>NICCS_Fuel_cons!AB31*_xlfn.XLOOKUP($B69,efs!$A$74:$A$84,efs!$F$74:$F$84,0,0)</f>
        <v>0</v>
      </c>
      <c r="AC69" s="18">
        <f>NICCS_Fuel_cons!AC31*_xlfn.XLOOKUP($B69,efs!$A$74:$A$84,efs!$F$74:$F$84,0,0)</f>
        <v>0</v>
      </c>
      <c r="AD69" s="18">
        <f>NICCS_Fuel_cons!AD31*_xlfn.XLOOKUP($B69,efs!$A$74:$A$84,efs!$F$74:$F$84,0,0)</f>
        <v>0</v>
      </c>
      <c r="AE69" s="18">
        <f>NICCS_Fuel_cons!AE31*_xlfn.XLOOKUP($B69,efs!$A$74:$A$84,efs!$F$74:$F$84,0,0)</f>
        <v>0</v>
      </c>
      <c r="AF69" s="18">
        <f>NICCS_Fuel_cons!AF31*_xlfn.XLOOKUP($B69,efs!$A$74:$A$84,efs!$F$74:$F$84,0,0)</f>
        <v>0</v>
      </c>
      <c r="AG69" s="18">
        <f>NICCS_Fuel_cons!AG31*_xlfn.XLOOKUP($B69,efs!$A$74:$A$84,efs!$F$74:$F$84,0,0)</f>
        <v>0</v>
      </c>
      <c r="AH69" s="18">
        <f>NICCS_Fuel_cons!AH31*_xlfn.XLOOKUP($B69,efs!$A$74:$A$84,efs!$F$74:$F$84,0,0)</f>
        <v>0</v>
      </c>
      <c r="AI69" s="18">
        <f>NICCS_Fuel_cons!AI31*_xlfn.XLOOKUP($B69,efs!$A$74:$A$84,efs!$F$74:$F$84,0,0)</f>
        <v>0</v>
      </c>
      <c r="AJ69" s="111">
        <f>NICCS_Fuel_cons!AJ31*_xlfn.XLOOKUP($B69,efs!$A$74:$A$84,efs!$F$74:$F$84,0,0)</f>
        <v>0</v>
      </c>
      <c r="AK69" s="55">
        <f t="shared" si="16"/>
        <v>0</v>
      </c>
    </row>
    <row r="70" spans="1:53">
      <c r="A70" s="4" t="s">
        <v>19</v>
      </c>
      <c r="B70" s="4" t="s">
        <v>15</v>
      </c>
      <c r="C70" s="4" t="s">
        <v>53</v>
      </c>
      <c r="D70" s="91" t="s">
        <v>122</v>
      </c>
      <c r="E70" s="110">
        <f>NICCS_Fuel_cons!E32*_xlfn.XLOOKUP($B70,efs!$A$74:$A$84,efs!$F$74:$F$84,0,0)</f>
        <v>0</v>
      </c>
      <c r="F70" s="18">
        <f>NICCS_Fuel_cons!F32*_xlfn.XLOOKUP($B70,efs!$A$74:$A$84,efs!$F$74:$F$84,0,0)</f>
        <v>0</v>
      </c>
      <c r="G70" s="18">
        <f>NICCS_Fuel_cons!G32*_xlfn.XLOOKUP($B70,efs!$A$74:$A$84,efs!$F$74:$F$84,0,0)</f>
        <v>0</v>
      </c>
      <c r="H70" s="18">
        <f>NICCS_Fuel_cons!H32*_xlfn.XLOOKUP($B70,efs!$A$74:$A$84,efs!$F$74:$F$84,0,0)</f>
        <v>0</v>
      </c>
      <c r="I70" s="18">
        <f>NICCS_Fuel_cons!I32*_xlfn.XLOOKUP($B70,efs!$A$74:$A$84,efs!$F$74:$F$84,0,0)</f>
        <v>0</v>
      </c>
      <c r="J70" s="18">
        <f>NICCS_Fuel_cons!J32*_xlfn.XLOOKUP($B70,efs!$A$74:$A$84,efs!$F$74:$F$84,0,0)</f>
        <v>0</v>
      </c>
      <c r="K70" s="18">
        <f>NICCS_Fuel_cons!K32*_xlfn.XLOOKUP($B70,efs!$A$74:$A$84,efs!$F$74:$F$84,0,0)</f>
        <v>0</v>
      </c>
      <c r="L70" s="18">
        <f>NICCS_Fuel_cons!L32*_xlfn.XLOOKUP($B70,efs!$A$74:$A$84,efs!$F$74:$F$84,0,0)</f>
        <v>1.0730937358103055E-2</v>
      </c>
      <c r="M70" s="18">
        <f>NICCS_Fuel_cons!M32*_xlfn.XLOOKUP($B70,efs!$A$74:$A$84,efs!$F$74:$F$84,0,0)</f>
        <v>2.2345906129896058E-2</v>
      </c>
      <c r="N70" s="18">
        <f>NICCS_Fuel_cons!N32*_xlfn.XLOOKUP($B70,efs!$A$74:$A$84,efs!$F$74:$F$84,0,0)</f>
        <v>3.4878598328391422E-2</v>
      </c>
      <c r="O70" s="18">
        <f>NICCS_Fuel_cons!O32*_xlfn.XLOOKUP($B70,efs!$A$74:$A$84,efs!$F$74:$F$84,0,0)</f>
        <v>4.836110470639448E-2</v>
      </c>
      <c r="P70" s="18">
        <f>NICCS_Fuel_cons!P32*_xlfn.XLOOKUP($B70,efs!$A$74:$A$84,efs!$F$74:$F$84,0,0)</f>
        <v>6.28239459701527E-2</v>
      </c>
      <c r="Q70" s="18">
        <f>NICCS_Fuel_cons!Q32*_xlfn.XLOOKUP($B70,efs!$A$74:$A$84,efs!$F$74:$F$84,0,0)</f>
        <v>7.8296089946862865E-2</v>
      </c>
      <c r="R70" s="18">
        <f>NICCS_Fuel_cons!R32*_xlfn.XLOOKUP($B70,efs!$A$74:$A$84,efs!$F$74:$F$84,0,0)</f>
        <v>9.4804965630813115E-2</v>
      </c>
      <c r="S70" s="18">
        <f>NICCS_Fuel_cons!S32*_xlfn.XLOOKUP($B70,efs!$A$74:$A$84,efs!$F$74:$F$84,0,0)</f>
        <v>0.11237518654512826</v>
      </c>
      <c r="T70" s="18">
        <f>NICCS_Fuel_cons!T32*_xlfn.XLOOKUP($B70,efs!$A$74:$A$84,efs!$F$74:$F$84,0,0)</f>
        <v>0.13102600995072</v>
      </c>
      <c r="U70" s="18">
        <f>NICCS_Fuel_cons!U32*_xlfn.XLOOKUP($B70,efs!$A$74:$A$84,efs!$F$74:$F$84,0,0)</f>
        <v>0.15082246480377634</v>
      </c>
      <c r="V70" s="18">
        <f>NICCS_Fuel_cons!V32*_xlfn.XLOOKUP($B70,efs!$A$74:$A$84,efs!$F$74:$F$84,0,0)</f>
        <v>0.17179282286711556</v>
      </c>
      <c r="W70" s="18">
        <f>NICCS_Fuel_cons!W32*_xlfn.XLOOKUP($B70,efs!$A$74:$A$84,efs!$F$74:$F$84,0,0)</f>
        <v>0.19397102430226165</v>
      </c>
      <c r="X70" s="18">
        <f>NICCS_Fuel_cons!X32*_xlfn.XLOOKUP($B70,efs!$A$74:$A$84,efs!$F$74:$F$84,0,0)</f>
        <v>0.21739228122694607</v>
      </c>
      <c r="Y70" s="18">
        <f>NICCS_Fuel_cons!Y32*_xlfn.XLOOKUP($B70,efs!$A$74:$A$84,efs!$F$74:$F$84,0,0)</f>
        <v>0.24209257205398962</v>
      </c>
      <c r="Z70" s="18">
        <f>NICCS_Fuel_cons!Z32*_xlfn.XLOOKUP($B70,efs!$A$74:$A$84,efs!$F$74:$F$84,0,0)</f>
        <v>0.26810770508182463</v>
      </c>
      <c r="AA70" s="18">
        <f>NICCS_Fuel_cons!AA32*_xlfn.XLOOKUP($B70,efs!$A$74:$A$84,efs!$F$74:$F$84,0,0)</f>
        <v>0.27700505826104255</v>
      </c>
      <c r="AB70" s="18">
        <f>NICCS_Fuel_cons!AB32*_xlfn.XLOOKUP($B70,efs!$A$74:$A$84,efs!$F$74:$F$84,0,0)</f>
        <v>0.28607567060389655</v>
      </c>
      <c r="AC70" s="18">
        <f>NICCS_Fuel_cons!AC32*_xlfn.XLOOKUP($B70,efs!$A$74:$A$84,efs!$F$74:$F$84,0,0)</f>
        <v>0.29531875786744871</v>
      </c>
      <c r="AD70" s="18">
        <f>NICCS_Fuel_cons!AD32*_xlfn.XLOOKUP($B70,efs!$A$74:$A$84,efs!$F$74:$F$84,0,0)</f>
        <v>0.30473338364222141</v>
      </c>
      <c r="AE70" s="18">
        <f>NICCS_Fuel_cons!AE32*_xlfn.XLOOKUP($B70,efs!$A$74:$A$84,efs!$F$74:$F$84,0,0)</f>
        <v>0.31431814331399777</v>
      </c>
      <c r="AF70" s="18">
        <f>NICCS_Fuel_cons!AF32*_xlfn.XLOOKUP($B70,efs!$A$74:$A$84,efs!$F$74:$F$84,0,0)</f>
        <v>0.3240710821279929</v>
      </c>
      <c r="AG70" s="18">
        <f>NICCS_Fuel_cons!AG32*_xlfn.XLOOKUP($B70,efs!$A$74:$A$84,efs!$F$74:$F$84,0,0)</f>
        <v>0.33398947279160246</v>
      </c>
      <c r="AH70" s="18">
        <f>NICCS_Fuel_cons!AH32*_xlfn.XLOOKUP($B70,efs!$A$74:$A$84,efs!$F$74:$F$84,0,0)</f>
        <v>0.34407041243544528</v>
      </c>
      <c r="AI70" s="18">
        <f>NICCS_Fuel_cons!AI32*_xlfn.XLOOKUP($B70,efs!$A$74:$A$84,efs!$F$74:$F$84,0,0)</f>
        <v>0.3543102256523209</v>
      </c>
      <c r="AJ70" s="111">
        <f>NICCS_Fuel_cons!AJ32*_xlfn.XLOOKUP($B70,efs!$A$74:$A$84,efs!$F$74:$F$84,0,0)</f>
        <v>0.36470504975313323</v>
      </c>
      <c r="AK70" s="55">
        <f t="shared" si="16"/>
        <v>5.0384188713514773</v>
      </c>
    </row>
    <row r="71" spans="1:53">
      <c r="A71" s="40" t="s">
        <v>19</v>
      </c>
      <c r="B71" s="40" t="s">
        <v>16</v>
      </c>
      <c r="C71" s="4" t="s">
        <v>53</v>
      </c>
      <c r="D71" s="91" t="s">
        <v>122</v>
      </c>
      <c r="E71" s="110">
        <f>NICCS_Fuel_cons!E33*_xlfn.XLOOKUP($B71,efs!$A$74:$A$84,efs!$F$74:$F$84,0,0)</f>
        <v>0</v>
      </c>
      <c r="F71" s="18">
        <f>NICCS_Fuel_cons!F33*_xlfn.XLOOKUP($B71,efs!$A$74:$A$84,efs!$F$74:$F$84,0,0)</f>
        <v>0</v>
      </c>
      <c r="G71" s="18">
        <f>NICCS_Fuel_cons!G33*_xlfn.XLOOKUP($B71,efs!$A$74:$A$84,efs!$F$74:$F$84,0,0)</f>
        <v>0</v>
      </c>
      <c r="H71" s="18">
        <f>NICCS_Fuel_cons!H33*_xlfn.XLOOKUP($B71,efs!$A$74:$A$84,efs!$F$74:$F$84,0,0)</f>
        <v>0</v>
      </c>
      <c r="I71" s="18">
        <f>NICCS_Fuel_cons!I33*_xlfn.XLOOKUP($B71,efs!$A$74:$A$84,efs!$F$74:$F$84,0,0)</f>
        <v>0</v>
      </c>
      <c r="J71" s="18">
        <f>NICCS_Fuel_cons!J33*_xlfn.XLOOKUP($B71,efs!$A$74:$A$84,efs!$F$74:$F$84,0,0)</f>
        <v>0</v>
      </c>
      <c r="K71" s="18">
        <f>NICCS_Fuel_cons!K33*_xlfn.XLOOKUP($B71,efs!$A$74:$A$84,efs!$F$74:$F$84,0,0)</f>
        <v>0</v>
      </c>
      <c r="L71" s="18">
        <f>NICCS_Fuel_cons!L33*_xlfn.XLOOKUP($B71,efs!$A$74:$A$84,efs!$F$74:$F$84,0,0)</f>
        <v>0</v>
      </c>
      <c r="M71" s="18">
        <f>NICCS_Fuel_cons!M33*_xlfn.XLOOKUP($B71,efs!$A$74:$A$84,efs!$F$74:$F$84,0,0)</f>
        <v>0</v>
      </c>
      <c r="N71" s="18">
        <f>NICCS_Fuel_cons!N33*_xlfn.XLOOKUP($B71,efs!$A$74:$A$84,efs!$F$74:$F$84,0,0)</f>
        <v>0</v>
      </c>
      <c r="O71" s="18">
        <f>NICCS_Fuel_cons!O33*_xlfn.XLOOKUP($B71,efs!$A$74:$A$84,efs!$F$74:$F$84,0,0)</f>
        <v>0</v>
      </c>
      <c r="P71" s="18">
        <f>NICCS_Fuel_cons!P33*_xlfn.XLOOKUP($B71,efs!$A$74:$A$84,efs!$F$74:$F$84,0,0)</f>
        <v>0</v>
      </c>
      <c r="Q71" s="18">
        <f>NICCS_Fuel_cons!Q33*_xlfn.XLOOKUP($B71,efs!$A$74:$A$84,efs!$F$74:$F$84,0,0)</f>
        <v>0</v>
      </c>
      <c r="R71" s="18">
        <f>NICCS_Fuel_cons!R33*_xlfn.XLOOKUP($B71,efs!$A$74:$A$84,efs!$F$74:$F$84,0,0)</f>
        <v>0</v>
      </c>
      <c r="S71" s="18">
        <f>NICCS_Fuel_cons!S33*_xlfn.XLOOKUP($B71,efs!$A$74:$A$84,efs!$F$74:$F$84,0,0)</f>
        <v>0</v>
      </c>
      <c r="T71" s="18">
        <f>NICCS_Fuel_cons!T33*_xlfn.XLOOKUP($B71,efs!$A$74:$A$84,efs!$F$74:$F$84,0,0)</f>
        <v>0</v>
      </c>
      <c r="U71" s="18">
        <f>NICCS_Fuel_cons!U33*_xlfn.XLOOKUP($B71,efs!$A$74:$A$84,efs!$F$74:$F$84,0,0)</f>
        <v>0</v>
      </c>
      <c r="V71" s="18">
        <f>NICCS_Fuel_cons!V33*_xlfn.XLOOKUP($B71,efs!$A$74:$A$84,efs!$F$74:$F$84,0,0)</f>
        <v>0</v>
      </c>
      <c r="W71" s="18">
        <f>NICCS_Fuel_cons!W33*_xlfn.XLOOKUP($B71,efs!$A$74:$A$84,efs!$F$74:$F$84,0,0)</f>
        <v>0</v>
      </c>
      <c r="X71" s="18">
        <f>NICCS_Fuel_cons!X33*_xlfn.XLOOKUP($B71,efs!$A$74:$A$84,efs!$F$74:$F$84,0,0)</f>
        <v>0</v>
      </c>
      <c r="Y71" s="18">
        <f>NICCS_Fuel_cons!Y33*_xlfn.XLOOKUP($B71,efs!$A$74:$A$84,efs!$F$74:$F$84,0,0)</f>
        <v>0</v>
      </c>
      <c r="Z71" s="18">
        <f>NICCS_Fuel_cons!Z33*_xlfn.XLOOKUP($B71,efs!$A$74:$A$84,efs!$F$74:$F$84,0,0)</f>
        <v>0</v>
      </c>
      <c r="AA71" s="18">
        <f>NICCS_Fuel_cons!AA33*_xlfn.XLOOKUP($B71,efs!$A$74:$A$84,efs!$F$74:$F$84,0,0)</f>
        <v>0</v>
      </c>
      <c r="AB71" s="18">
        <f>NICCS_Fuel_cons!AB33*_xlfn.XLOOKUP($B71,efs!$A$74:$A$84,efs!$F$74:$F$84,0,0)</f>
        <v>0</v>
      </c>
      <c r="AC71" s="18">
        <f>NICCS_Fuel_cons!AC33*_xlfn.XLOOKUP($B71,efs!$A$74:$A$84,efs!$F$74:$F$84,0,0)</f>
        <v>0</v>
      </c>
      <c r="AD71" s="18">
        <f>NICCS_Fuel_cons!AD33*_xlfn.XLOOKUP($B71,efs!$A$74:$A$84,efs!$F$74:$F$84,0,0)</f>
        <v>0</v>
      </c>
      <c r="AE71" s="18">
        <f>NICCS_Fuel_cons!AE33*_xlfn.XLOOKUP($B71,efs!$A$74:$A$84,efs!$F$74:$F$84,0,0)</f>
        <v>0</v>
      </c>
      <c r="AF71" s="18">
        <f>NICCS_Fuel_cons!AF33*_xlfn.XLOOKUP($B71,efs!$A$74:$A$84,efs!$F$74:$F$84,0,0)</f>
        <v>0</v>
      </c>
      <c r="AG71" s="18">
        <f>NICCS_Fuel_cons!AG33*_xlfn.XLOOKUP($B71,efs!$A$74:$A$84,efs!$F$74:$F$84,0,0)</f>
        <v>0</v>
      </c>
      <c r="AH71" s="18">
        <f>NICCS_Fuel_cons!AH33*_xlfn.XLOOKUP($B71,efs!$A$74:$A$84,efs!$F$74:$F$84,0,0)</f>
        <v>0</v>
      </c>
      <c r="AI71" s="18">
        <f>NICCS_Fuel_cons!AI33*_xlfn.XLOOKUP($B71,efs!$A$74:$A$84,efs!$F$74:$F$84,0,0)</f>
        <v>0</v>
      </c>
      <c r="AJ71" s="111">
        <f>NICCS_Fuel_cons!AJ33*_xlfn.XLOOKUP($B71,efs!$A$74:$A$84,efs!$F$74:$F$84,0,0)</f>
        <v>0</v>
      </c>
      <c r="AK71" s="55">
        <f t="shared" si="16"/>
        <v>0</v>
      </c>
    </row>
    <row r="72" spans="1:53" ht="17" thickBot="1">
      <c r="A72" s="32" t="s">
        <v>19</v>
      </c>
      <c r="B72" s="32" t="s">
        <v>17</v>
      </c>
      <c r="C72" s="32" t="s">
        <v>53</v>
      </c>
      <c r="D72" s="93" t="s">
        <v>122</v>
      </c>
      <c r="E72" s="112">
        <f>NICCS_Fuel_cons!E34*_xlfn.XLOOKUP($B72,efs!$A$74:$A$84,efs!$F$74:$F$84,0,0)</f>
        <v>0</v>
      </c>
      <c r="F72" s="113">
        <f>NICCS_Fuel_cons!F34*_xlfn.XLOOKUP($B72,efs!$A$74:$A$84,efs!$F$74:$F$84,0,0)</f>
        <v>0</v>
      </c>
      <c r="G72" s="113">
        <f>NICCS_Fuel_cons!G34*_xlfn.XLOOKUP($B72,efs!$A$74:$A$84,efs!$F$74:$F$84,0,0)</f>
        <v>0</v>
      </c>
      <c r="H72" s="113">
        <f>NICCS_Fuel_cons!H34*_xlfn.XLOOKUP($B72,efs!$A$74:$A$84,efs!$F$74:$F$84,0,0)</f>
        <v>0</v>
      </c>
      <c r="I72" s="113">
        <f>NICCS_Fuel_cons!I34*_xlfn.XLOOKUP($B72,efs!$A$74:$A$84,efs!$F$74:$F$84,0,0)</f>
        <v>0</v>
      </c>
      <c r="J72" s="113">
        <f>NICCS_Fuel_cons!J34*_xlfn.XLOOKUP($B72,efs!$A$74:$A$84,efs!$F$74:$F$84,0,0)</f>
        <v>0</v>
      </c>
      <c r="K72" s="113">
        <f>NICCS_Fuel_cons!K34*_xlfn.XLOOKUP($B72,efs!$A$74:$A$84,efs!$F$74:$F$84,0,0)</f>
        <v>0</v>
      </c>
      <c r="L72" s="113">
        <f>NICCS_Fuel_cons!L34*_xlfn.XLOOKUP($B72,efs!$A$74:$A$84,efs!$F$74:$F$84,0,0)</f>
        <v>0</v>
      </c>
      <c r="M72" s="113">
        <f>NICCS_Fuel_cons!M34*_xlfn.XLOOKUP($B72,efs!$A$74:$A$84,efs!$F$74:$F$84,0,0)</f>
        <v>0</v>
      </c>
      <c r="N72" s="113">
        <f>NICCS_Fuel_cons!N34*_xlfn.XLOOKUP($B72,efs!$A$74:$A$84,efs!$F$74:$F$84,0,0)</f>
        <v>0</v>
      </c>
      <c r="O72" s="113">
        <f>NICCS_Fuel_cons!O34*_xlfn.XLOOKUP($B72,efs!$A$74:$A$84,efs!$F$74:$F$84,0,0)</f>
        <v>0</v>
      </c>
      <c r="P72" s="113">
        <f>NICCS_Fuel_cons!P34*_xlfn.XLOOKUP($B72,efs!$A$74:$A$84,efs!$F$74:$F$84,0,0)</f>
        <v>0</v>
      </c>
      <c r="Q72" s="113">
        <f>NICCS_Fuel_cons!Q34*_xlfn.XLOOKUP($B72,efs!$A$74:$A$84,efs!$F$74:$F$84,0,0)</f>
        <v>0</v>
      </c>
      <c r="R72" s="113">
        <f>NICCS_Fuel_cons!R34*_xlfn.XLOOKUP($B72,efs!$A$74:$A$84,efs!$F$74:$F$84,0,0)</f>
        <v>0</v>
      </c>
      <c r="S72" s="113">
        <f>NICCS_Fuel_cons!S34*_xlfn.XLOOKUP($B72,efs!$A$74:$A$84,efs!$F$74:$F$84,0,0)</f>
        <v>0</v>
      </c>
      <c r="T72" s="113">
        <f>NICCS_Fuel_cons!T34*_xlfn.XLOOKUP($B72,efs!$A$74:$A$84,efs!$F$74:$F$84,0,0)</f>
        <v>0</v>
      </c>
      <c r="U72" s="113">
        <f>NICCS_Fuel_cons!U34*_xlfn.XLOOKUP($B72,efs!$A$74:$A$84,efs!$F$74:$F$84,0,0)</f>
        <v>0</v>
      </c>
      <c r="V72" s="113">
        <f>NICCS_Fuel_cons!V34*_xlfn.XLOOKUP($B72,efs!$A$74:$A$84,efs!$F$74:$F$84,0,0)</f>
        <v>0</v>
      </c>
      <c r="W72" s="113">
        <f>NICCS_Fuel_cons!W34*_xlfn.XLOOKUP($B72,efs!$A$74:$A$84,efs!$F$74:$F$84,0,0)</f>
        <v>0</v>
      </c>
      <c r="X72" s="113">
        <f>NICCS_Fuel_cons!X34*_xlfn.XLOOKUP($B72,efs!$A$74:$A$84,efs!$F$74:$F$84,0,0)</f>
        <v>0</v>
      </c>
      <c r="Y72" s="113">
        <f>NICCS_Fuel_cons!Y34*_xlfn.XLOOKUP($B72,efs!$A$74:$A$84,efs!$F$74:$F$84,0,0)</f>
        <v>0</v>
      </c>
      <c r="Z72" s="113">
        <f>NICCS_Fuel_cons!Z34*_xlfn.XLOOKUP($B72,efs!$A$74:$A$84,efs!$F$74:$F$84,0,0)</f>
        <v>0</v>
      </c>
      <c r="AA72" s="113">
        <f>NICCS_Fuel_cons!AA34*_xlfn.XLOOKUP($B72,efs!$A$74:$A$84,efs!$F$74:$F$84,0,0)</f>
        <v>0</v>
      </c>
      <c r="AB72" s="113">
        <f>NICCS_Fuel_cons!AB34*_xlfn.XLOOKUP($B72,efs!$A$74:$A$84,efs!$F$74:$F$84,0,0)</f>
        <v>0</v>
      </c>
      <c r="AC72" s="113">
        <f>NICCS_Fuel_cons!AC34*_xlfn.XLOOKUP($B72,efs!$A$74:$A$84,efs!$F$74:$F$84,0,0)</f>
        <v>0</v>
      </c>
      <c r="AD72" s="113">
        <f>NICCS_Fuel_cons!AD34*_xlfn.XLOOKUP($B72,efs!$A$74:$A$84,efs!$F$74:$F$84,0,0)</f>
        <v>0</v>
      </c>
      <c r="AE72" s="113">
        <f>NICCS_Fuel_cons!AE34*_xlfn.XLOOKUP($B72,efs!$A$74:$A$84,efs!$F$74:$F$84,0,0)</f>
        <v>0</v>
      </c>
      <c r="AF72" s="113">
        <f>NICCS_Fuel_cons!AF34*_xlfn.XLOOKUP($B72,efs!$A$74:$A$84,efs!$F$74:$F$84,0,0)</f>
        <v>0</v>
      </c>
      <c r="AG72" s="113">
        <f>NICCS_Fuel_cons!AG34*_xlfn.XLOOKUP($B72,efs!$A$74:$A$84,efs!$F$74:$F$84,0,0)</f>
        <v>0</v>
      </c>
      <c r="AH72" s="113">
        <f>NICCS_Fuel_cons!AH34*_xlfn.XLOOKUP($B72,efs!$A$74:$A$84,efs!$F$74:$F$84,0,0)</f>
        <v>0</v>
      </c>
      <c r="AI72" s="113">
        <f>NICCS_Fuel_cons!AI34*_xlfn.XLOOKUP($B72,efs!$A$74:$A$84,efs!$F$74:$F$84,0,0)</f>
        <v>0</v>
      </c>
      <c r="AJ72" s="114">
        <f>NICCS_Fuel_cons!AJ34*_xlfn.XLOOKUP($B72,efs!$A$74:$A$84,efs!$F$74:$F$84,0,0)</f>
        <v>0</v>
      </c>
      <c r="AK72" s="55">
        <f t="shared" si="16"/>
        <v>0</v>
      </c>
    </row>
    <row r="73" spans="1:53">
      <c r="D73" t="s">
        <v>4</v>
      </c>
      <c r="E73" s="54">
        <f>SUM(E40:E50)</f>
        <v>20.984392981752933</v>
      </c>
      <c r="F73" s="54">
        <f t="shared" ref="F73:AJ73" si="22">SUM(F40:F50)</f>
        <v>21.637629535290266</v>
      </c>
      <c r="G73" s="54">
        <f t="shared" si="22"/>
        <v>22.303548462915757</v>
      </c>
      <c r="H73" s="54">
        <f t="shared" si="22"/>
        <v>22.982070288377198</v>
      </c>
      <c r="I73" s="54">
        <f t="shared" si="22"/>
        <v>23.673295836063375</v>
      </c>
      <c r="J73" s="54">
        <f t="shared" si="22"/>
        <v>24.377445616741337</v>
      </c>
      <c r="K73" s="54">
        <f t="shared" si="22"/>
        <v>25.013323374867475</v>
      </c>
      <c r="L73" s="54">
        <f t="shared" si="22"/>
        <v>24.407684748836406</v>
      </c>
      <c r="M73" s="54">
        <f t="shared" si="22"/>
        <v>23.731286537812391</v>
      </c>
      <c r="N73" s="54">
        <f t="shared" si="22"/>
        <v>22.980825442265441</v>
      </c>
      <c r="O73" s="54">
        <f t="shared" si="22"/>
        <v>22.153051813751656</v>
      </c>
      <c r="P73" s="54">
        <f t="shared" si="22"/>
        <v>21.2452289898986</v>
      </c>
      <c r="Q73" s="54">
        <f t="shared" si="22"/>
        <v>20.255282228085271</v>
      </c>
      <c r="R73" s="54">
        <f t="shared" si="22"/>
        <v>19.1815963658416</v>
      </c>
      <c r="S73" s="54">
        <f t="shared" si="22"/>
        <v>18.022667545260983</v>
      </c>
      <c r="T73" s="54">
        <f t="shared" si="22"/>
        <v>16.777220419484443</v>
      </c>
      <c r="U73" s="54">
        <f t="shared" si="22"/>
        <v>15.447140856920134</v>
      </c>
      <c r="V73" s="54">
        <f t="shared" si="22"/>
        <v>14.030626862039071</v>
      </c>
      <c r="W73" s="54">
        <f t="shared" si="22"/>
        <v>12.526090612916089</v>
      </c>
      <c r="X73" s="54">
        <f t="shared" si="22"/>
        <v>10.932116509200753</v>
      </c>
      <c r="Y73" s="54">
        <f t="shared" si="22"/>
        <v>9.2473523205784307</v>
      </c>
      <c r="Z73" s="54">
        <f t="shared" si="22"/>
        <v>7.4705080492599665</v>
      </c>
      <c r="AA73" s="54">
        <f t="shared" si="22"/>
        <v>7.6071548569144376</v>
      </c>
      <c r="AB73" s="54">
        <f t="shared" si="22"/>
        <v>7.7430061397448817</v>
      </c>
      <c r="AC73" s="54">
        <f t="shared" si="22"/>
        <v>7.8779107629934044</v>
      </c>
      <c r="AD73" s="54">
        <f t="shared" si="22"/>
        <v>8.0117073578625018</v>
      </c>
      <c r="AE73" s="54">
        <f t="shared" si="22"/>
        <v>8.1442523821205555</v>
      </c>
      <c r="AF73" s="54">
        <f t="shared" si="22"/>
        <v>8.2754054231665659</v>
      </c>
      <c r="AG73" s="54">
        <f t="shared" si="22"/>
        <v>8.4050488100795562</v>
      </c>
      <c r="AH73" s="54">
        <f t="shared" si="22"/>
        <v>8.5330844902421088</v>
      </c>
      <c r="AI73" s="54">
        <f t="shared" si="22"/>
        <v>8.6594248237372149</v>
      </c>
      <c r="AJ73" s="54">
        <f t="shared" si="22"/>
        <v>8.7839707836303056</v>
      </c>
      <c r="AK73" s="55">
        <f t="shared" si="16"/>
        <v>365.46296850751025</v>
      </c>
    </row>
    <row r="74" spans="1:53">
      <c r="D74" t="s">
        <v>18</v>
      </c>
      <c r="E74" s="54">
        <f>SUM(E51:E61)</f>
        <v>14.068874463582537</v>
      </c>
      <c r="F74" s="54">
        <f t="shared" ref="F74:AJ74" si="23">SUM(F51:F61)</f>
        <v>14.392191062112039</v>
      </c>
      <c r="G74" s="54">
        <f t="shared" si="23"/>
        <v>14.715938011760953</v>
      </c>
      <c r="H74" s="54">
        <f t="shared" si="23"/>
        <v>15.039875747997044</v>
      </c>
      <c r="I74" s="54">
        <f t="shared" si="23"/>
        <v>15.364102974610111</v>
      </c>
      <c r="J74" s="54">
        <f t="shared" si="23"/>
        <v>15.688912093843372</v>
      </c>
      <c r="K74" s="54">
        <f t="shared" si="23"/>
        <v>15.967278520882923</v>
      </c>
      <c r="L74" s="54">
        <f t="shared" si="23"/>
        <v>15.555024428918951</v>
      </c>
      <c r="M74" s="54">
        <f t="shared" si="23"/>
        <v>15.108949223898183</v>
      </c>
      <c r="N74" s="54">
        <f t="shared" si="23"/>
        <v>14.627817863571986</v>
      </c>
      <c r="O74" s="54">
        <f t="shared" si="23"/>
        <v>14.110441127983529</v>
      </c>
      <c r="P74" s="54">
        <f t="shared" si="23"/>
        <v>13.556053694213148</v>
      </c>
      <c r="Q74" s="54">
        <f t="shared" si="23"/>
        <v>12.964466040172693</v>
      </c>
      <c r="R74" s="54">
        <f t="shared" si="23"/>
        <v>12.335863538285221</v>
      </c>
      <c r="S74" s="54">
        <f t="shared" si="23"/>
        <v>11.670532056602601</v>
      </c>
      <c r="T74" s="54">
        <f t="shared" si="23"/>
        <v>10.969010507565304</v>
      </c>
      <c r="U74" s="54">
        <f t="shared" si="23"/>
        <v>10.233101142571966</v>
      </c>
      <c r="V74" s="54">
        <f t="shared" si="23"/>
        <v>9.4631852366349438</v>
      </c>
      <c r="W74" s="54">
        <f t="shared" si="23"/>
        <v>8.6595193223284515</v>
      </c>
      <c r="X74" s="54">
        <f t="shared" si="23"/>
        <v>7.8225025728626898</v>
      </c>
      <c r="Y74" s="54">
        <f t="shared" si="23"/>
        <v>6.9526074985610737</v>
      </c>
      <c r="Z74" s="54">
        <f t="shared" si="23"/>
        <v>6.0503940489636721</v>
      </c>
      <c r="AA74" s="54">
        <f t="shared" si="23"/>
        <v>6.1399133195280333</v>
      </c>
      <c r="AB74" s="54">
        <f t="shared" si="23"/>
        <v>6.2277193454143864</v>
      </c>
      <c r="AC74" s="54">
        <f t="shared" si="23"/>
        <v>6.3136651458460671</v>
      </c>
      <c r="AD74" s="54">
        <f t="shared" si="23"/>
        <v>6.3975943120031671</v>
      </c>
      <c r="AE74" s="54">
        <f t="shared" si="23"/>
        <v>6.4793707416204569</v>
      </c>
      <c r="AF74" s="54">
        <f t="shared" si="23"/>
        <v>6.558864376050157</v>
      </c>
      <c r="AG74" s="54">
        <f t="shared" si="23"/>
        <v>6.6359719903060288</v>
      </c>
      <c r="AH74" s="54">
        <f t="shared" si="23"/>
        <v>6.7106109077011951</v>
      </c>
      <c r="AI74" s="54">
        <f t="shared" si="23"/>
        <v>6.7827129562306911</v>
      </c>
      <c r="AJ74" s="54">
        <f t="shared" si="23"/>
        <v>6.8521995688675137</v>
      </c>
      <c r="AK74" s="55">
        <f t="shared" si="16"/>
        <v>251.1453694875851</v>
      </c>
    </row>
    <row r="75" spans="1:53">
      <c r="D75" t="s">
        <v>19</v>
      </c>
      <c r="E75" s="54">
        <f>SUM(E62:E72)</f>
        <v>6.9155185181703915</v>
      </c>
      <c r="F75" s="54">
        <f t="shared" ref="F75:AJ75" si="24">SUM(F62:F72)</f>
        <v>7.2454384731782255</v>
      </c>
      <c r="G75" s="54">
        <f t="shared" si="24"/>
        <v>7.5876104511548048</v>
      </c>
      <c r="H75" s="54">
        <f t="shared" si="24"/>
        <v>7.9421945403801573</v>
      </c>
      <c r="I75" s="54">
        <f t="shared" si="24"/>
        <v>8.309192861453262</v>
      </c>
      <c r="J75" s="54">
        <f t="shared" si="24"/>
        <v>8.6885335228979628</v>
      </c>
      <c r="K75" s="54">
        <f t="shared" si="24"/>
        <v>9.0460448539845508</v>
      </c>
      <c r="L75" s="54">
        <f t="shared" si="24"/>
        <v>8.8526603199174509</v>
      </c>
      <c r="M75" s="54">
        <f t="shared" si="24"/>
        <v>8.6223373139142137</v>
      </c>
      <c r="N75" s="54">
        <f t="shared" si="24"/>
        <v>8.3530075786934557</v>
      </c>
      <c r="O75" s="54">
        <f t="shared" si="24"/>
        <v>8.0426106857681301</v>
      </c>
      <c r="P75" s="54">
        <f t="shared" si="24"/>
        <v>7.6891752956854456</v>
      </c>
      <c r="Q75" s="54">
        <f t="shared" si="24"/>
        <v>7.290816187912581</v>
      </c>
      <c r="R75" s="54">
        <f t="shared" si="24"/>
        <v>6.845732827556378</v>
      </c>
      <c r="S75" s="54">
        <f t="shared" si="24"/>
        <v>6.3521354886583836</v>
      </c>
      <c r="T75" s="54">
        <f t="shared" si="24"/>
        <v>5.8082099119191417</v>
      </c>
      <c r="U75" s="54">
        <f t="shared" si="24"/>
        <v>5.2140397143481652</v>
      </c>
      <c r="V75" s="54">
        <f t="shared" si="24"/>
        <v>4.567441625404129</v>
      </c>
      <c r="W75" s="54">
        <f t="shared" si="24"/>
        <v>3.866571290587637</v>
      </c>
      <c r="X75" s="54">
        <f t="shared" si="24"/>
        <v>3.1096139363380648</v>
      </c>
      <c r="Y75" s="54">
        <f t="shared" si="24"/>
        <v>2.294744822017357</v>
      </c>
      <c r="Z75" s="54">
        <f t="shared" si="24"/>
        <v>1.4201140002962933</v>
      </c>
      <c r="AA75" s="54">
        <f t="shared" si="24"/>
        <v>1.4672415373864041</v>
      </c>
      <c r="AB75" s="54">
        <f t="shared" si="24"/>
        <v>1.5152867943304966</v>
      </c>
      <c r="AC75" s="54">
        <f t="shared" si="24"/>
        <v>1.5642456171473371</v>
      </c>
      <c r="AD75" s="54">
        <f t="shared" si="24"/>
        <v>1.614113045859334</v>
      </c>
      <c r="AE75" s="54">
        <f t="shared" si="24"/>
        <v>1.664881640500099</v>
      </c>
      <c r="AF75" s="54">
        <f t="shared" si="24"/>
        <v>1.7165410471164086</v>
      </c>
      <c r="AG75" s="54">
        <f t="shared" si="24"/>
        <v>1.7690768197735254</v>
      </c>
      <c r="AH75" s="54">
        <f t="shared" si="24"/>
        <v>1.8224735825409137</v>
      </c>
      <c r="AI75" s="54">
        <f t="shared" si="24"/>
        <v>1.8767118675065249</v>
      </c>
      <c r="AJ75" s="54">
        <f t="shared" si="24"/>
        <v>1.9317712147627921</v>
      </c>
      <c r="AK75" s="55">
        <f>SUM(K75:AJ75)</f>
        <v>114.31759901992521</v>
      </c>
    </row>
    <row r="76" spans="1:53">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5"/>
    </row>
    <row r="77" spans="1:53" ht="17" thickBot="1">
      <c r="A77" s="1" t="s">
        <v>101</v>
      </c>
      <c r="B77" s="115"/>
      <c r="C77" s="6"/>
      <c r="D77" s="6"/>
      <c r="AK77" s="55"/>
      <c r="AU77">
        <v>2020</v>
      </c>
      <c r="AV77">
        <v>2025</v>
      </c>
      <c r="AW77">
        <v>2030</v>
      </c>
      <c r="AX77">
        <v>2035</v>
      </c>
      <c r="AY77">
        <v>2040</v>
      </c>
      <c r="AZ77">
        <v>2045</v>
      </c>
      <c r="BA77">
        <v>2050</v>
      </c>
    </row>
    <row r="78" spans="1:53">
      <c r="A78" s="94" t="s">
        <v>4</v>
      </c>
      <c r="B78" s="88" t="s">
        <v>36</v>
      </c>
      <c r="C78" s="88" t="s">
        <v>53</v>
      </c>
      <c r="D78" s="89" t="s">
        <v>122</v>
      </c>
      <c r="E78" s="107">
        <f>SUM(E89,E100)</f>
        <v>2410.5980666096175</v>
      </c>
      <c r="F78" s="108">
        <f t="shared" ref="F78:AJ86" si="25">SUM(F89,F100)</f>
        <v>2435.7563648517107</v>
      </c>
      <c r="G78" s="108">
        <f t="shared" si="25"/>
        <v>2459.0420496599218</v>
      </c>
      <c r="H78" s="108">
        <f t="shared" si="25"/>
        <v>2480.3496515106449</v>
      </c>
      <c r="I78" s="108">
        <f t="shared" si="25"/>
        <v>2499.6156622938902</v>
      </c>
      <c r="J78" s="108">
        <f t="shared" si="25"/>
        <v>2516.8005748484106</v>
      </c>
      <c r="K78" s="108">
        <f t="shared" si="25"/>
        <v>2510.4614820789961</v>
      </c>
      <c r="L78" s="108">
        <f t="shared" si="25"/>
        <v>2402.6674618936922</v>
      </c>
      <c r="M78" s="108">
        <f t="shared" si="25"/>
        <v>2286.8193525162706</v>
      </c>
      <c r="N78" s="108">
        <f t="shared" si="25"/>
        <v>2162.6667258021093</v>
      </c>
      <c r="O78" s="108">
        <f t="shared" si="25"/>
        <v>2029.9815360620989</v>
      </c>
      <c r="P78" s="108">
        <f t="shared" si="25"/>
        <v>1888.610255897999</v>
      </c>
      <c r="Q78" s="108">
        <f t="shared" si="25"/>
        <v>1738.4878342975333</v>
      </c>
      <c r="R78" s="108">
        <f t="shared" si="25"/>
        <v>1579.6069005656323</v>
      </c>
      <c r="S78" s="108">
        <f t="shared" si="25"/>
        <v>1411.9804735931807</v>
      </c>
      <c r="T78" s="108">
        <f t="shared" si="25"/>
        <v>1235.6558039495583</v>
      </c>
      <c r="U78" s="108">
        <f t="shared" si="25"/>
        <v>1050.8568867898432</v>
      </c>
      <c r="V78" s="108">
        <f t="shared" si="25"/>
        <v>857.57837918600842</v>
      </c>
      <c r="W78" s="108">
        <f t="shared" si="25"/>
        <v>655.82236593395214</v>
      </c>
      <c r="X78" s="108">
        <f t="shared" si="25"/>
        <v>445.61279673152711</v>
      </c>
      <c r="Y78" s="108">
        <f t="shared" si="25"/>
        <v>226.98781695586518</v>
      </c>
      <c r="Z78" s="108">
        <f t="shared" si="25"/>
        <v>0</v>
      </c>
      <c r="AA78" s="108">
        <f t="shared" si="25"/>
        <v>0</v>
      </c>
      <c r="AB78" s="108">
        <f t="shared" si="25"/>
        <v>0</v>
      </c>
      <c r="AC78" s="108">
        <f t="shared" si="25"/>
        <v>0</v>
      </c>
      <c r="AD78" s="108">
        <f t="shared" si="25"/>
        <v>0</v>
      </c>
      <c r="AE78" s="108">
        <f t="shared" si="25"/>
        <v>0</v>
      </c>
      <c r="AF78" s="108">
        <f t="shared" si="25"/>
        <v>0</v>
      </c>
      <c r="AG78" s="108">
        <f t="shared" si="25"/>
        <v>0</v>
      </c>
      <c r="AH78" s="108">
        <f t="shared" si="25"/>
        <v>0</v>
      </c>
      <c r="AI78" s="108">
        <f t="shared" si="25"/>
        <v>0</v>
      </c>
      <c r="AJ78" s="109">
        <f t="shared" si="25"/>
        <v>0</v>
      </c>
      <c r="AK78" s="55"/>
      <c r="AT78" s="87" t="s">
        <v>36</v>
      </c>
      <c r="AU78" s="54">
        <f>_xlfn.XLOOKUP(AU$1,$E$1:$AJ$1,$E80:$AJ80)+_xlfn.XLOOKUP(AU$1,$E$1:$AJ$1,$E78:$AJ78)</f>
        <v>2446.0925293467703</v>
      </c>
      <c r="AV78" s="54">
        <f t="shared" ref="AV78:BA78" si="26">_xlfn.XLOOKUP(AV$1,$E$1:$AJ$1,$E80:$AJ80)+_xlfn.XLOOKUP(AV$1,$E$1:$AJ$1,$E78:$AJ78)</f>
        <v>2532.9889293349574</v>
      </c>
      <c r="AW78" s="54">
        <f t="shared" si="26"/>
        <v>2009.5990417678331</v>
      </c>
      <c r="AX78" s="54">
        <f t="shared" si="26"/>
        <v>1287.3166263899579</v>
      </c>
      <c r="AY78" s="54">
        <f t="shared" si="26"/>
        <v>366.61283052855271</v>
      </c>
      <c r="AZ78" s="54">
        <f t="shared" si="26"/>
        <v>392.60590771542093</v>
      </c>
      <c r="BA78" s="54">
        <f t="shared" si="26"/>
        <v>415.19680519309782</v>
      </c>
    </row>
    <row r="79" spans="1:53">
      <c r="A79" s="95" t="s">
        <v>4</v>
      </c>
      <c r="B79" s="4" t="s">
        <v>8</v>
      </c>
      <c r="C79" s="4" t="s">
        <v>53</v>
      </c>
      <c r="D79" s="91" t="s">
        <v>122</v>
      </c>
      <c r="E79" s="110">
        <f t="shared" ref="E79:T88" si="27">SUM(E90,E101)</f>
        <v>2587.9108255244105</v>
      </c>
      <c r="F79" s="18">
        <f t="shared" si="27"/>
        <v>2793.9134013331573</v>
      </c>
      <c r="G79" s="18">
        <f t="shared" si="27"/>
        <v>3009.7325662322478</v>
      </c>
      <c r="H79" s="18">
        <f t="shared" si="27"/>
        <v>3235.5876720262918</v>
      </c>
      <c r="I79" s="18">
        <f t="shared" si="27"/>
        <v>3471.6655269471489</v>
      </c>
      <c r="J79" s="18">
        <f t="shared" si="27"/>
        <v>3718.14159209436</v>
      </c>
      <c r="K79" s="18">
        <f t="shared" si="27"/>
        <v>3997.2559138148026</v>
      </c>
      <c r="L79" s="18">
        <f t="shared" si="27"/>
        <v>3867.3469858389321</v>
      </c>
      <c r="M79" s="18">
        <f t="shared" si="27"/>
        <v>3720.8098849736048</v>
      </c>
      <c r="N79" s="18">
        <f t="shared" si="27"/>
        <v>3556.8399733349652</v>
      </c>
      <c r="O79" s="18">
        <f t="shared" si="27"/>
        <v>3374.6488247298985</v>
      </c>
      <c r="P79" s="18">
        <f t="shared" si="27"/>
        <v>3173.5150008819182</v>
      </c>
      <c r="Q79" s="18">
        <f t="shared" si="27"/>
        <v>2952.7901660491534</v>
      </c>
      <c r="R79" s="18">
        <f t="shared" si="27"/>
        <v>2711.8831018558117</v>
      </c>
      <c r="S79" s="18">
        <f t="shared" si="27"/>
        <v>2450.2206382817762</v>
      </c>
      <c r="T79" s="18">
        <f t="shared" si="27"/>
        <v>2167.2480265093409</v>
      </c>
      <c r="U79" s="18">
        <f t="shared" si="25"/>
        <v>1862.9994716838789</v>
      </c>
      <c r="V79" s="18">
        <f t="shared" si="25"/>
        <v>1536.7678708656574</v>
      </c>
      <c r="W79" s="18">
        <f t="shared" si="25"/>
        <v>1187.9431304092325</v>
      </c>
      <c r="X79" s="18">
        <f t="shared" si="25"/>
        <v>815.93307995843747</v>
      </c>
      <c r="Y79" s="18">
        <f t="shared" si="25"/>
        <v>420.1484729404213</v>
      </c>
      <c r="Z79" s="18">
        <f t="shared" si="25"/>
        <v>0</v>
      </c>
      <c r="AA79" s="18">
        <f t="shared" si="25"/>
        <v>0</v>
      </c>
      <c r="AB79" s="18">
        <f t="shared" si="25"/>
        <v>0</v>
      </c>
      <c r="AC79" s="18">
        <f t="shared" si="25"/>
        <v>0</v>
      </c>
      <c r="AD79" s="18">
        <f t="shared" si="25"/>
        <v>0</v>
      </c>
      <c r="AE79" s="18">
        <f t="shared" si="25"/>
        <v>0</v>
      </c>
      <c r="AF79" s="18">
        <f t="shared" si="25"/>
        <v>0</v>
      </c>
      <c r="AG79" s="18">
        <f t="shared" si="25"/>
        <v>0</v>
      </c>
      <c r="AH79" s="18">
        <f t="shared" si="25"/>
        <v>0</v>
      </c>
      <c r="AI79" s="18">
        <f t="shared" si="25"/>
        <v>0</v>
      </c>
      <c r="AJ79" s="111">
        <f t="shared" si="25"/>
        <v>0</v>
      </c>
      <c r="AK79" s="55"/>
      <c r="AT79" s="3" t="s">
        <v>8</v>
      </c>
      <c r="AU79" s="54">
        <f>(_xlfn.XLOOKUP(AU$1,$E$1:$AJ$1,$E81:$AJ81)+_xlfn.XLOOKUP(AU$1,$E$1:$AJ$1,$E79:$AJ79))</f>
        <v>2801.6505012095458</v>
      </c>
      <c r="AV79" s="54">
        <f t="shared" ref="AV79:BA79" si="28">(_xlfn.XLOOKUP(AV$1,$E$1:$AJ$1,$E81:$AJ81)+_xlfn.XLOOKUP(AV$1,$E$1:$AJ$1,$E79:$AJ79))</f>
        <v>4014.118755874134</v>
      </c>
      <c r="AW79" s="54">
        <f t="shared" si="28"/>
        <v>3749.0202675838827</v>
      </c>
      <c r="AX79" s="54">
        <f t="shared" si="28"/>
        <v>3128.3265590228189</v>
      </c>
      <c r="AY79" s="54">
        <f t="shared" si="28"/>
        <v>2085.6588063529189</v>
      </c>
      <c r="AZ79" s="54">
        <f t="shared" si="28"/>
        <v>2282.996347044621</v>
      </c>
      <c r="BA79" s="54">
        <f t="shared" si="28"/>
        <v>2473.0976466482325</v>
      </c>
    </row>
    <row r="80" spans="1:53">
      <c r="A80" s="95" t="s">
        <v>4</v>
      </c>
      <c r="B80" s="4" t="s">
        <v>37</v>
      </c>
      <c r="C80" s="4" t="s">
        <v>53</v>
      </c>
      <c r="D80" s="91" t="s">
        <v>122</v>
      </c>
      <c r="E80" s="110">
        <f t="shared" si="27"/>
        <v>8.3611709225893218</v>
      </c>
      <c r="F80" s="18">
        <f t="shared" si="25"/>
        <v>10.336164495059693</v>
      </c>
      <c r="G80" s="18">
        <f t="shared" si="25"/>
        <v>12.466245532577897</v>
      </c>
      <c r="H80" s="18">
        <f t="shared" si="25"/>
        <v>14.758573161346948</v>
      </c>
      <c r="I80" s="18">
        <f t="shared" si="25"/>
        <v>17.22004520750346</v>
      </c>
      <c r="J80" s="18">
        <f t="shared" si="25"/>
        <v>19.857320380651338</v>
      </c>
      <c r="K80" s="18">
        <f t="shared" si="25"/>
        <v>22.527447255961434</v>
      </c>
      <c r="L80" s="18">
        <f t="shared" si="25"/>
        <v>40.75354238795822</v>
      </c>
      <c r="M80" s="18">
        <f t="shared" si="25"/>
        <v>59.722192789174741</v>
      </c>
      <c r="N80" s="18">
        <f t="shared" si="25"/>
        <v>79.427240952672719</v>
      </c>
      <c r="O80" s="18">
        <f t="shared" si="25"/>
        <v>99.855656091515755</v>
      </c>
      <c r="P80" s="18">
        <f t="shared" si="25"/>
        <v>120.98878586983403</v>
      </c>
      <c r="Q80" s="18">
        <f t="shared" si="25"/>
        <v>142.80529109260328</v>
      </c>
      <c r="R80" s="18">
        <f t="shared" si="25"/>
        <v>165.28264777456511</v>
      </c>
      <c r="S80" s="18">
        <f t="shared" si="25"/>
        <v>188.39583745321488</v>
      </c>
      <c r="T80" s="18">
        <f t="shared" si="25"/>
        <v>212.12001430523691</v>
      </c>
      <c r="U80" s="18">
        <f t="shared" si="25"/>
        <v>236.45973960011474</v>
      </c>
      <c r="V80" s="18">
        <f t="shared" si="25"/>
        <v>261.39608749719019</v>
      </c>
      <c r="W80" s="18">
        <f t="shared" si="25"/>
        <v>286.90514762225121</v>
      </c>
      <c r="X80" s="18">
        <f t="shared" si="25"/>
        <v>312.96235752131003</v>
      </c>
      <c r="Y80" s="18">
        <f t="shared" si="25"/>
        <v>339.54101439271994</v>
      </c>
      <c r="Z80" s="18">
        <f t="shared" si="25"/>
        <v>366.61283052855271</v>
      </c>
      <c r="AA80" s="18">
        <f t="shared" si="25"/>
        <v>372.03709098214637</v>
      </c>
      <c r="AB80" s="18">
        <f t="shared" si="25"/>
        <v>377.35754043174421</v>
      </c>
      <c r="AC80" s="18">
        <f t="shared" si="25"/>
        <v>382.56527283947025</v>
      </c>
      <c r="AD80" s="18">
        <f t="shared" si="25"/>
        <v>387.65081089199197</v>
      </c>
      <c r="AE80" s="18">
        <f t="shared" si="25"/>
        <v>392.60590771542093</v>
      </c>
      <c r="AF80" s="18">
        <f t="shared" si="25"/>
        <v>397.42268263808342</v>
      </c>
      <c r="AG80" s="18">
        <f t="shared" si="25"/>
        <v>402.0948809261422</v>
      </c>
      <c r="AH80" s="18">
        <f t="shared" si="25"/>
        <v>406.6174929332916</v>
      </c>
      <c r="AI80" s="18">
        <f t="shared" si="25"/>
        <v>410.98638789854311</v>
      </c>
      <c r="AJ80" s="111">
        <f t="shared" si="25"/>
        <v>415.19680519309782</v>
      </c>
      <c r="AK80" s="55"/>
      <c r="AT80" s="34" t="s">
        <v>11</v>
      </c>
      <c r="AU80" s="54">
        <f>_xlfn.XLOOKUP(AU$1,$E$1:$AJ$1,$E82:$AJ82)</f>
        <v>0.28839600373379437</v>
      </c>
      <c r="AV80" s="54">
        <f t="shared" ref="AV80:BA80" si="29">_xlfn.XLOOKUP(AV$1,$E$1:$AJ$1,$E82:$AJ82)</f>
        <v>0.48656248855391837</v>
      </c>
      <c r="AW80" s="54">
        <f t="shared" si="29"/>
        <v>23.841097986577111</v>
      </c>
      <c r="AX80" s="54">
        <f t="shared" si="29"/>
        <v>54.116097127738911</v>
      </c>
      <c r="AY80" s="54">
        <f t="shared" si="29"/>
        <v>91.861227846328688</v>
      </c>
      <c r="AZ80" s="54">
        <f t="shared" si="29"/>
        <v>103.43141076619628</v>
      </c>
      <c r="BA80" s="54">
        <f t="shared" si="29"/>
        <v>115.38815443582345</v>
      </c>
    </row>
    <row r="81" spans="1:53">
      <c r="A81" s="95" t="s">
        <v>4</v>
      </c>
      <c r="B81" s="4" t="s">
        <v>10</v>
      </c>
      <c r="C81" s="4" t="s">
        <v>53</v>
      </c>
      <c r="D81" s="91" t="s">
        <v>122</v>
      </c>
      <c r="E81" s="110">
        <f t="shared" si="27"/>
        <v>6.2587253272286336</v>
      </c>
      <c r="F81" s="18">
        <f t="shared" si="25"/>
        <v>7.737099876388549</v>
      </c>
      <c r="G81" s="18">
        <f t="shared" si="25"/>
        <v>9.3315646065080013</v>
      </c>
      <c r="H81" s="18">
        <f t="shared" si="25"/>
        <v>11.04747845653101</v>
      </c>
      <c r="I81" s="18">
        <f t="shared" si="25"/>
        <v>12.890004770151226</v>
      </c>
      <c r="J81" s="18">
        <f t="shared" si="25"/>
        <v>14.864127901214115</v>
      </c>
      <c r="K81" s="18">
        <f t="shared" si="25"/>
        <v>16.862842059331413</v>
      </c>
      <c r="L81" s="18">
        <f t="shared" si="25"/>
        <v>118.07675066496769</v>
      </c>
      <c r="M81" s="18">
        <f t="shared" si="25"/>
        <v>224.50935377914109</v>
      </c>
      <c r="N81" s="18">
        <f t="shared" si="25"/>
        <v>336.21527677742301</v>
      </c>
      <c r="O81" s="18">
        <f t="shared" si="25"/>
        <v>453.21612476801812</v>
      </c>
      <c r="P81" s="18">
        <f t="shared" si="25"/>
        <v>575.50526670196462</v>
      </c>
      <c r="Q81" s="18">
        <f t="shared" si="25"/>
        <v>703.06068696290561</v>
      </c>
      <c r="R81" s="18">
        <f t="shared" si="25"/>
        <v>835.85157225776254</v>
      </c>
      <c r="S81" s="18">
        <f t="shared" si="25"/>
        <v>973.83088448300884</v>
      </c>
      <c r="T81" s="18">
        <f t="shared" si="25"/>
        <v>1116.9425637768329</v>
      </c>
      <c r="U81" s="18">
        <f t="shared" si="25"/>
        <v>1265.3270873389399</v>
      </c>
      <c r="V81" s="18">
        <f t="shared" si="25"/>
        <v>1418.9743408783993</v>
      </c>
      <c r="W81" s="18">
        <f t="shared" si="25"/>
        <v>1577.8600115872659</v>
      </c>
      <c r="X81" s="18">
        <f t="shared" si="25"/>
        <v>1741.9590516446053</v>
      </c>
      <c r="Y81" s="18">
        <f t="shared" si="25"/>
        <v>1911.2386026087495</v>
      </c>
      <c r="Z81" s="18">
        <f t="shared" si="25"/>
        <v>2085.6588063529189</v>
      </c>
      <c r="AA81" s="18">
        <f t="shared" si="25"/>
        <v>2125.4830778469727</v>
      </c>
      <c r="AB81" s="18">
        <f t="shared" si="25"/>
        <v>2165.1698723391564</v>
      </c>
      <c r="AC81" s="18">
        <f t="shared" si="25"/>
        <v>2204.6789407180686</v>
      </c>
      <c r="AD81" s="18">
        <f t="shared" si="25"/>
        <v>2243.9672668789281</v>
      </c>
      <c r="AE81" s="18">
        <f t="shared" si="25"/>
        <v>2282.996347044621</v>
      </c>
      <c r="AF81" s="18">
        <f t="shared" si="25"/>
        <v>2321.7282734058367</v>
      </c>
      <c r="AG81" s="18">
        <f t="shared" si="25"/>
        <v>2360.1308211319774</v>
      </c>
      <c r="AH81" s="18">
        <f t="shared" si="25"/>
        <v>2398.1768736879167</v>
      </c>
      <c r="AI81" s="18">
        <f t="shared" si="25"/>
        <v>2435.8417409788767</v>
      </c>
      <c r="AJ81" s="111">
        <f t="shared" si="25"/>
        <v>2473.0976466482325</v>
      </c>
      <c r="AK81" s="55"/>
      <c r="AT81" s="3" t="s">
        <v>12</v>
      </c>
      <c r="AU81" s="54">
        <f t="shared" ref="AU81:BA85" si="30">_xlfn.XLOOKUP(AU$1,$E$1:$AJ$1,$E83:$AJ83)</f>
        <v>1.9288976149541292E-2</v>
      </c>
      <c r="AV81" s="54">
        <f t="shared" si="30"/>
        <v>0</v>
      </c>
      <c r="AW81" s="54">
        <f t="shared" si="30"/>
        <v>0</v>
      </c>
      <c r="AX81" s="54">
        <f t="shared" si="30"/>
        <v>0</v>
      </c>
      <c r="AY81" s="54">
        <f t="shared" si="30"/>
        <v>0</v>
      </c>
      <c r="AZ81" s="54">
        <f t="shared" si="30"/>
        <v>0</v>
      </c>
      <c r="BA81" s="54">
        <f t="shared" si="30"/>
        <v>0</v>
      </c>
    </row>
    <row r="82" spans="1:53">
      <c r="A82" s="95" t="s">
        <v>4</v>
      </c>
      <c r="B82" s="4" t="s">
        <v>11</v>
      </c>
      <c r="C82" s="4" t="s">
        <v>53</v>
      </c>
      <c r="D82" s="91" t="s">
        <v>122</v>
      </c>
      <c r="E82" s="110">
        <f t="shared" si="27"/>
        <v>0.24712951306609293</v>
      </c>
      <c r="F82" s="18">
        <f t="shared" si="25"/>
        <v>0.28839600373379437</v>
      </c>
      <c r="G82" s="18">
        <f t="shared" si="25"/>
        <v>0.33275108169542983</v>
      </c>
      <c r="H82" s="18">
        <f t="shared" si="25"/>
        <v>0.38033388033983767</v>
      </c>
      <c r="I82" s="18">
        <f t="shared" si="25"/>
        <v>0.4312772264032172</v>
      </c>
      <c r="J82" s="18">
        <f t="shared" si="25"/>
        <v>0.48570873378599083</v>
      </c>
      <c r="K82" s="18">
        <f t="shared" si="25"/>
        <v>0.48656248855391837</v>
      </c>
      <c r="L82" s="18">
        <f t="shared" si="25"/>
        <v>4.6281341323409775</v>
      </c>
      <c r="M82" s="18">
        <f t="shared" si="25"/>
        <v>9.0288240585385502</v>
      </c>
      <c r="N82" s="18">
        <f t="shared" si="25"/>
        <v>13.69471318621982</v>
      </c>
      <c r="O82" s="18">
        <f t="shared" si="25"/>
        <v>18.630793354617687</v>
      </c>
      <c r="P82" s="18">
        <f t="shared" si="25"/>
        <v>23.841097986577111</v>
      </c>
      <c r="Q82" s="18">
        <f t="shared" si="25"/>
        <v>29.329042415019146</v>
      </c>
      <c r="R82" s="18">
        <f t="shared" si="25"/>
        <v>35.097598796477975</v>
      </c>
      <c r="S82" s="18">
        <f t="shared" si="25"/>
        <v>41.148924093451122</v>
      </c>
      <c r="T82" s="18">
        <f t="shared" si="25"/>
        <v>47.484198563781931</v>
      </c>
      <c r="U82" s="18">
        <f t="shared" si="25"/>
        <v>54.116097127738911</v>
      </c>
      <c r="V82" s="18">
        <f t="shared" si="25"/>
        <v>61.048251368738832</v>
      </c>
      <c r="W82" s="18">
        <f t="shared" si="25"/>
        <v>68.284703416511519</v>
      </c>
      <c r="X82" s="18">
        <f t="shared" si="25"/>
        <v>75.829651952462825</v>
      </c>
      <c r="Y82" s="18">
        <f t="shared" si="25"/>
        <v>83.687196191505123</v>
      </c>
      <c r="Z82" s="18">
        <f t="shared" si="25"/>
        <v>91.861227846328688</v>
      </c>
      <c r="AA82" s="18">
        <f t="shared" si="25"/>
        <v>94.137033179335191</v>
      </c>
      <c r="AB82" s="18">
        <f t="shared" si="25"/>
        <v>96.433152730213209</v>
      </c>
      <c r="AC82" s="18">
        <f t="shared" si="25"/>
        <v>98.748420014281606</v>
      </c>
      <c r="AD82" s="18">
        <f t="shared" si="25"/>
        <v>101.08157478539147</v>
      </c>
      <c r="AE82" s="18">
        <f t="shared" si="25"/>
        <v>103.43141076619628</v>
      </c>
      <c r="AF82" s="18">
        <f t="shared" si="25"/>
        <v>105.796661368591</v>
      </c>
      <c r="AG82" s="18">
        <f t="shared" si="25"/>
        <v>108.17610271940993</v>
      </c>
      <c r="AH82" s="18">
        <f t="shared" si="25"/>
        <v>110.56862099707757</v>
      </c>
      <c r="AI82" s="18">
        <f t="shared" si="25"/>
        <v>112.97305947855114</v>
      </c>
      <c r="AJ82" s="111">
        <f t="shared" si="25"/>
        <v>115.38815443582345</v>
      </c>
      <c r="AK82" s="55"/>
      <c r="AT82" s="3" t="s">
        <v>13</v>
      </c>
      <c r="AU82" s="54">
        <f t="shared" si="30"/>
        <v>0</v>
      </c>
      <c r="AV82" s="54">
        <f t="shared" si="30"/>
        <v>0</v>
      </c>
      <c r="AW82" s="54">
        <f t="shared" si="30"/>
        <v>0</v>
      </c>
      <c r="AX82" s="54">
        <f t="shared" si="30"/>
        <v>0</v>
      </c>
      <c r="AY82" s="54">
        <f t="shared" si="30"/>
        <v>0</v>
      </c>
      <c r="AZ82" s="54">
        <f t="shared" si="30"/>
        <v>0</v>
      </c>
      <c r="BA82" s="54">
        <f t="shared" si="30"/>
        <v>0</v>
      </c>
    </row>
    <row r="83" spans="1:53">
      <c r="A83" s="95" t="s">
        <v>4</v>
      </c>
      <c r="B83" s="4" t="s">
        <v>12</v>
      </c>
      <c r="C83" s="4" t="s">
        <v>53</v>
      </c>
      <c r="D83" s="91" t="s">
        <v>122</v>
      </c>
      <c r="E83" s="110">
        <f t="shared" si="27"/>
        <v>2.3493047670423716E-2</v>
      </c>
      <c r="F83" s="18">
        <f t="shared" si="25"/>
        <v>1.9288976149541292E-2</v>
      </c>
      <c r="G83" s="18">
        <f t="shared" si="25"/>
        <v>1.465261136330427E-2</v>
      </c>
      <c r="H83" s="18">
        <f t="shared" si="25"/>
        <v>9.5609640311614275E-3</v>
      </c>
      <c r="I83" s="18">
        <f t="shared" si="25"/>
        <v>3.9907457747725564E-3</v>
      </c>
      <c r="J83" s="18">
        <f t="shared" si="25"/>
        <v>0</v>
      </c>
      <c r="K83" s="18">
        <f t="shared" si="25"/>
        <v>0</v>
      </c>
      <c r="L83" s="18">
        <f t="shared" si="25"/>
        <v>0</v>
      </c>
      <c r="M83" s="18">
        <f t="shared" si="25"/>
        <v>0</v>
      </c>
      <c r="N83" s="18">
        <f t="shared" si="25"/>
        <v>0</v>
      </c>
      <c r="O83" s="18">
        <f t="shared" si="25"/>
        <v>0</v>
      </c>
      <c r="P83" s="18">
        <f t="shared" si="25"/>
        <v>0</v>
      </c>
      <c r="Q83" s="18">
        <f t="shared" si="25"/>
        <v>0</v>
      </c>
      <c r="R83" s="18">
        <f t="shared" si="25"/>
        <v>0</v>
      </c>
      <c r="S83" s="18">
        <f t="shared" si="25"/>
        <v>0</v>
      </c>
      <c r="T83" s="18">
        <f t="shared" si="25"/>
        <v>0</v>
      </c>
      <c r="U83" s="18">
        <f t="shared" si="25"/>
        <v>0</v>
      </c>
      <c r="V83" s="18">
        <f t="shared" si="25"/>
        <v>0</v>
      </c>
      <c r="W83" s="18">
        <f t="shared" si="25"/>
        <v>0</v>
      </c>
      <c r="X83" s="18">
        <f t="shared" si="25"/>
        <v>0</v>
      </c>
      <c r="Y83" s="18">
        <f t="shared" si="25"/>
        <v>0</v>
      </c>
      <c r="Z83" s="18">
        <f t="shared" si="25"/>
        <v>0</v>
      </c>
      <c r="AA83" s="18">
        <f t="shared" si="25"/>
        <v>0</v>
      </c>
      <c r="AB83" s="18">
        <f t="shared" si="25"/>
        <v>0</v>
      </c>
      <c r="AC83" s="18">
        <f t="shared" si="25"/>
        <v>0</v>
      </c>
      <c r="AD83" s="18">
        <f t="shared" si="25"/>
        <v>0</v>
      </c>
      <c r="AE83" s="18">
        <f t="shared" si="25"/>
        <v>0</v>
      </c>
      <c r="AF83" s="18">
        <f t="shared" si="25"/>
        <v>0</v>
      </c>
      <c r="AG83" s="18">
        <f t="shared" si="25"/>
        <v>0</v>
      </c>
      <c r="AH83" s="18">
        <f t="shared" si="25"/>
        <v>0</v>
      </c>
      <c r="AI83" s="18">
        <f t="shared" si="25"/>
        <v>0</v>
      </c>
      <c r="AJ83" s="111">
        <f t="shared" si="25"/>
        <v>0</v>
      </c>
      <c r="AK83" s="55"/>
      <c r="AT83" t="s">
        <v>14</v>
      </c>
      <c r="AU83" s="54">
        <f t="shared" si="30"/>
        <v>0</v>
      </c>
      <c r="AV83" s="54">
        <f t="shared" si="30"/>
        <v>0</v>
      </c>
      <c r="AW83" s="54">
        <f t="shared" si="30"/>
        <v>11.889717925718481</v>
      </c>
      <c r="AX83" s="54">
        <f t="shared" si="30"/>
        <v>27.744939919948997</v>
      </c>
      <c r="AY83" s="54">
        <f t="shared" si="30"/>
        <v>48.020995346127009</v>
      </c>
      <c r="AZ83" s="54">
        <f t="shared" si="30"/>
        <v>54.883751624021833</v>
      </c>
      <c r="BA83" s="54">
        <f t="shared" si="30"/>
        <v>62.148111703379691</v>
      </c>
    </row>
    <row r="84" spans="1:53">
      <c r="A84" s="95" t="s">
        <v>4</v>
      </c>
      <c r="B84" s="4" t="s">
        <v>13</v>
      </c>
      <c r="C84" s="4" t="s">
        <v>53</v>
      </c>
      <c r="D84" s="91" t="s">
        <v>122</v>
      </c>
      <c r="E84" s="110">
        <f t="shared" si="27"/>
        <v>0</v>
      </c>
      <c r="F84" s="18">
        <f t="shared" si="25"/>
        <v>0</v>
      </c>
      <c r="G84" s="18">
        <f t="shared" si="25"/>
        <v>0</v>
      </c>
      <c r="H84" s="18">
        <f t="shared" si="25"/>
        <v>0</v>
      </c>
      <c r="I84" s="18">
        <f t="shared" si="25"/>
        <v>0</v>
      </c>
      <c r="J84" s="18">
        <f t="shared" si="25"/>
        <v>0</v>
      </c>
      <c r="K84" s="18">
        <f t="shared" si="25"/>
        <v>0</v>
      </c>
      <c r="L84" s="18">
        <f t="shared" si="25"/>
        <v>0</v>
      </c>
      <c r="M84" s="18">
        <f t="shared" si="25"/>
        <v>0</v>
      </c>
      <c r="N84" s="18">
        <f t="shared" si="25"/>
        <v>0</v>
      </c>
      <c r="O84" s="18">
        <f t="shared" si="25"/>
        <v>0</v>
      </c>
      <c r="P84" s="18">
        <f t="shared" si="25"/>
        <v>0</v>
      </c>
      <c r="Q84" s="18">
        <f t="shared" si="25"/>
        <v>0</v>
      </c>
      <c r="R84" s="18">
        <f t="shared" si="25"/>
        <v>0</v>
      </c>
      <c r="S84" s="18">
        <f t="shared" si="25"/>
        <v>0</v>
      </c>
      <c r="T84" s="18">
        <f t="shared" si="25"/>
        <v>0</v>
      </c>
      <c r="U84" s="18">
        <f t="shared" si="25"/>
        <v>0</v>
      </c>
      <c r="V84" s="18">
        <f t="shared" si="25"/>
        <v>0</v>
      </c>
      <c r="W84" s="18">
        <f t="shared" si="25"/>
        <v>0</v>
      </c>
      <c r="X84" s="18">
        <f t="shared" si="25"/>
        <v>0</v>
      </c>
      <c r="Y84" s="18">
        <f t="shared" si="25"/>
        <v>0</v>
      </c>
      <c r="Z84" s="18">
        <f t="shared" si="25"/>
        <v>0</v>
      </c>
      <c r="AA84" s="18">
        <f t="shared" si="25"/>
        <v>0</v>
      </c>
      <c r="AB84" s="18">
        <f t="shared" si="25"/>
        <v>0</v>
      </c>
      <c r="AC84" s="18">
        <f t="shared" si="25"/>
        <v>0</v>
      </c>
      <c r="AD84" s="18">
        <f t="shared" si="25"/>
        <v>0</v>
      </c>
      <c r="AE84" s="18">
        <f t="shared" si="25"/>
        <v>0</v>
      </c>
      <c r="AF84" s="18">
        <f t="shared" si="25"/>
        <v>0</v>
      </c>
      <c r="AG84" s="18">
        <f t="shared" si="25"/>
        <v>0</v>
      </c>
      <c r="AH84" s="18">
        <f t="shared" si="25"/>
        <v>0</v>
      </c>
      <c r="AI84" s="18">
        <f t="shared" si="25"/>
        <v>0</v>
      </c>
      <c r="AJ84" s="111">
        <f t="shared" si="25"/>
        <v>0</v>
      </c>
      <c r="AK84" s="55"/>
      <c r="AT84" t="s">
        <v>15</v>
      </c>
      <c r="AU84" s="54">
        <f t="shared" si="30"/>
        <v>0</v>
      </c>
      <c r="AV84" s="54">
        <f t="shared" si="30"/>
        <v>0</v>
      </c>
      <c r="AW84" s="54">
        <f t="shared" si="30"/>
        <v>25.890754502929855</v>
      </c>
      <c r="AX84" s="54">
        <f t="shared" si="30"/>
        <v>61.370462115923786</v>
      </c>
      <c r="AY84" s="54">
        <f t="shared" si="30"/>
        <v>107.81614901385328</v>
      </c>
      <c r="AZ84" s="54">
        <f t="shared" si="30"/>
        <v>125.00808476851674</v>
      </c>
      <c r="BA84" s="54">
        <f t="shared" si="30"/>
        <v>143.53872839381143</v>
      </c>
    </row>
    <row r="85" spans="1:53">
      <c r="A85" s="95" t="s">
        <v>4</v>
      </c>
      <c r="B85" s="4" t="s">
        <v>14</v>
      </c>
      <c r="C85" s="4" t="s">
        <v>53</v>
      </c>
      <c r="D85" s="91" t="s">
        <v>122</v>
      </c>
      <c r="E85" s="110">
        <f t="shared" si="27"/>
        <v>0</v>
      </c>
      <c r="F85" s="18">
        <f t="shared" si="25"/>
        <v>0</v>
      </c>
      <c r="G85" s="18">
        <f t="shared" si="25"/>
        <v>0</v>
      </c>
      <c r="H85" s="18">
        <f t="shared" si="25"/>
        <v>0</v>
      </c>
      <c r="I85" s="18">
        <f t="shared" si="25"/>
        <v>0</v>
      </c>
      <c r="J85" s="18">
        <f t="shared" si="25"/>
        <v>0</v>
      </c>
      <c r="K85" s="18">
        <f t="shared" si="25"/>
        <v>0</v>
      </c>
      <c r="L85" s="18">
        <f t="shared" si="25"/>
        <v>2.0807699647116822</v>
      </c>
      <c r="M85" s="18">
        <f t="shared" si="25"/>
        <v>4.3060937719009305</v>
      </c>
      <c r="N85" s="18">
        <f t="shared" si="25"/>
        <v>6.6802332037057557</v>
      </c>
      <c r="O85" s="18">
        <f t="shared" si="25"/>
        <v>9.2069836381009331</v>
      </c>
      <c r="P85" s="18">
        <f t="shared" si="25"/>
        <v>11.889717925718481</v>
      </c>
      <c r="Q85" s="18">
        <f t="shared" si="25"/>
        <v>14.731500428095966</v>
      </c>
      <c r="R85" s="18">
        <f t="shared" si="25"/>
        <v>17.735146049133874</v>
      </c>
      <c r="S85" s="18">
        <f t="shared" si="25"/>
        <v>20.903014504317834</v>
      </c>
      <c r="T85" s="18">
        <f t="shared" si="25"/>
        <v>24.236790783161958</v>
      </c>
      <c r="U85" s="18">
        <f t="shared" si="25"/>
        <v>27.744939919948997</v>
      </c>
      <c r="V85" s="18">
        <f t="shared" si="25"/>
        <v>31.430557402406464</v>
      </c>
      <c r="W85" s="18">
        <f t="shared" si="25"/>
        <v>35.297240588074928</v>
      </c>
      <c r="X85" s="18">
        <f t="shared" si="25"/>
        <v>39.348721582210146</v>
      </c>
      <c r="Y85" s="18">
        <f t="shared" si="25"/>
        <v>43.588749866702301</v>
      </c>
      <c r="Z85" s="18">
        <f t="shared" si="25"/>
        <v>48.020995346127009</v>
      </c>
      <c r="AA85" s="18">
        <f t="shared" si="25"/>
        <v>49.358299715136155</v>
      </c>
      <c r="AB85" s="18">
        <f t="shared" si="25"/>
        <v>50.713683499744072</v>
      </c>
      <c r="AC85" s="18">
        <f t="shared" si="25"/>
        <v>52.086708427011956</v>
      </c>
      <c r="AD85" s="18">
        <f t="shared" si="25"/>
        <v>53.476895161750079</v>
      </c>
      <c r="AE85" s="18">
        <f t="shared" si="25"/>
        <v>54.883751624021833</v>
      </c>
      <c r="AF85" s="18">
        <f t="shared" si="25"/>
        <v>56.306729717797339</v>
      </c>
      <c r="AG85" s="18">
        <f t="shared" si="25"/>
        <v>57.745244948715808</v>
      </c>
      <c r="AH85" s="18">
        <f t="shared" si="25"/>
        <v>59.198737835461223</v>
      </c>
      <c r="AI85" s="18">
        <f t="shared" si="25"/>
        <v>60.666584098226672</v>
      </c>
      <c r="AJ85" s="111">
        <f t="shared" si="25"/>
        <v>62.148111703379691</v>
      </c>
      <c r="AK85" s="55"/>
      <c r="AT85" t="s">
        <v>16</v>
      </c>
      <c r="AU85" s="54">
        <f t="shared" si="30"/>
        <v>0</v>
      </c>
      <c r="AV85" s="54">
        <f t="shared" si="30"/>
        <v>0</v>
      </c>
      <c r="AW85" s="54">
        <f t="shared" si="30"/>
        <v>37.785008616978139</v>
      </c>
      <c r="AX85" s="54">
        <f t="shared" si="30"/>
        <v>82.97712222874101</v>
      </c>
      <c r="AY85" s="54">
        <f t="shared" si="30"/>
        <v>134.92350876332506</v>
      </c>
      <c r="AZ85" s="54">
        <f t="shared" si="30"/>
        <v>144.48966926172329</v>
      </c>
      <c r="BA85" s="54">
        <f t="shared" si="30"/>
        <v>152.80373494623925</v>
      </c>
    </row>
    <row r="86" spans="1:53">
      <c r="A86" s="95" t="s">
        <v>4</v>
      </c>
      <c r="B86" s="4" t="s">
        <v>15</v>
      </c>
      <c r="C86" s="4" t="s">
        <v>53</v>
      </c>
      <c r="D86" s="91" t="s">
        <v>122</v>
      </c>
      <c r="E86" s="110">
        <f t="shared" si="27"/>
        <v>0</v>
      </c>
      <c r="F86" s="18">
        <f t="shared" si="25"/>
        <v>0</v>
      </c>
      <c r="G86" s="18">
        <f t="shared" si="25"/>
        <v>0</v>
      </c>
      <c r="H86" s="18">
        <f t="shared" si="25"/>
        <v>0</v>
      </c>
      <c r="I86" s="18">
        <f t="shared" si="25"/>
        <v>0</v>
      </c>
      <c r="J86" s="18">
        <f t="shared" si="25"/>
        <v>0</v>
      </c>
      <c r="K86" s="18">
        <f t="shared" si="25"/>
        <v>0</v>
      </c>
      <c r="L86" s="18">
        <f t="shared" si="25"/>
        <v>4.4714700960357892</v>
      </c>
      <c r="M86" s="18">
        <f t="shared" si="25"/>
        <v>9.284881013644851</v>
      </c>
      <c r="N86" s="18">
        <f t="shared" si="25"/>
        <v>14.452037613892033</v>
      </c>
      <c r="O86" s="18">
        <f t="shared" si="25"/>
        <v>19.983924154124473</v>
      </c>
      <c r="P86" s="18">
        <f t="shared" si="25"/>
        <v>25.890754502929855</v>
      </c>
      <c r="Q86" s="18">
        <f t="shared" si="25"/>
        <v>32.182088200599893</v>
      </c>
      <c r="R86" s="18">
        <f t="shared" si="25"/>
        <v>38.866891703119421</v>
      </c>
      <c r="S86" s="18">
        <f t="shared" si="25"/>
        <v>45.953047553774496</v>
      </c>
      <c r="T86" s="18">
        <f t="shared" si="25"/>
        <v>53.446564346649296</v>
      </c>
      <c r="U86" s="18">
        <f t="shared" si="25"/>
        <v>61.370462115923786</v>
      </c>
      <c r="V86" s="18">
        <f t="shared" si="25"/>
        <v>69.734173750634994</v>
      </c>
      <c r="W86" s="18">
        <f t="shared" si="25"/>
        <v>78.548906572104613</v>
      </c>
      <c r="X86" s="18">
        <f t="shared" si="25"/>
        <v>87.826287844785114</v>
      </c>
      <c r="Y86" s="18">
        <f t="shared" si="25"/>
        <v>97.578135065650869</v>
      </c>
      <c r="Z86" s="18">
        <f t="shared" si="25"/>
        <v>107.81614901385328</v>
      </c>
      <c r="AA86" s="18">
        <f t="shared" si="25"/>
        <v>111.14197289009668</v>
      </c>
      <c r="AB86" s="18">
        <f t="shared" ref="AB86:AJ86" si="31">SUM(AB97,AB108)</f>
        <v>114.52472847740427</v>
      </c>
      <c r="AC86" s="18">
        <f t="shared" si="31"/>
        <v>117.96380744438173</v>
      </c>
      <c r="AD86" s="18">
        <f t="shared" si="31"/>
        <v>121.45852668499712</v>
      </c>
      <c r="AE86" s="18">
        <f t="shared" si="31"/>
        <v>125.00808476851674</v>
      </c>
      <c r="AF86" s="18">
        <f t="shared" si="31"/>
        <v>128.61150085985614</v>
      </c>
      <c r="AG86" s="18">
        <f t="shared" si="31"/>
        <v>132.26758376890564</v>
      </c>
      <c r="AH86" s="18">
        <f t="shared" si="31"/>
        <v>135.97512724106829</v>
      </c>
      <c r="AI86" s="18">
        <f t="shared" si="31"/>
        <v>139.73268672894511</v>
      </c>
      <c r="AJ86" s="111">
        <f t="shared" si="31"/>
        <v>143.53872839381143</v>
      </c>
      <c r="AK86" s="55"/>
    </row>
    <row r="87" spans="1:53">
      <c r="A87" s="95" t="s">
        <v>4</v>
      </c>
      <c r="B87" s="4" t="s">
        <v>16</v>
      </c>
      <c r="C87" s="4" t="s">
        <v>53</v>
      </c>
      <c r="D87" s="91" t="s">
        <v>122</v>
      </c>
      <c r="E87" s="110">
        <f t="shared" si="27"/>
        <v>0</v>
      </c>
      <c r="F87" s="18">
        <f t="shared" si="27"/>
        <v>0</v>
      </c>
      <c r="G87" s="18">
        <f t="shared" si="27"/>
        <v>0</v>
      </c>
      <c r="H87" s="18">
        <f t="shared" si="27"/>
        <v>0</v>
      </c>
      <c r="I87" s="18">
        <f t="shared" si="27"/>
        <v>0</v>
      </c>
      <c r="J87" s="18">
        <f t="shared" si="27"/>
        <v>0</v>
      </c>
      <c r="K87" s="18">
        <f t="shared" si="27"/>
        <v>0</v>
      </c>
      <c r="L87" s="18">
        <f t="shared" si="27"/>
        <v>6.9370303949383159</v>
      </c>
      <c r="M87" s="18">
        <f t="shared" si="27"/>
        <v>14.185487081118701</v>
      </c>
      <c r="N87" s="18">
        <f t="shared" si="27"/>
        <v>21.745163048148317</v>
      </c>
      <c r="O87" s="18">
        <f t="shared" si="27"/>
        <v>29.613306782888895</v>
      </c>
      <c r="P87" s="18">
        <f t="shared" si="27"/>
        <v>37.785008616978139</v>
      </c>
      <c r="Q87" s="18">
        <f t="shared" si="27"/>
        <v>46.254283578068687</v>
      </c>
      <c r="R87" s="18">
        <f t="shared" si="27"/>
        <v>55.014625573900602</v>
      </c>
      <c r="S87" s="18">
        <f t="shared" si="27"/>
        <v>64.058586902440965</v>
      </c>
      <c r="T87" s="18">
        <f t="shared" si="27"/>
        <v>73.378779880295028</v>
      </c>
      <c r="U87" s="18">
        <f t="shared" ref="U87:AJ88" si="32">SUM(U98,U109)</f>
        <v>82.97712222874101</v>
      </c>
      <c r="V87" s="18">
        <f t="shared" si="32"/>
        <v>92.848786939816463</v>
      </c>
      <c r="W87" s="18">
        <f t="shared" si="32"/>
        <v>102.98682946174893</v>
      </c>
      <c r="X87" s="18">
        <f t="shared" si="32"/>
        <v>113.38404432341648</v>
      </c>
      <c r="Y87" s="18">
        <f t="shared" si="32"/>
        <v>124.03245120229623</v>
      </c>
      <c r="Z87" s="18">
        <f t="shared" si="32"/>
        <v>134.92350876332506</v>
      </c>
      <c r="AA87" s="18">
        <f t="shared" si="32"/>
        <v>136.91978437591033</v>
      </c>
      <c r="AB87" s="18">
        <f t="shared" si="32"/>
        <v>138.87785471104485</v>
      </c>
      <c r="AC87" s="18">
        <f t="shared" si="32"/>
        <v>140.79444210417523</v>
      </c>
      <c r="AD87" s="18">
        <f t="shared" si="32"/>
        <v>142.66605864581777</v>
      </c>
      <c r="AE87" s="18">
        <f t="shared" si="32"/>
        <v>144.48966926172329</v>
      </c>
      <c r="AF87" s="18">
        <f t="shared" si="32"/>
        <v>146.2623736500336</v>
      </c>
      <c r="AG87" s="18">
        <f t="shared" si="32"/>
        <v>147.98186989830737</v>
      </c>
      <c r="AH87" s="18">
        <f t="shared" si="32"/>
        <v>149.64631432023333</v>
      </c>
      <c r="AI87" s="18">
        <f t="shared" si="32"/>
        <v>151.25418668323908</v>
      </c>
      <c r="AJ87" s="111">
        <f t="shared" si="32"/>
        <v>152.80373494623925</v>
      </c>
      <c r="AK87" s="55"/>
    </row>
    <row r="88" spans="1:53" ht="17" thickBot="1">
      <c r="A88" s="96" t="s">
        <v>4</v>
      </c>
      <c r="B88" s="32" t="s">
        <v>17</v>
      </c>
      <c r="C88" s="32" t="s">
        <v>53</v>
      </c>
      <c r="D88" s="93" t="s">
        <v>122</v>
      </c>
      <c r="E88" s="112">
        <f t="shared" si="27"/>
        <v>0</v>
      </c>
      <c r="F88" s="113">
        <f t="shared" si="27"/>
        <v>0</v>
      </c>
      <c r="G88" s="113">
        <f t="shared" si="27"/>
        <v>0</v>
      </c>
      <c r="H88" s="113">
        <f t="shared" si="27"/>
        <v>0</v>
      </c>
      <c r="I88" s="113">
        <f t="shared" si="27"/>
        <v>0</v>
      </c>
      <c r="J88" s="113">
        <f t="shared" si="27"/>
        <v>0</v>
      </c>
      <c r="K88" s="113">
        <f t="shared" si="27"/>
        <v>0</v>
      </c>
      <c r="L88" s="113">
        <f t="shared" si="27"/>
        <v>0</v>
      </c>
      <c r="M88" s="113">
        <f t="shared" si="27"/>
        <v>0</v>
      </c>
      <c r="N88" s="113">
        <f t="shared" si="27"/>
        <v>0</v>
      </c>
      <c r="O88" s="113">
        <f t="shared" si="27"/>
        <v>0</v>
      </c>
      <c r="P88" s="113">
        <f t="shared" si="27"/>
        <v>0</v>
      </c>
      <c r="Q88" s="113">
        <f t="shared" si="27"/>
        <v>0</v>
      </c>
      <c r="R88" s="113">
        <f t="shared" si="27"/>
        <v>0</v>
      </c>
      <c r="S88" s="113">
        <f t="shared" si="27"/>
        <v>0</v>
      </c>
      <c r="T88" s="113">
        <f t="shared" si="27"/>
        <v>0</v>
      </c>
      <c r="U88" s="113">
        <f t="shared" si="32"/>
        <v>0</v>
      </c>
      <c r="V88" s="113">
        <f t="shared" si="32"/>
        <v>0</v>
      </c>
      <c r="W88" s="113">
        <f t="shared" si="32"/>
        <v>0</v>
      </c>
      <c r="X88" s="113">
        <f t="shared" si="32"/>
        <v>0</v>
      </c>
      <c r="Y88" s="113">
        <f t="shared" si="32"/>
        <v>0</v>
      </c>
      <c r="Z88" s="113">
        <f t="shared" si="32"/>
        <v>0</v>
      </c>
      <c r="AA88" s="113">
        <f t="shared" si="32"/>
        <v>0</v>
      </c>
      <c r="AB88" s="113">
        <f t="shared" si="32"/>
        <v>0</v>
      </c>
      <c r="AC88" s="113">
        <f t="shared" si="32"/>
        <v>0</v>
      </c>
      <c r="AD88" s="113">
        <f t="shared" si="32"/>
        <v>0</v>
      </c>
      <c r="AE88" s="113">
        <f t="shared" si="32"/>
        <v>0</v>
      </c>
      <c r="AF88" s="113">
        <f t="shared" si="32"/>
        <v>0</v>
      </c>
      <c r="AG88" s="113">
        <f t="shared" si="32"/>
        <v>0</v>
      </c>
      <c r="AH88" s="113">
        <f t="shared" si="32"/>
        <v>0</v>
      </c>
      <c r="AI88" s="113">
        <f t="shared" si="32"/>
        <v>0</v>
      </c>
      <c r="AJ88" s="114">
        <f t="shared" si="32"/>
        <v>0</v>
      </c>
      <c r="AK88" s="55"/>
    </row>
    <row r="89" spans="1:53">
      <c r="A89" s="94" t="s">
        <v>18</v>
      </c>
      <c r="B89" s="88" t="s">
        <v>36</v>
      </c>
      <c r="C89" s="88" t="s">
        <v>53</v>
      </c>
      <c r="D89" s="89" t="s">
        <v>122</v>
      </c>
      <c r="E89" s="139">
        <f>NICCS_Fuel_cons!E13*_xlfn.XLOOKUP($B89,efs!$A$74:$A$84,efs!$C$74:$C$84,0,0)</f>
        <v>2070.3128220074996</v>
      </c>
      <c r="F89" s="108">
        <f>NICCS_Fuel_cons!F13*_xlfn.XLOOKUP($B89,efs!$A$74:$A$84,efs!$C$74:$C$84,0,0)</f>
        <v>2094.7409926177534</v>
      </c>
      <c r="G89" s="108">
        <f>NICCS_Fuel_cons!G13*_xlfn.XLOOKUP($B89,efs!$A$74:$A$84,efs!$C$74:$C$84,0,0)</f>
        <v>2118.073533759884</v>
      </c>
      <c r="H89" s="108">
        <f>NICCS_Fuel_cons!H13*_xlfn.XLOOKUP($B89,efs!$A$74:$A$84,efs!$C$74:$C$84,0,0)</f>
        <v>2140.2656179383093</v>
      </c>
      <c r="I89" s="108">
        <f>NICCS_Fuel_cons!I13*_xlfn.XLOOKUP($B89,efs!$A$74:$A$84,efs!$C$74:$C$84,0,0)</f>
        <v>2161.3214604040868</v>
      </c>
      <c r="J89" s="108">
        <f>NICCS_Fuel_cons!J13*_xlfn.XLOOKUP($B89,efs!$A$74:$A$84,efs!$C$74:$C$84,0,0)</f>
        <v>2181.2714623204133</v>
      </c>
      <c r="K89" s="108">
        <f>NICCS_Fuel_cons!K13*_xlfn.XLOOKUP($B89,efs!$A$74:$A$84,efs!$C$74:$C$84,0,0)</f>
        <v>2174.1650492062672</v>
      </c>
      <c r="L89" s="108">
        <f>NICCS_Fuel_cons!L13*_xlfn.XLOOKUP($B89,efs!$A$74:$A$84,efs!$C$74:$C$84,0,0)</f>
        <v>2075.6733826716368</v>
      </c>
      <c r="M89" s="108">
        <f>NICCS_Fuel_cons!M13*_xlfn.XLOOKUP($B89,efs!$A$74:$A$84,efs!$C$74:$C$84,0,0)</f>
        <v>1970.6749328107628</v>
      </c>
      <c r="N89" s="108">
        <f>NICCS_Fuel_cons!N13*_xlfn.XLOOKUP($B89,efs!$A$74:$A$84,efs!$C$74:$C$84,0,0)</f>
        <v>1859.0027956066951</v>
      </c>
      <c r="O89" s="108">
        <f>NICCS_Fuel_cons!O13*_xlfn.XLOOKUP($B89,efs!$A$74:$A$84,efs!$C$74:$C$84,0,0)</f>
        <v>1740.5118431429937</v>
      </c>
      <c r="P89" s="108">
        <f>NICCS_Fuel_cons!P13*_xlfn.XLOOKUP($B89,efs!$A$74:$A$84,efs!$C$74:$C$84,0,0)</f>
        <v>1615.1278446488091</v>
      </c>
      <c r="Q89" s="108">
        <f>NICCS_Fuel_cons!Q13*_xlfn.XLOOKUP($B89,efs!$A$74:$A$84,efs!$C$74:$C$84,0,0)</f>
        <v>1482.8615383916951</v>
      </c>
      <c r="R89" s="108">
        <f>NICCS_Fuel_cons!R13*_xlfn.XLOOKUP($B89,efs!$A$74:$A$84,efs!$C$74:$C$84,0,0)</f>
        <v>1343.7778916584748</v>
      </c>
      <c r="S89" s="108">
        <f>NICCS_Fuel_cons!S13*_xlfn.XLOOKUP($B89,efs!$A$74:$A$84,efs!$C$74:$C$84,0,0)</f>
        <v>1197.9613050814035</v>
      </c>
      <c r="T89" s="108">
        <f>NICCS_Fuel_cons!T13*_xlfn.XLOOKUP($B89,efs!$A$74:$A$84,efs!$C$74:$C$84,0,0)</f>
        <v>1045.5302682994657</v>
      </c>
      <c r="U89" s="108">
        <f>NICCS_Fuel_cons!U13*_xlfn.XLOOKUP($B89,efs!$A$74:$A$84,efs!$C$74:$C$84,0,0)</f>
        <v>886.71847305235201</v>
      </c>
      <c r="V89" s="108">
        <f>NICCS_Fuel_cons!V13*_xlfn.XLOOKUP($B89,efs!$A$74:$A$84,efs!$C$74:$C$84,0,0)</f>
        <v>721.60730895594975</v>
      </c>
      <c r="W89" s="108">
        <f>NICCS_Fuel_cons!W13*_xlfn.XLOOKUP($B89,efs!$A$74:$A$84,efs!$C$74:$C$84,0,0)</f>
        <v>550.27410997144784</v>
      </c>
      <c r="X89" s="108">
        <f>NICCS_Fuel_cons!X13*_xlfn.XLOOKUP($B89,efs!$A$74:$A$84,efs!$C$74:$C$84,0,0)</f>
        <v>372.81722572529259</v>
      </c>
      <c r="Y89" s="108">
        <f>NICCS_Fuel_cons!Y13*_xlfn.XLOOKUP($B89,efs!$A$74:$A$84,efs!$C$74:$C$84,0,0)</f>
        <v>189.34972295454151</v>
      </c>
      <c r="Z89" s="108">
        <f>NICCS_Fuel_cons!Z13*_xlfn.XLOOKUP($B89,efs!$A$74:$A$84,efs!$C$74:$C$84,0,0)</f>
        <v>0</v>
      </c>
      <c r="AA89" s="108">
        <f>NICCS_Fuel_cons!AA13*_xlfn.XLOOKUP($B89,efs!$A$74:$A$84,efs!$C$74:$C$84,0,0)</f>
        <v>0</v>
      </c>
      <c r="AB89" s="108">
        <f>NICCS_Fuel_cons!AB13*_xlfn.XLOOKUP($B89,efs!$A$74:$A$84,efs!$C$74:$C$84,0,0)</f>
        <v>0</v>
      </c>
      <c r="AC89" s="108">
        <f>NICCS_Fuel_cons!AC13*_xlfn.XLOOKUP($B89,efs!$A$74:$A$84,efs!$C$74:$C$84,0,0)</f>
        <v>0</v>
      </c>
      <c r="AD89" s="108">
        <f>NICCS_Fuel_cons!AD13*_xlfn.XLOOKUP($B89,efs!$A$74:$A$84,efs!$C$74:$C$84,0,0)</f>
        <v>0</v>
      </c>
      <c r="AE89" s="108">
        <f>NICCS_Fuel_cons!AE13*_xlfn.XLOOKUP($B89,efs!$A$74:$A$84,efs!$C$74:$C$84,0,0)</f>
        <v>0</v>
      </c>
      <c r="AF89" s="108">
        <f>NICCS_Fuel_cons!AF13*_xlfn.XLOOKUP($B89,efs!$A$74:$A$84,efs!$C$74:$C$84,0,0)</f>
        <v>0</v>
      </c>
      <c r="AG89" s="108">
        <f>NICCS_Fuel_cons!AG13*_xlfn.XLOOKUP($B89,efs!$A$74:$A$84,efs!$C$74:$C$84,0,0)</f>
        <v>0</v>
      </c>
      <c r="AH89" s="108">
        <f>NICCS_Fuel_cons!AH13*_xlfn.XLOOKUP($B89,efs!$A$74:$A$84,efs!$C$74:$C$84,0,0)</f>
        <v>0</v>
      </c>
      <c r="AI89" s="108">
        <f>NICCS_Fuel_cons!AI13*_xlfn.XLOOKUP($B89,efs!$A$74:$A$84,efs!$C$74:$C$84,0,0)</f>
        <v>0</v>
      </c>
      <c r="AJ89" s="109">
        <f>NICCS_Fuel_cons!AJ13*_xlfn.XLOOKUP($B89,efs!$A$74:$A$84,efs!$C$74:$C$84,0,0)</f>
        <v>0</v>
      </c>
      <c r="AK89" s="55"/>
    </row>
    <row r="90" spans="1:53">
      <c r="A90" s="95" t="s">
        <v>18</v>
      </c>
      <c r="B90" s="4" t="s">
        <v>8</v>
      </c>
      <c r="C90" s="4" t="s">
        <v>53</v>
      </c>
      <c r="D90" s="91" t="s">
        <v>122</v>
      </c>
      <c r="E90" s="110">
        <f>NICCS_Fuel_cons!E14*_xlfn.XLOOKUP($B90,efs!$A$74:$A$84,efs!$C$74:$C$84,0,0)</f>
        <v>559.18593062337129</v>
      </c>
      <c r="F90" s="18">
        <f>NICCS_Fuel_cons!F14*_xlfn.XLOOKUP($B90,efs!$A$74:$A$84,efs!$C$74:$C$84,0,0)</f>
        <v>632.94237233151944</v>
      </c>
      <c r="G90" s="18">
        <f>NICCS_Fuel_cons!G14*_xlfn.XLOOKUP($B90,efs!$A$74:$A$84,efs!$C$74:$C$84,0,0)</f>
        <v>709.76508977609456</v>
      </c>
      <c r="H90" s="18">
        <f>NICCS_Fuel_cons!H14*_xlfn.XLOOKUP($B90,efs!$A$74:$A$84,efs!$C$74:$C$84,0,0)</f>
        <v>789.66975060052789</v>
      </c>
      <c r="I90" s="18">
        <f>NICCS_Fuel_cons!I14*_xlfn.XLOOKUP($B90,efs!$A$74:$A$84,efs!$C$74:$C$84,0,0)</f>
        <v>872.68740194095074</v>
      </c>
      <c r="J90" s="18">
        <f>NICCS_Fuel_cons!J14*_xlfn.XLOOKUP($B90,efs!$A$74:$A$84,efs!$C$74:$C$84,0,0)</f>
        <v>958.8628880024869</v>
      </c>
      <c r="K90" s="18">
        <f>NICCS_Fuel_cons!K14*_xlfn.XLOOKUP($B90,efs!$A$74:$A$84,efs!$C$74:$C$84,0,0)</f>
        <v>1096.3959540835915</v>
      </c>
      <c r="L90" s="18">
        <f>NICCS_Fuel_cons!L14*_xlfn.XLOOKUP($B90,efs!$A$74:$A$84,efs!$C$74:$C$84,0,0)</f>
        <v>1046.7282139371196</v>
      </c>
      <c r="M90" s="18">
        <f>NICCS_Fuel_cons!M14*_xlfn.XLOOKUP($B90,efs!$A$74:$A$84,efs!$C$74:$C$84,0,0)</f>
        <v>993.77920914351455</v>
      </c>
      <c r="N90" s="18">
        <f>NICCS_Fuel_cons!N14*_xlfn.XLOOKUP($B90,efs!$A$74:$A$84,efs!$C$74:$C$84,0,0)</f>
        <v>937.46477273073765</v>
      </c>
      <c r="O90" s="18">
        <f>NICCS_Fuel_cons!O14*_xlfn.XLOOKUP($B90,efs!$A$74:$A$84,efs!$C$74:$C$84,0,0)</f>
        <v>877.71171905887354</v>
      </c>
      <c r="P90" s="18">
        <f>NICCS_Fuel_cons!P14*_xlfn.XLOOKUP($B90,efs!$A$74:$A$84,efs!$C$74:$C$84,0,0)</f>
        <v>814.48261476155517</v>
      </c>
      <c r="Q90" s="18">
        <f>NICCS_Fuel_cons!Q14*_xlfn.XLOOKUP($B90,efs!$A$74:$A$84,efs!$C$74:$C$84,0,0)</f>
        <v>747.7828749718725</v>
      </c>
      <c r="R90" s="18">
        <f>NICCS_Fuel_cons!R14*_xlfn.XLOOKUP($B90,efs!$A$74:$A$84,efs!$C$74:$C$84,0,0)</f>
        <v>677.64526163236781</v>
      </c>
      <c r="S90" s="18">
        <f>NICCS_Fuel_cons!S14*_xlfn.XLOOKUP($B90,efs!$A$74:$A$84,efs!$C$74:$C$84,0,0)</f>
        <v>604.11233660455252</v>
      </c>
      <c r="T90" s="18">
        <f>NICCS_Fuel_cons!T14*_xlfn.XLOOKUP($B90,efs!$A$74:$A$84,efs!$C$74:$C$84,0,0)</f>
        <v>527.24385227973232</v>
      </c>
      <c r="U90" s="18">
        <f>NICCS_Fuel_cons!U14*_xlfn.XLOOKUP($B90,efs!$A$74:$A$84,efs!$C$74:$C$84,0,0)</f>
        <v>447.15765558861449</v>
      </c>
      <c r="V90" s="18">
        <f>NICCS_Fuel_cons!V14*_xlfn.XLOOKUP($B90,efs!$A$74:$A$84,efs!$C$74:$C$84,0,0)</f>
        <v>363.89478998629232</v>
      </c>
      <c r="W90" s="18">
        <f>NICCS_Fuel_cons!W14*_xlfn.XLOOKUP($B90,efs!$A$74:$A$84,efs!$C$74:$C$84,0,0)</f>
        <v>277.4942537273796</v>
      </c>
      <c r="X90" s="18">
        <f>NICCS_Fuel_cons!X14*_xlfn.XLOOKUP($B90,efs!$A$74:$A$84,efs!$C$74:$C$84,0,0)</f>
        <v>188.00564292352419</v>
      </c>
      <c r="Y90" s="18">
        <f>NICCS_Fuel_cons!Y14*_xlfn.XLOOKUP($B90,efs!$A$74:$A$84,efs!$C$74:$C$84,0,0)</f>
        <v>95.485975285086383</v>
      </c>
      <c r="Z90" s="18">
        <f>NICCS_Fuel_cons!Z14*_xlfn.XLOOKUP($B90,efs!$A$74:$A$84,efs!$C$74:$C$84,0,0)</f>
        <v>0</v>
      </c>
      <c r="AA90" s="18">
        <f>NICCS_Fuel_cons!AA14*_xlfn.XLOOKUP($B90,efs!$A$74:$A$84,efs!$C$74:$C$84,0,0)</f>
        <v>0</v>
      </c>
      <c r="AB90" s="18">
        <f>NICCS_Fuel_cons!AB14*_xlfn.XLOOKUP($B90,efs!$A$74:$A$84,efs!$C$74:$C$84,0,0)</f>
        <v>0</v>
      </c>
      <c r="AC90" s="18">
        <f>NICCS_Fuel_cons!AC14*_xlfn.XLOOKUP($B90,efs!$A$74:$A$84,efs!$C$74:$C$84,0,0)</f>
        <v>0</v>
      </c>
      <c r="AD90" s="18">
        <f>NICCS_Fuel_cons!AD14*_xlfn.XLOOKUP($B90,efs!$A$74:$A$84,efs!$C$74:$C$84,0,0)</f>
        <v>0</v>
      </c>
      <c r="AE90" s="18">
        <f>NICCS_Fuel_cons!AE14*_xlfn.XLOOKUP($B90,efs!$A$74:$A$84,efs!$C$74:$C$84,0,0)</f>
        <v>0</v>
      </c>
      <c r="AF90" s="18">
        <f>NICCS_Fuel_cons!AF14*_xlfn.XLOOKUP($B90,efs!$A$74:$A$84,efs!$C$74:$C$84,0,0)</f>
        <v>0</v>
      </c>
      <c r="AG90" s="18">
        <f>NICCS_Fuel_cons!AG14*_xlfn.XLOOKUP($B90,efs!$A$74:$A$84,efs!$C$74:$C$84,0,0)</f>
        <v>0</v>
      </c>
      <c r="AH90" s="18">
        <f>NICCS_Fuel_cons!AH14*_xlfn.XLOOKUP($B90,efs!$A$74:$A$84,efs!$C$74:$C$84,0,0)</f>
        <v>0</v>
      </c>
      <c r="AI90" s="18">
        <f>NICCS_Fuel_cons!AI14*_xlfn.XLOOKUP($B90,efs!$A$74:$A$84,efs!$C$74:$C$84,0,0)</f>
        <v>0</v>
      </c>
      <c r="AJ90" s="111">
        <f>NICCS_Fuel_cons!AJ14*_xlfn.XLOOKUP($B90,efs!$A$74:$A$84,efs!$C$74:$C$84,0,0)</f>
        <v>0</v>
      </c>
      <c r="AK90" s="55"/>
    </row>
    <row r="91" spans="1:53">
      <c r="A91" s="95" t="s">
        <v>18</v>
      </c>
      <c r="B91" s="4" t="s">
        <v>37</v>
      </c>
      <c r="C91" s="4" t="s">
        <v>53</v>
      </c>
      <c r="D91" s="91" t="s">
        <v>122</v>
      </c>
      <c r="E91" s="110">
        <f>NICCS_Fuel_cons!E15*_xlfn.XLOOKUP($B91,efs!$A$74:$A$84,efs!$C$74:$C$84,0,0)</f>
        <v>0</v>
      </c>
      <c r="F91" s="18">
        <f>NICCS_Fuel_cons!F15*_xlfn.XLOOKUP($B91,efs!$A$74:$A$84,efs!$C$74:$C$84,0,0)</f>
        <v>0</v>
      </c>
      <c r="G91" s="18">
        <f>NICCS_Fuel_cons!G15*_xlfn.XLOOKUP($B91,efs!$A$74:$A$84,efs!$C$74:$C$84,0,0)</f>
        <v>0</v>
      </c>
      <c r="H91" s="18">
        <f>NICCS_Fuel_cons!H15*_xlfn.XLOOKUP($B91,efs!$A$74:$A$84,efs!$C$74:$C$84,0,0)</f>
        <v>0</v>
      </c>
      <c r="I91" s="18">
        <f>NICCS_Fuel_cons!I15*_xlfn.XLOOKUP($B91,efs!$A$74:$A$84,efs!$C$74:$C$84,0,0)</f>
        <v>0</v>
      </c>
      <c r="J91" s="18">
        <f>NICCS_Fuel_cons!J15*_xlfn.XLOOKUP($B91,efs!$A$74:$A$84,efs!$C$74:$C$84,0,0)</f>
        <v>0</v>
      </c>
      <c r="K91" s="18">
        <f>NICCS_Fuel_cons!K15*_xlfn.XLOOKUP($B91,efs!$A$74:$A$84,efs!$C$74:$C$84,0,0)</f>
        <v>0</v>
      </c>
      <c r="L91" s="18">
        <f>NICCS_Fuel_cons!L15*_xlfn.XLOOKUP($B91,efs!$A$74:$A$84,efs!$C$74:$C$84,0,0)</f>
        <v>18.849230737188137</v>
      </c>
      <c r="M91" s="18">
        <f>NICCS_Fuel_cons!M15*_xlfn.XLOOKUP($B91,efs!$A$74:$A$84,efs!$C$74:$C$84,0,0)</f>
        <v>38.544665928883454</v>
      </c>
      <c r="N91" s="18">
        <f>NICCS_Fuel_cons!N15*_xlfn.XLOOKUP($B91,efs!$A$74:$A$84,efs!$C$74:$C$84,0,0)</f>
        <v>59.085743088483262</v>
      </c>
      <c r="O91" s="18">
        <f>NICCS_Fuel_cons!O15*_xlfn.XLOOKUP($B91,efs!$A$74:$A$84,efs!$C$74:$C$84,0,0)</f>
        <v>80.464985831559815</v>
      </c>
      <c r="P91" s="18">
        <f>NICCS_Fuel_cons!P15*_xlfn.XLOOKUP($B91,efs!$A$74:$A$84,efs!$C$74:$C$84,0,0)</f>
        <v>102.66905365554422</v>
      </c>
      <c r="Q91" s="18">
        <f>NICCS_Fuel_cons!Q15*_xlfn.XLOOKUP($B91,efs!$A$74:$A$84,efs!$C$74:$C$84,0,0)</f>
        <v>125.68168425245908</v>
      </c>
      <c r="R91" s="18">
        <f>NICCS_Fuel_cons!R15*_xlfn.XLOOKUP($B91,efs!$A$74:$A$84,efs!$C$74:$C$84,0,0)</f>
        <v>149.48519933242773</v>
      </c>
      <c r="S91" s="18">
        <f>NICCS_Fuel_cons!S15*_xlfn.XLOOKUP($B91,efs!$A$74:$A$84,efs!$C$74:$C$84,0,0)</f>
        <v>174.05936207276264</v>
      </c>
      <c r="T91" s="18">
        <f>NICCS_Fuel_cons!T15*_xlfn.XLOOKUP($B91,efs!$A$74:$A$84,efs!$C$74:$C$84,0,0)</f>
        <v>199.38409873282941</v>
      </c>
      <c r="U91" s="18">
        <f>NICCS_Fuel_cons!U15*_xlfn.XLOOKUP($B91,efs!$A$74:$A$84,efs!$C$74:$C$84,0,0)</f>
        <v>225.46462012601711</v>
      </c>
      <c r="V91" s="18">
        <f>NICCS_Fuel_cons!V15*_xlfn.XLOOKUP($B91,efs!$A$74:$A$84,efs!$C$74:$C$84,0,0)</f>
        <v>252.28781035378231</v>
      </c>
      <c r="W91" s="18">
        <f>NICCS_Fuel_cons!W15*_xlfn.XLOOKUP($B91,efs!$A$74:$A$84,efs!$C$74:$C$84,0,0)</f>
        <v>279.83479974837445</v>
      </c>
      <c r="X91" s="18">
        <f>NICCS_Fuel_cons!X15*_xlfn.XLOOKUP($B91,efs!$A$74:$A$84,efs!$C$74:$C$84,0,0)</f>
        <v>308.08600967455436</v>
      </c>
      <c r="Y91" s="18">
        <f>NICCS_Fuel_cons!Y15*_xlfn.XLOOKUP($B91,efs!$A$74:$A$84,efs!$C$74:$C$84,0,0)</f>
        <v>337.01975607847959</v>
      </c>
      <c r="Z91" s="18">
        <f>NICCS_Fuel_cons!Z15*_xlfn.XLOOKUP($B91,efs!$A$74:$A$84,efs!$C$74:$C$84,0,0)</f>
        <v>366.61283052855271</v>
      </c>
      <c r="AA91" s="18">
        <f>NICCS_Fuel_cons!AA15*_xlfn.XLOOKUP($B91,efs!$A$74:$A$84,efs!$C$74:$C$84,0,0)</f>
        <v>372.03709098214637</v>
      </c>
      <c r="AB91" s="18">
        <f>NICCS_Fuel_cons!AB15*_xlfn.XLOOKUP($B91,efs!$A$74:$A$84,efs!$C$74:$C$84,0,0)</f>
        <v>377.35754043174421</v>
      </c>
      <c r="AC91" s="18">
        <f>NICCS_Fuel_cons!AC15*_xlfn.XLOOKUP($B91,efs!$A$74:$A$84,efs!$C$74:$C$84,0,0)</f>
        <v>382.56527283947025</v>
      </c>
      <c r="AD91" s="18">
        <f>NICCS_Fuel_cons!AD15*_xlfn.XLOOKUP($B91,efs!$A$74:$A$84,efs!$C$74:$C$84,0,0)</f>
        <v>387.65081089199197</v>
      </c>
      <c r="AE91" s="18">
        <f>NICCS_Fuel_cons!AE15*_xlfn.XLOOKUP($B91,efs!$A$74:$A$84,efs!$C$74:$C$84,0,0)</f>
        <v>392.60590771542093</v>
      </c>
      <c r="AF91" s="18">
        <f>NICCS_Fuel_cons!AF15*_xlfn.XLOOKUP($B91,efs!$A$74:$A$84,efs!$C$74:$C$84,0,0)</f>
        <v>397.42268263808342</v>
      </c>
      <c r="AG91" s="18">
        <f>NICCS_Fuel_cons!AG15*_xlfn.XLOOKUP($B91,efs!$A$74:$A$84,efs!$C$74:$C$84,0,0)</f>
        <v>402.0948809261422</v>
      </c>
      <c r="AH91" s="18">
        <f>NICCS_Fuel_cons!AH15*_xlfn.XLOOKUP($B91,efs!$A$74:$A$84,efs!$C$74:$C$84,0,0)</f>
        <v>406.6174929332916</v>
      </c>
      <c r="AI91" s="18">
        <f>NICCS_Fuel_cons!AI15*_xlfn.XLOOKUP($B91,efs!$A$74:$A$84,efs!$C$74:$C$84,0,0)</f>
        <v>410.98638789854311</v>
      </c>
      <c r="AJ91" s="111">
        <f>NICCS_Fuel_cons!AJ15*_xlfn.XLOOKUP($B91,efs!$A$74:$A$84,efs!$C$74:$C$84,0,0)</f>
        <v>415.19680519309782</v>
      </c>
      <c r="AK91" s="55"/>
    </row>
    <row r="92" spans="1:53">
      <c r="A92" s="95" t="s">
        <v>18</v>
      </c>
      <c r="B92" s="4" t="s">
        <v>10</v>
      </c>
      <c r="C92" s="4" t="s">
        <v>53</v>
      </c>
      <c r="D92" s="91" t="s">
        <v>122</v>
      </c>
      <c r="E92" s="110">
        <f>NICCS_Fuel_cons!E16*_xlfn.XLOOKUP($B92,efs!$A$74:$A$84,efs!$C$74:$C$84,0,0)</f>
        <v>0</v>
      </c>
      <c r="F92" s="18">
        <f>NICCS_Fuel_cons!F16*_xlfn.XLOOKUP($B92,efs!$A$74:$A$84,efs!$C$74:$C$84,0,0)</f>
        <v>0</v>
      </c>
      <c r="G92" s="18">
        <f>NICCS_Fuel_cons!G16*_xlfn.XLOOKUP($B92,efs!$A$74:$A$84,efs!$C$74:$C$84,0,0)</f>
        <v>0</v>
      </c>
      <c r="H92" s="18">
        <f>NICCS_Fuel_cons!H16*_xlfn.XLOOKUP($B92,efs!$A$74:$A$84,efs!$C$74:$C$84,0,0)</f>
        <v>0</v>
      </c>
      <c r="I92" s="18">
        <f>NICCS_Fuel_cons!I16*_xlfn.XLOOKUP($B92,efs!$A$74:$A$84,efs!$C$74:$C$84,0,0)</f>
        <v>0</v>
      </c>
      <c r="J92" s="18">
        <f>NICCS_Fuel_cons!J16*_xlfn.XLOOKUP($B92,efs!$A$74:$A$84,efs!$C$74:$C$84,0,0)</f>
        <v>0</v>
      </c>
      <c r="K92" s="18">
        <f>NICCS_Fuel_cons!K16*_xlfn.XLOOKUP($B92,efs!$A$74:$A$84,efs!$C$74:$C$84,0,0)</f>
        <v>0</v>
      </c>
      <c r="L92" s="18">
        <f>NICCS_Fuel_cons!L16*_xlfn.XLOOKUP($B92,efs!$A$74:$A$84,efs!$C$74:$C$84,0,0)</f>
        <v>82.167239153175188</v>
      </c>
      <c r="M92" s="18">
        <f>NICCS_Fuel_cons!M16*_xlfn.XLOOKUP($B92,efs!$A$74:$A$84,efs!$C$74:$C$84,0,0)</f>
        <v>168.02323806293799</v>
      </c>
      <c r="N92" s="18">
        <f>NICCS_Fuel_cons!N16*_xlfn.XLOOKUP($B92,efs!$A$74:$A$84,efs!$C$74:$C$84,0,0)</f>
        <v>257.5655447474623</v>
      </c>
      <c r="O92" s="18">
        <f>NICCS_Fuel_cons!O16*_xlfn.XLOOKUP($B92,efs!$A$74:$A$84,efs!$C$74:$C$84,0,0)</f>
        <v>350.7615682816413</v>
      </c>
      <c r="P92" s="18">
        <f>NICCS_Fuel_cons!P16*_xlfn.XLOOKUP($B92,efs!$A$74:$A$84,efs!$C$74:$C$84,0,0)</f>
        <v>447.55315497844748</v>
      </c>
      <c r="Q92" s="18">
        <f>NICCS_Fuel_cons!Q16*_xlfn.XLOOKUP($B92,efs!$A$74:$A$84,efs!$C$74:$C$84,0,0)</f>
        <v>547.86941446747824</v>
      </c>
      <c r="R92" s="18">
        <f>NICCS_Fuel_cons!R16*_xlfn.XLOOKUP($B92,efs!$A$74:$A$84,efs!$C$74:$C$84,0,0)</f>
        <v>651.63328385463626</v>
      </c>
      <c r="S92" s="18">
        <f>NICCS_Fuel_cons!S16*_xlfn.XLOOKUP($B92,efs!$A$74:$A$84,efs!$C$74:$C$84,0,0)</f>
        <v>758.75654713404583</v>
      </c>
      <c r="T92" s="18">
        <f>NICCS_Fuel_cons!T16*_xlfn.XLOOKUP($B92,efs!$A$74:$A$84,efs!$C$74:$C$84,0,0)</f>
        <v>869.151699204284</v>
      </c>
      <c r="U92" s="18">
        <f>NICCS_Fuel_cons!U16*_xlfn.XLOOKUP($B92,efs!$A$74:$A$84,efs!$C$74:$C$84,0,0)</f>
        <v>982.84145495254609</v>
      </c>
      <c r="V92" s="18">
        <f>NICCS_Fuel_cons!V16*_xlfn.XLOOKUP($B92,efs!$A$74:$A$84,efs!$C$74:$C$84,0,0)</f>
        <v>1099.7686397817704</v>
      </c>
      <c r="W92" s="18">
        <f>NICCS_Fuel_cons!W16*_xlfn.XLOOKUP($B92,efs!$A$74:$A$84,efs!$C$74:$C$84,0,0)</f>
        <v>1219.8509973641303</v>
      </c>
      <c r="X92" s="18">
        <f>NICCS_Fuel_cons!X16*_xlfn.XLOOKUP($B92,efs!$A$74:$A$84,efs!$C$74:$C$84,0,0)</f>
        <v>1343.0031808530398</v>
      </c>
      <c r="Y92" s="18">
        <f>NICCS_Fuel_cons!Y16*_xlfn.XLOOKUP($B92,efs!$A$74:$A$84,efs!$C$74:$C$84,0,0)</f>
        <v>1469.1306654977154</v>
      </c>
      <c r="Z92" s="18">
        <f>NICCS_Fuel_cons!Z16*_xlfn.XLOOKUP($B92,efs!$A$74:$A$84,efs!$C$74:$C$84,0,0)</f>
        <v>1598.132281506349</v>
      </c>
      <c r="AA92" s="18">
        <f>NICCS_Fuel_cons!AA16*_xlfn.XLOOKUP($B92,efs!$A$74:$A$84,efs!$C$74:$C$84,0,0)</f>
        <v>1621.7776234374767</v>
      </c>
      <c r="AB92" s="18">
        <f>NICCS_Fuel_cons!AB16*_xlfn.XLOOKUP($B92,efs!$A$74:$A$84,efs!$C$74:$C$84,0,0)</f>
        <v>1644.9704342435427</v>
      </c>
      <c r="AC92" s="18">
        <f>NICCS_Fuel_cons!AC16*_xlfn.XLOOKUP($B92,efs!$A$74:$A$84,efs!$C$74:$C$84,0,0)</f>
        <v>1667.6718908789662</v>
      </c>
      <c r="AD92" s="18">
        <f>NICCS_Fuel_cons!AD16*_xlfn.XLOOKUP($B92,efs!$A$74:$A$84,efs!$C$74:$C$84,0,0)</f>
        <v>1689.8406800041216</v>
      </c>
      <c r="AE92" s="18">
        <f>NICCS_Fuel_cons!AE16*_xlfn.XLOOKUP($B92,efs!$A$74:$A$84,efs!$C$74:$C$84,0,0)</f>
        <v>1711.4408519896317</v>
      </c>
      <c r="AF92" s="18">
        <f>NICCS_Fuel_cons!AF16*_xlfn.XLOOKUP($B92,efs!$A$74:$A$84,efs!$C$74:$C$84,0,0)</f>
        <v>1732.4380535484509</v>
      </c>
      <c r="AG92" s="18">
        <f>NICCS_Fuel_cons!AG16*_xlfn.XLOOKUP($B92,efs!$A$74:$A$84,efs!$C$74:$C$84,0,0)</f>
        <v>1752.8050191535017</v>
      </c>
      <c r="AH92" s="18">
        <f>NICCS_Fuel_cons!AH16*_xlfn.XLOOKUP($B92,efs!$A$74:$A$84,efs!$C$74:$C$84,0,0)</f>
        <v>1772.5199108416443</v>
      </c>
      <c r="AI92" s="18">
        <f>NICCS_Fuel_cons!AI16*_xlfn.XLOOKUP($B92,efs!$A$74:$A$84,efs!$C$74:$C$84,0,0)</f>
        <v>1791.5647218713425</v>
      </c>
      <c r="AJ92" s="111">
        <f>NICCS_Fuel_cons!AJ16*_xlfn.XLOOKUP($B92,efs!$A$74:$A$84,efs!$C$74:$C$84,0,0)</f>
        <v>1809.9186997922441</v>
      </c>
      <c r="AK92" s="55"/>
    </row>
    <row r="93" spans="1:53">
      <c r="A93" s="95" t="s">
        <v>18</v>
      </c>
      <c r="B93" s="4" t="s">
        <v>11</v>
      </c>
      <c r="C93" s="4" t="s">
        <v>53</v>
      </c>
      <c r="D93" s="91" t="s">
        <v>122</v>
      </c>
      <c r="E93" s="110">
        <f>NICCS_Fuel_cons!E17*_xlfn.XLOOKUP($B93,efs!$A$74:$A$84,efs!$C$74:$C$84,0,0)</f>
        <v>1.5142891140094358E-2</v>
      </c>
      <c r="F93" s="18">
        <f>NICCS_Fuel_cons!F17*_xlfn.XLOOKUP($B93,efs!$A$74:$A$84,efs!$C$74:$C$84,0,0)</f>
        <v>1.4967990840854479E-2</v>
      </c>
      <c r="G93" s="18">
        <f>NICCS_Fuel_cons!G17*_xlfn.XLOOKUP($B93,efs!$A$74:$A$84,efs!$C$74:$C$84,0,0)</f>
        <v>1.4767375483215571E-2</v>
      </c>
      <c r="H93" s="18">
        <f>NICCS_Fuel_cons!H17*_xlfn.XLOOKUP($B93,efs!$A$74:$A$84,efs!$C$74:$C$84,0,0)</f>
        <v>1.4540570953532504E-2</v>
      </c>
      <c r="I93" s="18">
        <f>NICCS_Fuel_cons!I17*_xlfn.XLOOKUP($B93,efs!$A$74:$A$84,efs!$C$74:$C$84,0,0)</f>
        <v>1.428745062082911E-2</v>
      </c>
      <c r="J93" s="18">
        <f>NICCS_Fuel_cons!J17*_xlfn.XLOOKUP($B93,efs!$A$74:$A$84,efs!$C$74:$C$84,0,0)</f>
        <v>1.4008043983606061E-2</v>
      </c>
      <c r="K93" s="18">
        <f>NICCS_Fuel_cons!K17*_xlfn.XLOOKUP($B93,efs!$A$74:$A$84,efs!$C$74:$C$84,0,0)</f>
        <v>1.3783068106725423E-2</v>
      </c>
      <c r="L93" s="18">
        <f>NICCS_Fuel_cons!L17*_xlfn.XLOOKUP($B93,efs!$A$74:$A$84,efs!$C$74:$C$84,0,0)</f>
        <v>2.1733861939391699</v>
      </c>
      <c r="M93" s="18">
        <f>NICCS_Fuel_cons!M17*_xlfn.XLOOKUP($B93,efs!$A$74:$A$84,efs!$C$74:$C$84,0,0)</f>
        <v>4.4299278444880166</v>
      </c>
      <c r="N93" s="18">
        <f>NICCS_Fuel_cons!N17*_xlfn.XLOOKUP($B93,efs!$A$74:$A$84,efs!$C$74:$C$84,0,0)</f>
        <v>6.7833424975512093</v>
      </c>
      <c r="O93" s="18">
        <f>NICCS_Fuel_cons!O17*_xlfn.XLOOKUP($B93,efs!$A$74:$A$84,efs!$C$74:$C$84,0,0)</f>
        <v>9.2327723975256397</v>
      </c>
      <c r="P93" s="18">
        <f>NICCS_Fuel_cons!P17*_xlfn.XLOOKUP($B93,efs!$A$74:$A$84,efs!$C$74:$C$84,0,0)</f>
        <v>11.776688177445727</v>
      </c>
      <c r="Q93" s="18">
        <f>NICCS_Fuel_cons!Q17*_xlfn.XLOOKUP($B93,efs!$A$74:$A$84,efs!$C$74:$C$84,0,0)</f>
        <v>14.413226153725608</v>
      </c>
      <c r="R93" s="18">
        <f>NICCS_Fuel_cons!R17*_xlfn.XLOOKUP($B93,efs!$A$74:$A$84,efs!$C$74:$C$84,0,0)</f>
        <v>17.140360707099365</v>
      </c>
      <c r="S93" s="18">
        <f>NICCS_Fuel_cons!S17*_xlfn.XLOOKUP($B93,efs!$A$74:$A$84,efs!$C$74:$C$84,0,0)</f>
        <v>19.955773119295017</v>
      </c>
      <c r="T93" s="18">
        <f>NICCS_Fuel_cons!T17*_xlfn.XLOOKUP($B93,efs!$A$74:$A$84,efs!$C$74:$C$84,0,0)</f>
        <v>22.857163578264579</v>
      </c>
      <c r="U93" s="18">
        <f>NICCS_Fuel_cons!U17*_xlfn.XLOOKUP($B93,efs!$A$74:$A$84,efs!$C$74:$C$84,0,0)</f>
        <v>25.845130753917569</v>
      </c>
      <c r="V93" s="18">
        <f>NICCS_Fuel_cons!V17*_xlfn.XLOOKUP($B93,efs!$A$74:$A$84,efs!$C$74:$C$84,0,0)</f>
        <v>28.918172006720631</v>
      </c>
      <c r="W93" s="18">
        <f>NICCS_Fuel_cons!W17*_xlfn.XLOOKUP($B93,efs!$A$74:$A$84,efs!$C$74:$C$84,0,0)</f>
        <v>32.07412525722286</v>
      </c>
      <c r="X93" s="18">
        <f>NICCS_Fuel_cons!X17*_xlfn.XLOOKUP($B93,efs!$A$74:$A$84,efs!$C$74:$C$84,0,0)</f>
        <v>35.310747307552994</v>
      </c>
      <c r="Y93" s="18">
        <f>NICCS_Fuel_cons!Y17*_xlfn.XLOOKUP($B93,efs!$A$74:$A$84,efs!$C$74:$C$84,0,0)</f>
        <v>38.62555376036358</v>
      </c>
      <c r="Z93" s="18">
        <f>NICCS_Fuel_cons!Z17*_xlfn.XLOOKUP($B93,efs!$A$74:$A$84,efs!$C$74:$C$84,0,0)</f>
        <v>42.015885613265176</v>
      </c>
      <c r="AA93" s="18">
        <f>NICCS_Fuel_cons!AA17*_xlfn.XLOOKUP($B93,efs!$A$74:$A$84,efs!$C$74:$C$84,0,0)</f>
        <v>42.637536269697932</v>
      </c>
      <c r="AB93" s="18">
        <f>NICCS_Fuel_cons!AB17*_xlfn.XLOOKUP($B93,efs!$A$74:$A$84,efs!$C$74:$C$84,0,0)</f>
        <v>43.247289603107404</v>
      </c>
      <c r="AC93" s="18">
        <f>NICCS_Fuel_cons!AC17*_xlfn.XLOOKUP($B93,efs!$A$74:$A$84,efs!$C$74:$C$84,0,0)</f>
        <v>43.844124931625643</v>
      </c>
      <c r="AD93" s="18">
        <f>NICCS_Fuel_cons!AD17*_xlfn.XLOOKUP($B93,efs!$A$74:$A$84,efs!$C$74:$C$84,0,0)</f>
        <v>44.426956102014863</v>
      </c>
      <c r="AE93" s="18">
        <f>NICCS_Fuel_cons!AE17*_xlfn.XLOOKUP($B93,efs!$A$74:$A$84,efs!$C$74:$C$84,0,0)</f>
        <v>44.994837976295393</v>
      </c>
      <c r="AF93" s="18">
        <f>NICCS_Fuel_cons!AF17*_xlfn.XLOOKUP($B93,efs!$A$74:$A$84,efs!$C$74:$C$84,0,0)</f>
        <v>45.546867385314322</v>
      </c>
      <c r="AG93" s="18">
        <f>NICCS_Fuel_cons!AG17*_xlfn.XLOOKUP($B93,efs!$A$74:$A$84,efs!$C$74:$C$84,0,0)</f>
        <v>46.082327501509788</v>
      </c>
      <c r="AH93" s="18">
        <f>NICCS_Fuel_cons!AH17*_xlfn.XLOOKUP($B93,efs!$A$74:$A$84,efs!$C$74:$C$84,0,0)</f>
        <v>46.600644191331064</v>
      </c>
      <c r="AI93" s="18">
        <f>NICCS_Fuel_cons!AI17*_xlfn.XLOOKUP($B93,efs!$A$74:$A$84,efs!$C$74:$C$84,0,0)</f>
        <v>47.101344046411789</v>
      </c>
      <c r="AJ93" s="111">
        <f>NICCS_Fuel_cons!AJ17*_xlfn.XLOOKUP($B93,efs!$A$74:$A$84,efs!$C$74:$C$84,0,0)</f>
        <v>47.583881472003455</v>
      </c>
      <c r="AK93" s="55"/>
    </row>
    <row r="94" spans="1:53">
      <c r="A94" s="95" t="s">
        <v>18</v>
      </c>
      <c r="B94" s="4" t="s">
        <v>12</v>
      </c>
      <c r="C94" s="4" t="s">
        <v>53</v>
      </c>
      <c r="D94" s="91" t="s">
        <v>122</v>
      </c>
      <c r="E94" s="110">
        <f>NICCS_Fuel_cons!E18*_xlfn.XLOOKUP($B94,efs!$A$74:$A$84,efs!$C$74:$C$84,0,0)</f>
        <v>0</v>
      </c>
      <c r="F94" s="18">
        <f>NICCS_Fuel_cons!F18*_xlfn.XLOOKUP($B94,efs!$A$74:$A$84,efs!$C$74:$C$84,0,0)</f>
        <v>0</v>
      </c>
      <c r="G94" s="18">
        <f>NICCS_Fuel_cons!G18*_xlfn.XLOOKUP($B94,efs!$A$74:$A$84,efs!$C$74:$C$84,0,0)</f>
        <v>0</v>
      </c>
      <c r="H94" s="18">
        <f>NICCS_Fuel_cons!H18*_xlfn.XLOOKUP($B94,efs!$A$74:$A$84,efs!$C$74:$C$84,0,0)</f>
        <v>0</v>
      </c>
      <c r="I94" s="18">
        <f>NICCS_Fuel_cons!I18*_xlfn.XLOOKUP($B94,efs!$A$74:$A$84,efs!$C$74:$C$84,0,0)</f>
        <v>0</v>
      </c>
      <c r="J94" s="18">
        <f>NICCS_Fuel_cons!J18*_xlfn.XLOOKUP($B94,efs!$A$74:$A$84,efs!$C$74:$C$84,0,0)</f>
        <v>0</v>
      </c>
      <c r="K94" s="18">
        <f>NICCS_Fuel_cons!K18*_xlfn.XLOOKUP($B94,efs!$A$74:$A$84,efs!$C$74:$C$84,0,0)</f>
        <v>0</v>
      </c>
      <c r="L94" s="18">
        <f>NICCS_Fuel_cons!L18*_xlfn.XLOOKUP($B94,efs!$A$74:$A$84,efs!$C$74:$C$84,0,0)</f>
        <v>0</v>
      </c>
      <c r="M94" s="18">
        <f>NICCS_Fuel_cons!M18*_xlfn.XLOOKUP($B94,efs!$A$74:$A$84,efs!$C$74:$C$84,0,0)</f>
        <v>0</v>
      </c>
      <c r="N94" s="18">
        <f>NICCS_Fuel_cons!N18*_xlfn.XLOOKUP($B94,efs!$A$74:$A$84,efs!$C$74:$C$84,0,0)</f>
        <v>0</v>
      </c>
      <c r="O94" s="18">
        <f>NICCS_Fuel_cons!O18*_xlfn.XLOOKUP($B94,efs!$A$74:$A$84,efs!$C$74:$C$84,0,0)</f>
        <v>0</v>
      </c>
      <c r="P94" s="18">
        <f>NICCS_Fuel_cons!P18*_xlfn.XLOOKUP($B94,efs!$A$74:$A$84,efs!$C$74:$C$84,0,0)</f>
        <v>0</v>
      </c>
      <c r="Q94" s="18">
        <f>NICCS_Fuel_cons!Q18*_xlfn.XLOOKUP($B94,efs!$A$74:$A$84,efs!$C$74:$C$84,0,0)</f>
        <v>0</v>
      </c>
      <c r="R94" s="18">
        <f>NICCS_Fuel_cons!R18*_xlfn.XLOOKUP($B94,efs!$A$74:$A$84,efs!$C$74:$C$84,0,0)</f>
        <v>0</v>
      </c>
      <c r="S94" s="18">
        <f>NICCS_Fuel_cons!S18*_xlfn.XLOOKUP($B94,efs!$A$74:$A$84,efs!$C$74:$C$84,0,0)</f>
        <v>0</v>
      </c>
      <c r="T94" s="18">
        <f>NICCS_Fuel_cons!T18*_xlfn.XLOOKUP($B94,efs!$A$74:$A$84,efs!$C$74:$C$84,0,0)</f>
        <v>0</v>
      </c>
      <c r="U94" s="18">
        <f>NICCS_Fuel_cons!U18*_xlfn.XLOOKUP($B94,efs!$A$74:$A$84,efs!$C$74:$C$84,0,0)</f>
        <v>0</v>
      </c>
      <c r="V94" s="18">
        <f>NICCS_Fuel_cons!V18*_xlfn.XLOOKUP($B94,efs!$A$74:$A$84,efs!$C$74:$C$84,0,0)</f>
        <v>0</v>
      </c>
      <c r="W94" s="18">
        <f>NICCS_Fuel_cons!W18*_xlfn.XLOOKUP($B94,efs!$A$74:$A$84,efs!$C$74:$C$84,0,0)</f>
        <v>0</v>
      </c>
      <c r="X94" s="18">
        <f>NICCS_Fuel_cons!X18*_xlfn.XLOOKUP($B94,efs!$A$74:$A$84,efs!$C$74:$C$84,0,0)</f>
        <v>0</v>
      </c>
      <c r="Y94" s="18">
        <f>NICCS_Fuel_cons!Y18*_xlfn.XLOOKUP($B94,efs!$A$74:$A$84,efs!$C$74:$C$84,0,0)</f>
        <v>0</v>
      </c>
      <c r="Z94" s="18">
        <f>NICCS_Fuel_cons!Z18*_xlfn.XLOOKUP($B94,efs!$A$74:$A$84,efs!$C$74:$C$84,0,0)</f>
        <v>0</v>
      </c>
      <c r="AA94" s="18">
        <f>NICCS_Fuel_cons!AA18*_xlfn.XLOOKUP($B94,efs!$A$74:$A$84,efs!$C$74:$C$84,0,0)</f>
        <v>0</v>
      </c>
      <c r="AB94" s="18">
        <f>NICCS_Fuel_cons!AB18*_xlfn.XLOOKUP($B94,efs!$A$74:$A$84,efs!$C$74:$C$84,0,0)</f>
        <v>0</v>
      </c>
      <c r="AC94" s="18">
        <f>NICCS_Fuel_cons!AC18*_xlfn.XLOOKUP($B94,efs!$A$74:$A$84,efs!$C$74:$C$84,0,0)</f>
        <v>0</v>
      </c>
      <c r="AD94" s="18">
        <f>NICCS_Fuel_cons!AD18*_xlfn.XLOOKUP($B94,efs!$A$74:$A$84,efs!$C$74:$C$84,0,0)</f>
        <v>0</v>
      </c>
      <c r="AE94" s="18">
        <f>NICCS_Fuel_cons!AE18*_xlfn.XLOOKUP($B94,efs!$A$74:$A$84,efs!$C$74:$C$84,0,0)</f>
        <v>0</v>
      </c>
      <c r="AF94" s="18">
        <f>NICCS_Fuel_cons!AF18*_xlfn.XLOOKUP($B94,efs!$A$74:$A$84,efs!$C$74:$C$84,0,0)</f>
        <v>0</v>
      </c>
      <c r="AG94" s="18">
        <f>NICCS_Fuel_cons!AG18*_xlfn.XLOOKUP($B94,efs!$A$74:$A$84,efs!$C$74:$C$84,0,0)</f>
        <v>0</v>
      </c>
      <c r="AH94" s="18">
        <f>NICCS_Fuel_cons!AH18*_xlfn.XLOOKUP($B94,efs!$A$74:$A$84,efs!$C$74:$C$84,0,0)</f>
        <v>0</v>
      </c>
      <c r="AI94" s="18">
        <f>NICCS_Fuel_cons!AI18*_xlfn.XLOOKUP($B94,efs!$A$74:$A$84,efs!$C$74:$C$84,0,0)</f>
        <v>0</v>
      </c>
      <c r="AJ94" s="111">
        <f>NICCS_Fuel_cons!AJ18*_xlfn.XLOOKUP($B94,efs!$A$74:$A$84,efs!$C$74:$C$84,0,0)</f>
        <v>0</v>
      </c>
      <c r="AK94" s="55"/>
    </row>
    <row r="95" spans="1:53">
      <c r="A95" s="95" t="s">
        <v>18</v>
      </c>
      <c r="B95" s="4" t="s">
        <v>13</v>
      </c>
      <c r="C95" s="4" t="s">
        <v>53</v>
      </c>
      <c r="D95" s="91" t="s">
        <v>122</v>
      </c>
      <c r="E95" s="110">
        <f>NICCS_Fuel_cons!E19*_xlfn.XLOOKUP($B95,efs!$A$74:$A$84,efs!$C$74:$C$84,0,0)</f>
        <v>0</v>
      </c>
      <c r="F95" s="18">
        <f>NICCS_Fuel_cons!F19*_xlfn.XLOOKUP($B95,efs!$A$74:$A$84,efs!$C$74:$C$84,0,0)</f>
        <v>0</v>
      </c>
      <c r="G95" s="18">
        <f>NICCS_Fuel_cons!G19*_xlfn.XLOOKUP($B95,efs!$A$74:$A$84,efs!$C$74:$C$84,0,0)</f>
        <v>0</v>
      </c>
      <c r="H95" s="18">
        <f>NICCS_Fuel_cons!H19*_xlfn.XLOOKUP($B95,efs!$A$74:$A$84,efs!$C$74:$C$84,0,0)</f>
        <v>0</v>
      </c>
      <c r="I95" s="18">
        <f>NICCS_Fuel_cons!I19*_xlfn.XLOOKUP($B95,efs!$A$74:$A$84,efs!$C$74:$C$84,0,0)</f>
        <v>0</v>
      </c>
      <c r="J95" s="18">
        <f>NICCS_Fuel_cons!J19*_xlfn.XLOOKUP($B95,efs!$A$74:$A$84,efs!$C$74:$C$84,0,0)</f>
        <v>0</v>
      </c>
      <c r="K95" s="18">
        <f>NICCS_Fuel_cons!K19*_xlfn.XLOOKUP($B95,efs!$A$74:$A$84,efs!$C$74:$C$84,0,0)</f>
        <v>0</v>
      </c>
      <c r="L95" s="18">
        <f>NICCS_Fuel_cons!L19*_xlfn.XLOOKUP($B95,efs!$A$74:$A$84,efs!$C$74:$C$84,0,0)</f>
        <v>0</v>
      </c>
      <c r="M95" s="18">
        <f>NICCS_Fuel_cons!M19*_xlfn.XLOOKUP($B95,efs!$A$74:$A$84,efs!$C$74:$C$84,0,0)</f>
        <v>0</v>
      </c>
      <c r="N95" s="18">
        <f>NICCS_Fuel_cons!N19*_xlfn.XLOOKUP($B95,efs!$A$74:$A$84,efs!$C$74:$C$84,0,0)</f>
        <v>0</v>
      </c>
      <c r="O95" s="18">
        <f>NICCS_Fuel_cons!O19*_xlfn.XLOOKUP($B95,efs!$A$74:$A$84,efs!$C$74:$C$84,0,0)</f>
        <v>0</v>
      </c>
      <c r="P95" s="18">
        <f>NICCS_Fuel_cons!P19*_xlfn.XLOOKUP($B95,efs!$A$74:$A$84,efs!$C$74:$C$84,0,0)</f>
        <v>0</v>
      </c>
      <c r="Q95" s="18">
        <f>NICCS_Fuel_cons!Q19*_xlfn.XLOOKUP($B95,efs!$A$74:$A$84,efs!$C$74:$C$84,0,0)</f>
        <v>0</v>
      </c>
      <c r="R95" s="18">
        <f>NICCS_Fuel_cons!R19*_xlfn.XLOOKUP($B95,efs!$A$74:$A$84,efs!$C$74:$C$84,0,0)</f>
        <v>0</v>
      </c>
      <c r="S95" s="18">
        <f>NICCS_Fuel_cons!S19*_xlfn.XLOOKUP($B95,efs!$A$74:$A$84,efs!$C$74:$C$84,0,0)</f>
        <v>0</v>
      </c>
      <c r="T95" s="18">
        <f>NICCS_Fuel_cons!T19*_xlfn.XLOOKUP($B95,efs!$A$74:$A$84,efs!$C$74:$C$84,0,0)</f>
        <v>0</v>
      </c>
      <c r="U95" s="18">
        <f>NICCS_Fuel_cons!U19*_xlfn.XLOOKUP($B95,efs!$A$74:$A$84,efs!$C$74:$C$84,0,0)</f>
        <v>0</v>
      </c>
      <c r="V95" s="18">
        <f>NICCS_Fuel_cons!V19*_xlfn.XLOOKUP($B95,efs!$A$74:$A$84,efs!$C$74:$C$84,0,0)</f>
        <v>0</v>
      </c>
      <c r="W95" s="18">
        <f>NICCS_Fuel_cons!W19*_xlfn.XLOOKUP($B95,efs!$A$74:$A$84,efs!$C$74:$C$84,0,0)</f>
        <v>0</v>
      </c>
      <c r="X95" s="18">
        <f>NICCS_Fuel_cons!X19*_xlfn.XLOOKUP($B95,efs!$A$74:$A$84,efs!$C$74:$C$84,0,0)</f>
        <v>0</v>
      </c>
      <c r="Y95" s="18">
        <f>NICCS_Fuel_cons!Y19*_xlfn.XLOOKUP($B95,efs!$A$74:$A$84,efs!$C$74:$C$84,0,0)</f>
        <v>0</v>
      </c>
      <c r="Z95" s="18">
        <f>NICCS_Fuel_cons!Z19*_xlfn.XLOOKUP($B95,efs!$A$74:$A$84,efs!$C$74:$C$84,0,0)</f>
        <v>0</v>
      </c>
      <c r="AA95" s="18">
        <f>NICCS_Fuel_cons!AA19*_xlfn.XLOOKUP($B95,efs!$A$74:$A$84,efs!$C$74:$C$84,0,0)</f>
        <v>0</v>
      </c>
      <c r="AB95" s="18">
        <f>NICCS_Fuel_cons!AB19*_xlfn.XLOOKUP($B95,efs!$A$74:$A$84,efs!$C$74:$C$84,0,0)</f>
        <v>0</v>
      </c>
      <c r="AC95" s="18">
        <f>NICCS_Fuel_cons!AC19*_xlfn.XLOOKUP($B95,efs!$A$74:$A$84,efs!$C$74:$C$84,0,0)</f>
        <v>0</v>
      </c>
      <c r="AD95" s="18">
        <f>NICCS_Fuel_cons!AD19*_xlfn.XLOOKUP($B95,efs!$A$74:$A$84,efs!$C$74:$C$84,0,0)</f>
        <v>0</v>
      </c>
      <c r="AE95" s="18">
        <f>NICCS_Fuel_cons!AE19*_xlfn.XLOOKUP($B95,efs!$A$74:$A$84,efs!$C$74:$C$84,0,0)</f>
        <v>0</v>
      </c>
      <c r="AF95" s="18">
        <f>NICCS_Fuel_cons!AF19*_xlfn.XLOOKUP($B95,efs!$A$74:$A$84,efs!$C$74:$C$84,0,0)</f>
        <v>0</v>
      </c>
      <c r="AG95" s="18">
        <f>NICCS_Fuel_cons!AG19*_xlfn.XLOOKUP($B95,efs!$A$74:$A$84,efs!$C$74:$C$84,0,0)</f>
        <v>0</v>
      </c>
      <c r="AH95" s="18">
        <f>NICCS_Fuel_cons!AH19*_xlfn.XLOOKUP($B95,efs!$A$74:$A$84,efs!$C$74:$C$84,0,0)</f>
        <v>0</v>
      </c>
      <c r="AI95" s="18">
        <f>NICCS_Fuel_cons!AI19*_xlfn.XLOOKUP($B95,efs!$A$74:$A$84,efs!$C$74:$C$84,0,0)</f>
        <v>0</v>
      </c>
      <c r="AJ95" s="111">
        <f>NICCS_Fuel_cons!AJ19*_xlfn.XLOOKUP($B95,efs!$A$74:$A$84,efs!$C$74:$C$84,0,0)</f>
        <v>0</v>
      </c>
      <c r="AK95" s="55"/>
    </row>
    <row r="96" spans="1:53">
      <c r="A96" s="95" t="s">
        <v>18</v>
      </c>
      <c r="B96" s="4" t="s">
        <v>14</v>
      </c>
      <c r="C96" s="4" t="s">
        <v>53</v>
      </c>
      <c r="D96" s="91" t="s">
        <v>122</v>
      </c>
      <c r="E96" s="110">
        <f>NICCS_Fuel_cons!E20*_xlfn.XLOOKUP($B96,efs!$A$74:$A$84,efs!$C$74:$C$84,0,0)</f>
        <v>0</v>
      </c>
      <c r="F96" s="18">
        <f>NICCS_Fuel_cons!F20*_xlfn.XLOOKUP($B96,efs!$A$74:$A$84,efs!$C$74:$C$84,0,0)</f>
        <v>0</v>
      </c>
      <c r="G96" s="18">
        <f>NICCS_Fuel_cons!G20*_xlfn.XLOOKUP($B96,efs!$A$74:$A$84,efs!$C$74:$C$84,0,0)</f>
        <v>0</v>
      </c>
      <c r="H96" s="18">
        <f>NICCS_Fuel_cons!H20*_xlfn.XLOOKUP($B96,efs!$A$74:$A$84,efs!$C$74:$C$84,0,0)</f>
        <v>0</v>
      </c>
      <c r="I96" s="18">
        <f>NICCS_Fuel_cons!I20*_xlfn.XLOOKUP($B96,efs!$A$74:$A$84,efs!$C$74:$C$84,0,0)</f>
        <v>0</v>
      </c>
      <c r="J96" s="18">
        <f>NICCS_Fuel_cons!J20*_xlfn.XLOOKUP($B96,efs!$A$74:$A$84,efs!$C$74:$C$84,0,0)</f>
        <v>0</v>
      </c>
      <c r="K96" s="18">
        <f>NICCS_Fuel_cons!K20*_xlfn.XLOOKUP($B96,efs!$A$74:$A$84,efs!$C$74:$C$84,0,0)</f>
        <v>0</v>
      </c>
      <c r="L96" s="18">
        <f>NICCS_Fuel_cons!L20*_xlfn.XLOOKUP($B96,efs!$A$74:$A$84,efs!$C$74:$C$84,0,0)</f>
        <v>0.71657769314322839</v>
      </c>
      <c r="M96" s="18">
        <f>NICCS_Fuel_cons!M20*_xlfn.XLOOKUP($B96,efs!$A$74:$A$84,efs!$C$74:$C$84,0,0)</f>
        <v>1.4653249344443002</v>
      </c>
      <c r="N96" s="18">
        <f>NICCS_Fuel_cons!N20*_xlfn.XLOOKUP($B96,efs!$A$74:$A$84,efs!$C$74:$C$84,0,0)</f>
        <v>2.2462203402532519</v>
      </c>
      <c r="O96" s="18">
        <f>NICCS_Fuel_cons!O20*_xlfn.XLOOKUP($B96,efs!$A$74:$A$84,efs!$C$74:$C$84,0,0)</f>
        <v>3.0589796862226279</v>
      </c>
      <c r="P96" s="18">
        <f>NICCS_Fuel_cons!P20*_xlfn.XLOOKUP($B96,efs!$A$74:$A$84,efs!$C$74:$C$84,0,0)</f>
        <v>3.9030958160292104</v>
      </c>
      <c r="Q96" s="18">
        <f>NICCS_Fuel_cons!Q20*_xlfn.XLOOKUP($B96,efs!$A$74:$A$84,efs!$C$74:$C$84,0,0)</f>
        <v>4.7779504971680167</v>
      </c>
      <c r="R96" s="18">
        <f>NICCS_Fuel_cons!R20*_xlfn.XLOOKUP($B96,efs!$A$74:$A$84,efs!$C$74:$C$84,0,0)</f>
        <v>5.6828716667652275</v>
      </c>
      <c r="S96" s="18">
        <f>NICCS_Fuel_cons!S20*_xlfn.XLOOKUP($B96,efs!$A$74:$A$84,efs!$C$74:$C$84,0,0)</f>
        <v>6.6170899960391978</v>
      </c>
      <c r="T96" s="18">
        <f>NICCS_Fuel_cons!T20*_xlfn.XLOOKUP($B96,efs!$A$74:$A$84,efs!$C$74:$C$84,0,0)</f>
        <v>7.5798423559817945</v>
      </c>
      <c r="U96" s="18">
        <f>NICCS_Fuel_cons!U20*_xlfn.XLOOKUP($B96,efs!$A$74:$A$84,efs!$C$74:$C$84,0,0)</f>
        <v>8.5713268423503344</v>
      </c>
      <c r="V96" s="18">
        <f>NICCS_Fuel_cons!V20*_xlfn.XLOOKUP($B96,efs!$A$74:$A$84,efs!$C$74:$C$84,0,0)</f>
        <v>9.5910448374318253</v>
      </c>
      <c r="W96" s="18">
        <f>NICCS_Fuel_cons!W20*_xlfn.XLOOKUP($B96,efs!$A$74:$A$84,efs!$C$74:$C$84,0,0)</f>
        <v>10.63827898659385</v>
      </c>
      <c r="X96" s="18">
        <f>NICCS_Fuel_cons!X20*_xlfn.XLOOKUP($B96,efs!$A$74:$A$84,efs!$C$74:$C$84,0,0)</f>
        <v>11.712284982895161</v>
      </c>
      <c r="Y96" s="18">
        <f>NICCS_Fuel_cons!Y20*_xlfn.XLOOKUP($B96,efs!$A$74:$A$84,efs!$C$74:$C$84,0,0)</f>
        <v>12.812238479204733</v>
      </c>
      <c r="Z96" s="18">
        <f>NICCS_Fuel_cons!Z20*_xlfn.XLOOKUP($B96,efs!$A$74:$A$84,efs!$C$74:$C$84,0,0)</f>
        <v>13.937257177215143</v>
      </c>
      <c r="AA96" s="18">
        <f>NICCS_Fuel_cons!AA20*_xlfn.XLOOKUP($B96,efs!$A$74:$A$84,efs!$C$74:$C$84,0,0)</f>
        <v>14.14346739857848</v>
      </c>
      <c r="AB96" s="18">
        <f>NICCS_Fuel_cons!AB20*_xlfn.XLOOKUP($B96,efs!$A$74:$A$84,efs!$C$74:$C$84,0,0)</f>
        <v>14.345731111418296</v>
      </c>
      <c r="AC96" s="18">
        <f>NICCS_Fuel_cons!AC20*_xlfn.XLOOKUP($B96,efs!$A$74:$A$84,efs!$C$74:$C$84,0,0)</f>
        <v>14.54370974127681</v>
      </c>
      <c r="AD96" s="18">
        <f>NICCS_Fuel_cons!AD20*_xlfn.XLOOKUP($B96,efs!$A$74:$A$84,efs!$C$74:$C$84,0,0)</f>
        <v>14.737042995926741</v>
      </c>
      <c r="AE96" s="18">
        <f>NICCS_Fuel_cons!AE20*_xlfn.XLOOKUP($B96,efs!$A$74:$A$84,efs!$C$74:$C$84,0,0)</f>
        <v>14.925417359875121</v>
      </c>
      <c r="AF96" s="18">
        <f>NICCS_Fuel_cons!AF20*_xlfn.XLOOKUP($B96,efs!$A$74:$A$84,efs!$C$74:$C$84,0,0)</f>
        <v>15.108533239276076</v>
      </c>
      <c r="AG96" s="18">
        <f>NICCS_Fuel_cons!AG20*_xlfn.XLOOKUP($B96,efs!$A$74:$A$84,efs!$C$74:$C$84,0,0)</f>
        <v>15.286152852396917</v>
      </c>
      <c r="AH96" s="18">
        <f>NICCS_Fuel_cons!AH20*_xlfn.XLOOKUP($B96,efs!$A$74:$A$84,efs!$C$74:$C$84,0,0)</f>
        <v>15.458085751105147</v>
      </c>
      <c r="AI96" s="18">
        <f>NICCS_Fuel_cons!AI20*_xlfn.XLOOKUP($B96,efs!$A$74:$A$84,efs!$C$74:$C$84,0,0)</f>
        <v>15.624174899221336</v>
      </c>
      <c r="AJ96" s="111">
        <f>NICCS_Fuel_cons!AJ20*_xlfn.XLOOKUP($B96,efs!$A$74:$A$84,efs!$C$74:$C$84,0,0)</f>
        <v>15.784239315333011</v>
      </c>
      <c r="AK96" s="55"/>
    </row>
    <row r="97" spans="1:37">
      <c r="A97" s="95" t="s">
        <v>18</v>
      </c>
      <c r="B97" s="4" t="s">
        <v>15</v>
      </c>
      <c r="C97" s="4" t="s">
        <v>53</v>
      </c>
      <c r="D97" s="91" t="s">
        <v>122</v>
      </c>
      <c r="E97" s="110">
        <f>NICCS_Fuel_cons!E21*_xlfn.XLOOKUP($B97,efs!$A$74:$A$84,efs!$C$74:$C$84,0,0)</f>
        <v>0</v>
      </c>
      <c r="F97" s="18">
        <f>NICCS_Fuel_cons!F21*_xlfn.XLOOKUP($B97,efs!$A$74:$A$84,efs!$C$74:$C$84,0,0)</f>
        <v>0</v>
      </c>
      <c r="G97" s="18">
        <f>NICCS_Fuel_cons!G21*_xlfn.XLOOKUP($B97,efs!$A$74:$A$84,efs!$C$74:$C$84,0,0)</f>
        <v>0</v>
      </c>
      <c r="H97" s="18">
        <f>NICCS_Fuel_cons!H21*_xlfn.XLOOKUP($B97,efs!$A$74:$A$84,efs!$C$74:$C$84,0,0)</f>
        <v>0</v>
      </c>
      <c r="I97" s="18">
        <f>NICCS_Fuel_cons!I21*_xlfn.XLOOKUP($B97,efs!$A$74:$A$84,efs!$C$74:$C$84,0,0)</f>
        <v>0</v>
      </c>
      <c r="J97" s="18">
        <f>NICCS_Fuel_cons!J21*_xlfn.XLOOKUP($B97,efs!$A$74:$A$84,efs!$C$74:$C$84,0,0)</f>
        <v>0</v>
      </c>
      <c r="K97" s="18">
        <f>NICCS_Fuel_cons!K21*_xlfn.XLOOKUP($B97,efs!$A$74:$A$84,efs!$C$74:$C$84,0,0)</f>
        <v>0</v>
      </c>
      <c r="L97" s="18">
        <f>NICCS_Fuel_cons!L21*_xlfn.XLOOKUP($B97,efs!$A$74:$A$84,efs!$C$74:$C$84,0,0)</f>
        <v>0.7049110833416169</v>
      </c>
      <c r="M97" s="18">
        <f>NICCS_Fuel_cons!M21*_xlfn.XLOOKUP($B97,efs!$A$74:$A$84,efs!$C$74:$C$84,0,0)</f>
        <v>1.4414679620513338</v>
      </c>
      <c r="N97" s="18">
        <f>NICCS_Fuel_cons!N21*_xlfn.XLOOKUP($B97,efs!$A$74:$A$84,efs!$C$74:$C$84,0,0)</f>
        <v>2.209649600626642</v>
      </c>
      <c r="O97" s="18">
        <f>NICCS_Fuel_cons!O21*_xlfn.XLOOKUP($B97,efs!$A$74:$A$84,efs!$C$74:$C$84,0,0)</f>
        <v>3.0091764021800116</v>
      </c>
      <c r="P97" s="18">
        <f>NICCS_Fuel_cons!P21*_xlfn.XLOOKUP($B97,efs!$A$74:$A$84,efs!$C$74:$C$84,0,0)</f>
        <v>3.8395494674062527</v>
      </c>
      <c r="Q97" s="18">
        <f>NICCS_Fuel_cons!Q21*_xlfn.XLOOKUP($B97,efs!$A$74:$A$84,efs!$C$74:$C$84,0,0)</f>
        <v>4.700160629251025</v>
      </c>
      <c r="R97" s="18">
        <f>NICCS_Fuel_cons!R21*_xlfn.XLOOKUP($B97,efs!$A$74:$A$84,efs!$C$74:$C$84,0,0)</f>
        <v>5.5903487667040181</v>
      </c>
      <c r="S97" s="18">
        <f>NICCS_Fuel_cons!S21*_xlfn.XLOOKUP($B97,efs!$A$74:$A$84,efs!$C$74:$C$84,0,0)</f>
        <v>6.5093570764344779</v>
      </c>
      <c r="T97" s="18">
        <f>NICCS_Fuel_cons!T21*_xlfn.XLOOKUP($B97,efs!$A$74:$A$84,efs!$C$74:$C$84,0,0)</f>
        <v>7.4564348539465737</v>
      </c>
      <c r="U97" s="18">
        <f>NICCS_Fuel_cons!U21*_xlfn.XLOOKUP($B97,efs!$A$74:$A$84,efs!$C$74:$C$84,0,0)</f>
        <v>8.4317769697982854</v>
      </c>
      <c r="V97" s="18">
        <f>NICCS_Fuel_cons!V21*_xlfn.XLOOKUP($B97,efs!$A$74:$A$84,efs!$C$74:$C$84,0,0)</f>
        <v>9.4348929242774364</v>
      </c>
      <c r="W97" s="18">
        <f>NICCS_Fuel_cons!W21*_xlfn.XLOOKUP($B97,efs!$A$74:$A$84,efs!$C$74:$C$84,0,0)</f>
        <v>10.46507704201076</v>
      </c>
      <c r="X97" s="18">
        <f>NICCS_Fuel_cons!X21*_xlfn.XLOOKUP($B97,efs!$A$74:$A$84,efs!$C$74:$C$84,0,0)</f>
        <v>11.521597134127033</v>
      </c>
      <c r="Y97" s="18">
        <f>NICCS_Fuel_cons!Y21*_xlfn.XLOOKUP($B97,efs!$A$74:$A$84,efs!$C$74:$C$84,0,0)</f>
        <v>12.603642274700505</v>
      </c>
      <c r="Z97" s="18">
        <f>NICCS_Fuel_cons!Z21*_xlfn.XLOOKUP($B97,efs!$A$74:$A$84,efs!$C$74:$C$84,0,0)</f>
        <v>13.710344530132815</v>
      </c>
      <c r="AA97" s="18">
        <f>NICCS_Fuel_cons!AA21*_xlfn.XLOOKUP($B97,efs!$A$74:$A$84,efs!$C$74:$C$84,0,0)</f>
        <v>13.913197440470745</v>
      </c>
      <c r="AB97" s="18">
        <f>NICCS_Fuel_cons!AB21*_xlfn.XLOOKUP($B97,efs!$A$74:$A$84,efs!$C$74:$C$84,0,0)</f>
        <v>14.112168095436573</v>
      </c>
      <c r="AC97" s="18">
        <f>NICCS_Fuel_cons!AC21*_xlfn.XLOOKUP($B97,efs!$A$74:$A$84,efs!$C$74:$C$84,0,0)</f>
        <v>14.306923432907233</v>
      </c>
      <c r="AD97" s="18">
        <f>NICCS_Fuel_cons!AD21*_xlfn.XLOOKUP($B97,efs!$A$74:$A$84,efs!$C$74:$C$84,0,0)</f>
        <v>14.497109026577402</v>
      </c>
      <c r="AE97" s="18">
        <f>NICCS_Fuel_cons!AE21*_xlfn.XLOOKUP($B97,efs!$A$74:$A$84,efs!$C$74:$C$84,0,0)</f>
        <v>14.682416465303515</v>
      </c>
      <c r="AF97" s="18">
        <f>NICCS_Fuel_cons!AF21*_xlfn.XLOOKUP($B97,efs!$A$74:$A$84,efs!$C$74:$C$84,0,0)</f>
        <v>14.862551032930615</v>
      </c>
      <c r="AG97" s="18">
        <f>NICCS_Fuel_cons!AG21*_xlfn.XLOOKUP($B97,efs!$A$74:$A$84,efs!$C$74:$C$84,0,0)</f>
        <v>15.037278819053183</v>
      </c>
      <c r="AH97" s="18">
        <f>NICCS_Fuel_cons!AH21*_xlfn.XLOOKUP($B97,efs!$A$74:$A$84,efs!$C$74:$C$84,0,0)</f>
        <v>15.206412476226983</v>
      </c>
      <c r="AI97" s="18">
        <f>NICCS_Fuel_cons!AI21*_xlfn.XLOOKUP($B97,efs!$A$74:$A$84,efs!$C$74:$C$84,0,0)</f>
        <v>15.369797524980472</v>
      </c>
      <c r="AJ97" s="111">
        <f>NICCS_Fuel_cons!AJ21*_xlfn.XLOOKUP($B97,efs!$A$74:$A$84,efs!$C$74:$C$84,0,0)</f>
        <v>15.527255930461667</v>
      </c>
      <c r="AK97" s="55"/>
    </row>
    <row r="98" spans="1:37">
      <c r="A98" s="97" t="s">
        <v>18</v>
      </c>
      <c r="B98" s="40" t="s">
        <v>16</v>
      </c>
      <c r="C98" s="4" t="s">
        <v>53</v>
      </c>
      <c r="D98" s="91" t="s">
        <v>122</v>
      </c>
      <c r="E98" s="110">
        <f>NICCS_Fuel_cons!E22*_xlfn.XLOOKUP($B98,efs!$A$74:$A$84,efs!$C$74:$C$84,0,0)</f>
        <v>0</v>
      </c>
      <c r="F98" s="18">
        <f>NICCS_Fuel_cons!F22*_xlfn.XLOOKUP($B98,efs!$A$74:$A$84,efs!$C$74:$C$84,0,0)</f>
        <v>0</v>
      </c>
      <c r="G98" s="18">
        <f>NICCS_Fuel_cons!G22*_xlfn.XLOOKUP($B98,efs!$A$74:$A$84,efs!$C$74:$C$84,0,0)</f>
        <v>0</v>
      </c>
      <c r="H98" s="18">
        <f>NICCS_Fuel_cons!H22*_xlfn.XLOOKUP($B98,efs!$A$74:$A$84,efs!$C$74:$C$84,0,0)</f>
        <v>0</v>
      </c>
      <c r="I98" s="18">
        <f>NICCS_Fuel_cons!I22*_xlfn.XLOOKUP($B98,efs!$A$74:$A$84,efs!$C$74:$C$84,0,0)</f>
        <v>0</v>
      </c>
      <c r="J98" s="18">
        <f>NICCS_Fuel_cons!J22*_xlfn.XLOOKUP($B98,efs!$A$74:$A$84,efs!$C$74:$C$84,0,0)</f>
        <v>0</v>
      </c>
      <c r="K98" s="18">
        <f>NICCS_Fuel_cons!K22*_xlfn.XLOOKUP($B98,efs!$A$74:$A$84,efs!$C$74:$C$84,0,0)</f>
        <v>0</v>
      </c>
      <c r="L98" s="18">
        <f>NICCS_Fuel_cons!L22*_xlfn.XLOOKUP($B98,efs!$A$74:$A$84,efs!$C$74:$C$84,0,0)</f>
        <v>6.9370303949383159</v>
      </c>
      <c r="M98" s="18">
        <f>NICCS_Fuel_cons!M22*_xlfn.XLOOKUP($B98,efs!$A$74:$A$84,efs!$C$74:$C$84,0,0)</f>
        <v>14.185487081118701</v>
      </c>
      <c r="N98" s="18">
        <f>NICCS_Fuel_cons!N22*_xlfn.XLOOKUP($B98,efs!$A$74:$A$84,efs!$C$74:$C$84,0,0)</f>
        <v>21.745163048148317</v>
      </c>
      <c r="O98" s="18">
        <f>NICCS_Fuel_cons!O22*_xlfn.XLOOKUP($B98,efs!$A$74:$A$84,efs!$C$74:$C$84,0,0)</f>
        <v>29.613306782888895</v>
      </c>
      <c r="P98" s="18">
        <f>NICCS_Fuel_cons!P22*_xlfn.XLOOKUP($B98,efs!$A$74:$A$84,efs!$C$74:$C$84,0,0)</f>
        <v>37.785008616978139</v>
      </c>
      <c r="Q98" s="18">
        <f>NICCS_Fuel_cons!Q22*_xlfn.XLOOKUP($B98,efs!$A$74:$A$84,efs!$C$74:$C$84,0,0)</f>
        <v>46.254283578068687</v>
      </c>
      <c r="R98" s="18">
        <f>NICCS_Fuel_cons!R22*_xlfn.XLOOKUP($B98,efs!$A$74:$A$84,efs!$C$74:$C$84,0,0)</f>
        <v>55.014625573900602</v>
      </c>
      <c r="S98" s="18">
        <f>NICCS_Fuel_cons!S22*_xlfn.XLOOKUP($B98,efs!$A$74:$A$84,efs!$C$74:$C$84,0,0)</f>
        <v>64.058586902440965</v>
      </c>
      <c r="T98" s="18">
        <f>NICCS_Fuel_cons!T22*_xlfn.XLOOKUP($B98,efs!$A$74:$A$84,efs!$C$74:$C$84,0,0)</f>
        <v>73.378779880295028</v>
      </c>
      <c r="U98" s="18">
        <f>NICCS_Fuel_cons!U22*_xlfn.XLOOKUP($B98,efs!$A$74:$A$84,efs!$C$74:$C$84,0,0)</f>
        <v>82.97712222874101</v>
      </c>
      <c r="V98" s="18">
        <f>NICCS_Fuel_cons!V22*_xlfn.XLOOKUP($B98,efs!$A$74:$A$84,efs!$C$74:$C$84,0,0)</f>
        <v>92.848786939816463</v>
      </c>
      <c r="W98" s="18">
        <f>NICCS_Fuel_cons!W22*_xlfn.XLOOKUP($B98,efs!$A$74:$A$84,efs!$C$74:$C$84,0,0)</f>
        <v>102.98682946174893</v>
      </c>
      <c r="X98" s="18">
        <f>NICCS_Fuel_cons!X22*_xlfn.XLOOKUP($B98,efs!$A$74:$A$84,efs!$C$74:$C$84,0,0)</f>
        <v>113.38404432341648</v>
      </c>
      <c r="Y98" s="18">
        <f>NICCS_Fuel_cons!Y22*_xlfn.XLOOKUP($B98,efs!$A$74:$A$84,efs!$C$74:$C$84,0,0)</f>
        <v>124.03245120229623</v>
      </c>
      <c r="Z98" s="18">
        <f>NICCS_Fuel_cons!Z22*_xlfn.XLOOKUP($B98,efs!$A$74:$A$84,efs!$C$74:$C$84,0,0)</f>
        <v>134.92350876332506</v>
      </c>
      <c r="AA98" s="18">
        <f>NICCS_Fuel_cons!AA22*_xlfn.XLOOKUP($B98,efs!$A$74:$A$84,efs!$C$74:$C$84,0,0)</f>
        <v>136.91978437591033</v>
      </c>
      <c r="AB98" s="18">
        <f>NICCS_Fuel_cons!AB22*_xlfn.XLOOKUP($B98,efs!$A$74:$A$84,efs!$C$74:$C$84,0,0)</f>
        <v>138.87785471104485</v>
      </c>
      <c r="AC98" s="18">
        <f>NICCS_Fuel_cons!AC22*_xlfn.XLOOKUP($B98,efs!$A$74:$A$84,efs!$C$74:$C$84,0,0)</f>
        <v>140.79444210417523</v>
      </c>
      <c r="AD98" s="18">
        <f>NICCS_Fuel_cons!AD22*_xlfn.XLOOKUP($B98,efs!$A$74:$A$84,efs!$C$74:$C$84,0,0)</f>
        <v>142.66605864581777</v>
      </c>
      <c r="AE98" s="18">
        <f>NICCS_Fuel_cons!AE22*_xlfn.XLOOKUP($B98,efs!$A$74:$A$84,efs!$C$74:$C$84,0,0)</f>
        <v>144.48966926172329</v>
      </c>
      <c r="AF98" s="18">
        <f>NICCS_Fuel_cons!AF22*_xlfn.XLOOKUP($B98,efs!$A$74:$A$84,efs!$C$74:$C$84,0,0)</f>
        <v>146.2623736500336</v>
      </c>
      <c r="AG98" s="18">
        <f>NICCS_Fuel_cons!AG22*_xlfn.XLOOKUP($B98,efs!$A$74:$A$84,efs!$C$74:$C$84,0,0)</f>
        <v>147.98186989830737</v>
      </c>
      <c r="AH98" s="18">
        <f>NICCS_Fuel_cons!AH22*_xlfn.XLOOKUP($B98,efs!$A$74:$A$84,efs!$C$74:$C$84,0,0)</f>
        <v>149.64631432023333</v>
      </c>
      <c r="AI98" s="18">
        <f>NICCS_Fuel_cons!AI22*_xlfn.XLOOKUP($B98,efs!$A$74:$A$84,efs!$C$74:$C$84,0,0)</f>
        <v>151.25418668323908</v>
      </c>
      <c r="AJ98" s="111">
        <f>NICCS_Fuel_cons!AJ22*_xlfn.XLOOKUP($B98,efs!$A$74:$A$84,efs!$C$74:$C$84,0,0)</f>
        <v>152.80373494623925</v>
      </c>
      <c r="AK98" s="55"/>
    </row>
    <row r="99" spans="1:37" ht="17" thickBot="1">
      <c r="A99" s="96" t="s">
        <v>18</v>
      </c>
      <c r="B99" s="32" t="s">
        <v>17</v>
      </c>
      <c r="C99" s="32" t="s">
        <v>53</v>
      </c>
      <c r="D99" s="93" t="s">
        <v>122</v>
      </c>
      <c r="E99" s="112">
        <f>NICCS_Fuel_cons!E23*_xlfn.XLOOKUP($B99,efs!$A$74:$A$84,efs!$C$74:$C$84,0,0)</f>
        <v>0</v>
      </c>
      <c r="F99" s="113">
        <f>NICCS_Fuel_cons!F23*_xlfn.XLOOKUP($B99,efs!$A$74:$A$84,efs!$C$74:$C$84,0,0)</f>
        <v>0</v>
      </c>
      <c r="G99" s="113">
        <f>NICCS_Fuel_cons!G23*_xlfn.XLOOKUP($B99,efs!$A$74:$A$84,efs!$C$74:$C$84,0,0)</f>
        <v>0</v>
      </c>
      <c r="H99" s="113">
        <f>NICCS_Fuel_cons!H23*_xlfn.XLOOKUP($B99,efs!$A$74:$A$84,efs!$C$74:$C$84,0,0)</f>
        <v>0</v>
      </c>
      <c r="I99" s="113">
        <f>NICCS_Fuel_cons!I23*_xlfn.XLOOKUP($B99,efs!$A$74:$A$84,efs!$C$74:$C$84,0,0)</f>
        <v>0</v>
      </c>
      <c r="J99" s="113">
        <f>NICCS_Fuel_cons!J23*_xlfn.XLOOKUP($B99,efs!$A$74:$A$84,efs!$C$74:$C$84,0,0)</f>
        <v>0</v>
      </c>
      <c r="K99" s="113">
        <f>NICCS_Fuel_cons!K23*_xlfn.XLOOKUP($B99,efs!$A$74:$A$84,efs!$C$74:$C$84,0,0)</f>
        <v>0</v>
      </c>
      <c r="L99" s="113">
        <f>NICCS_Fuel_cons!L23*_xlfn.XLOOKUP($B99,efs!$A$74:$A$84,efs!$C$74:$C$84,0,0)</f>
        <v>0</v>
      </c>
      <c r="M99" s="113">
        <f>NICCS_Fuel_cons!M23*_xlfn.XLOOKUP($B99,efs!$A$74:$A$84,efs!$C$74:$C$84,0,0)</f>
        <v>0</v>
      </c>
      <c r="N99" s="113">
        <f>NICCS_Fuel_cons!N23*_xlfn.XLOOKUP($B99,efs!$A$74:$A$84,efs!$C$74:$C$84,0,0)</f>
        <v>0</v>
      </c>
      <c r="O99" s="113">
        <f>NICCS_Fuel_cons!O23*_xlfn.XLOOKUP($B99,efs!$A$74:$A$84,efs!$C$74:$C$84,0,0)</f>
        <v>0</v>
      </c>
      <c r="P99" s="113">
        <f>NICCS_Fuel_cons!P23*_xlfn.XLOOKUP($B99,efs!$A$74:$A$84,efs!$C$74:$C$84,0,0)</f>
        <v>0</v>
      </c>
      <c r="Q99" s="113">
        <f>NICCS_Fuel_cons!Q23*_xlfn.XLOOKUP($B99,efs!$A$74:$A$84,efs!$C$74:$C$84,0,0)</f>
        <v>0</v>
      </c>
      <c r="R99" s="113">
        <f>NICCS_Fuel_cons!R23*_xlfn.XLOOKUP($B99,efs!$A$74:$A$84,efs!$C$74:$C$84,0,0)</f>
        <v>0</v>
      </c>
      <c r="S99" s="113">
        <f>NICCS_Fuel_cons!S23*_xlfn.XLOOKUP($B99,efs!$A$74:$A$84,efs!$C$74:$C$84,0,0)</f>
        <v>0</v>
      </c>
      <c r="T99" s="113">
        <f>NICCS_Fuel_cons!T23*_xlfn.XLOOKUP($B99,efs!$A$74:$A$84,efs!$C$74:$C$84,0,0)</f>
        <v>0</v>
      </c>
      <c r="U99" s="113">
        <f>NICCS_Fuel_cons!U23*_xlfn.XLOOKUP($B99,efs!$A$74:$A$84,efs!$C$74:$C$84,0,0)</f>
        <v>0</v>
      </c>
      <c r="V99" s="113">
        <f>NICCS_Fuel_cons!V23*_xlfn.XLOOKUP($B99,efs!$A$74:$A$84,efs!$C$74:$C$84,0,0)</f>
        <v>0</v>
      </c>
      <c r="W99" s="113">
        <f>NICCS_Fuel_cons!W23*_xlfn.XLOOKUP($B99,efs!$A$74:$A$84,efs!$C$74:$C$84,0,0)</f>
        <v>0</v>
      </c>
      <c r="X99" s="113">
        <f>NICCS_Fuel_cons!X23*_xlfn.XLOOKUP($B99,efs!$A$74:$A$84,efs!$C$74:$C$84,0,0)</f>
        <v>0</v>
      </c>
      <c r="Y99" s="113">
        <f>NICCS_Fuel_cons!Y23*_xlfn.XLOOKUP($B99,efs!$A$74:$A$84,efs!$C$74:$C$84,0,0)</f>
        <v>0</v>
      </c>
      <c r="Z99" s="113">
        <f>NICCS_Fuel_cons!Z23*_xlfn.XLOOKUP($B99,efs!$A$74:$A$84,efs!$C$74:$C$84,0,0)</f>
        <v>0</v>
      </c>
      <c r="AA99" s="113">
        <f>NICCS_Fuel_cons!AA23*_xlfn.XLOOKUP($B99,efs!$A$74:$A$84,efs!$C$74:$C$84,0,0)</f>
        <v>0</v>
      </c>
      <c r="AB99" s="113">
        <f>NICCS_Fuel_cons!AB23*_xlfn.XLOOKUP($B99,efs!$A$74:$A$84,efs!$C$74:$C$84,0,0)</f>
        <v>0</v>
      </c>
      <c r="AC99" s="113">
        <f>NICCS_Fuel_cons!AC23*_xlfn.XLOOKUP($B99,efs!$A$74:$A$84,efs!$C$74:$C$84,0,0)</f>
        <v>0</v>
      </c>
      <c r="AD99" s="113">
        <f>NICCS_Fuel_cons!AD23*_xlfn.XLOOKUP($B99,efs!$A$74:$A$84,efs!$C$74:$C$84,0,0)</f>
        <v>0</v>
      </c>
      <c r="AE99" s="113">
        <f>NICCS_Fuel_cons!AE23*_xlfn.XLOOKUP($B99,efs!$A$74:$A$84,efs!$C$74:$C$84,0,0)</f>
        <v>0</v>
      </c>
      <c r="AF99" s="113">
        <f>NICCS_Fuel_cons!AF23*_xlfn.XLOOKUP($B99,efs!$A$74:$A$84,efs!$C$74:$C$84,0,0)</f>
        <v>0</v>
      </c>
      <c r="AG99" s="113">
        <f>NICCS_Fuel_cons!AG23*_xlfn.XLOOKUP($B99,efs!$A$74:$A$84,efs!$C$74:$C$84,0,0)</f>
        <v>0</v>
      </c>
      <c r="AH99" s="113">
        <f>NICCS_Fuel_cons!AH23*_xlfn.XLOOKUP($B99,efs!$A$74:$A$84,efs!$C$74:$C$84,0,0)</f>
        <v>0</v>
      </c>
      <c r="AI99" s="113">
        <f>NICCS_Fuel_cons!AI23*_xlfn.XLOOKUP($B99,efs!$A$74:$A$84,efs!$C$74:$C$84,0,0)</f>
        <v>0</v>
      </c>
      <c r="AJ99" s="114">
        <f>NICCS_Fuel_cons!AJ23*_xlfn.XLOOKUP($B99,efs!$A$74:$A$84,efs!$C$74:$C$84,0,0)</f>
        <v>0</v>
      </c>
      <c r="AK99" s="55"/>
    </row>
    <row r="100" spans="1:37">
      <c r="A100" s="29" t="s">
        <v>19</v>
      </c>
      <c r="B100" s="29" t="s">
        <v>36</v>
      </c>
      <c r="C100" s="88" t="s">
        <v>53</v>
      </c>
      <c r="D100" s="89" t="s">
        <v>122</v>
      </c>
      <c r="E100" s="107">
        <f>NICCS_Fuel_cons!E24*_xlfn.XLOOKUP($B100,efs!$A$74:$A$84,efs!$C$74:$C$84,0,0)</f>
        <v>340.28524460211815</v>
      </c>
      <c r="F100" s="108">
        <f>NICCS_Fuel_cons!F24*_xlfn.XLOOKUP($B100,efs!$A$74:$A$84,efs!$C$74:$C$84,0,0)</f>
        <v>341.01537223395741</v>
      </c>
      <c r="G100" s="108">
        <f>NICCS_Fuel_cons!G24*_xlfn.XLOOKUP($B100,efs!$A$74:$A$84,efs!$C$74:$C$84,0,0)</f>
        <v>340.96851590003774</v>
      </c>
      <c r="H100" s="108">
        <f>NICCS_Fuel_cons!H24*_xlfn.XLOOKUP($B100,efs!$A$74:$A$84,efs!$C$74:$C$84,0,0)</f>
        <v>340.08403357233556</v>
      </c>
      <c r="I100" s="108">
        <f>NICCS_Fuel_cons!I24*_xlfn.XLOOKUP($B100,efs!$A$74:$A$84,efs!$C$74:$C$84,0,0)</f>
        <v>338.29420188980339</v>
      </c>
      <c r="J100" s="108">
        <f>NICCS_Fuel_cons!J24*_xlfn.XLOOKUP($B100,efs!$A$74:$A$84,efs!$C$74:$C$84,0,0)</f>
        <v>335.52911252799748</v>
      </c>
      <c r="K100" s="108">
        <f>NICCS_Fuel_cons!K24*_xlfn.XLOOKUP($B100,efs!$A$74:$A$84,efs!$C$74:$C$84,0,0)</f>
        <v>336.29643287272893</v>
      </c>
      <c r="L100" s="108">
        <f>NICCS_Fuel_cons!L24*_xlfn.XLOOKUP($B100,efs!$A$74:$A$84,efs!$C$74:$C$84,0,0)</f>
        <v>326.99407922205569</v>
      </c>
      <c r="M100" s="108">
        <f>NICCS_Fuel_cons!M24*_xlfn.XLOOKUP($B100,efs!$A$74:$A$84,efs!$C$74:$C$84,0,0)</f>
        <v>316.1444197055078</v>
      </c>
      <c r="N100" s="108">
        <f>NICCS_Fuel_cons!N24*_xlfn.XLOOKUP($B100,efs!$A$74:$A$84,efs!$C$74:$C$84,0,0)</f>
        <v>303.66393019541408</v>
      </c>
      <c r="O100" s="108">
        <f>NICCS_Fuel_cons!O24*_xlfn.XLOOKUP($B100,efs!$A$74:$A$84,efs!$C$74:$C$84,0,0)</f>
        <v>289.46969291910517</v>
      </c>
      <c r="P100" s="108">
        <f>NICCS_Fuel_cons!P24*_xlfn.XLOOKUP($B100,efs!$A$74:$A$84,efs!$C$74:$C$84,0,0)</f>
        <v>273.48241124918997</v>
      </c>
      <c r="Q100" s="108">
        <f>NICCS_Fuel_cons!Q24*_xlfn.XLOOKUP($B100,efs!$A$74:$A$84,efs!$C$74:$C$84,0,0)</f>
        <v>255.62629590583811</v>
      </c>
      <c r="R100" s="108">
        <f>NICCS_Fuel_cons!R24*_xlfn.XLOOKUP($B100,efs!$A$74:$A$84,efs!$C$74:$C$84,0,0)</f>
        <v>235.82900890715743</v>
      </c>
      <c r="S100" s="108">
        <f>NICCS_Fuel_cons!S24*_xlfn.XLOOKUP($B100,efs!$A$74:$A$84,efs!$C$74:$C$84,0,0)</f>
        <v>214.01916851177734</v>
      </c>
      <c r="T100" s="108">
        <f>NICCS_Fuel_cons!T24*_xlfn.XLOOKUP($B100,efs!$A$74:$A$84,efs!$C$74:$C$84,0,0)</f>
        <v>190.12553565009256</v>
      </c>
      <c r="U100" s="108">
        <f>NICCS_Fuel_cons!U24*_xlfn.XLOOKUP($B100,efs!$A$74:$A$84,efs!$C$74:$C$84,0,0)</f>
        <v>164.13841373749111</v>
      </c>
      <c r="V100" s="108">
        <f>NICCS_Fuel_cons!V24*_xlfn.XLOOKUP($B100,efs!$A$74:$A$84,efs!$C$74:$C$84,0,0)</f>
        <v>135.9710702300587</v>
      </c>
      <c r="W100" s="108">
        <f>NICCS_Fuel_cons!W24*_xlfn.XLOOKUP($B100,efs!$A$74:$A$84,efs!$C$74:$C$84,0,0)</f>
        <v>105.54825596250431</v>
      </c>
      <c r="X100" s="108">
        <f>NICCS_Fuel_cons!X24*_xlfn.XLOOKUP($B100,efs!$A$74:$A$84,efs!$C$74:$C$84,0,0)</f>
        <v>72.795571006234525</v>
      </c>
      <c r="Y100" s="108">
        <f>NICCS_Fuel_cons!Y24*_xlfn.XLOOKUP($B100,efs!$A$74:$A$84,efs!$C$74:$C$84,0,0)</f>
        <v>37.638094001323687</v>
      </c>
      <c r="Z100" s="108">
        <f>NICCS_Fuel_cons!Z24*_xlfn.XLOOKUP($B100,efs!$A$74:$A$84,efs!$C$74:$C$84,0,0)</f>
        <v>0</v>
      </c>
      <c r="AA100" s="108">
        <f>NICCS_Fuel_cons!AA24*_xlfn.XLOOKUP($B100,efs!$A$74:$A$84,efs!$C$74:$C$84,0,0)</f>
        <v>0</v>
      </c>
      <c r="AB100" s="108">
        <f>NICCS_Fuel_cons!AB24*_xlfn.XLOOKUP($B100,efs!$A$74:$A$84,efs!$C$74:$C$84,0,0)</f>
        <v>0</v>
      </c>
      <c r="AC100" s="108">
        <f>NICCS_Fuel_cons!AC24*_xlfn.XLOOKUP($B100,efs!$A$74:$A$84,efs!$C$74:$C$84,0,0)</f>
        <v>0</v>
      </c>
      <c r="AD100" s="108">
        <f>NICCS_Fuel_cons!AD24*_xlfn.XLOOKUP($B100,efs!$A$74:$A$84,efs!$C$74:$C$84,0,0)</f>
        <v>0</v>
      </c>
      <c r="AE100" s="108">
        <f>NICCS_Fuel_cons!AE24*_xlfn.XLOOKUP($B100,efs!$A$74:$A$84,efs!$C$74:$C$84,0,0)</f>
        <v>0</v>
      </c>
      <c r="AF100" s="108">
        <f>NICCS_Fuel_cons!AF24*_xlfn.XLOOKUP($B100,efs!$A$74:$A$84,efs!$C$74:$C$84,0,0)</f>
        <v>0</v>
      </c>
      <c r="AG100" s="108">
        <f>NICCS_Fuel_cons!AG24*_xlfn.XLOOKUP($B100,efs!$A$74:$A$84,efs!$C$74:$C$84,0,0)</f>
        <v>0</v>
      </c>
      <c r="AH100" s="108">
        <f>NICCS_Fuel_cons!AH24*_xlfn.XLOOKUP($B100,efs!$A$74:$A$84,efs!$C$74:$C$84,0,0)</f>
        <v>0</v>
      </c>
      <c r="AI100" s="108">
        <f>NICCS_Fuel_cons!AI24*_xlfn.XLOOKUP($B100,efs!$A$74:$A$84,efs!$C$74:$C$84,0,0)</f>
        <v>0</v>
      </c>
      <c r="AJ100" s="109">
        <f>NICCS_Fuel_cons!AJ24*_xlfn.XLOOKUP($B100,efs!$A$74:$A$84,efs!$C$74:$C$84,0,0)</f>
        <v>0</v>
      </c>
      <c r="AK100" s="55"/>
    </row>
    <row r="101" spans="1:37">
      <c r="A101" s="4" t="s">
        <v>19</v>
      </c>
      <c r="B101" s="4" t="s">
        <v>8</v>
      </c>
      <c r="C101" s="4" t="s">
        <v>53</v>
      </c>
      <c r="D101" s="91" t="s">
        <v>122</v>
      </c>
      <c r="E101" s="110">
        <f>NICCS_Fuel_cons!E25*_xlfn.XLOOKUP($B101,efs!$A$74:$A$84,efs!$C$74:$C$84,0,0)</f>
        <v>2028.7248949010393</v>
      </c>
      <c r="F101" s="18">
        <f>NICCS_Fuel_cons!F25*_xlfn.XLOOKUP($B101,efs!$A$74:$A$84,efs!$C$74:$C$84,0,0)</f>
        <v>2160.9710290016378</v>
      </c>
      <c r="G101" s="18">
        <f>NICCS_Fuel_cons!G25*_xlfn.XLOOKUP($B101,efs!$A$74:$A$84,efs!$C$74:$C$84,0,0)</f>
        <v>2299.9674764561532</v>
      </c>
      <c r="H101" s="18">
        <f>NICCS_Fuel_cons!H25*_xlfn.XLOOKUP($B101,efs!$A$74:$A$84,efs!$C$74:$C$84,0,0)</f>
        <v>2445.9179214257638</v>
      </c>
      <c r="I101" s="18">
        <f>NICCS_Fuel_cons!I25*_xlfn.XLOOKUP($B101,efs!$A$74:$A$84,efs!$C$74:$C$84,0,0)</f>
        <v>2598.9781250061983</v>
      </c>
      <c r="J101" s="18">
        <f>NICCS_Fuel_cons!J25*_xlfn.XLOOKUP($B101,efs!$A$74:$A$84,efs!$C$74:$C$84,0,0)</f>
        <v>2759.2787040918729</v>
      </c>
      <c r="K101" s="18">
        <f>NICCS_Fuel_cons!K25*_xlfn.XLOOKUP($B101,efs!$A$74:$A$84,efs!$C$74:$C$84,0,0)</f>
        <v>2900.8599597312109</v>
      </c>
      <c r="L101" s="18">
        <f>NICCS_Fuel_cons!L25*_xlfn.XLOOKUP($B101,efs!$A$74:$A$84,efs!$C$74:$C$84,0,0)</f>
        <v>2820.6187719018126</v>
      </c>
      <c r="M101" s="18">
        <f>NICCS_Fuel_cons!M25*_xlfn.XLOOKUP($B101,efs!$A$74:$A$84,efs!$C$74:$C$84,0,0)</f>
        <v>2727.0306758300903</v>
      </c>
      <c r="N101" s="18">
        <f>NICCS_Fuel_cons!N25*_xlfn.XLOOKUP($B101,efs!$A$74:$A$84,efs!$C$74:$C$84,0,0)</f>
        <v>2619.3752006042273</v>
      </c>
      <c r="O101" s="18">
        <f>NICCS_Fuel_cons!O25*_xlfn.XLOOKUP($B101,efs!$A$74:$A$84,efs!$C$74:$C$84,0,0)</f>
        <v>2496.9371056710247</v>
      </c>
      <c r="P101" s="18">
        <f>NICCS_Fuel_cons!P25*_xlfn.XLOOKUP($B101,efs!$A$74:$A$84,efs!$C$74:$C$84,0,0)</f>
        <v>2359.0323861203628</v>
      </c>
      <c r="Q101" s="18">
        <f>NICCS_Fuel_cons!Q25*_xlfn.XLOOKUP($B101,efs!$A$74:$A$84,efs!$C$74:$C$84,0,0)</f>
        <v>2205.007291077281</v>
      </c>
      <c r="R101" s="18">
        <f>NICCS_Fuel_cons!R25*_xlfn.XLOOKUP($B101,efs!$A$74:$A$84,efs!$C$74:$C$84,0,0)</f>
        <v>2034.237840223444</v>
      </c>
      <c r="S101" s="18">
        <f>NICCS_Fuel_cons!S25*_xlfn.XLOOKUP($B101,efs!$A$74:$A$84,efs!$C$74:$C$84,0,0)</f>
        <v>1846.1083016772238</v>
      </c>
      <c r="T101" s="18">
        <f>NICCS_Fuel_cons!T25*_xlfn.XLOOKUP($B101,efs!$A$74:$A$84,efs!$C$74:$C$84,0,0)</f>
        <v>1640.0041742296087</v>
      </c>
      <c r="U101" s="18">
        <f>NICCS_Fuel_cons!U25*_xlfn.XLOOKUP($B101,efs!$A$74:$A$84,efs!$C$74:$C$84,0,0)</f>
        <v>1415.8418160952644</v>
      </c>
      <c r="V101" s="18">
        <f>NICCS_Fuel_cons!V25*_xlfn.XLOOKUP($B101,efs!$A$74:$A$84,efs!$C$74:$C$84,0,0)</f>
        <v>1172.873080879365</v>
      </c>
      <c r="W101" s="18">
        <f>NICCS_Fuel_cons!W25*_xlfn.XLOOKUP($B101,efs!$A$74:$A$84,efs!$C$74:$C$84,0,0)</f>
        <v>910.44887668185288</v>
      </c>
      <c r="X101" s="18">
        <f>NICCS_Fuel_cons!X25*_xlfn.XLOOKUP($B101,efs!$A$74:$A$84,efs!$C$74:$C$84,0,0)</f>
        <v>627.92743703491328</v>
      </c>
      <c r="Y101" s="18">
        <f>NICCS_Fuel_cons!Y25*_xlfn.XLOOKUP($B101,efs!$A$74:$A$84,efs!$C$74:$C$84,0,0)</f>
        <v>324.6624976553349</v>
      </c>
      <c r="Z101" s="18">
        <f>NICCS_Fuel_cons!Z25*_xlfn.XLOOKUP($B101,efs!$A$74:$A$84,efs!$C$74:$C$84,0,0)</f>
        <v>0</v>
      </c>
      <c r="AA101" s="18">
        <f>NICCS_Fuel_cons!AA25*_xlfn.XLOOKUP($B101,efs!$A$74:$A$84,efs!$C$74:$C$84,0,0)</f>
        <v>0</v>
      </c>
      <c r="AB101" s="18">
        <f>NICCS_Fuel_cons!AB25*_xlfn.XLOOKUP($B101,efs!$A$74:$A$84,efs!$C$74:$C$84,0,0)</f>
        <v>0</v>
      </c>
      <c r="AC101" s="18">
        <f>NICCS_Fuel_cons!AC25*_xlfn.XLOOKUP($B101,efs!$A$74:$A$84,efs!$C$74:$C$84,0,0)</f>
        <v>0</v>
      </c>
      <c r="AD101" s="18">
        <f>NICCS_Fuel_cons!AD25*_xlfn.XLOOKUP($B101,efs!$A$74:$A$84,efs!$C$74:$C$84,0,0)</f>
        <v>0</v>
      </c>
      <c r="AE101" s="18">
        <f>NICCS_Fuel_cons!AE25*_xlfn.XLOOKUP($B101,efs!$A$74:$A$84,efs!$C$74:$C$84,0,0)</f>
        <v>0</v>
      </c>
      <c r="AF101" s="18">
        <f>NICCS_Fuel_cons!AF25*_xlfn.XLOOKUP($B101,efs!$A$74:$A$84,efs!$C$74:$C$84,0,0)</f>
        <v>0</v>
      </c>
      <c r="AG101" s="18">
        <f>NICCS_Fuel_cons!AG25*_xlfn.XLOOKUP($B101,efs!$A$74:$A$84,efs!$C$74:$C$84,0,0)</f>
        <v>0</v>
      </c>
      <c r="AH101" s="18">
        <f>NICCS_Fuel_cons!AH25*_xlfn.XLOOKUP($B101,efs!$A$74:$A$84,efs!$C$74:$C$84,0,0)</f>
        <v>0</v>
      </c>
      <c r="AI101" s="18">
        <f>NICCS_Fuel_cons!AI25*_xlfn.XLOOKUP($B101,efs!$A$74:$A$84,efs!$C$74:$C$84,0,0)</f>
        <v>0</v>
      </c>
      <c r="AJ101" s="111">
        <f>NICCS_Fuel_cons!AJ25*_xlfn.XLOOKUP($B101,efs!$A$74:$A$84,efs!$C$74:$C$84,0,0)</f>
        <v>0</v>
      </c>
      <c r="AK101" s="55"/>
    </row>
    <row r="102" spans="1:37">
      <c r="A102" s="4" t="s">
        <v>19</v>
      </c>
      <c r="B102" s="4" t="s">
        <v>37</v>
      </c>
      <c r="C102" s="4" t="s">
        <v>53</v>
      </c>
      <c r="D102" s="91" t="s">
        <v>122</v>
      </c>
      <c r="E102" s="110">
        <f>NICCS_Fuel_cons!E26*_xlfn.XLOOKUP($B102,efs!$A$74:$A$84,efs!$C$74:$C$84,0,0)</f>
        <v>8.3611709225893218</v>
      </c>
      <c r="F102" s="18">
        <f>NICCS_Fuel_cons!F26*_xlfn.XLOOKUP($B102,efs!$A$74:$A$84,efs!$C$74:$C$84,0,0)</f>
        <v>10.336164495059693</v>
      </c>
      <c r="G102" s="18">
        <f>NICCS_Fuel_cons!G26*_xlfn.XLOOKUP($B102,efs!$A$74:$A$84,efs!$C$74:$C$84,0,0)</f>
        <v>12.466245532577897</v>
      </c>
      <c r="H102" s="18">
        <f>NICCS_Fuel_cons!H26*_xlfn.XLOOKUP($B102,efs!$A$74:$A$84,efs!$C$74:$C$84,0,0)</f>
        <v>14.758573161346948</v>
      </c>
      <c r="I102" s="18">
        <f>NICCS_Fuel_cons!I26*_xlfn.XLOOKUP($B102,efs!$A$74:$A$84,efs!$C$74:$C$84,0,0)</f>
        <v>17.22004520750346</v>
      </c>
      <c r="J102" s="18">
        <f>NICCS_Fuel_cons!J26*_xlfn.XLOOKUP($B102,efs!$A$74:$A$84,efs!$C$74:$C$84,0,0)</f>
        <v>19.857320380651338</v>
      </c>
      <c r="K102" s="18">
        <f>NICCS_Fuel_cons!K26*_xlfn.XLOOKUP($B102,efs!$A$74:$A$84,efs!$C$74:$C$84,0,0)</f>
        <v>22.527447255961434</v>
      </c>
      <c r="L102" s="18">
        <f>NICCS_Fuel_cons!L26*_xlfn.XLOOKUP($B102,efs!$A$74:$A$84,efs!$C$74:$C$84,0,0)</f>
        <v>21.904311650770079</v>
      </c>
      <c r="M102" s="18">
        <f>NICCS_Fuel_cons!M26*_xlfn.XLOOKUP($B102,efs!$A$74:$A$84,efs!$C$74:$C$84,0,0)</f>
        <v>21.177526860291287</v>
      </c>
      <c r="N102" s="18">
        <f>NICCS_Fuel_cons!N26*_xlfn.XLOOKUP($B102,efs!$A$74:$A$84,efs!$C$74:$C$84,0,0)</f>
        <v>20.341497864189449</v>
      </c>
      <c r="O102" s="18">
        <f>NICCS_Fuel_cons!O26*_xlfn.XLOOKUP($B102,efs!$A$74:$A$84,efs!$C$74:$C$84,0,0)</f>
        <v>19.390670259955947</v>
      </c>
      <c r="P102" s="18">
        <f>NICCS_Fuel_cons!P26*_xlfn.XLOOKUP($B102,efs!$A$74:$A$84,efs!$C$74:$C$84,0,0)</f>
        <v>18.319732214289811</v>
      </c>
      <c r="Q102" s="18">
        <f>NICCS_Fuel_cons!Q26*_xlfn.XLOOKUP($B102,efs!$A$74:$A$84,efs!$C$74:$C$84,0,0)</f>
        <v>17.123606840144213</v>
      </c>
      <c r="R102" s="18">
        <f>NICCS_Fuel_cons!R26*_xlfn.XLOOKUP($B102,efs!$A$74:$A$84,efs!$C$74:$C$84,0,0)</f>
        <v>15.797448442137386</v>
      </c>
      <c r="S102" s="18">
        <f>NICCS_Fuel_cons!S26*_xlfn.XLOOKUP($B102,efs!$A$74:$A$84,efs!$C$74:$C$84,0,0)</f>
        <v>14.336475380452242</v>
      </c>
      <c r="T102" s="18">
        <f>NICCS_Fuel_cons!T26*_xlfn.XLOOKUP($B102,efs!$A$74:$A$84,efs!$C$74:$C$84,0,0)</f>
        <v>12.735915572407487</v>
      </c>
      <c r="U102" s="18">
        <f>NICCS_Fuel_cons!U26*_xlfn.XLOOKUP($B102,efs!$A$74:$A$84,efs!$C$74:$C$84,0,0)</f>
        <v>10.995119474097635</v>
      </c>
      <c r="V102" s="18">
        <f>NICCS_Fuel_cons!V26*_xlfn.XLOOKUP($B102,efs!$A$74:$A$84,efs!$C$74:$C$84,0,0)</f>
        <v>9.1082771434078769</v>
      </c>
      <c r="W102" s="18">
        <f>NICCS_Fuel_cons!W26*_xlfn.XLOOKUP($B102,efs!$A$74:$A$84,efs!$C$74:$C$84,0,0)</f>
        <v>7.0703478738767558</v>
      </c>
      <c r="X102" s="18">
        <f>NICCS_Fuel_cons!X26*_xlfn.XLOOKUP($B102,efs!$A$74:$A$84,efs!$C$74:$C$84,0,0)</f>
        <v>4.876347846755678</v>
      </c>
      <c r="Y102" s="18">
        <f>NICCS_Fuel_cons!Y26*_xlfn.XLOOKUP($B102,efs!$A$74:$A$84,efs!$C$74:$C$84,0,0)</f>
        <v>2.5212583142403555</v>
      </c>
      <c r="Z102" s="18">
        <f>NICCS_Fuel_cons!Z26*_xlfn.XLOOKUP($B102,efs!$A$74:$A$84,efs!$C$74:$C$84,0,0)</f>
        <v>0</v>
      </c>
      <c r="AA102" s="18">
        <f>NICCS_Fuel_cons!AA26*_xlfn.XLOOKUP($B102,efs!$A$74:$A$84,efs!$C$74:$C$84,0,0)</f>
        <v>0</v>
      </c>
      <c r="AB102" s="18">
        <f>NICCS_Fuel_cons!AB26*_xlfn.XLOOKUP($B102,efs!$A$74:$A$84,efs!$C$74:$C$84,0,0)</f>
        <v>0</v>
      </c>
      <c r="AC102" s="18">
        <f>NICCS_Fuel_cons!AC26*_xlfn.XLOOKUP($B102,efs!$A$74:$A$84,efs!$C$74:$C$84,0,0)</f>
        <v>0</v>
      </c>
      <c r="AD102" s="18">
        <f>NICCS_Fuel_cons!AD26*_xlfn.XLOOKUP($B102,efs!$A$74:$A$84,efs!$C$74:$C$84,0,0)</f>
        <v>0</v>
      </c>
      <c r="AE102" s="18">
        <f>NICCS_Fuel_cons!AE26*_xlfn.XLOOKUP($B102,efs!$A$74:$A$84,efs!$C$74:$C$84,0,0)</f>
        <v>0</v>
      </c>
      <c r="AF102" s="18">
        <f>NICCS_Fuel_cons!AF26*_xlfn.XLOOKUP($B102,efs!$A$74:$A$84,efs!$C$74:$C$84,0,0)</f>
        <v>0</v>
      </c>
      <c r="AG102" s="18">
        <f>NICCS_Fuel_cons!AG26*_xlfn.XLOOKUP($B102,efs!$A$74:$A$84,efs!$C$74:$C$84,0,0)</f>
        <v>0</v>
      </c>
      <c r="AH102" s="18">
        <f>NICCS_Fuel_cons!AH26*_xlfn.XLOOKUP($B102,efs!$A$74:$A$84,efs!$C$74:$C$84,0,0)</f>
        <v>0</v>
      </c>
      <c r="AI102" s="18">
        <f>NICCS_Fuel_cons!AI26*_xlfn.XLOOKUP($B102,efs!$A$74:$A$84,efs!$C$74:$C$84,0,0)</f>
        <v>0</v>
      </c>
      <c r="AJ102" s="111">
        <f>NICCS_Fuel_cons!AJ26*_xlfn.XLOOKUP($B102,efs!$A$74:$A$84,efs!$C$74:$C$84,0,0)</f>
        <v>0</v>
      </c>
      <c r="AK102" s="55"/>
    </row>
    <row r="103" spans="1:37">
      <c r="A103" s="4" t="s">
        <v>19</v>
      </c>
      <c r="B103" s="4" t="s">
        <v>10</v>
      </c>
      <c r="C103" s="4" t="s">
        <v>53</v>
      </c>
      <c r="D103" s="91" t="s">
        <v>122</v>
      </c>
      <c r="E103" s="110">
        <f>NICCS_Fuel_cons!E27*_xlfn.XLOOKUP($B103,efs!$A$74:$A$84,efs!$C$74:$C$84,0,0)</f>
        <v>6.2587253272286336</v>
      </c>
      <c r="F103" s="18">
        <f>NICCS_Fuel_cons!F27*_xlfn.XLOOKUP($B103,efs!$A$74:$A$84,efs!$C$74:$C$84,0,0)</f>
        <v>7.737099876388549</v>
      </c>
      <c r="G103" s="18">
        <f>NICCS_Fuel_cons!G27*_xlfn.XLOOKUP($B103,efs!$A$74:$A$84,efs!$C$74:$C$84,0,0)</f>
        <v>9.3315646065080013</v>
      </c>
      <c r="H103" s="18">
        <f>NICCS_Fuel_cons!H27*_xlfn.XLOOKUP($B103,efs!$A$74:$A$84,efs!$C$74:$C$84,0,0)</f>
        <v>11.04747845653101</v>
      </c>
      <c r="I103" s="18">
        <f>NICCS_Fuel_cons!I27*_xlfn.XLOOKUP($B103,efs!$A$74:$A$84,efs!$C$74:$C$84,0,0)</f>
        <v>12.890004770151226</v>
      </c>
      <c r="J103" s="18">
        <f>NICCS_Fuel_cons!J27*_xlfn.XLOOKUP($B103,efs!$A$74:$A$84,efs!$C$74:$C$84,0,0)</f>
        <v>14.864127901214115</v>
      </c>
      <c r="K103" s="18">
        <f>NICCS_Fuel_cons!K27*_xlfn.XLOOKUP($B103,efs!$A$74:$A$84,efs!$C$74:$C$84,0,0)</f>
        <v>16.862842059331413</v>
      </c>
      <c r="L103" s="18">
        <f>NICCS_Fuel_cons!L27*_xlfn.XLOOKUP($B103,efs!$A$74:$A$84,efs!$C$74:$C$84,0,0)</f>
        <v>35.909511511792502</v>
      </c>
      <c r="M103" s="18">
        <f>NICCS_Fuel_cons!M27*_xlfn.XLOOKUP($B103,efs!$A$74:$A$84,efs!$C$74:$C$84,0,0)</f>
        <v>56.486115716203109</v>
      </c>
      <c r="N103" s="18">
        <f>NICCS_Fuel_cons!N27*_xlfn.XLOOKUP($B103,efs!$A$74:$A$84,efs!$C$74:$C$84,0,0)</f>
        <v>78.649732029960731</v>
      </c>
      <c r="O103" s="18">
        <f>NICCS_Fuel_cons!O27*_xlfn.XLOOKUP($B103,efs!$A$74:$A$84,efs!$C$74:$C$84,0,0)</f>
        <v>102.45455648637682</v>
      </c>
      <c r="P103" s="18">
        <f>NICCS_Fuel_cons!P27*_xlfn.XLOOKUP($B103,efs!$A$74:$A$84,efs!$C$74:$C$84,0,0)</f>
        <v>127.95211172351709</v>
      </c>
      <c r="Q103" s="18">
        <f>NICCS_Fuel_cons!Q27*_xlfn.XLOOKUP($B103,efs!$A$74:$A$84,efs!$C$74:$C$84,0,0)</f>
        <v>155.19127249542737</v>
      </c>
      <c r="R103" s="18">
        <f>NICCS_Fuel_cons!R27*_xlfn.XLOOKUP($B103,efs!$A$74:$A$84,efs!$C$74:$C$84,0,0)</f>
        <v>184.21828840312625</v>
      </c>
      <c r="S103" s="18">
        <f>NICCS_Fuel_cons!S27*_xlfn.XLOOKUP($B103,efs!$A$74:$A$84,efs!$C$74:$C$84,0,0)</f>
        <v>215.07433734896304</v>
      </c>
      <c r="T103" s="18">
        <f>NICCS_Fuel_cons!T27*_xlfn.XLOOKUP($B103,efs!$A$74:$A$84,efs!$C$74:$C$84,0,0)</f>
        <v>247.790864572549</v>
      </c>
      <c r="U103" s="18">
        <f>NICCS_Fuel_cons!U27*_xlfn.XLOOKUP($B103,efs!$A$74:$A$84,efs!$C$74:$C$84,0,0)</f>
        <v>282.48563238639377</v>
      </c>
      <c r="V103" s="18">
        <f>NICCS_Fuel_cons!V27*_xlfn.XLOOKUP($B103,efs!$A$74:$A$84,efs!$C$74:$C$84,0,0)</f>
        <v>319.20570109662901</v>
      </c>
      <c r="W103" s="18">
        <f>NICCS_Fuel_cons!W27*_xlfn.XLOOKUP($B103,efs!$A$74:$A$84,efs!$C$74:$C$84,0,0)</f>
        <v>358.00901422313569</v>
      </c>
      <c r="X103" s="18">
        <f>NICCS_Fuel_cons!X27*_xlfn.XLOOKUP($B103,efs!$A$74:$A$84,efs!$C$74:$C$84,0,0)</f>
        <v>398.95587079156547</v>
      </c>
      <c r="Y103" s="18">
        <f>NICCS_Fuel_cons!Y27*_xlfn.XLOOKUP($B103,efs!$A$74:$A$84,efs!$C$74:$C$84,0,0)</f>
        <v>442.10793711103412</v>
      </c>
      <c r="Z103" s="18">
        <f>NICCS_Fuel_cons!Z27*_xlfn.XLOOKUP($B103,efs!$A$74:$A$84,efs!$C$74:$C$84,0,0)</f>
        <v>487.52652484656966</v>
      </c>
      <c r="AA103" s="18">
        <f>NICCS_Fuel_cons!AA27*_xlfn.XLOOKUP($B103,efs!$A$74:$A$84,efs!$C$74:$C$84,0,0)</f>
        <v>503.7054544094961</v>
      </c>
      <c r="AB103" s="18">
        <f>NICCS_Fuel_cons!AB27*_xlfn.XLOOKUP($B103,efs!$A$74:$A$84,efs!$C$74:$C$84,0,0)</f>
        <v>520.19943809561346</v>
      </c>
      <c r="AC103" s="18">
        <f>NICCS_Fuel_cons!AC27*_xlfn.XLOOKUP($B103,efs!$A$74:$A$84,efs!$C$74:$C$84,0,0)</f>
        <v>537.00704983910248</v>
      </c>
      <c r="AD103" s="18">
        <f>NICCS_Fuel_cons!AD27*_xlfn.XLOOKUP($B103,efs!$A$74:$A$84,efs!$C$74:$C$84,0,0)</f>
        <v>554.12658687480632</v>
      </c>
      <c r="AE103" s="18">
        <f>NICCS_Fuel_cons!AE27*_xlfn.XLOOKUP($B103,efs!$A$74:$A$84,efs!$C$74:$C$84,0,0)</f>
        <v>571.55549505498925</v>
      </c>
      <c r="AF103" s="18">
        <f>NICCS_Fuel_cons!AF27*_xlfn.XLOOKUP($B103,efs!$A$74:$A$84,efs!$C$74:$C$84,0,0)</f>
        <v>589.29021985738586</v>
      </c>
      <c r="AG103" s="18">
        <f>NICCS_Fuel_cons!AG27*_xlfn.XLOOKUP($B103,efs!$A$74:$A$84,efs!$C$74:$C$84,0,0)</f>
        <v>607.32580197847597</v>
      </c>
      <c r="AH103" s="18">
        <f>NICCS_Fuel_cons!AH27*_xlfn.XLOOKUP($B103,efs!$A$74:$A$84,efs!$C$74:$C$84,0,0)</f>
        <v>625.65696284627256</v>
      </c>
      <c r="AI103" s="18">
        <f>NICCS_Fuel_cons!AI27*_xlfn.XLOOKUP($B103,efs!$A$74:$A$84,efs!$C$74:$C$84,0,0)</f>
        <v>644.27701910753422</v>
      </c>
      <c r="AJ103" s="111">
        <f>NICCS_Fuel_cons!AJ27*_xlfn.XLOOKUP($B103,efs!$A$74:$A$84,efs!$C$74:$C$84,0,0)</f>
        <v>663.17894685598822</v>
      </c>
      <c r="AK103" s="55"/>
    </row>
    <row r="104" spans="1:37">
      <c r="A104" s="4" t="s">
        <v>19</v>
      </c>
      <c r="B104" s="4" t="s">
        <v>11</v>
      </c>
      <c r="C104" s="4" t="s">
        <v>53</v>
      </c>
      <c r="D104" s="91" t="s">
        <v>122</v>
      </c>
      <c r="E104" s="110">
        <f>NICCS_Fuel_cons!E28*_xlfn.XLOOKUP($B104,efs!$A$74:$A$84,efs!$C$74:$C$84,0,0)</f>
        <v>0.23198662192599859</v>
      </c>
      <c r="F104" s="18">
        <f>NICCS_Fuel_cons!F28*_xlfn.XLOOKUP($B104,efs!$A$74:$A$84,efs!$C$74:$C$84,0,0)</f>
        <v>0.27342801289293989</v>
      </c>
      <c r="G104" s="18">
        <f>NICCS_Fuel_cons!G28*_xlfn.XLOOKUP($B104,efs!$A$74:$A$84,efs!$C$74:$C$84,0,0)</f>
        <v>0.31798370621221428</v>
      </c>
      <c r="H104" s="18">
        <f>NICCS_Fuel_cons!H28*_xlfn.XLOOKUP($B104,efs!$A$74:$A$84,efs!$C$74:$C$84,0,0)</f>
        <v>0.36579330938630517</v>
      </c>
      <c r="I104" s="18">
        <f>NICCS_Fuel_cons!I28*_xlfn.XLOOKUP($B104,efs!$A$74:$A$84,efs!$C$74:$C$84,0,0)</f>
        <v>0.41698977578238811</v>
      </c>
      <c r="J104" s="18">
        <f>NICCS_Fuel_cons!J28*_xlfn.XLOOKUP($B104,efs!$A$74:$A$84,efs!$C$74:$C$84,0,0)</f>
        <v>0.47170068980238478</v>
      </c>
      <c r="K104" s="18">
        <f>NICCS_Fuel_cons!K28*_xlfn.XLOOKUP($B104,efs!$A$74:$A$84,efs!$C$74:$C$84,0,0)</f>
        <v>0.47277942044719296</v>
      </c>
      <c r="L104" s="18">
        <f>NICCS_Fuel_cons!L28*_xlfn.XLOOKUP($B104,efs!$A$74:$A$84,efs!$C$74:$C$84,0,0)</f>
        <v>2.4547479384018076</v>
      </c>
      <c r="M104" s="18">
        <f>NICCS_Fuel_cons!M28*_xlfn.XLOOKUP($B104,efs!$A$74:$A$84,efs!$C$74:$C$84,0,0)</f>
        <v>4.5988962140505327</v>
      </c>
      <c r="N104" s="18">
        <f>NICCS_Fuel_cons!N28*_xlfn.XLOOKUP($B104,efs!$A$74:$A$84,efs!$C$74:$C$84,0,0)</f>
        <v>6.9113706886686108</v>
      </c>
      <c r="O104" s="18">
        <f>NICCS_Fuel_cons!O28*_xlfn.XLOOKUP($B104,efs!$A$74:$A$84,efs!$C$74:$C$84,0,0)</f>
        <v>9.3980209570920454</v>
      </c>
      <c r="P104" s="18">
        <f>NICCS_Fuel_cons!P28*_xlfn.XLOOKUP($B104,efs!$A$74:$A$84,efs!$C$74:$C$84,0,0)</f>
        <v>12.064409809131382</v>
      </c>
      <c r="Q104" s="18">
        <f>NICCS_Fuel_cons!Q28*_xlfn.XLOOKUP($B104,efs!$A$74:$A$84,efs!$C$74:$C$84,0,0)</f>
        <v>14.915816261293539</v>
      </c>
      <c r="R104" s="18">
        <f>NICCS_Fuel_cons!R28*_xlfn.XLOOKUP($B104,efs!$A$74:$A$84,efs!$C$74:$C$84,0,0)</f>
        <v>17.95723808937861</v>
      </c>
      <c r="S104" s="18">
        <f>NICCS_Fuel_cons!S28*_xlfn.XLOOKUP($B104,efs!$A$74:$A$84,efs!$C$74:$C$84,0,0)</f>
        <v>21.193150974156104</v>
      </c>
      <c r="T104" s="18">
        <f>NICCS_Fuel_cons!T28*_xlfn.XLOOKUP($B104,efs!$A$74:$A$84,efs!$C$74:$C$84,0,0)</f>
        <v>24.627034985517355</v>
      </c>
      <c r="U104" s="18">
        <f>NICCS_Fuel_cons!U28*_xlfn.XLOOKUP($B104,efs!$A$74:$A$84,efs!$C$74:$C$84,0,0)</f>
        <v>28.270966373821341</v>
      </c>
      <c r="V104" s="18">
        <f>NICCS_Fuel_cons!V28*_xlfn.XLOOKUP($B104,efs!$A$74:$A$84,efs!$C$74:$C$84,0,0)</f>
        <v>32.130079362018201</v>
      </c>
      <c r="W104" s="18">
        <f>NICCS_Fuel_cons!W28*_xlfn.XLOOKUP($B104,efs!$A$74:$A$84,efs!$C$74:$C$84,0,0)</f>
        <v>36.210578159288652</v>
      </c>
      <c r="X104" s="18">
        <f>NICCS_Fuel_cons!X28*_xlfn.XLOOKUP($B104,efs!$A$74:$A$84,efs!$C$74:$C$84,0,0)</f>
        <v>40.518904644909838</v>
      </c>
      <c r="Y104" s="18">
        <f>NICCS_Fuel_cons!Y28*_xlfn.XLOOKUP($B104,efs!$A$74:$A$84,efs!$C$74:$C$84,0,0)</f>
        <v>45.061642431141543</v>
      </c>
      <c r="Z104" s="18">
        <f>NICCS_Fuel_cons!Z28*_xlfn.XLOOKUP($B104,efs!$A$74:$A$84,efs!$C$74:$C$84,0,0)</f>
        <v>49.845342233063519</v>
      </c>
      <c r="AA104" s="18">
        <f>NICCS_Fuel_cons!AA28*_xlfn.XLOOKUP($B104,efs!$A$74:$A$84,efs!$C$74:$C$84,0,0)</f>
        <v>51.499496909637266</v>
      </c>
      <c r="AB104" s="18">
        <f>NICCS_Fuel_cons!AB28*_xlfn.XLOOKUP($B104,efs!$A$74:$A$84,efs!$C$74:$C$84,0,0)</f>
        <v>53.185863127105804</v>
      </c>
      <c r="AC104" s="18">
        <f>NICCS_Fuel_cons!AC28*_xlfn.XLOOKUP($B104,efs!$A$74:$A$84,efs!$C$74:$C$84,0,0)</f>
        <v>54.90429508265597</v>
      </c>
      <c r="AD104" s="18">
        <f>NICCS_Fuel_cons!AD28*_xlfn.XLOOKUP($B104,efs!$A$74:$A$84,efs!$C$74:$C$84,0,0)</f>
        <v>56.654618683376604</v>
      </c>
      <c r="AE104" s="18">
        <f>NICCS_Fuel_cons!AE28*_xlfn.XLOOKUP($B104,efs!$A$74:$A$84,efs!$C$74:$C$84,0,0)</f>
        <v>58.436572789900879</v>
      </c>
      <c r="AF104" s="18">
        <f>NICCS_Fuel_cons!AF28*_xlfn.XLOOKUP($B104,efs!$A$74:$A$84,efs!$C$74:$C$84,0,0)</f>
        <v>60.249793983276689</v>
      </c>
      <c r="AG104" s="18">
        <f>NICCS_Fuel_cons!AG28*_xlfn.XLOOKUP($B104,efs!$A$74:$A$84,efs!$C$74:$C$84,0,0)</f>
        <v>62.093775217900131</v>
      </c>
      <c r="AH104" s="18">
        <f>NICCS_Fuel_cons!AH28*_xlfn.XLOOKUP($B104,efs!$A$74:$A$84,efs!$C$74:$C$84,0,0)</f>
        <v>63.967976805746517</v>
      </c>
      <c r="AI104" s="18">
        <f>NICCS_Fuel_cons!AI28*_xlfn.XLOOKUP($B104,efs!$A$74:$A$84,efs!$C$74:$C$84,0,0)</f>
        <v>65.871715432139354</v>
      </c>
      <c r="AJ104" s="111">
        <f>NICCS_Fuel_cons!AJ28*_xlfn.XLOOKUP($B104,efs!$A$74:$A$84,efs!$C$74:$C$84,0,0)</f>
        <v>67.804272963819997</v>
      </c>
      <c r="AK104" s="55"/>
    </row>
    <row r="105" spans="1:37">
      <c r="A105" s="4" t="s">
        <v>19</v>
      </c>
      <c r="B105" s="4" t="s">
        <v>12</v>
      </c>
      <c r="C105" s="4" t="s">
        <v>53</v>
      </c>
      <c r="D105" s="91" t="s">
        <v>122</v>
      </c>
      <c r="E105" s="110">
        <f>NICCS_Fuel_cons!E29*_xlfn.XLOOKUP($B105,efs!$A$74:$A$84,efs!$C$74:$C$84,0,0)</f>
        <v>2.3493047670423716E-2</v>
      </c>
      <c r="F105" s="18">
        <f>NICCS_Fuel_cons!F29*_xlfn.XLOOKUP($B105,efs!$A$74:$A$84,efs!$C$74:$C$84,0,0)</f>
        <v>1.9288976149541292E-2</v>
      </c>
      <c r="G105" s="18">
        <f>NICCS_Fuel_cons!G29*_xlfn.XLOOKUP($B105,efs!$A$74:$A$84,efs!$C$74:$C$84,0,0)</f>
        <v>1.465261136330427E-2</v>
      </c>
      <c r="H105" s="18">
        <f>NICCS_Fuel_cons!H29*_xlfn.XLOOKUP($B105,efs!$A$74:$A$84,efs!$C$74:$C$84,0,0)</f>
        <v>9.5609640311614275E-3</v>
      </c>
      <c r="I105" s="18">
        <f>NICCS_Fuel_cons!I29*_xlfn.XLOOKUP($B105,efs!$A$74:$A$84,efs!$C$74:$C$84,0,0)</f>
        <v>3.9907457747725564E-3</v>
      </c>
      <c r="J105" s="18">
        <f>NICCS_Fuel_cons!J29*_xlfn.XLOOKUP($B105,efs!$A$74:$A$84,efs!$C$74:$C$84,0,0)</f>
        <v>0</v>
      </c>
      <c r="K105" s="18">
        <f>NICCS_Fuel_cons!K29*_xlfn.XLOOKUP($B105,efs!$A$74:$A$84,efs!$C$74:$C$84,0,0)</f>
        <v>0</v>
      </c>
      <c r="L105" s="18">
        <f>NICCS_Fuel_cons!L29*_xlfn.XLOOKUP($B105,efs!$A$74:$A$84,efs!$C$74:$C$84,0,0)</f>
        <v>0</v>
      </c>
      <c r="M105" s="18">
        <f>NICCS_Fuel_cons!M29*_xlfn.XLOOKUP($B105,efs!$A$74:$A$84,efs!$C$74:$C$84,0,0)</f>
        <v>0</v>
      </c>
      <c r="N105" s="18">
        <f>NICCS_Fuel_cons!N29*_xlfn.XLOOKUP($B105,efs!$A$74:$A$84,efs!$C$74:$C$84,0,0)</f>
        <v>0</v>
      </c>
      <c r="O105" s="18">
        <f>NICCS_Fuel_cons!O29*_xlfn.XLOOKUP($B105,efs!$A$74:$A$84,efs!$C$74:$C$84,0,0)</f>
        <v>0</v>
      </c>
      <c r="P105" s="18">
        <f>NICCS_Fuel_cons!P29*_xlfn.XLOOKUP($B105,efs!$A$74:$A$84,efs!$C$74:$C$84,0,0)</f>
        <v>0</v>
      </c>
      <c r="Q105" s="18">
        <f>NICCS_Fuel_cons!Q29*_xlfn.XLOOKUP($B105,efs!$A$74:$A$84,efs!$C$74:$C$84,0,0)</f>
        <v>0</v>
      </c>
      <c r="R105" s="18">
        <f>NICCS_Fuel_cons!R29*_xlfn.XLOOKUP($B105,efs!$A$74:$A$84,efs!$C$74:$C$84,0,0)</f>
        <v>0</v>
      </c>
      <c r="S105" s="18">
        <f>NICCS_Fuel_cons!S29*_xlfn.XLOOKUP($B105,efs!$A$74:$A$84,efs!$C$74:$C$84,0,0)</f>
        <v>0</v>
      </c>
      <c r="T105" s="18">
        <f>NICCS_Fuel_cons!T29*_xlfn.XLOOKUP($B105,efs!$A$74:$A$84,efs!$C$74:$C$84,0,0)</f>
        <v>0</v>
      </c>
      <c r="U105" s="18">
        <f>NICCS_Fuel_cons!U29*_xlfn.XLOOKUP($B105,efs!$A$74:$A$84,efs!$C$74:$C$84,0,0)</f>
        <v>0</v>
      </c>
      <c r="V105" s="18">
        <f>NICCS_Fuel_cons!V29*_xlfn.XLOOKUP($B105,efs!$A$74:$A$84,efs!$C$74:$C$84,0,0)</f>
        <v>0</v>
      </c>
      <c r="W105" s="18">
        <f>NICCS_Fuel_cons!W29*_xlfn.XLOOKUP($B105,efs!$A$74:$A$84,efs!$C$74:$C$84,0,0)</f>
        <v>0</v>
      </c>
      <c r="X105" s="18">
        <f>NICCS_Fuel_cons!X29*_xlfn.XLOOKUP($B105,efs!$A$74:$A$84,efs!$C$74:$C$84,0,0)</f>
        <v>0</v>
      </c>
      <c r="Y105" s="18">
        <f>NICCS_Fuel_cons!Y29*_xlfn.XLOOKUP($B105,efs!$A$74:$A$84,efs!$C$74:$C$84,0,0)</f>
        <v>0</v>
      </c>
      <c r="Z105" s="18">
        <f>NICCS_Fuel_cons!Z29*_xlfn.XLOOKUP($B105,efs!$A$74:$A$84,efs!$C$74:$C$84,0,0)</f>
        <v>0</v>
      </c>
      <c r="AA105" s="18">
        <f>NICCS_Fuel_cons!AA29*_xlfn.XLOOKUP($B105,efs!$A$74:$A$84,efs!$C$74:$C$84,0,0)</f>
        <v>0</v>
      </c>
      <c r="AB105" s="18">
        <f>NICCS_Fuel_cons!AB29*_xlfn.XLOOKUP($B105,efs!$A$74:$A$84,efs!$C$74:$C$84,0,0)</f>
        <v>0</v>
      </c>
      <c r="AC105" s="18">
        <f>NICCS_Fuel_cons!AC29*_xlfn.XLOOKUP($B105,efs!$A$74:$A$84,efs!$C$74:$C$84,0,0)</f>
        <v>0</v>
      </c>
      <c r="AD105" s="18">
        <f>NICCS_Fuel_cons!AD29*_xlfn.XLOOKUP($B105,efs!$A$74:$A$84,efs!$C$74:$C$84,0,0)</f>
        <v>0</v>
      </c>
      <c r="AE105" s="18">
        <f>NICCS_Fuel_cons!AE29*_xlfn.XLOOKUP($B105,efs!$A$74:$A$84,efs!$C$74:$C$84,0,0)</f>
        <v>0</v>
      </c>
      <c r="AF105" s="18">
        <f>NICCS_Fuel_cons!AF29*_xlfn.XLOOKUP($B105,efs!$A$74:$A$84,efs!$C$74:$C$84,0,0)</f>
        <v>0</v>
      </c>
      <c r="AG105" s="18">
        <f>NICCS_Fuel_cons!AG29*_xlfn.XLOOKUP($B105,efs!$A$74:$A$84,efs!$C$74:$C$84,0,0)</f>
        <v>0</v>
      </c>
      <c r="AH105" s="18">
        <f>NICCS_Fuel_cons!AH29*_xlfn.XLOOKUP($B105,efs!$A$74:$A$84,efs!$C$74:$C$84,0,0)</f>
        <v>0</v>
      </c>
      <c r="AI105" s="18">
        <f>NICCS_Fuel_cons!AI29*_xlfn.XLOOKUP($B105,efs!$A$74:$A$84,efs!$C$74:$C$84,0,0)</f>
        <v>0</v>
      </c>
      <c r="AJ105" s="111">
        <f>NICCS_Fuel_cons!AJ29*_xlfn.XLOOKUP($B105,efs!$A$74:$A$84,efs!$C$74:$C$84,0,0)</f>
        <v>0</v>
      </c>
      <c r="AK105" s="55"/>
    </row>
    <row r="106" spans="1:37">
      <c r="A106" s="4" t="s">
        <v>19</v>
      </c>
      <c r="B106" s="4" t="s">
        <v>13</v>
      </c>
      <c r="C106" s="4" t="s">
        <v>53</v>
      </c>
      <c r="D106" s="91" t="s">
        <v>122</v>
      </c>
      <c r="E106" s="110">
        <f>NICCS_Fuel_cons!E30*_xlfn.XLOOKUP($B106,efs!$A$74:$A$84,efs!$C$74:$C$84,0,0)</f>
        <v>0</v>
      </c>
      <c r="F106" s="18">
        <f>NICCS_Fuel_cons!F30*_xlfn.XLOOKUP($B106,efs!$A$74:$A$84,efs!$C$74:$C$84,0,0)</f>
        <v>0</v>
      </c>
      <c r="G106" s="18">
        <f>NICCS_Fuel_cons!G30*_xlfn.XLOOKUP($B106,efs!$A$74:$A$84,efs!$C$74:$C$84,0,0)</f>
        <v>0</v>
      </c>
      <c r="H106" s="18">
        <f>NICCS_Fuel_cons!H30*_xlfn.XLOOKUP($B106,efs!$A$74:$A$84,efs!$C$74:$C$84,0,0)</f>
        <v>0</v>
      </c>
      <c r="I106" s="18">
        <f>NICCS_Fuel_cons!I30*_xlfn.XLOOKUP($B106,efs!$A$74:$A$84,efs!$C$74:$C$84,0,0)</f>
        <v>0</v>
      </c>
      <c r="J106" s="18">
        <f>NICCS_Fuel_cons!J30*_xlfn.XLOOKUP($B106,efs!$A$74:$A$84,efs!$C$74:$C$84,0,0)</f>
        <v>0</v>
      </c>
      <c r="K106" s="18">
        <f>NICCS_Fuel_cons!K30*_xlfn.XLOOKUP($B106,efs!$A$74:$A$84,efs!$C$74:$C$84,0,0)</f>
        <v>0</v>
      </c>
      <c r="L106" s="18">
        <f>NICCS_Fuel_cons!L30*_xlfn.XLOOKUP($B106,efs!$A$74:$A$84,efs!$C$74:$C$84,0,0)</f>
        <v>0</v>
      </c>
      <c r="M106" s="18">
        <f>NICCS_Fuel_cons!M30*_xlfn.XLOOKUP($B106,efs!$A$74:$A$84,efs!$C$74:$C$84,0,0)</f>
        <v>0</v>
      </c>
      <c r="N106" s="18">
        <f>NICCS_Fuel_cons!N30*_xlfn.XLOOKUP($B106,efs!$A$74:$A$84,efs!$C$74:$C$84,0,0)</f>
        <v>0</v>
      </c>
      <c r="O106" s="18">
        <f>NICCS_Fuel_cons!O30*_xlfn.XLOOKUP($B106,efs!$A$74:$A$84,efs!$C$74:$C$84,0,0)</f>
        <v>0</v>
      </c>
      <c r="P106" s="18">
        <f>NICCS_Fuel_cons!P30*_xlfn.XLOOKUP($B106,efs!$A$74:$A$84,efs!$C$74:$C$84,0,0)</f>
        <v>0</v>
      </c>
      <c r="Q106" s="18">
        <f>NICCS_Fuel_cons!Q30*_xlfn.XLOOKUP($B106,efs!$A$74:$A$84,efs!$C$74:$C$84,0,0)</f>
        <v>0</v>
      </c>
      <c r="R106" s="18">
        <f>NICCS_Fuel_cons!R30*_xlfn.XLOOKUP($B106,efs!$A$74:$A$84,efs!$C$74:$C$84,0,0)</f>
        <v>0</v>
      </c>
      <c r="S106" s="18">
        <f>NICCS_Fuel_cons!S30*_xlfn.XLOOKUP($B106,efs!$A$74:$A$84,efs!$C$74:$C$84,0,0)</f>
        <v>0</v>
      </c>
      <c r="T106" s="18">
        <f>NICCS_Fuel_cons!T30*_xlfn.XLOOKUP($B106,efs!$A$74:$A$84,efs!$C$74:$C$84,0,0)</f>
        <v>0</v>
      </c>
      <c r="U106" s="18">
        <f>NICCS_Fuel_cons!U30*_xlfn.XLOOKUP($B106,efs!$A$74:$A$84,efs!$C$74:$C$84,0,0)</f>
        <v>0</v>
      </c>
      <c r="V106" s="18">
        <f>NICCS_Fuel_cons!V30*_xlfn.XLOOKUP($B106,efs!$A$74:$A$84,efs!$C$74:$C$84,0,0)</f>
        <v>0</v>
      </c>
      <c r="W106" s="18">
        <f>NICCS_Fuel_cons!W30*_xlfn.XLOOKUP($B106,efs!$A$74:$A$84,efs!$C$74:$C$84,0,0)</f>
        <v>0</v>
      </c>
      <c r="X106" s="18">
        <f>NICCS_Fuel_cons!X30*_xlfn.XLOOKUP($B106,efs!$A$74:$A$84,efs!$C$74:$C$84,0,0)</f>
        <v>0</v>
      </c>
      <c r="Y106" s="18">
        <f>NICCS_Fuel_cons!Y30*_xlfn.XLOOKUP($B106,efs!$A$74:$A$84,efs!$C$74:$C$84,0,0)</f>
        <v>0</v>
      </c>
      <c r="Z106" s="18">
        <f>NICCS_Fuel_cons!Z30*_xlfn.XLOOKUP($B106,efs!$A$74:$A$84,efs!$C$74:$C$84,0,0)</f>
        <v>0</v>
      </c>
      <c r="AA106" s="18">
        <f>NICCS_Fuel_cons!AA30*_xlfn.XLOOKUP($B106,efs!$A$74:$A$84,efs!$C$74:$C$84,0,0)</f>
        <v>0</v>
      </c>
      <c r="AB106" s="18">
        <f>NICCS_Fuel_cons!AB30*_xlfn.XLOOKUP($B106,efs!$A$74:$A$84,efs!$C$74:$C$84,0,0)</f>
        <v>0</v>
      </c>
      <c r="AC106" s="18">
        <f>NICCS_Fuel_cons!AC30*_xlfn.XLOOKUP($B106,efs!$A$74:$A$84,efs!$C$74:$C$84,0,0)</f>
        <v>0</v>
      </c>
      <c r="AD106" s="18">
        <f>NICCS_Fuel_cons!AD30*_xlfn.XLOOKUP($B106,efs!$A$74:$A$84,efs!$C$74:$C$84,0,0)</f>
        <v>0</v>
      </c>
      <c r="AE106" s="18">
        <f>NICCS_Fuel_cons!AE30*_xlfn.XLOOKUP($B106,efs!$A$74:$A$84,efs!$C$74:$C$84,0,0)</f>
        <v>0</v>
      </c>
      <c r="AF106" s="18">
        <f>NICCS_Fuel_cons!AF30*_xlfn.XLOOKUP($B106,efs!$A$74:$A$84,efs!$C$74:$C$84,0,0)</f>
        <v>0</v>
      </c>
      <c r="AG106" s="18">
        <f>NICCS_Fuel_cons!AG30*_xlfn.XLOOKUP($B106,efs!$A$74:$A$84,efs!$C$74:$C$84,0,0)</f>
        <v>0</v>
      </c>
      <c r="AH106" s="18">
        <f>NICCS_Fuel_cons!AH30*_xlfn.XLOOKUP($B106,efs!$A$74:$A$84,efs!$C$74:$C$84,0,0)</f>
        <v>0</v>
      </c>
      <c r="AI106" s="18">
        <f>NICCS_Fuel_cons!AI30*_xlfn.XLOOKUP($B106,efs!$A$74:$A$84,efs!$C$74:$C$84,0,0)</f>
        <v>0</v>
      </c>
      <c r="AJ106" s="111">
        <f>NICCS_Fuel_cons!AJ30*_xlfn.XLOOKUP($B106,efs!$A$74:$A$84,efs!$C$74:$C$84,0,0)</f>
        <v>0</v>
      </c>
      <c r="AK106" s="55"/>
    </row>
    <row r="107" spans="1:37">
      <c r="A107" s="4" t="s">
        <v>19</v>
      </c>
      <c r="B107" s="4" t="s">
        <v>14</v>
      </c>
      <c r="C107" s="4" t="s">
        <v>53</v>
      </c>
      <c r="D107" s="91" t="s">
        <v>122</v>
      </c>
      <c r="E107" s="110">
        <f>NICCS_Fuel_cons!E31*_xlfn.XLOOKUP($B107,efs!$A$74:$A$84,efs!$C$74:$C$84,0,0)</f>
        <v>0</v>
      </c>
      <c r="F107" s="18">
        <f>NICCS_Fuel_cons!F31*_xlfn.XLOOKUP($B107,efs!$A$74:$A$84,efs!$C$74:$C$84,0,0)</f>
        <v>0</v>
      </c>
      <c r="G107" s="18">
        <f>NICCS_Fuel_cons!G31*_xlfn.XLOOKUP($B107,efs!$A$74:$A$84,efs!$C$74:$C$84,0,0)</f>
        <v>0</v>
      </c>
      <c r="H107" s="18">
        <f>NICCS_Fuel_cons!H31*_xlfn.XLOOKUP($B107,efs!$A$74:$A$84,efs!$C$74:$C$84,0,0)</f>
        <v>0</v>
      </c>
      <c r="I107" s="18">
        <f>NICCS_Fuel_cons!I31*_xlfn.XLOOKUP($B107,efs!$A$74:$A$84,efs!$C$74:$C$84,0,0)</f>
        <v>0</v>
      </c>
      <c r="J107" s="18">
        <f>NICCS_Fuel_cons!J31*_xlfn.XLOOKUP($B107,efs!$A$74:$A$84,efs!$C$74:$C$84,0,0)</f>
        <v>0</v>
      </c>
      <c r="K107" s="18">
        <f>NICCS_Fuel_cons!K31*_xlfn.XLOOKUP($B107,efs!$A$74:$A$84,efs!$C$74:$C$84,0,0)</f>
        <v>0</v>
      </c>
      <c r="L107" s="18">
        <f>NICCS_Fuel_cons!L31*_xlfn.XLOOKUP($B107,efs!$A$74:$A$84,efs!$C$74:$C$84,0,0)</f>
        <v>1.3641922715684538</v>
      </c>
      <c r="M107" s="18">
        <f>NICCS_Fuel_cons!M31*_xlfn.XLOOKUP($B107,efs!$A$74:$A$84,efs!$C$74:$C$84,0,0)</f>
        <v>2.84076883745663</v>
      </c>
      <c r="N107" s="18">
        <f>NICCS_Fuel_cons!N31*_xlfn.XLOOKUP($B107,efs!$A$74:$A$84,efs!$C$74:$C$84,0,0)</f>
        <v>4.4340128634525033</v>
      </c>
      <c r="O107" s="18">
        <f>NICCS_Fuel_cons!O31*_xlfn.XLOOKUP($B107,efs!$A$74:$A$84,efs!$C$74:$C$84,0,0)</f>
        <v>6.1480039518783052</v>
      </c>
      <c r="P107" s="18">
        <f>NICCS_Fuel_cons!P31*_xlfn.XLOOKUP($B107,efs!$A$74:$A$84,efs!$C$74:$C$84,0,0)</f>
        <v>7.9866221096892698</v>
      </c>
      <c r="Q107" s="18">
        <f>NICCS_Fuel_cons!Q31*_xlfn.XLOOKUP($B107,efs!$A$74:$A$84,efs!$C$74:$C$84,0,0)</f>
        <v>9.9535499309279487</v>
      </c>
      <c r="R107" s="18">
        <f>NICCS_Fuel_cons!R31*_xlfn.XLOOKUP($B107,efs!$A$74:$A$84,efs!$C$74:$C$84,0,0)</f>
        <v>12.052274382368646</v>
      </c>
      <c r="S107" s="18">
        <f>NICCS_Fuel_cons!S31*_xlfn.XLOOKUP($B107,efs!$A$74:$A$84,efs!$C$74:$C$84,0,0)</f>
        <v>14.285924508278637</v>
      </c>
      <c r="T107" s="18">
        <f>NICCS_Fuel_cons!T31*_xlfn.XLOOKUP($B107,efs!$A$74:$A$84,efs!$C$74:$C$84,0,0)</f>
        <v>16.656948427180161</v>
      </c>
      <c r="U107" s="18">
        <f>NICCS_Fuel_cons!U31*_xlfn.XLOOKUP($B107,efs!$A$74:$A$84,efs!$C$74:$C$84,0,0)</f>
        <v>19.173613077598663</v>
      </c>
      <c r="V107" s="18">
        <f>NICCS_Fuel_cons!V31*_xlfn.XLOOKUP($B107,efs!$A$74:$A$84,efs!$C$74:$C$84,0,0)</f>
        <v>21.839512564974637</v>
      </c>
      <c r="W107" s="18">
        <f>NICCS_Fuel_cons!W31*_xlfn.XLOOKUP($B107,efs!$A$74:$A$84,efs!$C$74:$C$84,0,0)</f>
        <v>24.658961601481082</v>
      </c>
      <c r="X107" s="18">
        <f>NICCS_Fuel_cons!X31*_xlfn.XLOOKUP($B107,efs!$A$74:$A$84,efs!$C$74:$C$84,0,0)</f>
        <v>27.636436599314987</v>
      </c>
      <c r="Y107" s="18">
        <f>NICCS_Fuel_cons!Y31*_xlfn.XLOOKUP($B107,efs!$A$74:$A$84,efs!$C$74:$C$84,0,0)</f>
        <v>30.776511387497571</v>
      </c>
      <c r="Z107" s="18">
        <f>NICCS_Fuel_cons!Z31*_xlfn.XLOOKUP($B107,efs!$A$74:$A$84,efs!$C$74:$C$84,0,0)</f>
        <v>34.083738168911864</v>
      </c>
      <c r="AA107" s="18">
        <f>NICCS_Fuel_cons!AA31*_xlfn.XLOOKUP($B107,efs!$A$74:$A$84,efs!$C$74:$C$84,0,0)</f>
        <v>35.214832316557676</v>
      </c>
      <c r="AB107" s="18">
        <f>NICCS_Fuel_cons!AB31*_xlfn.XLOOKUP($B107,efs!$A$74:$A$84,efs!$C$74:$C$84,0,0)</f>
        <v>36.367952388325776</v>
      </c>
      <c r="AC107" s="18">
        <f>NICCS_Fuel_cons!AC31*_xlfn.XLOOKUP($B107,efs!$A$74:$A$84,efs!$C$74:$C$84,0,0)</f>
        <v>37.542998685735142</v>
      </c>
      <c r="AD107" s="18">
        <f>NICCS_Fuel_cons!AD31*_xlfn.XLOOKUP($B107,efs!$A$74:$A$84,efs!$C$74:$C$84,0,0)</f>
        <v>38.739852165823336</v>
      </c>
      <c r="AE107" s="18">
        <f>NICCS_Fuel_cons!AE31*_xlfn.XLOOKUP($B107,efs!$A$74:$A$84,efs!$C$74:$C$84,0,0)</f>
        <v>39.958334264146714</v>
      </c>
      <c r="AF107" s="18">
        <f>NICCS_Fuel_cons!AF31*_xlfn.XLOOKUP($B107,efs!$A$74:$A$84,efs!$C$74:$C$84,0,0)</f>
        <v>41.198196478521261</v>
      </c>
      <c r="AG107" s="18">
        <f>NICCS_Fuel_cons!AG31*_xlfn.XLOOKUP($B107,efs!$A$74:$A$84,efs!$C$74:$C$84,0,0)</f>
        <v>42.459092096318891</v>
      </c>
      <c r="AH107" s="18">
        <f>NICCS_Fuel_cons!AH31*_xlfn.XLOOKUP($B107,efs!$A$74:$A$84,efs!$C$74:$C$84,0,0)</f>
        <v>43.740652084356078</v>
      </c>
      <c r="AI107" s="18">
        <f>NICCS_Fuel_cons!AI31*_xlfn.XLOOKUP($B107,efs!$A$74:$A$84,efs!$C$74:$C$84,0,0)</f>
        <v>45.042409199005334</v>
      </c>
      <c r="AJ107" s="111">
        <f>NICCS_Fuel_cons!AJ31*_xlfn.XLOOKUP($B107,efs!$A$74:$A$84,efs!$C$74:$C$84,0,0)</f>
        <v>46.36387238804668</v>
      </c>
      <c r="AK107" s="55"/>
    </row>
    <row r="108" spans="1:37">
      <c r="A108" s="4" t="s">
        <v>19</v>
      </c>
      <c r="B108" s="4" t="s">
        <v>15</v>
      </c>
      <c r="C108" s="4" t="s">
        <v>53</v>
      </c>
      <c r="D108" s="91" t="s">
        <v>122</v>
      </c>
      <c r="E108" s="110">
        <f>NICCS_Fuel_cons!E32*_xlfn.XLOOKUP($B108,efs!$A$74:$A$84,efs!$C$74:$C$84,0,0)</f>
        <v>0</v>
      </c>
      <c r="F108" s="18">
        <f>NICCS_Fuel_cons!F32*_xlfn.XLOOKUP($B108,efs!$A$74:$A$84,efs!$C$74:$C$84,0,0)</f>
        <v>0</v>
      </c>
      <c r="G108" s="18">
        <f>NICCS_Fuel_cons!G32*_xlfn.XLOOKUP($B108,efs!$A$74:$A$84,efs!$C$74:$C$84,0,0)</f>
        <v>0</v>
      </c>
      <c r="H108" s="18">
        <f>NICCS_Fuel_cons!H32*_xlfn.XLOOKUP($B108,efs!$A$74:$A$84,efs!$C$74:$C$84,0,0)</f>
        <v>0</v>
      </c>
      <c r="I108" s="18">
        <f>NICCS_Fuel_cons!I32*_xlfn.XLOOKUP($B108,efs!$A$74:$A$84,efs!$C$74:$C$84,0,0)</f>
        <v>0</v>
      </c>
      <c r="J108" s="18">
        <f>NICCS_Fuel_cons!J32*_xlfn.XLOOKUP($B108,efs!$A$74:$A$84,efs!$C$74:$C$84,0,0)</f>
        <v>0</v>
      </c>
      <c r="K108" s="18">
        <f>NICCS_Fuel_cons!K32*_xlfn.XLOOKUP($B108,efs!$A$74:$A$84,efs!$C$74:$C$84,0,0)</f>
        <v>0</v>
      </c>
      <c r="L108" s="18">
        <f>NICCS_Fuel_cons!L32*_xlfn.XLOOKUP($B108,efs!$A$74:$A$84,efs!$C$74:$C$84,0,0)</f>
        <v>3.7665590126941724</v>
      </c>
      <c r="M108" s="18">
        <f>NICCS_Fuel_cons!M32*_xlfn.XLOOKUP($B108,efs!$A$74:$A$84,efs!$C$74:$C$84,0,0)</f>
        <v>7.843413051593517</v>
      </c>
      <c r="N108" s="18">
        <f>NICCS_Fuel_cons!N32*_xlfn.XLOOKUP($B108,efs!$A$74:$A$84,efs!$C$74:$C$84,0,0)</f>
        <v>12.242388013265391</v>
      </c>
      <c r="O108" s="18">
        <f>NICCS_Fuel_cons!O32*_xlfn.XLOOKUP($B108,efs!$A$74:$A$84,efs!$C$74:$C$84,0,0)</f>
        <v>16.974747751944463</v>
      </c>
      <c r="P108" s="18">
        <f>NICCS_Fuel_cons!P32*_xlfn.XLOOKUP($B108,efs!$A$74:$A$84,efs!$C$74:$C$84,0,0)</f>
        <v>22.051205035523601</v>
      </c>
      <c r="Q108" s="18">
        <f>NICCS_Fuel_cons!Q32*_xlfn.XLOOKUP($B108,efs!$A$74:$A$84,efs!$C$74:$C$84,0,0)</f>
        <v>27.481927571348866</v>
      </c>
      <c r="R108" s="18">
        <f>NICCS_Fuel_cons!R32*_xlfn.XLOOKUP($B108,efs!$A$74:$A$84,efs!$C$74:$C$84,0,0)</f>
        <v>33.276542936415403</v>
      </c>
      <c r="S108" s="18">
        <f>NICCS_Fuel_cons!S32*_xlfn.XLOOKUP($B108,efs!$A$74:$A$84,efs!$C$74:$C$84,0,0)</f>
        <v>39.44369047734002</v>
      </c>
      <c r="T108" s="18">
        <f>NICCS_Fuel_cons!T32*_xlfn.XLOOKUP($B108,efs!$A$74:$A$84,efs!$C$74:$C$84,0,0)</f>
        <v>45.990129492702721</v>
      </c>
      <c r="U108" s="18">
        <f>NICCS_Fuel_cons!U32*_xlfn.XLOOKUP($B108,efs!$A$74:$A$84,efs!$C$74:$C$84,0,0)</f>
        <v>52.938685146125501</v>
      </c>
      <c r="V108" s="18">
        <f>NICCS_Fuel_cons!V32*_xlfn.XLOOKUP($B108,efs!$A$74:$A$84,efs!$C$74:$C$84,0,0)</f>
        <v>60.29928082635756</v>
      </c>
      <c r="W108" s="18">
        <f>NICCS_Fuel_cons!W32*_xlfn.XLOOKUP($B108,efs!$A$74:$A$84,efs!$C$74:$C$84,0,0)</f>
        <v>68.083829530093851</v>
      </c>
      <c r="X108" s="18">
        <f>NICCS_Fuel_cons!X32*_xlfn.XLOOKUP($B108,efs!$A$74:$A$84,efs!$C$74:$C$84,0,0)</f>
        <v>76.304690710658079</v>
      </c>
      <c r="Y108" s="18">
        <f>NICCS_Fuel_cons!Y32*_xlfn.XLOOKUP($B108,efs!$A$74:$A$84,efs!$C$74:$C$84,0,0)</f>
        <v>84.974492790950364</v>
      </c>
      <c r="Z108" s="18">
        <f>NICCS_Fuel_cons!Z32*_xlfn.XLOOKUP($B108,efs!$A$74:$A$84,efs!$C$74:$C$84,0,0)</f>
        <v>94.105804483720462</v>
      </c>
      <c r="AA108" s="18">
        <f>NICCS_Fuel_cons!AA32*_xlfn.XLOOKUP($B108,efs!$A$74:$A$84,efs!$C$74:$C$84,0,0)</f>
        <v>97.228775449625942</v>
      </c>
      <c r="AB108" s="18">
        <f>NICCS_Fuel_cons!AB32*_xlfn.XLOOKUP($B108,efs!$A$74:$A$84,efs!$C$74:$C$84,0,0)</f>
        <v>100.41256038196769</v>
      </c>
      <c r="AC108" s="18">
        <f>NICCS_Fuel_cons!AC32*_xlfn.XLOOKUP($B108,efs!$A$74:$A$84,efs!$C$74:$C$84,0,0)</f>
        <v>103.6568840114745</v>
      </c>
      <c r="AD108" s="18">
        <f>NICCS_Fuel_cons!AD32*_xlfn.XLOOKUP($B108,efs!$A$74:$A$84,efs!$C$74:$C$84,0,0)</f>
        <v>106.96141765841972</v>
      </c>
      <c r="AE108" s="18">
        <f>NICCS_Fuel_cons!AE32*_xlfn.XLOOKUP($B108,efs!$A$74:$A$84,efs!$C$74:$C$84,0,0)</f>
        <v>110.32566830321322</v>
      </c>
      <c r="AF108" s="18">
        <f>NICCS_Fuel_cons!AF32*_xlfn.XLOOKUP($B108,efs!$A$74:$A$84,efs!$C$74:$C$84,0,0)</f>
        <v>113.74894982692551</v>
      </c>
      <c r="AG108" s="18">
        <f>NICCS_Fuel_cons!AG32*_xlfn.XLOOKUP($B108,efs!$A$74:$A$84,efs!$C$74:$C$84,0,0)</f>
        <v>117.23030494985247</v>
      </c>
      <c r="AH108" s="18">
        <f>NICCS_Fuel_cons!AH32*_xlfn.XLOOKUP($B108,efs!$A$74:$A$84,efs!$C$74:$C$84,0,0)</f>
        <v>120.76871476484131</v>
      </c>
      <c r="AI108" s="18">
        <f>NICCS_Fuel_cons!AI32*_xlfn.XLOOKUP($B108,efs!$A$74:$A$84,efs!$C$74:$C$84,0,0)</f>
        <v>124.36288920396464</v>
      </c>
      <c r="AJ108" s="111">
        <f>NICCS_Fuel_cons!AJ32*_xlfn.XLOOKUP($B108,efs!$A$74:$A$84,efs!$C$74:$C$84,0,0)</f>
        <v>128.01147246334975</v>
      </c>
      <c r="AK108" s="55"/>
    </row>
    <row r="109" spans="1:37">
      <c r="A109" s="40" t="s">
        <v>19</v>
      </c>
      <c r="B109" s="40" t="s">
        <v>16</v>
      </c>
      <c r="C109" s="4" t="s">
        <v>53</v>
      </c>
      <c r="D109" s="91" t="s">
        <v>122</v>
      </c>
      <c r="E109" s="110">
        <f>NICCS_Fuel_cons!E33*_xlfn.XLOOKUP($B109,efs!$A$74:$A$84,efs!$C$74:$C$84,0,0)</f>
        <v>0</v>
      </c>
      <c r="F109" s="18">
        <f>NICCS_Fuel_cons!F33*_xlfn.XLOOKUP($B109,efs!$A$74:$A$84,efs!$C$74:$C$84,0,0)</f>
        <v>0</v>
      </c>
      <c r="G109" s="18">
        <f>NICCS_Fuel_cons!G33*_xlfn.XLOOKUP($B109,efs!$A$74:$A$84,efs!$C$74:$C$84,0,0)</f>
        <v>0</v>
      </c>
      <c r="H109" s="18">
        <f>NICCS_Fuel_cons!H33*_xlfn.XLOOKUP($B109,efs!$A$74:$A$84,efs!$C$74:$C$84,0,0)</f>
        <v>0</v>
      </c>
      <c r="I109" s="18">
        <f>NICCS_Fuel_cons!I33*_xlfn.XLOOKUP($B109,efs!$A$74:$A$84,efs!$C$74:$C$84,0,0)</f>
        <v>0</v>
      </c>
      <c r="J109" s="18">
        <f>NICCS_Fuel_cons!J33*_xlfn.XLOOKUP($B109,efs!$A$74:$A$84,efs!$C$74:$C$84,0,0)</f>
        <v>0</v>
      </c>
      <c r="K109" s="18">
        <f>NICCS_Fuel_cons!K33*_xlfn.XLOOKUP($B109,efs!$A$74:$A$84,efs!$C$74:$C$84,0,0)</f>
        <v>0</v>
      </c>
      <c r="L109" s="18">
        <f>NICCS_Fuel_cons!L33*_xlfn.XLOOKUP($B109,efs!$A$74:$A$84,efs!$C$74:$C$84,0,0)</f>
        <v>0</v>
      </c>
      <c r="M109" s="18">
        <f>NICCS_Fuel_cons!M33*_xlfn.XLOOKUP($B109,efs!$A$74:$A$84,efs!$C$74:$C$84,0,0)</f>
        <v>0</v>
      </c>
      <c r="N109" s="18">
        <f>NICCS_Fuel_cons!N33*_xlfn.XLOOKUP($B109,efs!$A$74:$A$84,efs!$C$74:$C$84,0,0)</f>
        <v>0</v>
      </c>
      <c r="O109" s="18">
        <f>NICCS_Fuel_cons!O33*_xlfn.XLOOKUP($B109,efs!$A$74:$A$84,efs!$C$74:$C$84,0,0)</f>
        <v>0</v>
      </c>
      <c r="P109" s="18">
        <f>NICCS_Fuel_cons!P33*_xlfn.XLOOKUP($B109,efs!$A$74:$A$84,efs!$C$74:$C$84,0,0)</f>
        <v>0</v>
      </c>
      <c r="Q109" s="18">
        <f>NICCS_Fuel_cons!Q33*_xlfn.XLOOKUP($B109,efs!$A$74:$A$84,efs!$C$74:$C$84,0,0)</f>
        <v>0</v>
      </c>
      <c r="R109" s="18">
        <f>NICCS_Fuel_cons!R33*_xlfn.XLOOKUP($B109,efs!$A$74:$A$84,efs!$C$74:$C$84,0,0)</f>
        <v>0</v>
      </c>
      <c r="S109" s="18">
        <f>NICCS_Fuel_cons!S33*_xlfn.XLOOKUP($B109,efs!$A$74:$A$84,efs!$C$74:$C$84,0,0)</f>
        <v>0</v>
      </c>
      <c r="T109" s="18">
        <f>NICCS_Fuel_cons!T33*_xlfn.XLOOKUP($B109,efs!$A$74:$A$84,efs!$C$74:$C$84,0,0)</f>
        <v>0</v>
      </c>
      <c r="U109" s="18">
        <f>NICCS_Fuel_cons!U33*_xlfn.XLOOKUP($B109,efs!$A$74:$A$84,efs!$C$74:$C$84,0,0)</f>
        <v>0</v>
      </c>
      <c r="V109" s="18">
        <f>NICCS_Fuel_cons!V33*_xlfn.XLOOKUP($B109,efs!$A$74:$A$84,efs!$C$74:$C$84,0,0)</f>
        <v>0</v>
      </c>
      <c r="W109" s="18">
        <f>NICCS_Fuel_cons!W33*_xlfn.XLOOKUP($B109,efs!$A$74:$A$84,efs!$C$74:$C$84,0,0)</f>
        <v>0</v>
      </c>
      <c r="X109" s="18">
        <f>NICCS_Fuel_cons!X33*_xlfn.XLOOKUP($B109,efs!$A$74:$A$84,efs!$C$74:$C$84,0,0)</f>
        <v>0</v>
      </c>
      <c r="Y109" s="18">
        <f>NICCS_Fuel_cons!Y33*_xlfn.XLOOKUP($B109,efs!$A$74:$A$84,efs!$C$74:$C$84,0,0)</f>
        <v>0</v>
      </c>
      <c r="Z109" s="18">
        <f>NICCS_Fuel_cons!Z33*_xlfn.XLOOKUP($B109,efs!$A$74:$A$84,efs!$C$74:$C$84,0,0)</f>
        <v>0</v>
      </c>
      <c r="AA109" s="18">
        <f>NICCS_Fuel_cons!AA33*_xlfn.XLOOKUP($B109,efs!$A$74:$A$84,efs!$C$74:$C$84,0,0)</f>
        <v>0</v>
      </c>
      <c r="AB109" s="18">
        <f>NICCS_Fuel_cons!AB33*_xlfn.XLOOKUP($B109,efs!$A$74:$A$84,efs!$C$74:$C$84,0,0)</f>
        <v>0</v>
      </c>
      <c r="AC109" s="18">
        <f>NICCS_Fuel_cons!AC33*_xlfn.XLOOKUP($B109,efs!$A$74:$A$84,efs!$C$74:$C$84,0,0)</f>
        <v>0</v>
      </c>
      <c r="AD109" s="18">
        <f>NICCS_Fuel_cons!AD33*_xlfn.XLOOKUP($B109,efs!$A$74:$A$84,efs!$C$74:$C$84,0,0)</f>
        <v>0</v>
      </c>
      <c r="AE109" s="18">
        <f>NICCS_Fuel_cons!AE33*_xlfn.XLOOKUP($B109,efs!$A$74:$A$84,efs!$C$74:$C$84,0,0)</f>
        <v>0</v>
      </c>
      <c r="AF109" s="18">
        <f>NICCS_Fuel_cons!AF33*_xlfn.XLOOKUP($B109,efs!$A$74:$A$84,efs!$C$74:$C$84,0,0)</f>
        <v>0</v>
      </c>
      <c r="AG109" s="18">
        <f>NICCS_Fuel_cons!AG33*_xlfn.XLOOKUP($B109,efs!$A$74:$A$84,efs!$C$74:$C$84,0,0)</f>
        <v>0</v>
      </c>
      <c r="AH109" s="18">
        <f>NICCS_Fuel_cons!AH33*_xlfn.XLOOKUP($B109,efs!$A$74:$A$84,efs!$C$74:$C$84,0,0)</f>
        <v>0</v>
      </c>
      <c r="AI109" s="18">
        <f>NICCS_Fuel_cons!AI33*_xlfn.XLOOKUP($B109,efs!$A$74:$A$84,efs!$C$74:$C$84,0,0)</f>
        <v>0</v>
      </c>
      <c r="AJ109" s="111">
        <f>NICCS_Fuel_cons!AJ33*_xlfn.XLOOKUP($B109,efs!$A$74:$A$84,efs!$C$74:$C$84,0,0)</f>
        <v>0</v>
      </c>
      <c r="AK109" s="55"/>
    </row>
    <row r="110" spans="1:37" ht="17" thickBot="1">
      <c r="A110" s="32" t="s">
        <v>19</v>
      </c>
      <c r="B110" s="32" t="s">
        <v>17</v>
      </c>
      <c r="C110" s="32" t="s">
        <v>53</v>
      </c>
      <c r="D110" s="93" t="s">
        <v>122</v>
      </c>
      <c r="E110" s="112">
        <f>NICCS_Fuel_cons!E34*_xlfn.XLOOKUP($B110,efs!$A$74:$A$84,efs!$C$74:$C$84,0,0)</f>
        <v>0</v>
      </c>
      <c r="F110" s="113">
        <f>NICCS_Fuel_cons!F34*_xlfn.XLOOKUP($B110,efs!$A$74:$A$84,efs!$C$74:$C$84,0,0)</f>
        <v>0</v>
      </c>
      <c r="G110" s="113">
        <f>NICCS_Fuel_cons!G34*_xlfn.XLOOKUP($B110,efs!$A$74:$A$84,efs!$C$74:$C$84,0,0)</f>
        <v>0</v>
      </c>
      <c r="H110" s="113">
        <f>NICCS_Fuel_cons!H34*_xlfn.XLOOKUP($B110,efs!$A$74:$A$84,efs!$C$74:$C$84,0,0)</f>
        <v>0</v>
      </c>
      <c r="I110" s="113">
        <f>NICCS_Fuel_cons!I34*_xlfn.XLOOKUP($B110,efs!$A$74:$A$84,efs!$C$74:$C$84,0,0)</f>
        <v>0</v>
      </c>
      <c r="J110" s="113">
        <f>NICCS_Fuel_cons!J34*_xlfn.XLOOKUP($B110,efs!$A$74:$A$84,efs!$C$74:$C$84,0,0)</f>
        <v>0</v>
      </c>
      <c r="K110" s="113">
        <f>NICCS_Fuel_cons!K34*_xlfn.XLOOKUP($B110,efs!$A$74:$A$84,efs!$C$74:$C$84,0,0)</f>
        <v>0</v>
      </c>
      <c r="L110" s="113">
        <f>NICCS_Fuel_cons!L34*_xlfn.XLOOKUP($B110,efs!$A$74:$A$84,efs!$C$74:$C$84,0,0)</f>
        <v>0</v>
      </c>
      <c r="M110" s="113">
        <f>NICCS_Fuel_cons!M34*_xlfn.XLOOKUP($B110,efs!$A$74:$A$84,efs!$C$74:$C$84,0,0)</f>
        <v>0</v>
      </c>
      <c r="N110" s="113">
        <f>NICCS_Fuel_cons!N34*_xlfn.XLOOKUP($B110,efs!$A$74:$A$84,efs!$C$74:$C$84,0,0)</f>
        <v>0</v>
      </c>
      <c r="O110" s="113">
        <f>NICCS_Fuel_cons!O34*_xlfn.XLOOKUP($B110,efs!$A$74:$A$84,efs!$C$74:$C$84,0,0)</f>
        <v>0</v>
      </c>
      <c r="P110" s="113">
        <f>NICCS_Fuel_cons!P34*_xlfn.XLOOKUP($B110,efs!$A$74:$A$84,efs!$C$74:$C$84,0,0)</f>
        <v>0</v>
      </c>
      <c r="Q110" s="113">
        <f>NICCS_Fuel_cons!Q34*_xlfn.XLOOKUP($B110,efs!$A$74:$A$84,efs!$C$74:$C$84,0,0)</f>
        <v>0</v>
      </c>
      <c r="R110" s="113">
        <f>NICCS_Fuel_cons!R34*_xlfn.XLOOKUP($B110,efs!$A$74:$A$84,efs!$C$74:$C$84,0,0)</f>
        <v>0</v>
      </c>
      <c r="S110" s="113">
        <f>NICCS_Fuel_cons!S34*_xlfn.XLOOKUP($B110,efs!$A$74:$A$84,efs!$C$74:$C$84,0,0)</f>
        <v>0</v>
      </c>
      <c r="T110" s="113">
        <f>NICCS_Fuel_cons!T34*_xlfn.XLOOKUP($B110,efs!$A$74:$A$84,efs!$C$74:$C$84,0,0)</f>
        <v>0</v>
      </c>
      <c r="U110" s="113">
        <f>NICCS_Fuel_cons!U34*_xlfn.XLOOKUP($B110,efs!$A$74:$A$84,efs!$C$74:$C$84,0,0)</f>
        <v>0</v>
      </c>
      <c r="V110" s="113">
        <f>NICCS_Fuel_cons!V34*_xlfn.XLOOKUP($B110,efs!$A$74:$A$84,efs!$C$74:$C$84,0,0)</f>
        <v>0</v>
      </c>
      <c r="W110" s="113">
        <f>NICCS_Fuel_cons!W34*_xlfn.XLOOKUP($B110,efs!$A$74:$A$84,efs!$C$74:$C$84,0,0)</f>
        <v>0</v>
      </c>
      <c r="X110" s="113">
        <f>NICCS_Fuel_cons!X34*_xlfn.XLOOKUP($B110,efs!$A$74:$A$84,efs!$C$74:$C$84,0,0)</f>
        <v>0</v>
      </c>
      <c r="Y110" s="113">
        <f>NICCS_Fuel_cons!Y34*_xlfn.XLOOKUP($B110,efs!$A$74:$A$84,efs!$C$74:$C$84,0,0)</f>
        <v>0</v>
      </c>
      <c r="Z110" s="113">
        <f>NICCS_Fuel_cons!Z34*_xlfn.XLOOKUP($B110,efs!$A$74:$A$84,efs!$C$74:$C$84,0,0)</f>
        <v>0</v>
      </c>
      <c r="AA110" s="113">
        <f>NICCS_Fuel_cons!AA34*_xlfn.XLOOKUP($B110,efs!$A$74:$A$84,efs!$C$74:$C$84,0,0)</f>
        <v>0</v>
      </c>
      <c r="AB110" s="113">
        <f>NICCS_Fuel_cons!AB34*_xlfn.XLOOKUP($B110,efs!$A$74:$A$84,efs!$C$74:$C$84,0,0)</f>
        <v>0</v>
      </c>
      <c r="AC110" s="113">
        <f>NICCS_Fuel_cons!AC34*_xlfn.XLOOKUP($B110,efs!$A$74:$A$84,efs!$C$74:$C$84,0,0)</f>
        <v>0</v>
      </c>
      <c r="AD110" s="113">
        <f>NICCS_Fuel_cons!AD34*_xlfn.XLOOKUP($B110,efs!$A$74:$A$84,efs!$C$74:$C$84,0,0)</f>
        <v>0</v>
      </c>
      <c r="AE110" s="113">
        <f>NICCS_Fuel_cons!AE34*_xlfn.XLOOKUP($B110,efs!$A$74:$A$84,efs!$C$74:$C$84,0,0)</f>
        <v>0</v>
      </c>
      <c r="AF110" s="113">
        <f>NICCS_Fuel_cons!AF34*_xlfn.XLOOKUP($B110,efs!$A$74:$A$84,efs!$C$74:$C$84,0,0)</f>
        <v>0</v>
      </c>
      <c r="AG110" s="113">
        <f>NICCS_Fuel_cons!AG34*_xlfn.XLOOKUP($B110,efs!$A$74:$A$84,efs!$C$74:$C$84,0,0)</f>
        <v>0</v>
      </c>
      <c r="AH110" s="113">
        <f>NICCS_Fuel_cons!AH34*_xlfn.XLOOKUP($B110,efs!$A$74:$A$84,efs!$C$74:$C$84,0,0)</f>
        <v>0</v>
      </c>
      <c r="AI110" s="113">
        <f>NICCS_Fuel_cons!AI34*_xlfn.XLOOKUP($B110,efs!$A$74:$A$84,efs!$C$74:$C$84,0,0)</f>
        <v>0</v>
      </c>
      <c r="AJ110" s="114">
        <f>NICCS_Fuel_cons!AJ34*_xlfn.XLOOKUP($B110,efs!$A$74:$A$84,efs!$C$74:$C$84,0,0)</f>
        <v>0</v>
      </c>
      <c r="AK110" s="55"/>
    </row>
    <row r="111" spans="1:37">
      <c r="D111" t="s">
        <v>4</v>
      </c>
      <c r="E111" s="54">
        <f>SUM(E78:E88)</f>
        <v>5013.3994109445839</v>
      </c>
      <c r="F111" s="54">
        <f t="shared" ref="F111:AJ111" si="33">SUM(F78:F88)</f>
        <v>5248.0507155361993</v>
      </c>
      <c r="G111" s="54">
        <f t="shared" si="33"/>
        <v>5490.9198297243138</v>
      </c>
      <c r="H111" s="54">
        <f t="shared" si="33"/>
        <v>5742.1332699991863</v>
      </c>
      <c r="I111" s="54">
        <f t="shared" si="33"/>
        <v>6001.8265071908709</v>
      </c>
      <c r="J111" s="54">
        <f t="shared" si="33"/>
        <v>6270.1493239584215</v>
      </c>
      <c r="K111" s="54">
        <f t="shared" si="33"/>
        <v>6547.5942476976452</v>
      </c>
      <c r="L111" s="54">
        <f t="shared" si="33"/>
        <v>6446.9621453735781</v>
      </c>
      <c r="M111" s="54">
        <f t="shared" si="33"/>
        <v>6328.6660699833938</v>
      </c>
      <c r="N111" s="54">
        <f t="shared" si="33"/>
        <v>6191.7213639191368</v>
      </c>
      <c r="O111" s="54">
        <f t="shared" si="33"/>
        <v>6035.1371495812627</v>
      </c>
      <c r="P111" s="54">
        <f t="shared" si="33"/>
        <v>5858.0258883839197</v>
      </c>
      <c r="Q111" s="54">
        <f t="shared" si="33"/>
        <v>5659.6408930239795</v>
      </c>
      <c r="R111" s="54">
        <f t="shared" si="33"/>
        <v>5439.3384845764022</v>
      </c>
      <c r="S111" s="54">
        <f t="shared" si="33"/>
        <v>5196.491406865166</v>
      </c>
      <c r="T111" s="54">
        <f t="shared" si="33"/>
        <v>4930.5127421148582</v>
      </c>
      <c r="U111" s="54">
        <f t="shared" si="33"/>
        <v>4641.8518068051289</v>
      </c>
      <c r="V111" s="54">
        <f t="shared" si="33"/>
        <v>4329.7784478888525</v>
      </c>
      <c r="W111" s="54">
        <f t="shared" si="33"/>
        <v>3993.6483355911419</v>
      </c>
      <c r="X111" s="54">
        <f t="shared" si="33"/>
        <v>3632.8559915587543</v>
      </c>
      <c r="Y111" s="54">
        <f t="shared" si="33"/>
        <v>3246.8024392239104</v>
      </c>
      <c r="Z111" s="54">
        <f t="shared" si="33"/>
        <v>2834.893517851106</v>
      </c>
      <c r="AA111" s="54">
        <f t="shared" si="33"/>
        <v>2889.0772589895973</v>
      </c>
      <c r="AB111" s="54">
        <f t="shared" si="33"/>
        <v>2943.0768321893074</v>
      </c>
      <c r="AC111" s="54">
        <f t="shared" si="33"/>
        <v>2996.8375915473898</v>
      </c>
      <c r="AD111" s="54">
        <f t="shared" si="33"/>
        <v>3050.3011330488771</v>
      </c>
      <c r="AE111" s="54">
        <f t="shared" si="33"/>
        <v>3103.4151711804998</v>
      </c>
      <c r="AF111" s="54">
        <f t="shared" si="33"/>
        <v>3156.1282216401983</v>
      </c>
      <c r="AG111" s="54">
        <f t="shared" si="33"/>
        <v>3208.3965033934583</v>
      </c>
      <c r="AH111" s="54">
        <f t="shared" si="33"/>
        <v>3260.1831670150482</v>
      </c>
      <c r="AI111" s="54">
        <f t="shared" si="33"/>
        <v>3311.4546458663817</v>
      </c>
      <c r="AJ111" s="54">
        <f t="shared" si="33"/>
        <v>3362.1731813205843</v>
      </c>
      <c r="AK111" s="55"/>
    </row>
    <row r="112" spans="1:37">
      <c r="D112" t="s">
        <v>18</v>
      </c>
      <c r="E112" s="54">
        <f>SUM(E89:E99)</f>
        <v>2629.5138955220109</v>
      </c>
      <c r="F112" s="54">
        <f t="shared" ref="F112:AJ112" si="34">SUM(F89:F99)</f>
        <v>2727.6983329401137</v>
      </c>
      <c r="G112" s="54">
        <f t="shared" si="34"/>
        <v>2827.8533909114617</v>
      </c>
      <c r="H112" s="54">
        <f t="shared" si="34"/>
        <v>2929.949909109791</v>
      </c>
      <c r="I112" s="54">
        <f t="shared" si="34"/>
        <v>3034.0231497956584</v>
      </c>
      <c r="J112" s="54">
        <f t="shared" si="34"/>
        <v>3140.1483583668837</v>
      </c>
      <c r="K112" s="54">
        <f t="shared" si="34"/>
        <v>3270.5747863579654</v>
      </c>
      <c r="L112" s="54">
        <f t="shared" si="34"/>
        <v>3233.949971864482</v>
      </c>
      <c r="M112" s="54">
        <f t="shared" si="34"/>
        <v>3192.5442537682011</v>
      </c>
      <c r="N112" s="54">
        <f t="shared" si="34"/>
        <v>3146.1032316599576</v>
      </c>
      <c r="O112" s="54">
        <f t="shared" si="34"/>
        <v>3094.3643515838849</v>
      </c>
      <c r="P112" s="54">
        <f>SUM(P89:P99)</f>
        <v>3037.1370101222155</v>
      </c>
      <c r="Q112" s="54">
        <f t="shared" si="34"/>
        <v>2974.3411329417186</v>
      </c>
      <c r="R112" s="54">
        <f t="shared" si="34"/>
        <v>2905.9698431923757</v>
      </c>
      <c r="S112" s="54">
        <f t="shared" si="34"/>
        <v>2832.0303579869737</v>
      </c>
      <c r="T112" s="54">
        <f t="shared" si="34"/>
        <v>2752.5821391847994</v>
      </c>
      <c r="U112" s="54">
        <f t="shared" si="34"/>
        <v>2668.0075605143365</v>
      </c>
      <c r="V112" s="54">
        <f t="shared" si="34"/>
        <v>2578.3514457860415</v>
      </c>
      <c r="W112" s="54">
        <f t="shared" si="34"/>
        <v>2483.6184715589088</v>
      </c>
      <c r="X112" s="54">
        <f t="shared" si="34"/>
        <v>2383.8407329244028</v>
      </c>
      <c r="Y112" s="54">
        <f t="shared" si="34"/>
        <v>2279.060005532388</v>
      </c>
      <c r="Z112" s="54">
        <f t="shared" si="34"/>
        <v>2169.3321081188396</v>
      </c>
      <c r="AA112" s="54">
        <f t="shared" si="34"/>
        <v>2201.4286999042806</v>
      </c>
      <c r="AB112" s="54">
        <f t="shared" si="34"/>
        <v>2232.9110181962942</v>
      </c>
      <c r="AC112" s="54">
        <f t="shared" si="34"/>
        <v>2263.7263639284215</v>
      </c>
      <c r="AD112" s="54">
        <f t="shared" si="34"/>
        <v>2293.8186576664511</v>
      </c>
      <c r="AE112" s="54">
        <f t="shared" si="34"/>
        <v>2323.1391007682505</v>
      </c>
      <c r="AF112" s="54">
        <f t="shared" si="34"/>
        <v>2351.6410614940887</v>
      </c>
      <c r="AG112" s="54">
        <f t="shared" si="34"/>
        <v>2379.2875291509108</v>
      </c>
      <c r="AH112" s="54">
        <f t="shared" si="34"/>
        <v>2406.0488605138321</v>
      </c>
      <c r="AI112" s="54">
        <f t="shared" si="34"/>
        <v>2431.9006129237382</v>
      </c>
      <c r="AJ112" s="54">
        <f t="shared" si="34"/>
        <v>2456.8146166493793</v>
      </c>
      <c r="AK112" s="55"/>
    </row>
    <row r="113" spans="4:37">
      <c r="D113" t="s">
        <v>19</v>
      </c>
      <c r="E113" s="54">
        <f>SUM(E100:E110)</f>
        <v>2383.8855154225716</v>
      </c>
      <c r="F113" s="54">
        <f t="shared" ref="F113:AJ113" si="35">SUM(F100:F110)</f>
        <v>2520.352382596086</v>
      </c>
      <c r="G113" s="54">
        <f t="shared" si="35"/>
        <v>2663.0664388128521</v>
      </c>
      <c r="H113" s="54">
        <f t="shared" si="35"/>
        <v>2812.1833608893949</v>
      </c>
      <c r="I113" s="54">
        <f t="shared" si="35"/>
        <v>2967.8033573952139</v>
      </c>
      <c r="J113" s="54">
        <f t="shared" si="35"/>
        <v>3130.0009655915378</v>
      </c>
      <c r="K113" s="54">
        <f t="shared" si="35"/>
        <v>3277.0194613396798</v>
      </c>
      <c r="L113" s="54">
        <f t="shared" si="35"/>
        <v>3213.0121735090952</v>
      </c>
      <c r="M113" s="54">
        <f t="shared" si="35"/>
        <v>3136.1218162151936</v>
      </c>
      <c r="N113" s="54">
        <f t="shared" si="35"/>
        <v>3045.6181322591788</v>
      </c>
      <c r="O113" s="54">
        <f t="shared" si="35"/>
        <v>2940.7727979973774</v>
      </c>
      <c r="P113" s="54">
        <f>SUM(P100:P110)</f>
        <v>2820.8888782617041</v>
      </c>
      <c r="Q113" s="54">
        <f t="shared" si="35"/>
        <v>2685.2997600822609</v>
      </c>
      <c r="R113" s="54">
        <f t="shared" si="35"/>
        <v>2533.3686413840278</v>
      </c>
      <c r="S113" s="54">
        <f t="shared" si="35"/>
        <v>2364.4610488781914</v>
      </c>
      <c r="T113" s="54">
        <f t="shared" si="35"/>
        <v>2177.9306029300574</v>
      </c>
      <c r="U113" s="54">
        <f t="shared" si="35"/>
        <v>1973.8442462907924</v>
      </c>
      <c r="V113" s="54">
        <f t="shared" si="35"/>
        <v>1751.427002102811</v>
      </c>
      <c r="W113" s="54">
        <f t="shared" si="35"/>
        <v>1510.029864032233</v>
      </c>
      <c r="X113" s="54">
        <f t="shared" si="35"/>
        <v>1249.0152586343518</v>
      </c>
      <c r="Y113" s="54">
        <f t="shared" si="35"/>
        <v>967.74243369152236</v>
      </c>
      <c r="Z113" s="54">
        <f t="shared" si="35"/>
        <v>665.56140973226547</v>
      </c>
      <c r="AA113" s="54">
        <f t="shared" si="35"/>
        <v>687.64855908531695</v>
      </c>
      <c r="AB113" s="54">
        <f t="shared" si="35"/>
        <v>710.16581399301276</v>
      </c>
      <c r="AC113" s="54">
        <f t="shared" si="35"/>
        <v>733.11122761896809</v>
      </c>
      <c r="AD113" s="54">
        <f t="shared" si="35"/>
        <v>756.48247538242595</v>
      </c>
      <c r="AE113" s="54">
        <f t="shared" si="35"/>
        <v>780.27607041225008</v>
      </c>
      <c r="AF113" s="54">
        <f t="shared" si="35"/>
        <v>804.48716014610932</v>
      </c>
      <c r="AG113" s="54">
        <f t="shared" si="35"/>
        <v>829.10897424254733</v>
      </c>
      <c r="AH113" s="54">
        <f t="shared" si="35"/>
        <v>854.13430650121643</v>
      </c>
      <c r="AI113" s="54">
        <f t="shared" si="35"/>
        <v>879.55403294264352</v>
      </c>
      <c r="AJ113" s="54">
        <f t="shared" si="35"/>
        <v>905.3585646712047</v>
      </c>
      <c r="AK113" s="55"/>
    </row>
    <row r="154" spans="37:37">
      <c r="AK154" s="55"/>
    </row>
    <row r="155" spans="37:37">
      <c r="AK155" s="55"/>
    </row>
    <row r="156" spans="37:37">
      <c r="AK156" s="55"/>
    </row>
    <row r="157" spans="37:37">
      <c r="AK157" s="55"/>
    </row>
    <row r="158" spans="37:37">
      <c r="AK158" s="55"/>
    </row>
    <row r="159" spans="37:37">
      <c r="AK159" s="55"/>
    </row>
    <row r="160" spans="37:37">
      <c r="AK160" s="55"/>
    </row>
    <row r="161" spans="37:37">
      <c r="AK161" s="55"/>
    </row>
    <row r="162" spans="37:37">
      <c r="AK162" s="55"/>
    </row>
    <row r="163" spans="37:37">
      <c r="AK163" s="55"/>
    </row>
    <row r="164" spans="37:37">
      <c r="AK164" s="55"/>
    </row>
    <row r="165" spans="37:37">
      <c r="AK165" s="55"/>
    </row>
    <row r="166" spans="37:37">
      <c r="AK166" s="55"/>
    </row>
    <row r="167" spans="37:37">
      <c r="AK167" s="55"/>
    </row>
    <row r="168" spans="37:37">
      <c r="AK168" s="55"/>
    </row>
    <row r="169" spans="37:37">
      <c r="AK169" s="55"/>
    </row>
    <row r="170" spans="37:37">
      <c r="AK170" s="55"/>
    </row>
    <row r="171" spans="37:37">
      <c r="AK171" s="55"/>
    </row>
    <row r="172" spans="37:37">
      <c r="AK172" s="55"/>
    </row>
    <row r="173" spans="37:37">
      <c r="AK173" s="55"/>
    </row>
    <row r="174" spans="37:37">
      <c r="AK174" s="55"/>
    </row>
    <row r="175" spans="37:37">
      <c r="AK175" s="55"/>
    </row>
    <row r="176" spans="37:37">
      <c r="AK176" s="55"/>
    </row>
    <row r="177" spans="37:37">
      <c r="AK177" s="55"/>
    </row>
    <row r="178" spans="37:37">
      <c r="AK178" s="55"/>
    </row>
    <row r="179" spans="37:37">
      <c r="AK179" s="55"/>
    </row>
    <row r="180" spans="37:37">
      <c r="AK180" s="55"/>
    </row>
    <row r="181" spans="37:37">
      <c r="AK181" s="55"/>
    </row>
    <row r="182" spans="37:37">
      <c r="AK182" s="55"/>
    </row>
    <row r="183" spans="37:37">
      <c r="AK183" s="55"/>
    </row>
    <row r="184" spans="37:37">
      <c r="AK184" s="55"/>
    </row>
    <row r="185" spans="37:37">
      <c r="AK185" s="55"/>
    </row>
    <row r="186" spans="37:37">
      <c r="AK186" s="55"/>
    </row>
    <row r="187" spans="37:37">
      <c r="AK187" s="55"/>
    </row>
    <row r="188" spans="37:37">
      <c r="AK188" s="55"/>
    </row>
    <row r="189" spans="37:37">
      <c r="AK189" s="55"/>
    </row>
    <row r="191" spans="37:37">
      <c r="AK191" s="25" t="s">
        <v>65</v>
      </c>
    </row>
    <row r="192" spans="37:37">
      <c r="AK192" s="55">
        <f>SUM(K192:AJ192)</f>
        <v>0</v>
      </c>
    </row>
    <row r="193" spans="37:37">
      <c r="AK193" s="55">
        <f t="shared" ref="AK193:AK226" si="36">SUM(K193:AJ193)</f>
        <v>0</v>
      </c>
    </row>
    <row r="194" spans="37:37">
      <c r="AK194" s="55">
        <f t="shared" si="36"/>
        <v>0</v>
      </c>
    </row>
    <row r="195" spans="37:37">
      <c r="AK195" s="55">
        <f t="shared" si="36"/>
        <v>0</v>
      </c>
    </row>
    <row r="196" spans="37:37">
      <c r="AK196" s="55">
        <f t="shared" si="36"/>
        <v>0</v>
      </c>
    </row>
    <row r="197" spans="37:37">
      <c r="AK197" s="55">
        <f t="shared" si="36"/>
        <v>0</v>
      </c>
    </row>
    <row r="198" spans="37:37">
      <c r="AK198" s="55">
        <f t="shared" si="36"/>
        <v>0</v>
      </c>
    </row>
    <row r="199" spans="37:37">
      <c r="AK199" s="55">
        <f t="shared" si="36"/>
        <v>0</v>
      </c>
    </row>
    <row r="200" spans="37:37">
      <c r="AK200" s="55">
        <f t="shared" si="36"/>
        <v>0</v>
      </c>
    </row>
    <row r="201" spans="37:37">
      <c r="AK201" s="55">
        <f t="shared" si="36"/>
        <v>0</v>
      </c>
    </row>
    <row r="202" spans="37:37">
      <c r="AK202" s="55">
        <f t="shared" si="36"/>
        <v>0</v>
      </c>
    </row>
    <row r="203" spans="37:37">
      <c r="AK203" s="55">
        <f t="shared" si="36"/>
        <v>0</v>
      </c>
    </row>
    <row r="204" spans="37:37">
      <c r="AK204" s="55">
        <f t="shared" si="36"/>
        <v>0</v>
      </c>
    </row>
    <row r="205" spans="37:37">
      <c r="AK205" s="55">
        <f t="shared" si="36"/>
        <v>0</v>
      </c>
    </row>
    <row r="206" spans="37:37">
      <c r="AK206" s="55">
        <f t="shared" si="36"/>
        <v>0</v>
      </c>
    </row>
    <row r="207" spans="37:37">
      <c r="AK207" s="55">
        <f t="shared" si="36"/>
        <v>0</v>
      </c>
    </row>
    <row r="208" spans="37:37">
      <c r="AK208" s="55">
        <f t="shared" si="36"/>
        <v>0</v>
      </c>
    </row>
    <row r="209" spans="37:37">
      <c r="AK209" s="55">
        <f t="shared" si="36"/>
        <v>0</v>
      </c>
    </row>
    <row r="210" spans="37:37">
      <c r="AK210" s="55">
        <f t="shared" si="36"/>
        <v>0</v>
      </c>
    </row>
    <row r="211" spans="37:37">
      <c r="AK211" s="55">
        <f t="shared" si="36"/>
        <v>0</v>
      </c>
    </row>
    <row r="212" spans="37:37">
      <c r="AK212" s="55">
        <f t="shared" si="36"/>
        <v>0</v>
      </c>
    </row>
    <row r="213" spans="37:37">
      <c r="AK213" s="55">
        <f t="shared" si="36"/>
        <v>0</v>
      </c>
    </row>
    <row r="214" spans="37:37">
      <c r="AK214" s="55">
        <f t="shared" si="36"/>
        <v>0</v>
      </c>
    </row>
    <row r="215" spans="37:37">
      <c r="AK215" s="55">
        <f t="shared" si="36"/>
        <v>0</v>
      </c>
    </row>
    <row r="216" spans="37:37">
      <c r="AK216" s="55">
        <f t="shared" si="36"/>
        <v>0</v>
      </c>
    </row>
    <row r="217" spans="37:37">
      <c r="AK217" s="55">
        <f t="shared" si="36"/>
        <v>0</v>
      </c>
    </row>
    <row r="218" spans="37:37">
      <c r="AK218" s="55">
        <f t="shared" si="36"/>
        <v>0</v>
      </c>
    </row>
    <row r="219" spans="37:37">
      <c r="AK219" s="55">
        <f t="shared" si="36"/>
        <v>0</v>
      </c>
    </row>
    <row r="220" spans="37:37">
      <c r="AK220" s="55">
        <f t="shared" si="36"/>
        <v>0</v>
      </c>
    </row>
    <row r="221" spans="37:37">
      <c r="AK221" s="55">
        <f t="shared" si="36"/>
        <v>0</v>
      </c>
    </row>
    <row r="222" spans="37:37">
      <c r="AK222" s="55">
        <f t="shared" si="36"/>
        <v>0</v>
      </c>
    </row>
    <row r="223" spans="37:37">
      <c r="AK223" s="55">
        <f t="shared" si="36"/>
        <v>0</v>
      </c>
    </row>
    <row r="224" spans="37:37">
      <c r="AK224" s="55">
        <f t="shared" si="36"/>
        <v>0</v>
      </c>
    </row>
    <row r="225" spans="37:37">
      <c r="AK225" s="55">
        <f t="shared" si="36"/>
        <v>0</v>
      </c>
    </row>
    <row r="226" spans="37:37">
      <c r="AK226" s="55">
        <f t="shared" si="36"/>
        <v>0</v>
      </c>
    </row>
    <row r="227" spans="37:37">
      <c r="AK227" s="55">
        <f>SUM(K227:AJ227)</f>
        <v>0</v>
      </c>
    </row>
    <row r="229" spans="37:37">
      <c r="AK229" s="25" t="s">
        <v>65</v>
      </c>
    </row>
    <row r="230" spans="37:37">
      <c r="AK230" s="55">
        <f>SUM(K230:AJ230)</f>
        <v>0</v>
      </c>
    </row>
    <row r="231" spans="37:37">
      <c r="AK231" s="55">
        <f t="shared" ref="AK231:AK264" si="37">SUM(K231:AJ231)</f>
        <v>0</v>
      </c>
    </row>
    <row r="232" spans="37:37">
      <c r="AK232" s="55">
        <f t="shared" si="37"/>
        <v>0</v>
      </c>
    </row>
    <row r="233" spans="37:37">
      <c r="AK233" s="55">
        <f t="shared" si="37"/>
        <v>0</v>
      </c>
    </row>
    <row r="234" spans="37:37">
      <c r="AK234" s="55">
        <f t="shared" si="37"/>
        <v>0</v>
      </c>
    </row>
    <row r="235" spans="37:37">
      <c r="AK235" s="55">
        <f t="shared" si="37"/>
        <v>0</v>
      </c>
    </row>
    <row r="236" spans="37:37">
      <c r="AK236" s="55">
        <f t="shared" si="37"/>
        <v>0</v>
      </c>
    </row>
    <row r="237" spans="37:37">
      <c r="AK237" s="55">
        <f t="shared" si="37"/>
        <v>0</v>
      </c>
    </row>
    <row r="238" spans="37:37">
      <c r="AK238" s="55">
        <f t="shared" si="37"/>
        <v>0</v>
      </c>
    </row>
    <row r="239" spans="37:37">
      <c r="AK239" s="55">
        <f t="shared" si="37"/>
        <v>0</v>
      </c>
    </row>
    <row r="240" spans="37:37">
      <c r="AK240" s="55">
        <f t="shared" si="37"/>
        <v>0</v>
      </c>
    </row>
    <row r="241" spans="37:37">
      <c r="AK241" s="55">
        <f t="shared" si="37"/>
        <v>0</v>
      </c>
    </row>
    <row r="242" spans="37:37">
      <c r="AK242" s="55">
        <f t="shared" si="37"/>
        <v>0</v>
      </c>
    </row>
    <row r="243" spans="37:37">
      <c r="AK243" s="55">
        <f t="shared" si="37"/>
        <v>0</v>
      </c>
    </row>
    <row r="244" spans="37:37">
      <c r="AK244" s="55">
        <f t="shared" si="37"/>
        <v>0</v>
      </c>
    </row>
    <row r="245" spans="37:37">
      <c r="AK245" s="55">
        <f t="shared" si="37"/>
        <v>0</v>
      </c>
    </row>
    <row r="246" spans="37:37">
      <c r="AK246" s="55">
        <f t="shared" si="37"/>
        <v>0</v>
      </c>
    </row>
    <row r="247" spans="37:37">
      <c r="AK247" s="55">
        <f t="shared" si="37"/>
        <v>0</v>
      </c>
    </row>
    <row r="248" spans="37:37">
      <c r="AK248" s="55">
        <f t="shared" si="37"/>
        <v>0</v>
      </c>
    </row>
    <row r="249" spans="37:37">
      <c r="AK249" s="55">
        <f t="shared" si="37"/>
        <v>0</v>
      </c>
    </row>
    <row r="250" spans="37:37">
      <c r="AK250" s="55">
        <f t="shared" si="37"/>
        <v>0</v>
      </c>
    </row>
    <row r="251" spans="37:37">
      <c r="AK251" s="55">
        <f t="shared" si="37"/>
        <v>0</v>
      </c>
    </row>
    <row r="252" spans="37:37">
      <c r="AK252" s="55">
        <f t="shared" si="37"/>
        <v>0</v>
      </c>
    </row>
    <row r="253" spans="37:37">
      <c r="AK253" s="55">
        <f t="shared" si="37"/>
        <v>0</v>
      </c>
    </row>
    <row r="254" spans="37:37">
      <c r="AK254" s="55">
        <f t="shared" si="37"/>
        <v>0</v>
      </c>
    </row>
    <row r="255" spans="37:37">
      <c r="AK255" s="55">
        <f t="shared" si="37"/>
        <v>0</v>
      </c>
    </row>
    <row r="256" spans="37:37">
      <c r="AK256" s="55">
        <f t="shared" si="37"/>
        <v>0</v>
      </c>
    </row>
    <row r="257" spans="37:37">
      <c r="AK257" s="55">
        <f t="shared" si="37"/>
        <v>0</v>
      </c>
    </row>
    <row r="258" spans="37:37">
      <c r="AK258" s="55">
        <f t="shared" si="37"/>
        <v>0</v>
      </c>
    </row>
    <row r="259" spans="37:37">
      <c r="AK259" s="55">
        <f t="shared" si="37"/>
        <v>0</v>
      </c>
    </row>
    <row r="260" spans="37:37">
      <c r="AK260" s="55">
        <f t="shared" si="37"/>
        <v>0</v>
      </c>
    </row>
    <row r="261" spans="37:37">
      <c r="AK261" s="55">
        <f t="shared" si="37"/>
        <v>0</v>
      </c>
    </row>
    <row r="262" spans="37:37">
      <c r="AK262" s="55">
        <f t="shared" si="37"/>
        <v>0</v>
      </c>
    </row>
    <row r="263" spans="37:37">
      <c r="AK263" s="55">
        <f t="shared" si="37"/>
        <v>0</v>
      </c>
    </row>
    <row r="264" spans="37:37">
      <c r="AK264" s="55">
        <f t="shared" si="37"/>
        <v>0</v>
      </c>
    </row>
    <row r="265" spans="37:37">
      <c r="AK265" s="55">
        <f>SUM(K265:AJ265)</f>
        <v>0</v>
      </c>
    </row>
    <row r="267" spans="37:37">
      <c r="AK267" s="25" t="s">
        <v>65</v>
      </c>
    </row>
    <row r="268" spans="37:37">
      <c r="AK268" s="55">
        <f>SUM(K268:AJ268)</f>
        <v>0</v>
      </c>
    </row>
    <row r="269" spans="37:37">
      <c r="AK269" s="55">
        <f t="shared" ref="AK269:AK302" si="38">SUM(K269:AJ269)</f>
        <v>0</v>
      </c>
    </row>
    <row r="270" spans="37:37">
      <c r="AK270" s="55">
        <f t="shared" si="38"/>
        <v>0</v>
      </c>
    </row>
    <row r="271" spans="37:37">
      <c r="AK271" s="55">
        <f t="shared" si="38"/>
        <v>0</v>
      </c>
    </row>
    <row r="272" spans="37:37">
      <c r="AK272" s="55">
        <f t="shared" si="38"/>
        <v>0</v>
      </c>
    </row>
    <row r="273" spans="37:37">
      <c r="AK273" s="55">
        <f t="shared" si="38"/>
        <v>0</v>
      </c>
    </row>
    <row r="274" spans="37:37">
      <c r="AK274" s="55">
        <f t="shared" si="38"/>
        <v>0</v>
      </c>
    </row>
    <row r="275" spans="37:37">
      <c r="AK275" s="55">
        <f t="shared" si="38"/>
        <v>0</v>
      </c>
    </row>
    <row r="276" spans="37:37">
      <c r="AK276" s="55">
        <f t="shared" si="38"/>
        <v>0</v>
      </c>
    </row>
    <row r="277" spans="37:37">
      <c r="AK277" s="55">
        <f t="shared" si="38"/>
        <v>0</v>
      </c>
    </row>
    <row r="278" spans="37:37">
      <c r="AK278" s="55">
        <f t="shared" si="38"/>
        <v>0</v>
      </c>
    </row>
    <row r="279" spans="37:37">
      <c r="AK279" s="55">
        <f t="shared" si="38"/>
        <v>0</v>
      </c>
    </row>
    <row r="280" spans="37:37">
      <c r="AK280" s="55">
        <f t="shared" si="38"/>
        <v>0</v>
      </c>
    </row>
    <row r="281" spans="37:37">
      <c r="AK281" s="55">
        <f t="shared" si="38"/>
        <v>0</v>
      </c>
    </row>
    <row r="282" spans="37:37">
      <c r="AK282" s="55">
        <f t="shared" si="38"/>
        <v>0</v>
      </c>
    </row>
    <row r="283" spans="37:37">
      <c r="AK283" s="55">
        <f t="shared" si="38"/>
        <v>0</v>
      </c>
    </row>
    <row r="284" spans="37:37">
      <c r="AK284" s="55">
        <f t="shared" si="38"/>
        <v>0</v>
      </c>
    </row>
    <row r="285" spans="37:37">
      <c r="AK285" s="55">
        <f t="shared" si="38"/>
        <v>0</v>
      </c>
    </row>
    <row r="286" spans="37:37">
      <c r="AK286" s="55">
        <f t="shared" si="38"/>
        <v>0</v>
      </c>
    </row>
    <row r="287" spans="37:37">
      <c r="AK287" s="55">
        <f t="shared" si="38"/>
        <v>0</v>
      </c>
    </row>
    <row r="288" spans="37:37">
      <c r="AK288" s="55">
        <f t="shared" si="38"/>
        <v>0</v>
      </c>
    </row>
    <row r="289" spans="37:37">
      <c r="AK289" s="55">
        <f t="shared" si="38"/>
        <v>0</v>
      </c>
    </row>
    <row r="290" spans="37:37">
      <c r="AK290" s="55">
        <f t="shared" si="38"/>
        <v>0</v>
      </c>
    </row>
    <row r="291" spans="37:37">
      <c r="AK291" s="55">
        <f t="shared" si="38"/>
        <v>0</v>
      </c>
    </row>
    <row r="292" spans="37:37">
      <c r="AK292" s="55">
        <f t="shared" si="38"/>
        <v>0</v>
      </c>
    </row>
    <row r="293" spans="37:37">
      <c r="AK293" s="55">
        <f t="shared" si="38"/>
        <v>0</v>
      </c>
    </row>
    <row r="294" spans="37:37">
      <c r="AK294" s="55">
        <f t="shared" si="38"/>
        <v>0</v>
      </c>
    </row>
    <row r="295" spans="37:37">
      <c r="AK295" s="55">
        <f t="shared" si="38"/>
        <v>0</v>
      </c>
    </row>
    <row r="296" spans="37:37">
      <c r="AK296" s="55">
        <f t="shared" si="38"/>
        <v>0</v>
      </c>
    </row>
    <row r="297" spans="37:37">
      <c r="AK297" s="55">
        <f t="shared" si="38"/>
        <v>0</v>
      </c>
    </row>
    <row r="298" spans="37:37">
      <c r="AK298" s="55">
        <f t="shared" si="38"/>
        <v>0</v>
      </c>
    </row>
    <row r="299" spans="37:37">
      <c r="AK299" s="55">
        <f t="shared" si="38"/>
        <v>0</v>
      </c>
    </row>
    <row r="300" spans="37:37">
      <c r="AK300" s="55">
        <f t="shared" si="38"/>
        <v>0</v>
      </c>
    </row>
    <row r="301" spans="37:37">
      <c r="AK301" s="55">
        <f t="shared" si="38"/>
        <v>0</v>
      </c>
    </row>
    <row r="302" spans="37:37">
      <c r="AK302" s="55">
        <f t="shared" si="38"/>
        <v>0</v>
      </c>
    </row>
    <row r="303" spans="37:37">
      <c r="AK303" s="55">
        <f>SUM(K303:AJ303)</f>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85F5-02F0-744B-A244-71D361B3A628}">
  <dimension ref="A1:AR1234"/>
  <sheetViews>
    <sheetView zoomScale="120" zoomScaleNormal="120" workbookViewId="0">
      <pane xSplit="2" ySplit="1" topLeftCell="C2" activePane="bottomRight" state="frozen"/>
      <selection pane="topRight" activeCell="C1" sqref="C1"/>
      <selection pane="bottomLeft" activeCell="A2" sqref="A2"/>
      <selection pane="bottomRight" activeCell="A2" sqref="A2:A124"/>
    </sheetView>
  </sheetViews>
  <sheetFormatPr baseColWidth="10" defaultRowHeight="16"/>
  <cols>
    <col min="3" max="6" width="16.5" customWidth="1"/>
    <col min="11" max="11" width="10.1640625" bestFit="1" customWidth="1"/>
  </cols>
  <sheetData>
    <row r="1" spans="1:44" s="23" customFormat="1" ht="34">
      <c r="A1" s="23" t="s">
        <v>24</v>
      </c>
      <c r="B1" s="23" t="s">
        <v>27</v>
      </c>
      <c r="C1" s="23" t="s">
        <v>28</v>
      </c>
      <c r="D1" s="23" t="s">
        <v>45</v>
      </c>
      <c r="E1" s="23" t="s">
        <v>146</v>
      </c>
      <c r="G1" t="s">
        <v>44</v>
      </c>
      <c r="H1">
        <v>2010</v>
      </c>
      <c r="I1">
        <v>2012</v>
      </c>
      <c r="J1">
        <v>2014</v>
      </c>
      <c r="K1">
        <v>2015</v>
      </c>
      <c r="L1">
        <v>2017</v>
      </c>
      <c r="M1">
        <v>2018</v>
      </c>
      <c r="N1">
        <v>2050</v>
      </c>
      <c r="O1"/>
      <c r="P1"/>
      <c r="Q1" t="s">
        <v>205</v>
      </c>
      <c r="R1" t="s">
        <v>206</v>
      </c>
      <c r="S1" t="s">
        <v>207</v>
      </c>
      <c r="T1" t="s">
        <v>208</v>
      </c>
      <c r="U1" t="s">
        <v>209</v>
      </c>
      <c r="V1" t="s">
        <v>210</v>
      </c>
      <c r="W1" t="s">
        <v>214</v>
      </c>
      <c r="X1" t="s">
        <v>219</v>
      </c>
      <c r="Y1" t="s">
        <v>216</v>
      </c>
      <c r="Z1" s="23" t="s">
        <v>217</v>
      </c>
      <c r="AA1" s="23" t="s">
        <v>218</v>
      </c>
    </row>
    <row r="2" spans="1:44">
      <c r="A2">
        <v>2010</v>
      </c>
      <c r="B2" t="s">
        <v>25</v>
      </c>
      <c r="C2" s="27">
        <f>AA12</f>
        <v>6755.3370000000004</v>
      </c>
      <c r="D2" s="125">
        <f>H3</f>
        <v>4.4000000000000004</v>
      </c>
      <c r="E2" s="20">
        <f>C2/D2</f>
        <v>1535.3038636363635</v>
      </c>
      <c r="F2" s="20"/>
      <c r="G2" t="s">
        <v>26</v>
      </c>
      <c r="H2" cm="1">
        <f t="array" ref="H2">_xlfn.XLOOKUP(1,(params!$AY:$AY="Mean number of household members")*(params!$AZ:$AZ=$G2)*(params!$AX:$AX=H$1),params!$BA:$BA)</f>
        <v>4.7</v>
      </c>
      <c r="I2" cm="1">
        <f t="array" ref="I2">_xlfn.XLOOKUP(1,(params!$AY:$AY="Mean number of household members")*(params!$AZ:$AZ=$G2)*(params!$AX:$AX=I$1),params!$BA:$BA)</f>
        <v>4.2</v>
      </c>
      <c r="J2" cm="1">
        <f t="array" ref="J2">_xlfn.XLOOKUP(1,(params!$AY:$AY="Mean number of household members")*(params!$AZ:$AZ=$G2)*(params!$AX:$AX=J$1),params!$BA:$BA)</f>
        <v>4.0999999999999996</v>
      </c>
      <c r="K2" cm="1">
        <f t="array" ref="K2">_xlfn.XLOOKUP(1,(params!$AY:$AY="Mean number of household members")*(params!$AZ:$AZ=$G2)*(params!$AX:$AX=K$1),params!$BA:$BA)</f>
        <v>4.5</v>
      </c>
      <c r="L2" cm="1">
        <f t="array" ref="L2">_xlfn.XLOOKUP(1,(params!$AY:$AY="Mean number of household members")*(params!$AZ:$AZ=$G2)*(params!$AX:$AX=L$1),params!$BA:$BA)</f>
        <v>4.5</v>
      </c>
      <c r="M2" s="18">
        <v>4.5</v>
      </c>
      <c r="N2" s="18">
        <v>4</v>
      </c>
      <c r="Q2" t="s">
        <v>211</v>
      </c>
      <c r="R2" t="s">
        <v>162</v>
      </c>
      <c r="S2" t="s">
        <v>25</v>
      </c>
      <c r="T2" t="s">
        <v>40</v>
      </c>
      <c r="U2">
        <v>2000</v>
      </c>
      <c r="V2">
        <v>1.2999999999999999E-2</v>
      </c>
      <c r="W2">
        <v>21.606649999999998</v>
      </c>
      <c r="Y2">
        <v>2000</v>
      </c>
      <c r="Z2" t="s">
        <v>47</v>
      </c>
      <c r="AA2">
        <v>4276.1710000000003</v>
      </c>
      <c r="AD2">
        <v>2010</v>
      </c>
      <c r="AE2">
        <v>2010</v>
      </c>
      <c r="AF2">
        <v>2010</v>
      </c>
      <c r="AG2">
        <v>2012</v>
      </c>
      <c r="AH2">
        <v>2012</v>
      </c>
      <c r="AI2">
        <v>2012</v>
      </c>
      <c r="AJ2">
        <v>2014</v>
      </c>
      <c r="AK2">
        <v>2014</v>
      </c>
      <c r="AL2">
        <v>2014</v>
      </c>
      <c r="AM2">
        <v>2015</v>
      </c>
      <c r="AN2">
        <v>2015</v>
      </c>
      <c r="AO2">
        <v>2015</v>
      </c>
      <c r="AP2">
        <v>2017</v>
      </c>
      <c r="AQ2">
        <v>2017</v>
      </c>
      <c r="AR2">
        <v>2017</v>
      </c>
    </row>
    <row r="3" spans="1:44">
      <c r="A3">
        <v>2011</v>
      </c>
      <c r="B3" t="s">
        <v>25</v>
      </c>
      <c r="C3" s="27">
        <f t="shared" ref="C3:C42" si="0">AA13</f>
        <v>7084.1350000000002</v>
      </c>
      <c r="D3" s="18">
        <f>D2+(D$10-D$2)/(A$10-A$2)</f>
        <v>4.375</v>
      </c>
      <c r="E3" s="20">
        <f t="shared" ref="E3:E66" si="1">C3/D3</f>
        <v>1619.2308571428573</v>
      </c>
      <c r="F3" s="20"/>
      <c r="G3" t="s">
        <v>25</v>
      </c>
      <c r="H3" cm="1">
        <f t="array" ref="H3">_xlfn.XLOOKUP(1,(params!$AY:$AY="Mean number of household members")*(params!$AZ:$AZ=$G3)*(params!$AX:$AX=H$1),params!$BA:$BA)</f>
        <v>4.4000000000000004</v>
      </c>
      <c r="I3" cm="1">
        <f t="array" ref="I3">_xlfn.XLOOKUP(1,(params!$AY:$AY="Mean number of household members")*(params!$AZ:$AZ=$G3)*(params!$AX:$AX=I$1),params!$BA:$BA)</f>
        <v>4.0999999999999996</v>
      </c>
      <c r="J3" cm="1">
        <f t="array" ref="J3">_xlfn.XLOOKUP(1,(params!$AY:$AY="Mean number of household members")*(params!$AZ:$AZ=$G3)*(params!$AX:$AX=J$1),params!$BA:$BA)</f>
        <v>4</v>
      </c>
      <c r="K3" cm="1">
        <f t="array" ref="K3">_xlfn.XLOOKUP(1,(params!$AY:$AY="Mean number of household members")*(params!$AZ:$AZ=$G3)*(params!$AX:$AX=K$1),params!$BA:$BA)</f>
        <v>4.3</v>
      </c>
      <c r="L3" cm="1">
        <f t="array" ref="L3">_xlfn.XLOOKUP(1,(params!$AY:$AY="Mean number of household members")*(params!$AZ:$AZ=$G3)*(params!$AX:$AX=L$1),params!$BA:$BA)</f>
        <v>4.2</v>
      </c>
      <c r="M3" s="18">
        <v>4.2</v>
      </c>
      <c r="N3" s="18">
        <v>3</v>
      </c>
      <c r="Q3" t="s">
        <v>211</v>
      </c>
      <c r="R3" t="s">
        <v>162</v>
      </c>
      <c r="S3" t="s">
        <v>25</v>
      </c>
      <c r="T3" t="s">
        <v>40</v>
      </c>
      <c r="U3">
        <v>2001</v>
      </c>
      <c r="V3">
        <v>1.0999999999999999E-2</v>
      </c>
      <c r="W3">
        <v>18.909307999999999</v>
      </c>
      <c r="Y3">
        <v>2001</v>
      </c>
      <c r="Z3" t="s">
        <v>47</v>
      </c>
      <c r="AA3">
        <v>4454.0360000000001</v>
      </c>
      <c r="AD3" t="s">
        <v>29</v>
      </c>
      <c r="AE3" t="s">
        <v>25</v>
      </c>
      <c r="AF3" t="s">
        <v>26</v>
      </c>
      <c r="AG3" t="s">
        <v>29</v>
      </c>
      <c r="AH3" t="s">
        <v>25</v>
      </c>
      <c r="AI3" t="s">
        <v>26</v>
      </c>
      <c r="AJ3" t="s">
        <v>29</v>
      </c>
      <c r="AK3" t="s">
        <v>25</v>
      </c>
      <c r="AL3" t="s">
        <v>26</v>
      </c>
      <c r="AM3" t="s">
        <v>29</v>
      </c>
      <c r="AN3" t="s">
        <v>25</v>
      </c>
      <c r="AO3" t="s">
        <v>26</v>
      </c>
      <c r="AP3" t="s">
        <v>29</v>
      </c>
      <c r="AQ3" t="s">
        <v>25</v>
      </c>
      <c r="AR3" t="s">
        <v>26</v>
      </c>
    </row>
    <row r="4" spans="1:44">
      <c r="A4">
        <v>2012</v>
      </c>
      <c r="B4" t="s">
        <v>25</v>
      </c>
      <c r="C4" s="27">
        <f t="shared" si="0"/>
        <v>7425.0479999999998</v>
      </c>
      <c r="D4" s="18">
        <f>D3+(D$10-D$2)/(A$10-A$2)</f>
        <v>4.3499999999999996</v>
      </c>
      <c r="E4" s="20">
        <f t="shared" si="1"/>
        <v>1706.9075862068967</v>
      </c>
      <c r="F4" s="20"/>
      <c r="G4" t="s">
        <v>29</v>
      </c>
      <c r="H4" cm="1">
        <f t="array" ref="H4">_xlfn.XLOOKUP(1,(params!$AY:$AY="Mean number of household members")*(params!$AZ:$AZ=$G4)*(params!$AX:$AX=H$1),params!$BA:$BA)</f>
        <v>4.5999999999999996</v>
      </c>
      <c r="I4" cm="1">
        <f t="array" ref="I4">_xlfn.XLOOKUP(1,(params!$AY:$AY="Mean number of household members")*(params!$AZ:$AZ=$G4)*(params!$AX:$AX=I$1),params!$BA:$BA)</f>
        <v>4.2</v>
      </c>
      <c r="J4" cm="1">
        <f t="array" ref="J4">_xlfn.XLOOKUP(1,(params!$AY:$AY="Mean number of household members")*(params!$AZ:$AZ=$G4)*(params!$AX:$AX=J$1),params!$BA:$BA)</f>
        <v>4.0999999999999996</v>
      </c>
      <c r="K4" cm="1">
        <f t="array" ref="K4">_xlfn.XLOOKUP(1,(params!$AY:$AY="Mean number of household members")*(params!$AZ:$AZ=$G4)*(params!$AX:$AX=K$1),params!$BA:$BA)</f>
        <v>4.5</v>
      </c>
      <c r="L4" cm="1">
        <f t="array" ref="L4">_xlfn.XLOOKUP(1,(params!$AY:$AY="Mean number of household members")*(params!$AZ:$AZ=$G4)*(params!$AX:$AX=L$1),params!$BA:$BA)</f>
        <v>4.5</v>
      </c>
      <c r="M4" s="18">
        <v>4.4000000000000004</v>
      </c>
      <c r="N4" s="18" cm="1">
        <f t="array" ref="N4">(N2*_xlfn.XLOOKUP(1,($A:$A=N$1)*($B:$B=$G2),$C:$C)+N3*_xlfn.XLOOKUP(1,($A:$A=N$1)*($B:$B=$G3),$C:$C))/_xlfn.XLOOKUP(1,($A:$A=N$1)*($B:$B=$G4),$C:$C)</f>
        <v>3.4763626473756961</v>
      </c>
      <c r="Q4" t="s">
        <v>211</v>
      </c>
      <c r="R4" t="s">
        <v>162</v>
      </c>
      <c r="S4" t="s">
        <v>25</v>
      </c>
      <c r="T4" t="s">
        <v>40</v>
      </c>
      <c r="U4">
        <v>2002</v>
      </c>
      <c r="V4">
        <v>8.9999999999999993E-3</v>
      </c>
      <c r="W4">
        <v>15.987249</v>
      </c>
      <c r="Y4">
        <v>2002</v>
      </c>
      <c r="Z4" t="s">
        <v>47</v>
      </c>
      <c r="AA4">
        <v>4637.6899999999996</v>
      </c>
      <c r="AD4">
        <v>4.5999999999999996</v>
      </c>
      <c r="AE4">
        <v>4.4000000000000004</v>
      </c>
      <c r="AF4">
        <v>4.7</v>
      </c>
      <c r="AG4">
        <v>4.2</v>
      </c>
      <c r="AH4">
        <v>4.0999999999999996</v>
      </c>
      <c r="AI4">
        <v>4.2</v>
      </c>
      <c r="AJ4">
        <v>4.0999999999999996</v>
      </c>
      <c r="AK4">
        <v>4</v>
      </c>
      <c r="AL4">
        <v>4.0999999999999996</v>
      </c>
      <c r="AM4">
        <v>4.5</v>
      </c>
      <c r="AN4">
        <v>4.3</v>
      </c>
      <c r="AO4">
        <v>4.5</v>
      </c>
      <c r="AP4">
        <v>4.5</v>
      </c>
      <c r="AQ4">
        <v>4.2</v>
      </c>
      <c r="AR4">
        <v>4.5</v>
      </c>
    </row>
    <row r="5" spans="1:44">
      <c r="A5">
        <v>2013</v>
      </c>
      <c r="B5" t="s">
        <v>25</v>
      </c>
      <c r="C5" s="27">
        <f t="shared" si="0"/>
        <v>7778.8419999999996</v>
      </c>
      <c r="D5" s="18">
        <f>D4+(D$10-D$2)/(A$10-A$2)</f>
        <v>4.3249999999999993</v>
      </c>
      <c r="E5" s="20">
        <f t="shared" si="1"/>
        <v>1798.5761849710984</v>
      </c>
      <c r="F5" s="20"/>
      <c r="K5" s="54"/>
      <c r="L5" s="18"/>
      <c r="M5" s="18" cm="1">
        <f t="array" ref="M5">(M2*_xlfn.XLOOKUP(1,($A:$A=M$1)*($B:$B=$G2),$C:$C)+M3*_xlfn.XLOOKUP(1,($A:$A=M$1)*($B:$B=$G3),$C:$C))/_xlfn.XLOOKUP(1,($A:$A=M$1)*($B:$B=$G4),$C:$C)</f>
        <v>4.3859232121055447</v>
      </c>
      <c r="O5" s="54"/>
      <c r="Q5" t="s">
        <v>211</v>
      </c>
      <c r="R5" t="s">
        <v>162</v>
      </c>
      <c r="S5" t="s">
        <v>25</v>
      </c>
      <c r="T5" t="s">
        <v>40</v>
      </c>
      <c r="U5">
        <v>2003</v>
      </c>
      <c r="V5">
        <v>7.0000000000000001E-3</v>
      </c>
      <c r="W5">
        <v>12.845511</v>
      </c>
      <c r="Y5">
        <v>2003</v>
      </c>
      <c r="Z5" t="s">
        <v>47</v>
      </c>
      <c r="AA5">
        <v>4827.1180000000004</v>
      </c>
    </row>
    <row r="6" spans="1:44">
      <c r="A6">
        <v>2014</v>
      </c>
      <c r="B6" t="s">
        <v>25</v>
      </c>
      <c r="C6" s="27">
        <f t="shared" si="0"/>
        <v>8146.4859999999999</v>
      </c>
      <c r="D6" s="18">
        <f t="shared" ref="D6:D9" si="2">D5+(D$10-D$2)/(A$10-A$2)</f>
        <v>4.2999999999999989</v>
      </c>
      <c r="E6" s="20">
        <f t="shared" si="1"/>
        <v>1894.5316279069773</v>
      </c>
      <c r="F6" s="20"/>
      <c r="Q6" t="s">
        <v>211</v>
      </c>
      <c r="R6" t="s">
        <v>162</v>
      </c>
      <c r="S6" t="s">
        <v>25</v>
      </c>
      <c r="T6" t="s">
        <v>40</v>
      </c>
      <c r="U6">
        <v>2004</v>
      </c>
      <c r="V6">
        <v>6.0000000000000001E-3</v>
      </c>
      <c r="W6">
        <v>11.381285999999999</v>
      </c>
      <c r="Y6">
        <v>2004</v>
      </c>
      <c r="Z6" t="s">
        <v>47</v>
      </c>
      <c r="AA6">
        <v>5022.4920000000002</v>
      </c>
    </row>
    <row r="7" spans="1:44">
      <c r="A7">
        <v>2015</v>
      </c>
      <c r="B7" t="s">
        <v>25</v>
      </c>
      <c r="C7" s="27">
        <f t="shared" si="0"/>
        <v>8528.7929999999997</v>
      </c>
      <c r="D7" s="18">
        <f t="shared" si="2"/>
        <v>4.2749999999999986</v>
      </c>
      <c r="E7" s="20">
        <f t="shared" si="1"/>
        <v>1995.0392982456146</v>
      </c>
      <c r="F7" s="20"/>
      <c r="Q7" t="s">
        <v>211</v>
      </c>
      <c r="R7" t="s">
        <v>162</v>
      </c>
      <c r="S7" t="s">
        <v>25</v>
      </c>
      <c r="T7" t="s">
        <v>40</v>
      </c>
      <c r="U7">
        <v>2005</v>
      </c>
      <c r="V7">
        <v>4.0000000000000001E-3</v>
      </c>
      <c r="W7">
        <v>7.851928</v>
      </c>
      <c r="Y7">
        <v>2005</v>
      </c>
      <c r="Z7" t="s">
        <v>47</v>
      </c>
      <c r="AA7">
        <v>5283.5429999999997</v>
      </c>
    </row>
    <row r="8" spans="1:44">
      <c r="A8">
        <v>2016</v>
      </c>
      <c r="B8" t="s">
        <v>25</v>
      </c>
      <c r="C8" s="27">
        <f t="shared" si="0"/>
        <v>8926.2459999999992</v>
      </c>
      <c r="D8" s="18">
        <f t="shared" si="2"/>
        <v>4.2499999999999982</v>
      </c>
      <c r="E8" s="20">
        <f t="shared" si="1"/>
        <v>2100.2931764705891</v>
      </c>
      <c r="F8" s="20"/>
      <c r="Q8" t="s">
        <v>211</v>
      </c>
      <c r="R8" t="s">
        <v>162</v>
      </c>
      <c r="S8" t="s">
        <v>25</v>
      </c>
      <c r="T8" t="s">
        <v>40</v>
      </c>
      <c r="U8">
        <v>2006</v>
      </c>
      <c r="V8">
        <v>3.0000000000000001E-3</v>
      </c>
      <c r="W8">
        <v>6.1011839999999999</v>
      </c>
      <c r="Y8">
        <v>2006</v>
      </c>
      <c r="Z8" t="s">
        <v>47</v>
      </c>
      <c r="AA8">
        <v>5555.5060000000003</v>
      </c>
    </row>
    <row r="9" spans="1:44">
      <c r="A9">
        <v>2017</v>
      </c>
      <c r="B9" t="s">
        <v>25</v>
      </c>
      <c r="C9" s="27">
        <f t="shared" si="0"/>
        <v>9339.0249999999996</v>
      </c>
      <c r="D9" s="18">
        <f t="shared" si="2"/>
        <v>4.2249999999999979</v>
      </c>
      <c r="E9" s="20">
        <f t="shared" si="1"/>
        <v>2210.4201183431965</v>
      </c>
      <c r="F9" s="20"/>
      <c r="Q9" t="s">
        <v>211</v>
      </c>
      <c r="R9" t="s">
        <v>162</v>
      </c>
      <c r="S9" t="s">
        <v>25</v>
      </c>
      <c r="T9" t="s">
        <v>40</v>
      </c>
      <c r="U9">
        <v>2007</v>
      </c>
      <c r="V9">
        <v>3.0000000000000001E-3</v>
      </c>
      <c r="W9">
        <v>6.3258419999999997</v>
      </c>
      <c r="Y9">
        <v>2007</v>
      </c>
      <c r="Z9" t="s">
        <v>47</v>
      </c>
      <c r="AA9">
        <v>5838.4830000000002</v>
      </c>
    </row>
    <row r="10" spans="1:44">
      <c r="A10">
        <v>2018</v>
      </c>
      <c r="B10" t="s">
        <v>25</v>
      </c>
      <c r="C10" s="27">
        <f t="shared" si="0"/>
        <v>9767.2849999999999</v>
      </c>
      <c r="D10" s="125">
        <f>M3</f>
        <v>4.2</v>
      </c>
      <c r="E10" s="20">
        <f t="shared" si="1"/>
        <v>2325.5440476190474</v>
      </c>
      <c r="F10" s="20"/>
      <c r="Q10" t="s">
        <v>211</v>
      </c>
      <c r="R10" t="s">
        <v>162</v>
      </c>
      <c r="S10" t="s">
        <v>25</v>
      </c>
      <c r="T10" t="s">
        <v>40</v>
      </c>
      <c r="U10">
        <v>2008</v>
      </c>
      <c r="V10">
        <v>2E-3</v>
      </c>
      <c r="W10">
        <v>4.3743420000000004</v>
      </c>
      <c r="Y10">
        <v>2008</v>
      </c>
      <c r="Z10" t="s">
        <v>47</v>
      </c>
      <c r="AA10">
        <v>6132.9170000000004</v>
      </c>
    </row>
    <row r="11" spans="1:44">
      <c r="A11">
        <v>2019</v>
      </c>
      <c r="B11" t="s">
        <v>25</v>
      </c>
      <c r="C11" s="27">
        <f t="shared" si="0"/>
        <v>10211.029</v>
      </c>
      <c r="D11" s="18">
        <f>D10+(D$42-D$10)/(A$42-A$10)</f>
        <v>4.1625000000000005</v>
      </c>
      <c r="E11" s="20">
        <f t="shared" si="1"/>
        <v>2453.1000600600601</v>
      </c>
      <c r="F11" s="20"/>
      <c r="Q11" t="s">
        <v>211</v>
      </c>
      <c r="R11" t="s">
        <v>162</v>
      </c>
      <c r="S11" t="s">
        <v>25</v>
      </c>
      <c r="T11" t="s">
        <v>40</v>
      </c>
      <c r="U11">
        <v>2009</v>
      </c>
      <c r="V11">
        <v>1E-3</v>
      </c>
      <c r="W11">
        <v>2.2702719999999998</v>
      </c>
      <c r="Y11">
        <v>2009</v>
      </c>
      <c r="Z11" t="s">
        <v>47</v>
      </c>
      <c r="AA11">
        <v>6438.2709999999997</v>
      </c>
    </row>
    <row r="12" spans="1:44">
      <c r="A12">
        <v>2020</v>
      </c>
      <c r="B12" t="s">
        <v>25</v>
      </c>
      <c r="C12" s="27">
        <f t="shared" si="0"/>
        <v>10670.252</v>
      </c>
      <c r="D12" s="18">
        <f t="shared" ref="D12:D41" si="3">D11+(D$42-D$10)/(A$42-A$10)</f>
        <v>4.1250000000000009</v>
      </c>
      <c r="E12" s="20">
        <f t="shared" si="1"/>
        <v>2586.7277575757571</v>
      </c>
      <c r="F12" s="20"/>
      <c r="Q12" t="s">
        <v>211</v>
      </c>
      <c r="R12" t="s">
        <v>162</v>
      </c>
      <c r="S12" t="s">
        <v>25</v>
      </c>
      <c r="T12" t="s">
        <v>40</v>
      </c>
      <c r="U12">
        <v>2010</v>
      </c>
      <c r="V12">
        <v>1E-3</v>
      </c>
      <c r="W12">
        <v>2.3575810000000001</v>
      </c>
      <c r="Y12">
        <v>2010</v>
      </c>
      <c r="Z12" t="s">
        <v>47</v>
      </c>
      <c r="AA12">
        <v>6755.3370000000004</v>
      </c>
    </row>
    <row r="13" spans="1:44">
      <c r="A13">
        <v>2021</v>
      </c>
      <c r="B13" t="s">
        <v>25</v>
      </c>
      <c r="C13" s="27">
        <f t="shared" si="0"/>
        <v>11145.081</v>
      </c>
      <c r="D13" s="18">
        <f t="shared" si="3"/>
        <v>4.0875000000000012</v>
      </c>
      <c r="E13" s="20">
        <f t="shared" si="1"/>
        <v>2726.6253211009166</v>
      </c>
      <c r="F13" s="20"/>
      <c r="Q13" t="s">
        <v>211</v>
      </c>
      <c r="R13" t="s">
        <v>162</v>
      </c>
      <c r="S13" t="s">
        <v>25</v>
      </c>
      <c r="T13" t="s">
        <v>40</v>
      </c>
      <c r="U13">
        <v>2011</v>
      </c>
      <c r="V13">
        <v>1E-3</v>
      </c>
      <c r="W13">
        <v>2.449138</v>
      </c>
      <c r="Y13">
        <v>2011</v>
      </c>
      <c r="Z13" t="s">
        <v>47</v>
      </c>
      <c r="AA13">
        <v>7084.1350000000002</v>
      </c>
    </row>
    <row r="14" spans="1:44">
      <c r="A14">
        <v>2022</v>
      </c>
      <c r="B14" t="s">
        <v>25</v>
      </c>
      <c r="C14" s="27">
        <f t="shared" si="0"/>
        <v>11635.629000000001</v>
      </c>
      <c r="D14" s="18">
        <f t="shared" si="3"/>
        <v>4.0500000000000016</v>
      </c>
      <c r="E14" s="20">
        <f t="shared" si="1"/>
        <v>2872.9948148148137</v>
      </c>
      <c r="F14" s="20"/>
      <c r="Q14" t="s">
        <v>211</v>
      </c>
      <c r="R14" t="s">
        <v>162</v>
      </c>
      <c r="S14" t="s">
        <v>25</v>
      </c>
      <c r="T14" t="s">
        <v>40</v>
      </c>
      <c r="U14">
        <v>2012</v>
      </c>
      <c r="V14">
        <v>0</v>
      </c>
      <c r="W14">
        <v>0</v>
      </c>
      <c r="Y14">
        <v>2012</v>
      </c>
      <c r="Z14" t="s">
        <v>47</v>
      </c>
      <c r="AA14">
        <v>7425.0479999999998</v>
      </c>
    </row>
    <row r="15" spans="1:44">
      <c r="A15">
        <v>2023</v>
      </c>
      <c r="B15" t="s">
        <v>25</v>
      </c>
      <c r="C15" s="27">
        <f t="shared" si="0"/>
        <v>12141.777</v>
      </c>
      <c r="D15" s="18">
        <f t="shared" si="3"/>
        <v>4.012500000000002</v>
      </c>
      <c r="E15" s="20">
        <f t="shared" si="1"/>
        <v>3025.9880373831761</v>
      </c>
      <c r="F15" s="20"/>
      <c r="Q15" t="s">
        <v>211</v>
      </c>
      <c r="R15" t="s">
        <v>162</v>
      </c>
      <c r="S15" t="s">
        <v>25</v>
      </c>
      <c r="T15" t="s">
        <v>40</v>
      </c>
      <c r="U15">
        <v>2013</v>
      </c>
      <c r="V15">
        <v>0</v>
      </c>
      <c r="W15">
        <v>0</v>
      </c>
      <c r="Y15">
        <v>2013</v>
      </c>
      <c r="Z15" t="s">
        <v>47</v>
      </c>
      <c r="AA15">
        <v>7778.8419999999996</v>
      </c>
    </row>
    <row r="16" spans="1:44">
      <c r="A16">
        <v>2024</v>
      </c>
      <c r="B16" t="s">
        <v>25</v>
      </c>
      <c r="C16" s="27">
        <f t="shared" si="0"/>
        <v>12663.299000000001</v>
      </c>
      <c r="D16" s="18">
        <f t="shared" si="3"/>
        <v>3.9750000000000019</v>
      </c>
      <c r="E16" s="20">
        <f t="shared" si="1"/>
        <v>3185.7355974842753</v>
      </c>
      <c r="F16" s="20"/>
      <c r="Q16" t="s">
        <v>211</v>
      </c>
      <c r="R16" t="s">
        <v>162</v>
      </c>
      <c r="S16" t="s">
        <v>25</v>
      </c>
      <c r="T16" t="s">
        <v>40</v>
      </c>
      <c r="U16">
        <v>2014</v>
      </c>
      <c r="V16">
        <v>0</v>
      </c>
      <c r="W16">
        <v>0</v>
      </c>
      <c r="Y16">
        <v>2014</v>
      </c>
      <c r="Z16" t="s">
        <v>47</v>
      </c>
      <c r="AA16">
        <v>8146.4859999999999</v>
      </c>
    </row>
    <row r="17" spans="1:27">
      <c r="A17">
        <v>2025</v>
      </c>
      <c r="B17" t="s">
        <v>25</v>
      </c>
      <c r="C17" s="27">
        <f t="shared" si="0"/>
        <v>13199.949000000001</v>
      </c>
      <c r="D17" s="18">
        <f t="shared" si="3"/>
        <v>3.9375000000000018</v>
      </c>
      <c r="E17" s="20">
        <f t="shared" si="1"/>
        <v>3352.3679999999986</v>
      </c>
      <c r="F17" s="20"/>
      <c r="Q17" t="s">
        <v>211</v>
      </c>
      <c r="R17" t="s">
        <v>162</v>
      </c>
      <c r="S17" t="s">
        <v>25</v>
      </c>
      <c r="T17" t="s">
        <v>40</v>
      </c>
      <c r="U17">
        <v>2015</v>
      </c>
      <c r="V17">
        <v>0</v>
      </c>
      <c r="W17">
        <v>0</v>
      </c>
      <c r="Y17">
        <v>2015</v>
      </c>
      <c r="Z17" t="s">
        <v>47</v>
      </c>
      <c r="AA17">
        <v>8528.7929999999997</v>
      </c>
    </row>
    <row r="18" spans="1:27">
      <c r="A18">
        <v>2026</v>
      </c>
      <c r="B18" t="s">
        <v>25</v>
      </c>
      <c r="C18" s="27">
        <f t="shared" si="0"/>
        <v>13751.596</v>
      </c>
      <c r="D18" s="18">
        <f t="shared" si="3"/>
        <v>3.9000000000000017</v>
      </c>
      <c r="E18" s="20">
        <f t="shared" si="1"/>
        <v>3526.0502564102549</v>
      </c>
      <c r="F18" s="20"/>
      <c r="Q18" t="s">
        <v>211</v>
      </c>
      <c r="R18" t="s">
        <v>162</v>
      </c>
      <c r="S18" t="s">
        <v>25</v>
      </c>
      <c r="T18" t="s">
        <v>40</v>
      </c>
      <c r="U18">
        <v>2016</v>
      </c>
      <c r="V18">
        <v>0</v>
      </c>
      <c r="W18">
        <v>0</v>
      </c>
      <c r="Y18">
        <v>2016</v>
      </c>
      <c r="Z18" t="s">
        <v>47</v>
      </c>
      <c r="AA18">
        <v>8926.2459999999992</v>
      </c>
    </row>
    <row r="19" spans="1:27">
      <c r="A19">
        <v>2027</v>
      </c>
      <c r="B19" t="s">
        <v>25</v>
      </c>
      <c r="C19" s="27">
        <f t="shared" si="0"/>
        <v>14318.035</v>
      </c>
      <c r="D19" s="18">
        <f t="shared" si="3"/>
        <v>3.8625000000000016</v>
      </c>
      <c r="E19" s="20">
        <f t="shared" si="1"/>
        <v>3706.9346278317134</v>
      </c>
      <c r="F19" s="20"/>
      <c r="Q19" t="s">
        <v>211</v>
      </c>
      <c r="R19" t="s">
        <v>162</v>
      </c>
      <c r="S19" t="s">
        <v>25</v>
      </c>
      <c r="T19" t="s">
        <v>40</v>
      </c>
      <c r="U19">
        <v>2017</v>
      </c>
      <c r="V19">
        <v>0</v>
      </c>
      <c r="W19">
        <v>0</v>
      </c>
      <c r="Y19">
        <v>2017</v>
      </c>
      <c r="Z19" t="s">
        <v>47</v>
      </c>
      <c r="AA19">
        <v>9339.0249999999996</v>
      </c>
    </row>
    <row r="20" spans="1:27">
      <c r="A20">
        <v>2028</v>
      </c>
      <c r="B20" t="s">
        <v>25</v>
      </c>
      <c r="C20" s="27">
        <f t="shared" si="0"/>
        <v>14898.866</v>
      </c>
      <c r="D20" s="18">
        <f t="shared" si="3"/>
        <v>3.8250000000000015</v>
      </c>
      <c r="E20" s="20">
        <f t="shared" si="1"/>
        <v>3895.1283660130703</v>
      </c>
      <c r="F20" s="20"/>
      <c r="Q20" t="s">
        <v>211</v>
      </c>
      <c r="R20" t="s">
        <v>162</v>
      </c>
      <c r="S20" t="s">
        <v>25</v>
      </c>
      <c r="T20" t="s">
        <v>40</v>
      </c>
      <c r="U20">
        <v>2018</v>
      </c>
      <c r="V20">
        <v>0</v>
      </c>
      <c r="W20">
        <v>0</v>
      </c>
      <c r="Y20">
        <v>2018</v>
      </c>
      <c r="Z20" t="s">
        <v>47</v>
      </c>
      <c r="AA20">
        <v>9767.2849999999999</v>
      </c>
    </row>
    <row r="21" spans="1:27">
      <c r="A21">
        <v>2029</v>
      </c>
      <c r="B21" t="s">
        <v>25</v>
      </c>
      <c r="C21" s="27">
        <f t="shared" si="0"/>
        <v>15493.575999999999</v>
      </c>
      <c r="D21" s="18">
        <f t="shared" si="3"/>
        <v>3.7875000000000014</v>
      </c>
      <c r="E21" s="20">
        <f t="shared" si="1"/>
        <v>4090.7131353135296</v>
      </c>
      <c r="F21" s="20"/>
      <c r="Q21" t="s">
        <v>211</v>
      </c>
      <c r="R21" t="s">
        <v>162</v>
      </c>
      <c r="S21" t="s">
        <v>25</v>
      </c>
      <c r="T21" t="s">
        <v>40</v>
      </c>
      <c r="U21">
        <v>2019</v>
      </c>
      <c r="V21">
        <v>0</v>
      </c>
      <c r="W21">
        <v>0</v>
      </c>
      <c r="Y21">
        <v>2019</v>
      </c>
      <c r="Z21" t="s">
        <v>47</v>
      </c>
      <c r="AA21">
        <v>10211.029</v>
      </c>
    </row>
    <row r="22" spans="1:27">
      <c r="A22">
        <v>2030</v>
      </c>
      <c r="B22" t="s">
        <v>25</v>
      </c>
      <c r="C22" s="27">
        <f t="shared" si="0"/>
        <v>16101.66</v>
      </c>
      <c r="D22" s="18">
        <f t="shared" si="3"/>
        <v>3.7500000000000013</v>
      </c>
      <c r="E22" s="20">
        <f t="shared" si="1"/>
        <v>4293.775999999998</v>
      </c>
      <c r="F22" s="20"/>
      <c r="Q22" t="s">
        <v>211</v>
      </c>
      <c r="R22" t="s">
        <v>162</v>
      </c>
      <c r="S22" t="s">
        <v>25</v>
      </c>
      <c r="T22" t="s">
        <v>40</v>
      </c>
      <c r="U22">
        <v>2020</v>
      </c>
      <c r="V22">
        <v>0</v>
      </c>
      <c r="W22">
        <v>0</v>
      </c>
      <c r="Y22">
        <v>2020</v>
      </c>
      <c r="Z22" t="s">
        <v>47</v>
      </c>
      <c r="AA22">
        <v>10670.252</v>
      </c>
    </row>
    <row r="23" spans="1:27">
      <c r="A23">
        <v>2031</v>
      </c>
      <c r="B23" t="s">
        <v>25</v>
      </c>
      <c r="C23" s="27">
        <f t="shared" si="0"/>
        <v>16722.617999999999</v>
      </c>
      <c r="D23" s="18">
        <f t="shared" si="3"/>
        <v>3.7125000000000012</v>
      </c>
      <c r="E23" s="20">
        <f t="shared" si="1"/>
        <v>4504.4088888888873</v>
      </c>
      <c r="F23" s="20"/>
      <c r="Q23" t="s">
        <v>211</v>
      </c>
      <c r="R23" t="s">
        <v>162</v>
      </c>
      <c r="S23" t="s">
        <v>25</v>
      </c>
      <c r="T23" t="s">
        <v>40</v>
      </c>
      <c r="U23">
        <v>2021</v>
      </c>
      <c r="V23">
        <v>0</v>
      </c>
      <c r="W23">
        <v>0</v>
      </c>
      <c r="Y23">
        <v>2021</v>
      </c>
      <c r="Z23" t="s">
        <v>47</v>
      </c>
      <c r="AA23">
        <v>11145.081</v>
      </c>
    </row>
    <row r="24" spans="1:27">
      <c r="A24">
        <v>2032</v>
      </c>
      <c r="B24" t="s">
        <v>25</v>
      </c>
      <c r="C24" s="27">
        <f t="shared" si="0"/>
        <v>17355.954000000002</v>
      </c>
      <c r="D24" s="18">
        <f t="shared" si="3"/>
        <v>3.6750000000000012</v>
      </c>
      <c r="E24" s="20">
        <f t="shared" si="1"/>
        <v>4722.7085714285704</v>
      </c>
      <c r="F24" s="20"/>
      <c r="Q24" t="s">
        <v>211</v>
      </c>
      <c r="R24" t="s">
        <v>162</v>
      </c>
      <c r="S24" t="s">
        <v>25</v>
      </c>
      <c r="T24" t="s">
        <v>40</v>
      </c>
      <c r="U24">
        <v>2022</v>
      </c>
      <c r="V24">
        <v>0</v>
      </c>
      <c r="W24">
        <v>0</v>
      </c>
      <c r="Y24">
        <v>2022</v>
      </c>
      <c r="Z24" t="s">
        <v>47</v>
      </c>
      <c r="AA24">
        <v>11635.629000000001</v>
      </c>
    </row>
    <row r="25" spans="1:27">
      <c r="A25">
        <v>2033</v>
      </c>
      <c r="B25" t="s">
        <v>25</v>
      </c>
      <c r="C25" s="27">
        <f t="shared" si="0"/>
        <v>18000.969000000001</v>
      </c>
      <c r="D25" s="18">
        <f t="shared" si="3"/>
        <v>3.6375000000000011</v>
      </c>
      <c r="E25" s="20">
        <f t="shared" si="1"/>
        <v>4948.7199999999984</v>
      </c>
      <c r="F25" s="20"/>
      <c r="Q25" t="s">
        <v>211</v>
      </c>
      <c r="R25" t="s">
        <v>162</v>
      </c>
      <c r="S25" t="s">
        <v>25</v>
      </c>
      <c r="T25" t="s">
        <v>40</v>
      </c>
      <c r="U25">
        <v>2023</v>
      </c>
      <c r="V25">
        <v>0</v>
      </c>
      <c r="W25">
        <v>0</v>
      </c>
      <c r="Y25">
        <v>2023</v>
      </c>
      <c r="Z25" t="s">
        <v>47</v>
      </c>
      <c r="AA25">
        <v>12141.777</v>
      </c>
    </row>
    <row r="26" spans="1:27">
      <c r="A26">
        <v>2034</v>
      </c>
      <c r="B26" t="s">
        <v>25</v>
      </c>
      <c r="C26" s="27">
        <f t="shared" si="0"/>
        <v>18656.511999999999</v>
      </c>
      <c r="D26" s="18">
        <f t="shared" si="3"/>
        <v>3.600000000000001</v>
      </c>
      <c r="E26" s="20">
        <f t="shared" si="1"/>
        <v>5182.3644444444426</v>
      </c>
      <c r="F26" s="20"/>
      <c r="Q26" t="s">
        <v>211</v>
      </c>
      <c r="R26" t="s">
        <v>162</v>
      </c>
      <c r="S26" t="s">
        <v>25</v>
      </c>
      <c r="T26" t="s">
        <v>40</v>
      </c>
      <c r="U26">
        <v>2024</v>
      </c>
      <c r="V26">
        <v>0</v>
      </c>
      <c r="W26">
        <v>0</v>
      </c>
      <c r="Y26">
        <v>2024</v>
      </c>
      <c r="Z26" t="s">
        <v>47</v>
      </c>
      <c r="AA26">
        <v>12663.299000000001</v>
      </c>
    </row>
    <row r="27" spans="1:27">
      <c r="A27">
        <v>2035</v>
      </c>
      <c r="B27" t="s">
        <v>25</v>
      </c>
      <c r="C27" s="27">
        <f t="shared" si="0"/>
        <v>19327.758000000002</v>
      </c>
      <c r="D27" s="18">
        <f t="shared" si="3"/>
        <v>3.5625000000000009</v>
      </c>
      <c r="E27" s="20">
        <f t="shared" si="1"/>
        <v>5425.3355789473671</v>
      </c>
      <c r="F27" s="20"/>
      <c r="Q27" t="s">
        <v>211</v>
      </c>
      <c r="R27" t="s">
        <v>162</v>
      </c>
      <c r="S27" t="s">
        <v>25</v>
      </c>
      <c r="T27" t="s">
        <v>40</v>
      </c>
      <c r="U27">
        <v>2025</v>
      </c>
      <c r="V27">
        <v>0</v>
      </c>
      <c r="W27">
        <v>0</v>
      </c>
      <c r="Y27">
        <v>2025</v>
      </c>
      <c r="Z27" t="s">
        <v>47</v>
      </c>
      <c r="AA27">
        <v>13199.949000000001</v>
      </c>
    </row>
    <row r="28" spans="1:27">
      <c r="A28">
        <v>2036</v>
      </c>
      <c r="B28" t="s">
        <v>25</v>
      </c>
      <c r="C28" s="27">
        <f t="shared" si="0"/>
        <v>20013.718000000001</v>
      </c>
      <c r="D28" s="18">
        <f t="shared" si="3"/>
        <v>3.5250000000000008</v>
      </c>
      <c r="E28" s="20">
        <f t="shared" si="1"/>
        <v>5677.6504964538999</v>
      </c>
      <c r="F28" s="20"/>
      <c r="Q28" t="s">
        <v>211</v>
      </c>
      <c r="R28" t="s">
        <v>162</v>
      </c>
      <c r="S28" t="s">
        <v>25</v>
      </c>
      <c r="T28" t="s">
        <v>40</v>
      </c>
      <c r="U28">
        <v>2026</v>
      </c>
      <c r="V28">
        <v>0</v>
      </c>
      <c r="W28">
        <v>0</v>
      </c>
      <c r="Y28">
        <v>2026</v>
      </c>
      <c r="Z28" t="s">
        <v>47</v>
      </c>
      <c r="AA28">
        <v>13751.596</v>
      </c>
    </row>
    <row r="29" spans="1:27">
      <c r="A29">
        <v>2037</v>
      </c>
      <c r="B29" t="s">
        <v>25</v>
      </c>
      <c r="C29" s="27">
        <f t="shared" si="0"/>
        <v>20714.338</v>
      </c>
      <c r="D29" s="18">
        <f t="shared" si="3"/>
        <v>3.4875000000000007</v>
      </c>
      <c r="E29" s="20">
        <f t="shared" si="1"/>
        <v>5939.5951254480278</v>
      </c>
      <c r="F29" s="20"/>
      <c r="Q29" t="s">
        <v>211</v>
      </c>
      <c r="R29" t="s">
        <v>162</v>
      </c>
      <c r="S29" t="s">
        <v>25</v>
      </c>
      <c r="T29" t="s">
        <v>40</v>
      </c>
      <c r="U29">
        <v>2027</v>
      </c>
      <c r="V29">
        <v>0</v>
      </c>
      <c r="W29">
        <v>0</v>
      </c>
      <c r="Y29">
        <v>2027</v>
      </c>
      <c r="Z29" t="s">
        <v>47</v>
      </c>
      <c r="AA29">
        <v>14318.035</v>
      </c>
    </row>
    <row r="30" spans="1:27">
      <c r="A30">
        <v>2038</v>
      </c>
      <c r="B30" t="s">
        <v>25</v>
      </c>
      <c r="C30" s="27">
        <f t="shared" si="0"/>
        <v>21429.705999999998</v>
      </c>
      <c r="D30" s="18">
        <f t="shared" si="3"/>
        <v>3.4500000000000006</v>
      </c>
      <c r="E30" s="20">
        <f t="shared" si="1"/>
        <v>6211.5089855072447</v>
      </c>
      <c r="F30" s="20"/>
      <c r="Q30" t="s">
        <v>211</v>
      </c>
      <c r="R30" t="s">
        <v>162</v>
      </c>
      <c r="S30" t="s">
        <v>25</v>
      </c>
      <c r="T30" t="s">
        <v>40</v>
      </c>
      <c r="U30">
        <v>2028</v>
      </c>
      <c r="V30">
        <v>0</v>
      </c>
      <c r="W30">
        <v>0</v>
      </c>
      <c r="Y30">
        <v>2028</v>
      </c>
      <c r="Z30" t="s">
        <v>47</v>
      </c>
      <c r="AA30">
        <v>14898.866</v>
      </c>
    </row>
    <row r="31" spans="1:27">
      <c r="A31">
        <v>2039</v>
      </c>
      <c r="B31" t="s">
        <v>25</v>
      </c>
      <c r="C31" s="27">
        <f t="shared" si="0"/>
        <v>22159.955000000002</v>
      </c>
      <c r="D31" s="18">
        <f t="shared" si="3"/>
        <v>3.4125000000000005</v>
      </c>
      <c r="E31" s="20">
        <f t="shared" si="1"/>
        <v>6493.7597069597068</v>
      </c>
      <c r="F31" s="20"/>
      <c r="Q31" t="s">
        <v>211</v>
      </c>
      <c r="R31" t="s">
        <v>162</v>
      </c>
      <c r="S31" t="s">
        <v>25</v>
      </c>
      <c r="T31" t="s">
        <v>40</v>
      </c>
      <c r="U31">
        <v>2029</v>
      </c>
      <c r="V31">
        <v>0</v>
      </c>
      <c r="W31">
        <v>0</v>
      </c>
      <c r="Y31">
        <v>2029</v>
      </c>
      <c r="Z31" t="s">
        <v>47</v>
      </c>
      <c r="AA31">
        <v>15493.575999999999</v>
      </c>
    </row>
    <row r="32" spans="1:27">
      <c r="A32">
        <v>2040</v>
      </c>
      <c r="B32" t="s">
        <v>25</v>
      </c>
      <c r="C32" s="27">
        <f t="shared" si="0"/>
        <v>22905.168000000001</v>
      </c>
      <c r="D32" s="18">
        <f t="shared" si="3"/>
        <v>3.3750000000000004</v>
      </c>
      <c r="E32" s="20">
        <f t="shared" si="1"/>
        <v>6786.7164444444443</v>
      </c>
      <c r="F32" s="20"/>
      <c r="Q32" t="s">
        <v>211</v>
      </c>
      <c r="R32" t="s">
        <v>162</v>
      </c>
      <c r="S32" t="s">
        <v>25</v>
      </c>
      <c r="T32" t="s">
        <v>40</v>
      </c>
      <c r="U32">
        <v>2030</v>
      </c>
      <c r="V32">
        <v>0</v>
      </c>
      <c r="W32">
        <v>0</v>
      </c>
      <c r="Y32">
        <v>2030</v>
      </c>
      <c r="Z32" t="s">
        <v>47</v>
      </c>
      <c r="AA32">
        <v>16101.66</v>
      </c>
    </row>
    <row r="33" spans="1:27">
      <c r="A33">
        <v>2041</v>
      </c>
      <c r="B33" t="s">
        <v>25</v>
      </c>
      <c r="C33" s="27">
        <f t="shared" si="0"/>
        <v>23665.293000000001</v>
      </c>
      <c r="D33" s="18">
        <f t="shared" si="3"/>
        <v>3.3375000000000004</v>
      </c>
      <c r="E33" s="20">
        <f t="shared" si="1"/>
        <v>7090.7244943820224</v>
      </c>
      <c r="F33" s="20"/>
      <c r="Q33" t="s">
        <v>211</v>
      </c>
      <c r="R33" t="s">
        <v>162</v>
      </c>
      <c r="S33" t="s">
        <v>25</v>
      </c>
      <c r="T33" t="s">
        <v>40</v>
      </c>
      <c r="U33">
        <v>2031</v>
      </c>
      <c r="V33">
        <v>0</v>
      </c>
      <c r="W33">
        <v>0</v>
      </c>
      <c r="Y33">
        <v>2031</v>
      </c>
      <c r="Z33" t="s">
        <v>47</v>
      </c>
      <c r="AA33">
        <v>16722.617999999999</v>
      </c>
    </row>
    <row r="34" spans="1:27">
      <c r="A34">
        <v>2042</v>
      </c>
      <c r="B34" t="s">
        <v>25</v>
      </c>
      <c r="C34" s="27">
        <f t="shared" si="0"/>
        <v>24440.22</v>
      </c>
      <c r="D34" s="18">
        <f t="shared" si="3"/>
        <v>3.3000000000000003</v>
      </c>
      <c r="E34" s="20">
        <f t="shared" si="1"/>
        <v>7406.1272727272726</v>
      </c>
      <c r="F34" s="20"/>
      <c r="Q34" t="s">
        <v>211</v>
      </c>
      <c r="R34" t="s">
        <v>162</v>
      </c>
      <c r="S34" t="s">
        <v>25</v>
      </c>
      <c r="T34" t="s">
        <v>40</v>
      </c>
      <c r="U34">
        <v>2032</v>
      </c>
      <c r="V34">
        <v>0</v>
      </c>
      <c r="W34">
        <v>0</v>
      </c>
      <c r="Y34">
        <v>2032</v>
      </c>
      <c r="Z34" t="s">
        <v>47</v>
      </c>
      <c r="AA34">
        <v>17355.954000000002</v>
      </c>
    </row>
    <row r="35" spans="1:27">
      <c r="A35">
        <v>2043</v>
      </c>
      <c r="B35" t="s">
        <v>25</v>
      </c>
      <c r="C35" s="27">
        <f t="shared" si="0"/>
        <v>25229.882000000001</v>
      </c>
      <c r="D35" s="18">
        <f t="shared" si="3"/>
        <v>3.2625000000000002</v>
      </c>
      <c r="E35" s="20">
        <f t="shared" si="1"/>
        <v>7733.2971647509576</v>
      </c>
      <c r="F35" s="20"/>
      <c r="Q35" t="s">
        <v>211</v>
      </c>
      <c r="R35" t="s">
        <v>162</v>
      </c>
      <c r="S35" t="s">
        <v>25</v>
      </c>
      <c r="T35" t="s">
        <v>40</v>
      </c>
      <c r="U35">
        <v>2033</v>
      </c>
      <c r="V35">
        <v>0</v>
      </c>
      <c r="W35">
        <v>0</v>
      </c>
      <c r="Y35">
        <v>2033</v>
      </c>
      <c r="Z35" t="s">
        <v>47</v>
      </c>
      <c r="AA35">
        <v>18000.969000000001</v>
      </c>
    </row>
    <row r="36" spans="1:27">
      <c r="A36">
        <v>2044</v>
      </c>
      <c r="B36" t="s">
        <v>25</v>
      </c>
      <c r="C36" s="27">
        <f t="shared" si="0"/>
        <v>26034.199000000001</v>
      </c>
      <c r="D36" s="18">
        <f t="shared" si="3"/>
        <v>3.2250000000000001</v>
      </c>
      <c r="E36" s="20">
        <f t="shared" si="1"/>
        <v>8072.6198449612402</v>
      </c>
      <c r="F36" s="20"/>
      <c r="Q36" t="s">
        <v>211</v>
      </c>
      <c r="R36" t="s">
        <v>162</v>
      </c>
      <c r="S36" t="s">
        <v>25</v>
      </c>
      <c r="T36" t="s">
        <v>40</v>
      </c>
      <c r="U36">
        <v>2034</v>
      </c>
      <c r="V36">
        <v>0</v>
      </c>
      <c r="W36">
        <v>0</v>
      </c>
      <c r="Y36">
        <v>2034</v>
      </c>
      <c r="Z36" t="s">
        <v>47</v>
      </c>
      <c r="AA36">
        <v>18656.511999999999</v>
      </c>
    </row>
    <row r="37" spans="1:27">
      <c r="A37">
        <v>2045</v>
      </c>
      <c r="B37" t="s">
        <v>25</v>
      </c>
      <c r="C37" s="27">
        <f t="shared" si="0"/>
        <v>26853.050999999999</v>
      </c>
      <c r="D37" s="18">
        <f t="shared" si="3"/>
        <v>3.1875</v>
      </c>
      <c r="E37" s="20">
        <f t="shared" si="1"/>
        <v>8424.4865882352933</v>
      </c>
      <c r="F37" s="20"/>
      <c r="Q37" t="s">
        <v>211</v>
      </c>
      <c r="R37" t="s">
        <v>162</v>
      </c>
      <c r="S37" t="s">
        <v>25</v>
      </c>
      <c r="T37" t="s">
        <v>40</v>
      </c>
      <c r="U37">
        <v>2035</v>
      </c>
      <c r="V37">
        <v>0</v>
      </c>
      <c r="W37">
        <v>0</v>
      </c>
      <c r="Y37">
        <v>2035</v>
      </c>
      <c r="Z37" t="s">
        <v>47</v>
      </c>
      <c r="AA37">
        <v>19327.758000000002</v>
      </c>
    </row>
    <row r="38" spans="1:27">
      <c r="A38">
        <v>2046</v>
      </c>
      <c r="B38" t="s">
        <v>25</v>
      </c>
      <c r="C38" s="27">
        <f t="shared" si="0"/>
        <v>27686.271000000001</v>
      </c>
      <c r="D38" s="18">
        <f t="shared" si="3"/>
        <v>3.15</v>
      </c>
      <c r="E38" s="20">
        <f t="shared" si="1"/>
        <v>8789.2923809523818</v>
      </c>
      <c r="F38" s="20"/>
      <c r="Q38" t="s">
        <v>211</v>
      </c>
      <c r="R38" t="s">
        <v>162</v>
      </c>
      <c r="S38" t="s">
        <v>25</v>
      </c>
      <c r="T38" t="s">
        <v>40</v>
      </c>
      <c r="U38">
        <v>2036</v>
      </c>
      <c r="V38">
        <v>0</v>
      </c>
      <c r="W38">
        <v>0</v>
      </c>
      <c r="Y38">
        <v>2036</v>
      </c>
      <c r="Z38" t="s">
        <v>47</v>
      </c>
      <c r="AA38">
        <v>20013.718000000001</v>
      </c>
    </row>
    <row r="39" spans="1:27">
      <c r="A39">
        <v>2047</v>
      </c>
      <c r="B39" t="s">
        <v>25</v>
      </c>
      <c r="C39" s="27">
        <f t="shared" si="0"/>
        <v>28533.626</v>
      </c>
      <c r="D39" s="18">
        <f t="shared" si="3"/>
        <v>3.1124999999999998</v>
      </c>
      <c r="E39" s="20">
        <f t="shared" si="1"/>
        <v>9167.4300401606433</v>
      </c>
      <c r="F39" s="20"/>
      <c r="Q39" t="s">
        <v>211</v>
      </c>
      <c r="R39" t="s">
        <v>162</v>
      </c>
      <c r="S39" t="s">
        <v>25</v>
      </c>
      <c r="T39" t="s">
        <v>40</v>
      </c>
      <c r="U39">
        <v>2037</v>
      </c>
      <c r="V39">
        <v>0</v>
      </c>
      <c r="W39">
        <v>0</v>
      </c>
      <c r="Y39">
        <v>2037</v>
      </c>
      <c r="Z39" t="s">
        <v>47</v>
      </c>
      <c r="AA39">
        <v>20714.338</v>
      </c>
    </row>
    <row r="40" spans="1:27">
      <c r="A40">
        <v>2048</v>
      </c>
      <c r="B40" t="s">
        <v>25</v>
      </c>
      <c r="C40" s="27">
        <f t="shared" si="0"/>
        <v>29394.867999999999</v>
      </c>
      <c r="D40" s="18">
        <f t="shared" si="3"/>
        <v>3.0749999999999997</v>
      </c>
      <c r="E40" s="20">
        <f t="shared" si="1"/>
        <v>9559.3066666666673</v>
      </c>
      <c r="F40" s="20"/>
      <c r="Q40" t="s">
        <v>211</v>
      </c>
      <c r="R40" t="s">
        <v>162</v>
      </c>
      <c r="S40" t="s">
        <v>25</v>
      </c>
      <c r="T40" t="s">
        <v>40</v>
      </c>
      <c r="U40">
        <v>2038</v>
      </c>
      <c r="V40">
        <v>0</v>
      </c>
      <c r="W40">
        <v>0</v>
      </c>
      <c r="Y40">
        <v>2038</v>
      </c>
      <c r="Z40" t="s">
        <v>47</v>
      </c>
      <c r="AA40">
        <v>21429.705999999998</v>
      </c>
    </row>
    <row r="41" spans="1:27">
      <c r="A41">
        <v>2049</v>
      </c>
      <c r="B41" t="s">
        <v>25</v>
      </c>
      <c r="C41" s="27">
        <f t="shared" si="0"/>
        <v>30269.683000000001</v>
      </c>
      <c r="D41" s="18">
        <f t="shared" si="3"/>
        <v>3.0374999999999996</v>
      </c>
      <c r="E41" s="20">
        <f t="shared" si="1"/>
        <v>9965.3277366255152</v>
      </c>
      <c r="F41" s="20"/>
      <c r="Q41" t="s">
        <v>211</v>
      </c>
      <c r="R41" t="s">
        <v>162</v>
      </c>
      <c r="S41" t="s">
        <v>25</v>
      </c>
      <c r="T41" t="s">
        <v>40</v>
      </c>
      <c r="U41">
        <v>2039</v>
      </c>
      <c r="V41">
        <v>0</v>
      </c>
      <c r="W41">
        <v>0</v>
      </c>
      <c r="Y41">
        <v>2039</v>
      </c>
      <c r="Z41" t="s">
        <v>47</v>
      </c>
      <c r="AA41">
        <v>22159.955000000002</v>
      </c>
    </row>
    <row r="42" spans="1:27">
      <c r="A42">
        <v>2050</v>
      </c>
      <c r="B42" t="s">
        <v>25</v>
      </c>
      <c r="C42" s="27">
        <f t="shared" si="0"/>
        <v>31157.741000000002</v>
      </c>
      <c r="D42" s="125">
        <f>N3</f>
        <v>3</v>
      </c>
      <c r="E42" s="20">
        <f t="shared" si="1"/>
        <v>10385.913666666667</v>
      </c>
      <c r="F42" s="20"/>
      <c r="Q42" t="s">
        <v>211</v>
      </c>
      <c r="R42" t="s">
        <v>162</v>
      </c>
      <c r="S42" t="s">
        <v>25</v>
      </c>
      <c r="T42" t="s">
        <v>40</v>
      </c>
      <c r="U42">
        <v>2040</v>
      </c>
      <c r="V42">
        <v>0</v>
      </c>
      <c r="W42">
        <v>0</v>
      </c>
      <c r="Y42">
        <v>2040</v>
      </c>
      <c r="Z42" t="s">
        <v>47</v>
      </c>
      <c r="AA42">
        <v>22905.168000000001</v>
      </c>
    </row>
    <row r="43" spans="1:27">
      <c r="A43">
        <v>2010</v>
      </c>
      <c r="B43" t="s">
        <v>26</v>
      </c>
      <c r="C43" s="27">
        <f>AA63</f>
        <v>12809.513999999999</v>
      </c>
      <c r="D43" s="125">
        <f>H2</f>
        <v>4.7</v>
      </c>
      <c r="E43" s="20">
        <f t="shared" si="1"/>
        <v>2725.4285106382977</v>
      </c>
      <c r="F43" s="20"/>
      <c r="Q43" t="s">
        <v>211</v>
      </c>
      <c r="R43" t="s">
        <v>162</v>
      </c>
      <c r="S43" t="s">
        <v>25</v>
      </c>
      <c r="T43" t="s">
        <v>40</v>
      </c>
      <c r="U43">
        <v>2041</v>
      </c>
      <c r="V43">
        <v>0</v>
      </c>
      <c r="W43">
        <v>0</v>
      </c>
      <c r="Y43">
        <v>2041</v>
      </c>
      <c r="Z43" t="s">
        <v>47</v>
      </c>
      <c r="AA43">
        <v>23665.293000000001</v>
      </c>
    </row>
    <row r="44" spans="1:27">
      <c r="A44">
        <v>2011</v>
      </c>
      <c r="B44" t="s">
        <v>26</v>
      </c>
      <c r="C44" s="27">
        <f t="shared" ref="C44:C83" si="4">AA64</f>
        <v>13178.48</v>
      </c>
      <c r="D44" s="18">
        <f>D43+(D$51-D$43)/(A$51-A$43)</f>
        <v>4.6749999999999998</v>
      </c>
      <c r="E44" s="20">
        <f t="shared" si="1"/>
        <v>2818.9262032085562</v>
      </c>
      <c r="F44" s="20"/>
      <c r="Q44" t="s">
        <v>211</v>
      </c>
      <c r="R44" t="s">
        <v>162</v>
      </c>
      <c r="S44" t="s">
        <v>25</v>
      </c>
      <c r="T44" t="s">
        <v>40</v>
      </c>
      <c r="U44">
        <v>2042</v>
      </c>
      <c r="V44">
        <v>0</v>
      </c>
      <c r="W44">
        <v>0</v>
      </c>
      <c r="Y44">
        <v>2042</v>
      </c>
      <c r="Z44" t="s">
        <v>47</v>
      </c>
      <c r="AA44">
        <v>24440.22</v>
      </c>
    </row>
    <row r="45" spans="1:27">
      <c r="A45">
        <v>2012</v>
      </c>
      <c r="B45" t="s">
        <v>26</v>
      </c>
      <c r="C45" s="27">
        <f t="shared" si="4"/>
        <v>13551.941999999999</v>
      </c>
      <c r="D45" s="18">
        <f t="shared" ref="D45:D50" si="5">D44+(D$51-D$43)/(A$51-A$43)</f>
        <v>4.6499999999999995</v>
      </c>
      <c r="E45" s="20">
        <f t="shared" si="1"/>
        <v>2914.3961290322582</v>
      </c>
      <c r="F45" s="20"/>
      <c r="Q45" t="s">
        <v>211</v>
      </c>
      <c r="R45" t="s">
        <v>162</v>
      </c>
      <c r="S45" t="s">
        <v>25</v>
      </c>
      <c r="T45" t="s">
        <v>40</v>
      </c>
      <c r="U45">
        <v>2043</v>
      </c>
      <c r="V45">
        <v>0</v>
      </c>
      <c r="W45">
        <v>0</v>
      </c>
      <c r="Y45">
        <v>2043</v>
      </c>
      <c r="Z45" t="s">
        <v>47</v>
      </c>
      <c r="AA45">
        <v>25229.882000000001</v>
      </c>
    </row>
    <row r="46" spans="1:27">
      <c r="A46">
        <v>2013</v>
      </c>
      <c r="B46" t="s">
        <v>26</v>
      </c>
      <c r="C46" s="27">
        <f t="shared" si="4"/>
        <v>13930.476000000001</v>
      </c>
      <c r="D46" s="18">
        <f t="shared" si="5"/>
        <v>4.6249999999999991</v>
      </c>
      <c r="E46" s="20">
        <f t="shared" si="1"/>
        <v>3011.9948108108115</v>
      </c>
      <c r="F46" s="20"/>
      <c r="Q46" t="s">
        <v>211</v>
      </c>
      <c r="R46" t="s">
        <v>162</v>
      </c>
      <c r="S46" t="s">
        <v>25</v>
      </c>
      <c r="T46" t="s">
        <v>40</v>
      </c>
      <c r="U46">
        <v>2044</v>
      </c>
      <c r="V46">
        <v>0</v>
      </c>
      <c r="W46">
        <v>0</v>
      </c>
      <c r="Y46">
        <v>2044</v>
      </c>
      <c r="Z46" t="s">
        <v>47</v>
      </c>
      <c r="AA46">
        <v>26034.199000000001</v>
      </c>
    </row>
    <row r="47" spans="1:27">
      <c r="A47">
        <v>2014</v>
      </c>
      <c r="B47" t="s">
        <v>26</v>
      </c>
      <c r="C47" s="27">
        <f t="shared" si="4"/>
        <v>14315.223</v>
      </c>
      <c r="D47" s="18">
        <f t="shared" si="5"/>
        <v>4.5999999999999988</v>
      </c>
      <c r="E47" s="20">
        <f t="shared" si="1"/>
        <v>3112.005000000001</v>
      </c>
      <c r="F47" s="20"/>
      <c r="Q47" t="s">
        <v>211</v>
      </c>
      <c r="R47" t="s">
        <v>162</v>
      </c>
      <c r="S47" t="s">
        <v>25</v>
      </c>
      <c r="T47" t="s">
        <v>40</v>
      </c>
      <c r="U47">
        <v>2045</v>
      </c>
      <c r="V47">
        <v>0</v>
      </c>
      <c r="W47">
        <v>0</v>
      </c>
      <c r="Y47">
        <v>2045</v>
      </c>
      <c r="Z47" t="s">
        <v>47</v>
      </c>
      <c r="AA47">
        <v>26853.050999999999</v>
      </c>
    </row>
    <row r="48" spans="1:27">
      <c r="A48">
        <v>2015</v>
      </c>
      <c r="B48" t="s">
        <v>26</v>
      </c>
      <c r="C48" s="27">
        <f t="shared" si="4"/>
        <v>14706.906999999999</v>
      </c>
      <c r="D48" s="18">
        <f t="shared" si="5"/>
        <v>4.5749999999999984</v>
      </c>
      <c r="E48" s="20">
        <f t="shared" si="1"/>
        <v>3214.6244808743181</v>
      </c>
      <c r="F48" s="20"/>
      <c r="Q48" t="s">
        <v>211</v>
      </c>
      <c r="R48" t="s">
        <v>162</v>
      </c>
      <c r="S48" t="s">
        <v>25</v>
      </c>
      <c r="T48" t="s">
        <v>40</v>
      </c>
      <c r="U48">
        <v>2046</v>
      </c>
      <c r="V48">
        <v>0</v>
      </c>
      <c r="W48">
        <v>0</v>
      </c>
      <c r="Y48">
        <v>2046</v>
      </c>
      <c r="Z48" t="s">
        <v>47</v>
      </c>
      <c r="AA48">
        <v>27686.271000000001</v>
      </c>
    </row>
    <row r="49" spans="1:27">
      <c r="A49">
        <v>2016</v>
      </c>
      <c r="B49" t="s">
        <v>26</v>
      </c>
      <c r="C49" s="27">
        <f t="shared" si="4"/>
        <v>15105.299000000001</v>
      </c>
      <c r="D49" s="18">
        <f t="shared" si="5"/>
        <v>4.549999999999998</v>
      </c>
      <c r="E49" s="20">
        <f t="shared" si="1"/>
        <v>3319.8459340659356</v>
      </c>
      <c r="F49" s="20"/>
      <c r="Q49" t="s">
        <v>211</v>
      </c>
      <c r="R49" t="s">
        <v>162</v>
      </c>
      <c r="S49" t="s">
        <v>25</v>
      </c>
      <c r="T49" t="s">
        <v>40</v>
      </c>
      <c r="U49">
        <v>2047</v>
      </c>
      <c r="V49">
        <v>0</v>
      </c>
      <c r="W49">
        <v>0</v>
      </c>
      <c r="Y49">
        <v>2047</v>
      </c>
      <c r="Z49" t="s">
        <v>47</v>
      </c>
      <c r="AA49">
        <v>28533.626</v>
      </c>
    </row>
    <row r="50" spans="1:27">
      <c r="A50">
        <v>2017</v>
      </c>
      <c r="B50" t="s">
        <v>26</v>
      </c>
      <c r="C50" s="27">
        <f t="shared" si="4"/>
        <v>15509.513999999999</v>
      </c>
      <c r="D50" s="18">
        <f t="shared" si="5"/>
        <v>4.5249999999999977</v>
      </c>
      <c r="E50" s="20">
        <f t="shared" si="1"/>
        <v>3427.5169060773496</v>
      </c>
      <c r="F50" s="20"/>
      <c r="Q50" t="s">
        <v>211</v>
      </c>
      <c r="R50" t="s">
        <v>162</v>
      </c>
      <c r="S50" t="s">
        <v>25</v>
      </c>
      <c r="T50" t="s">
        <v>40</v>
      </c>
      <c r="U50">
        <v>2048</v>
      </c>
      <c r="V50">
        <v>0</v>
      </c>
      <c r="W50">
        <v>0</v>
      </c>
      <c r="Y50">
        <v>2048</v>
      </c>
      <c r="Z50" t="s">
        <v>47</v>
      </c>
      <c r="AA50">
        <v>29394.867999999999</v>
      </c>
    </row>
    <row r="51" spans="1:27">
      <c r="A51">
        <v>2018</v>
      </c>
      <c r="B51" t="s">
        <v>26</v>
      </c>
      <c r="C51" s="27">
        <f t="shared" si="4"/>
        <v>15918.795</v>
      </c>
      <c r="D51" s="125">
        <f>M2</f>
        <v>4.5</v>
      </c>
      <c r="E51" s="20">
        <f t="shared" si="1"/>
        <v>3537.51</v>
      </c>
      <c r="F51" s="20"/>
      <c r="Q51" t="s">
        <v>211</v>
      </c>
      <c r="R51" t="s">
        <v>162</v>
      </c>
      <c r="S51" t="s">
        <v>25</v>
      </c>
      <c r="T51" t="s">
        <v>40</v>
      </c>
      <c r="U51">
        <v>2049</v>
      </c>
      <c r="V51">
        <v>0</v>
      </c>
      <c r="W51">
        <v>0</v>
      </c>
      <c r="Y51">
        <v>2049</v>
      </c>
      <c r="Z51" t="s">
        <v>47</v>
      </c>
      <c r="AA51">
        <v>30269.683000000001</v>
      </c>
    </row>
    <row r="52" spans="1:27">
      <c r="A52">
        <v>2019</v>
      </c>
      <c r="B52" t="s">
        <v>26</v>
      </c>
      <c r="C52" s="27">
        <f t="shared" si="4"/>
        <v>16332.17</v>
      </c>
      <c r="D52" s="18">
        <f>D51+(D$83-D$51)/(A$83-A$51)</f>
        <v>4.484375</v>
      </c>
      <c r="E52" s="20">
        <f t="shared" si="1"/>
        <v>3642.0170034843204</v>
      </c>
      <c r="F52" s="20"/>
      <c r="Q52" t="s">
        <v>211</v>
      </c>
      <c r="R52" t="s">
        <v>162</v>
      </c>
      <c r="S52" t="s">
        <v>25</v>
      </c>
      <c r="T52" t="s">
        <v>40</v>
      </c>
      <c r="U52">
        <v>2050</v>
      </c>
      <c r="V52">
        <v>0</v>
      </c>
      <c r="W52">
        <v>0</v>
      </c>
      <c r="Y52">
        <v>2050</v>
      </c>
      <c r="Z52" t="s">
        <v>47</v>
      </c>
      <c r="AA52">
        <v>31157.741000000002</v>
      </c>
    </row>
    <row r="53" spans="1:27">
      <c r="A53">
        <v>2020</v>
      </c>
      <c r="B53" t="s">
        <v>26</v>
      </c>
      <c r="C53" s="27">
        <f t="shared" si="4"/>
        <v>16748.855</v>
      </c>
      <c r="D53" s="18">
        <f t="shared" ref="D53:D82" si="6">D52+(D$83-D$51)/(A$83-A$51)</f>
        <v>4.46875</v>
      </c>
      <c r="E53" s="20">
        <f t="shared" si="1"/>
        <v>3747.9955244755242</v>
      </c>
      <c r="F53" s="20"/>
      <c r="Q53" t="s">
        <v>211</v>
      </c>
      <c r="R53" t="s">
        <v>162</v>
      </c>
      <c r="S53" t="s">
        <v>26</v>
      </c>
      <c r="T53" t="s">
        <v>40</v>
      </c>
      <c r="U53">
        <v>2000</v>
      </c>
      <c r="V53">
        <v>0</v>
      </c>
      <c r="W53">
        <v>0</v>
      </c>
      <c r="Y53">
        <v>2000</v>
      </c>
      <c r="Z53" t="s">
        <v>215</v>
      </c>
      <c r="AA53">
        <v>9714.1219999999994</v>
      </c>
    </row>
    <row r="54" spans="1:27">
      <c r="A54">
        <v>2021</v>
      </c>
      <c r="B54" t="s">
        <v>26</v>
      </c>
      <c r="C54" s="27">
        <f t="shared" si="4"/>
        <v>17168.11</v>
      </c>
      <c r="D54" s="18">
        <f t="shared" si="6"/>
        <v>4.453125</v>
      </c>
      <c r="E54" s="20">
        <f t="shared" si="1"/>
        <v>3855.2948771929828</v>
      </c>
      <c r="F54" s="20"/>
      <c r="Q54" t="s">
        <v>211</v>
      </c>
      <c r="R54" t="s">
        <v>162</v>
      </c>
      <c r="S54" t="s">
        <v>26</v>
      </c>
      <c r="T54" t="s">
        <v>40</v>
      </c>
      <c r="U54">
        <v>2001</v>
      </c>
      <c r="V54">
        <v>0</v>
      </c>
      <c r="W54">
        <v>0</v>
      </c>
      <c r="Y54">
        <v>2001</v>
      </c>
      <c r="Z54" t="s">
        <v>215</v>
      </c>
      <c r="AA54">
        <v>9976.8349999999991</v>
      </c>
    </row>
    <row r="55" spans="1:27">
      <c r="A55">
        <v>2022</v>
      </c>
      <c r="B55" t="s">
        <v>26</v>
      </c>
      <c r="C55" s="27">
        <f t="shared" si="4"/>
        <v>17589.673999999999</v>
      </c>
      <c r="D55" s="18">
        <f t="shared" si="6"/>
        <v>4.4375</v>
      </c>
      <c r="E55" s="20">
        <f t="shared" si="1"/>
        <v>3963.8701971830983</v>
      </c>
      <c r="F55" s="20"/>
      <c r="Q55" t="s">
        <v>211</v>
      </c>
      <c r="R55" t="s">
        <v>162</v>
      </c>
      <c r="S55" t="s">
        <v>26</v>
      </c>
      <c r="T55" t="s">
        <v>40</v>
      </c>
      <c r="U55">
        <v>2002</v>
      </c>
      <c r="V55">
        <v>0</v>
      </c>
      <c r="W55">
        <v>0</v>
      </c>
      <c r="Y55">
        <v>2002</v>
      </c>
      <c r="Z55" t="s">
        <v>215</v>
      </c>
      <c r="AA55">
        <v>10237.35</v>
      </c>
    </row>
    <row r="56" spans="1:27">
      <c r="A56">
        <v>2023</v>
      </c>
      <c r="B56" t="s">
        <v>26</v>
      </c>
      <c r="C56" s="27">
        <f t="shared" si="4"/>
        <v>18013.68</v>
      </c>
      <c r="D56" s="18">
        <f t="shared" si="6"/>
        <v>4.421875</v>
      </c>
      <c r="E56" s="20">
        <f t="shared" si="1"/>
        <v>4073.7650883392225</v>
      </c>
      <c r="F56" s="20"/>
      <c r="Q56" t="s">
        <v>211</v>
      </c>
      <c r="R56" t="s">
        <v>162</v>
      </c>
      <c r="S56" t="s">
        <v>26</v>
      </c>
      <c r="T56" t="s">
        <v>40</v>
      </c>
      <c r="U56">
        <v>2003</v>
      </c>
      <c r="V56">
        <v>0</v>
      </c>
      <c r="W56">
        <v>0</v>
      </c>
      <c r="Y56">
        <v>2003</v>
      </c>
      <c r="Z56" t="s">
        <v>215</v>
      </c>
      <c r="AA56">
        <v>10501.614</v>
      </c>
    </row>
    <row r="57" spans="1:27">
      <c r="A57">
        <v>2024</v>
      </c>
      <c r="B57" t="s">
        <v>26</v>
      </c>
      <c r="C57" s="27">
        <f t="shared" si="4"/>
        <v>18440.490000000002</v>
      </c>
      <c r="D57" s="18">
        <f t="shared" si="6"/>
        <v>4.40625</v>
      </c>
      <c r="E57" s="20">
        <f t="shared" si="1"/>
        <v>4185.0757446808511</v>
      </c>
      <c r="F57" s="20"/>
      <c r="Q57" t="s">
        <v>211</v>
      </c>
      <c r="R57" t="s">
        <v>162</v>
      </c>
      <c r="S57" t="s">
        <v>26</v>
      </c>
      <c r="T57" t="s">
        <v>40</v>
      </c>
      <c r="U57">
        <v>2004</v>
      </c>
      <c r="V57">
        <v>0</v>
      </c>
      <c r="W57">
        <v>0</v>
      </c>
      <c r="Y57">
        <v>2004</v>
      </c>
      <c r="Z57" t="s">
        <v>215</v>
      </c>
      <c r="AA57">
        <v>10779.156999999999</v>
      </c>
    </row>
    <row r="58" spans="1:27">
      <c r="A58">
        <v>2025</v>
      </c>
      <c r="B58" t="s">
        <v>26</v>
      </c>
      <c r="C58" s="27">
        <f t="shared" si="4"/>
        <v>18870.099999999999</v>
      </c>
      <c r="D58" s="18">
        <f t="shared" si="6"/>
        <v>4.390625</v>
      </c>
      <c r="E58" s="20">
        <f t="shared" si="1"/>
        <v>4297.8163701067615</v>
      </c>
      <c r="F58" s="20"/>
      <c r="Q58" t="s">
        <v>211</v>
      </c>
      <c r="R58" t="s">
        <v>162</v>
      </c>
      <c r="S58" t="s">
        <v>26</v>
      </c>
      <c r="T58" t="s">
        <v>40</v>
      </c>
      <c r="U58">
        <v>2005</v>
      </c>
      <c r="V58">
        <v>0</v>
      </c>
      <c r="W58">
        <v>0</v>
      </c>
      <c r="Y58">
        <v>2005</v>
      </c>
      <c r="Z58" t="s">
        <v>215</v>
      </c>
      <c r="AA58">
        <v>11076.728999999999</v>
      </c>
    </row>
    <row r="59" spans="1:27">
      <c r="A59">
        <v>2026</v>
      </c>
      <c r="B59" t="s">
        <v>26</v>
      </c>
      <c r="C59" s="27">
        <f t="shared" si="4"/>
        <v>19302.072</v>
      </c>
      <c r="D59" s="18">
        <f t="shared" si="6"/>
        <v>4.375</v>
      </c>
      <c r="E59" s="20">
        <f t="shared" si="1"/>
        <v>4411.9021714285718</v>
      </c>
      <c r="F59" s="20"/>
      <c r="Q59" t="s">
        <v>211</v>
      </c>
      <c r="R59" t="s">
        <v>162</v>
      </c>
      <c r="S59" t="s">
        <v>26</v>
      </c>
      <c r="T59" t="s">
        <v>40</v>
      </c>
      <c r="U59">
        <v>2006</v>
      </c>
      <c r="V59">
        <v>0</v>
      </c>
      <c r="W59">
        <v>0</v>
      </c>
      <c r="Y59">
        <v>2006</v>
      </c>
      <c r="Z59" t="s">
        <v>215</v>
      </c>
      <c r="AA59">
        <v>11395.534</v>
      </c>
    </row>
    <row r="60" spans="1:27">
      <c r="A60">
        <v>2027</v>
      </c>
      <c r="B60" t="s">
        <v>26</v>
      </c>
      <c r="C60" s="27">
        <f t="shared" si="4"/>
        <v>19735.339</v>
      </c>
      <c r="D60" s="18">
        <f t="shared" si="6"/>
        <v>4.359375</v>
      </c>
      <c r="E60" s="20">
        <f t="shared" si="1"/>
        <v>4527.1028530465946</v>
      </c>
      <c r="F60" s="20"/>
      <c r="Q60" t="s">
        <v>211</v>
      </c>
      <c r="R60" t="s">
        <v>162</v>
      </c>
      <c r="S60" t="s">
        <v>26</v>
      </c>
      <c r="T60" t="s">
        <v>40</v>
      </c>
      <c r="U60">
        <v>2007</v>
      </c>
      <c r="V60">
        <v>0</v>
      </c>
      <c r="W60">
        <v>0</v>
      </c>
      <c r="Y60">
        <v>2007</v>
      </c>
      <c r="Z60" t="s">
        <v>215</v>
      </c>
      <c r="AA60">
        <v>11732.355</v>
      </c>
    </row>
    <row r="61" spans="1:27">
      <c r="A61">
        <v>2028</v>
      </c>
      <c r="B61" t="s">
        <v>26</v>
      </c>
      <c r="C61" s="27">
        <f t="shared" si="4"/>
        <v>20168.414000000001</v>
      </c>
      <c r="D61" s="18">
        <f t="shared" si="6"/>
        <v>4.34375</v>
      </c>
      <c r="E61" s="20">
        <f t="shared" si="1"/>
        <v>4643.0881151079138</v>
      </c>
      <c r="F61" s="20"/>
      <c r="Q61" t="s">
        <v>211</v>
      </c>
      <c r="R61" t="s">
        <v>162</v>
      </c>
      <c r="S61" t="s">
        <v>26</v>
      </c>
      <c r="T61" t="s">
        <v>40</v>
      </c>
      <c r="U61">
        <v>2008</v>
      </c>
      <c r="V61">
        <v>0</v>
      </c>
      <c r="W61">
        <v>0</v>
      </c>
      <c r="Y61">
        <v>2008</v>
      </c>
      <c r="Z61" t="s">
        <v>215</v>
      </c>
      <c r="AA61">
        <v>12084.063</v>
      </c>
    </row>
    <row r="62" spans="1:27">
      <c r="A62">
        <v>2029</v>
      </c>
      <c r="B62" t="s">
        <v>26</v>
      </c>
      <c r="C62" s="27">
        <f t="shared" si="4"/>
        <v>20599.526999999998</v>
      </c>
      <c r="D62" s="18">
        <f t="shared" si="6"/>
        <v>4.328125</v>
      </c>
      <c r="E62" s="20">
        <f t="shared" si="1"/>
        <v>4759.4575018050537</v>
      </c>
      <c r="F62" s="20"/>
      <c r="Q62" t="s">
        <v>211</v>
      </c>
      <c r="R62" t="s">
        <v>162</v>
      </c>
      <c r="S62" t="s">
        <v>26</v>
      </c>
      <c r="T62" t="s">
        <v>40</v>
      </c>
      <c r="U62">
        <v>2009</v>
      </c>
      <c r="V62">
        <v>0</v>
      </c>
      <c r="W62">
        <v>0</v>
      </c>
      <c r="Y62">
        <v>2009</v>
      </c>
      <c r="Z62" t="s">
        <v>215</v>
      </c>
      <c r="AA62">
        <v>12444.33</v>
      </c>
    </row>
    <row r="63" spans="1:27">
      <c r="A63">
        <v>2030</v>
      </c>
      <c r="B63" t="s">
        <v>26</v>
      </c>
      <c r="C63" s="27">
        <f t="shared" si="4"/>
        <v>21027.123</v>
      </c>
      <c r="D63" s="18">
        <f t="shared" si="6"/>
        <v>4.3125</v>
      </c>
      <c r="E63" s="20">
        <f t="shared" si="1"/>
        <v>4875.8546086956521</v>
      </c>
      <c r="F63" s="20"/>
      <c r="Q63" t="s">
        <v>211</v>
      </c>
      <c r="R63" t="s">
        <v>162</v>
      </c>
      <c r="S63" t="s">
        <v>26</v>
      </c>
      <c r="T63" t="s">
        <v>40</v>
      </c>
      <c r="U63">
        <v>2010</v>
      </c>
      <c r="V63">
        <v>0</v>
      </c>
      <c r="W63">
        <v>0</v>
      </c>
      <c r="Y63">
        <v>2010</v>
      </c>
      <c r="Z63" t="s">
        <v>215</v>
      </c>
      <c r="AA63">
        <v>12809.513999999999</v>
      </c>
    </row>
    <row r="64" spans="1:27">
      <c r="A64">
        <v>2031</v>
      </c>
      <c r="B64" t="s">
        <v>26</v>
      </c>
      <c r="C64" s="27">
        <f t="shared" si="4"/>
        <v>21450.185000000001</v>
      </c>
      <c r="D64" s="18">
        <f t="shared" si="6"/>
        <v>4.296875</v>
      </c>
      <c r="E64" s="20">
        <f t="shared" si="1"/>
        <v>4992.0430545454547</v>
      </c>
      <c r="F64" s="20"/>
      <c r="Q64" t="s">
        <v>211</v>
      </c>
      <c r="R64" t="s">
        <v>162</v>
      </c>
      <c r="S64" t="s">
        <v>26</v>
      </c>
      <c r="T64" t="s">
        <v>40</v>
      </c>
      <c r="U64">
        <v>2011</v>
      </c>
      <c r="V64">
        <v>0</v>
      </c>
      <c r="W64">
        <v>0</v>
      </c>
      <c r="Y64">
        <v>2011</v>
      </c>
      <c r="Z64" t="s">
        <v>215</v>
      </c>
      <c r="AA64">
        <v>13178.48</v>
      </c>
    </row>
    <row r="65" spans="1:27">
      <c r="A65">
        <v>2032</v>
      </c>
      <c r="B65" t="s">
        <v>26</v>
      </c>
      <c r="C65" s="27">
        <f t="shared" si="4"/>
        <v>21868.07</v>
      </c>
      <c r="D65" s="18">
        <f t="shared" si="6"/>
        <v>4.28125</v>
      </c>
      <c r="E65" s="20">
        <f t="shared" si="1"/>
        <v>5107.8703649635036</v>
      </c>
      <c r="F65" s="20"/>
      <c r="Q65" t="s">
        <v>211</v>
      </c>
      <c r="R65" t="s">
        <v>162</v>
      </c>
      <c r="S65" t="s">
        <v>26</v>
      </c>
      <c r="T65" t="s">
        <v>40</v>
      </c>
      <c r="U65">
        <v>2012</v>
      </c>
      <c r="V65">
        <v>0</v>
      </c>
      <c r="W65">
        <v>0</v>
      </c>
      <c r="Y65">
        <v>2012</v>
      </c>
      <c r="Z65" t="s">
        <v>215</v>
      </c>
      <c r="AA65">
        <v>13551.941999999999</v>
      </c>
    </row>
    <row r="66" spans="1:27">
      <c r="A66">
        <v>2033</v>
      </c>
      <c r="B66" t="s">
        <v>26</v>
      </c>
      <c r="C66" s="27">
        <f t="shared" si="4"/>
        <v>22280.129000000001</v>
      </c>
      <c r="D66" s="18">
        <f t="shared" si="6"/>
        <v>4.265625</v>
      </c>
      <c r="E66" s="20">
        <f t="shared" si="1"/>
        <v>5223.1804249084253</v>
      </c>
      <c r="F66" s="20"/>
      <c r="Q66" t="s">
        <v>211</v>
      </c>
      <c r="R66" t="s">
        <v>162</v>
      </c>
      <c r="S66" t="s">
        <v>26</v>
      </c>
      <c r="T66" t="s">
        <v>40</v>
      </c>
      <c r="U66">
        <v>2013</v>
      </c>
      <c r="V66">
        <v>0</v>
      </c>
      <c r="W66">
        <v>0</v>
      </c>
      <c r="Y66">
        <v>2013</v>
      </c>
      <c r="Z66" t="s">
        <v>215</v>
      </c>
      <c r="AA66">
        <v>13930.476000000001</v>
      </c>
    </row>
    <row r="67" spans="1:27">
      <c r="A67">
        <v>2034</v>
      </c>
      <c r="B67" t="s">
        <v>26</v>
      </c>
      <c r="C67" s="27">
        <f t="shared" si="4"/>
        <v>22686.02</v>
      </c>
      <c r="D67" s="18">
        <f t="shared" si="6"/>
        <v>4.25</v>
      </c>
      <c r="E67" s="20">
        <f t="shared" ref="E67:E83" si="7">C67/D67</f>
        <v>5337.8870588235295</v>
      </c>
      <c r="F67" s="20"/>
      <c r="Q67" t="s">
        <v>211</v>
      </c>
      <c r="R67" t="s">
        <v>162</v>
      </c>
      <c r="S67" t="s">
        <v>26</v>
      </c>
      <c r="T67" t="s">
        <v>40</v>
      </c>
      <c r="U67">
        <v>2014</v>
      </c>
      <c r="V67">
        <v>0</v>
      </c>
      <c r="W67">
        <v>0</v>
      </c>
      <c r="Y67">
        <v>2014</v>
      </c>
      <c r="Z67" t="s">
        <v>215</v>
      </c>
      <c r="AA67">
        <v>14315.223</v>
      </c>
    </row>
    <row r="68" spans="1:27">
      <c r="A68">
        <v>2035</v>
      </c>
      <c r="B68" t="s">
        <v>26</v>
      </c>
      <c r="C68" s="27">
        <f t="shared" si="4"/>
        <v>23088.127</v>
      </c>
      <c r="D68" s="18">
        <f t="shared" si="6"/>
        <v>4.234375</v>
      </c>
      <c r="E68" s="20">
        <f t="shared" si="7"/>
        <v>5452.5465977859776</v>
      </c>
      <c r="F68" s="20"/>
      <c r="Q68" t="s">
        <v>211</v>
      </c>
      <c r="R68" t="s">
        <v>162</v>
      </c>
      <c r="S68" t="s">
        <v>26</v>
      </c>
      <c r="T68" t="s">
        <v>40</v>
      </c>
      <c r="U68">
        <v>2015</v>
      </c>
      <c r="V68">
        <v>0</v>
      </c>
      <c r="W68">
        <v>0</v>
      </c>
      <c r="Y68">
        <v>2015</v>
      </c>
      <c r="Z68" t="s">
        <v>215</v>
      </c>
      <c r="AA68">
        <v>14706.906999999999</v>
      </c>
    </row>
    <row r="69" spans="1:27">
      <c r="A69">
        <v>2036</v>
      </c>
      <c r="B69" t="s">
        <v>26</v>
      </c>
      <c r="C69" s="27">
        <f t="shared" si="4"/>
        <v>23486.260999999999</v>
      </c>
      <c r="D69" s="18">
        <f t="shared" si="6"/>
        <v>4.21875</v>
      </c>
      <c r="E69" s="20">
        <f t="shared" si="7"/>
        <v>5567.113718518518</v>
      </c>
      <c r="F69" s="20"/>
      <c r="Q69" t="s">
        <v>211</v>
      </c>
      <c r="R69" t="s">
        <v>162</v>
      </c>
      <c r="S69" t="s">
        <v>26</v>
      </c>
      <c r="T69" t="s">
        <v>40</v>
      </c>
      <c r="U69">
        <v>2016</v>
      </c>
      <c r="V69">
        <v>0</v>
      </c>
      <c r="W69">
        <v>0</v>
      </c>
      <c r="Y69">
        <v>2016</v>
      </c>
      <c r="Z69" t="s">
        <v>215</v>
      </c>
      <c r="AA69">
        <v>15105.299000000001</v>
      </c>
    </row>
    <row r="70" spans="1:27">
      <c r="A70">
        <v>2037</v>
      </c>
      <c r="B70" t="s">
        <v>26</v>
      </c>
      <c r="C70" s="27">
        <f t="shared" si="4"/>
        <v>23879.805</v>
      </c>
      <c r="D70" s="18">
        <f t="shared" si="6"/>
        <v>4.203125</v>
      </c>
      <c r="E70" s="20">
        <f t="shared" si="7"/>
        <v>5681.4405947955393</v>
      </c>
      <c r="F70" s="20"/>
      <c r="Q70" t="s">
        <v>211</v>
      </c>
      <c r="R70" t="s">
        <v>162</v>
      </c>
      <c r="S70" t="s">
        <v>26</v>
      </c>
      <c r="T70" t="s">
        <v>40</v>
      </c>
      <c r="U70">
        <v>2017</v>
      </c>
      <c r="V70">
        <v>0</v>
      </c>
      <c r="W70">
        <v>0</v>
      </c>
      <c r="Y70">
        <v>2017</v>
      </c>
      <c r="Z70" t="s">
        <v>215</v>
      </c>
      <c r="AA70">
        <v>15509.513999999999</v>
      </c>
    </row>
    <row r="71" spans="1:27">
      <c r="A71">
        <v>2038</v>
      </c>
      <c r="B71" t="s">
        <v>26</v>
      </c>
      <c r="C71" s="27">
        <f t="shared" si="4"/>
        <v>24268.276000000002</v>
      </c>
      <c r="D71" s="18">
        <f t="shared" si="6"/>
        <v>4.1875</v>
      </c>
      <c r="E71" s="20">
        <f t="shared" si="7"/>
        <v>5795.4091940298513</v>
      </c>
      <c r="F71" s="20"/>
      <c r="Q71" t="s">
        <v>211</v>
      </c>
      <c r="R71" t="s">
        <v>162</v>
      </c>
      <c r="S71" t="s">
        <v>26</v>
      </c>
      <c r="T71" t="s">
        <v>40</v>
      </c>
      <c r="U71">
        <v>2018</v>
      </c>
      <c r="V71">
        <v>0</v>
      </c>
      <c r="W71">
        <v>0</v>
      </c>
      <c r="Y71">
        <v>2018</v>
      </c>
      <c r="Z71" t="s">
        <v>215</v>
      </c>
      <c r="AA71">
        <v>15918.795</v>
      </c>
    </row>
    <row r="72" spans="1:27">
      <c r="A72">
        <v>2039</v>
      </c>
      <c r="B72" t="s">
        <v>26</v>
      </c>
      <c r="C72" s="27">
        <f t="shared" si="4"/>
        <v>24651.174999999999</v>
      </c>
      <c r="D72" s="18">
        <f t="shared" si="6"/>
        <v>4.171875</v>
      </c>
      <c r="E72" s="20">
        <f t="shared" si="7"/>
        <v>5908.8958801498129</v>
      </c>
      <c r="F72" s="20"/>
      <c r="Q72" t="s">
        <v>211</v>
      </c>
      <c r="R72" t="s">
        <v>162</v>
      </c>
      <c r="S72" t="s">
        <v>26</v>
      </c>
      <c r="T72" t="s">
        <v>40</v>
      </c>
      <c r="U72">
        <v>2019</v>
      </c>
      <c r="V72">
        <v>0</v>
      </c>
      <c r="W72">
        <v>0</v>
      </c>
      <c r="Y72">
        <v>2019</v>
      </c>
      <c r="Z72" t="s">
        <v>215</v>
      </c>
      <c r="AA72">
        <v>16332.17</v>
      </c>
    </row>
    <row r="73" spans="1:27">
      <c r="A73">
        <v>2040</v>
      </c>
      <c r="B73" t="s">
        <v>26</v>
      </c>
      <c r="C73" s="27">
        <f t="shared" si="4"/>
        <v>25028.031999999999</v>
      </c>
      <c r="D73" s="18">
        <f t="shared" si="6"/>
        <v>4.15625</v>
      </c>
      <c r="E73" s="20">
        <f t="shared" si="7"/>
        <v>6021.7821353383461</v>
      </c>
      <c r="F73" s="20"/>
      <c r="Q73" t="s">
        <v>211</v>
      </c>
      <c r="R73" t="s">
        <v>162</v>
      </c>
      <c r="S73" t="s">
        <v>26</v>
      </c>
      <c r="T73" t="s">
        <v>40</v>
      </c>
      <c r="U73">
        <v>2020</v>
      </c>
      <c r="V73">
        <v>0</v>
      </c>
      <c r="W73">
        <v>0</v>
      </c>
      <c r="Y73">
        <v>2020</v>
      </c>
      <c r="Z73" t="s">
        <v>215</v>
      </c>
      <c r="AA73">
        <v>16748.855</v>
      </c>
    </row>
    <row r="74" spans="1:27">
      <c r="A74">
        <v>2041</v>
      </c>
      <c r="B74" t="s">
        <v>26</v>
      </c>
      <c r="C74" s="27">
        <f t="shared" si="4"/>
        <v>25398.337</v>
      </c>
      <c r="D74" s="18">
        <f t="shared" si="6"/>
        <v>4.140625</v>
      </c>
      <c r="E74" s="20">
        <f t="shared" si="7"/>
        <v>6133.9379924528303</v>
      </c>
      <c r="F74" s="20"/>
      <c r="Q74" t="s">
        <v>211</v>
      </c>
      <c r="R74" t="s">
        <v>162</v>
      </c>
      <c r="S74" t="s">
        <v>26</v>
      </c>
      <c r="T74" t="s">
        <v>40</v>
      </c>
      <c r="U74">
        <v>2021</v>
      </c>
      <c r="V74">
        <v>0</v>
      </c>
      <c r="W74">
        <v>0</v>
      </c>
      <c r="Y74">
        <v>2021</v>
      </c>
      <c r="Z74" t="s">
        <v>215</v>
      </c>
      <c r="AA74">
        <v>17168.11</v>
      </c>
    </row>
    <row r="75" spans="1:27">
      <c r="A75">
        <v>2042</v>
      </c>
      <c r="B75" t="s">
        <v>26</v>
      </c>
      <c r="C75" s="27">
        <f t="shared" si="4"/>
        <v>25761.555</v>
      </c>
      <c r="D75" s="18">
        <f t="shared" si="6"/>
        <v>4.125</v>
      </c>
      <c r="E75" s="20">
        <f t="shared" si="7"/>
        <v>6245.2254545454543</v>
      </c>
      <c r="F75" s="20"/>
      <c r="Q75" t="s">
        <v>211</v>
      </c>
      <c r="R75" t="s">
        <v>162</v>
      </c>
      <c r="S75" t="s">
        <v>26</v>
      </c>
      <c r="T75" t="s">
        <v>40</v>
      </c>
      <c r="U75">
        <v>2022</v>
      </c>
      <c r="V75">
        <v>0</v>
      </c>
      <c r="W75">
        <v>0</v>
      </c>
      <c r="Y75">
        <v>2022</v>
      </c>
      <c r="Z75" t="s">
        <v>215</v>
      </c>
      <c r="AA75">
        <v>17589.673999999999</v>
      </c>
    </row>
    <row r="76" spans="1:27">
      <c r="A76">
        <v>2043</v>
      </c>
      <c r="B76" t="s">
        <v>26</v>
      </c>
      <c r="C76" s="27">
        <f t="shared" si="4"/>
        <v>26117.078000000001</v>
      </c>
      <c r="D76" s="18">
        <f t="shared" si="6"/>
        <v>4.109375</v>
      </c>
      <c r="E76" s="20">
        <f t="shared" si="7"/>
        <v>6355.4866615969586</v>
      </c>
      <c r="F76" s="20"/>
      <c r="Q76" t="s">
        <v>211</v>
      </c>
      <c r="R76" t="s">
        <v>162</v>
      </c>
      <c r="S76" t="s">
        <v>26</v>
      </c>
      <c r="T76" t="s">
        <v>40</v>
      </c>
      <c r="U76">
        <v>2023</v>
      </c>
      <c r="V76">
        <v>0</v>
      </c>
      <c r="W76">
        <v>0</v>
      </c>
      <c r="Y76">
        <v>2023</v>
      </c>
      <c r="Z76" t="s">
        <v>215</v>
      </c>
      <c r="AA76">
        <v>18013.68</v>
      </c>
    </row>
    <row r="77" spans="1:27">
      <c r="A77">
        <v>2044</v>
      </c>
      <c r="B77" t="s">
        <v>26</v>
      </c>
      <c r="C77" s="27">
        <f t="shared" si="4"/>
        <v>26464.258999999998</v>
      </c>
      <c r="D77" s="18">
        <f t="shared" si="6"/>
        <v>4.09375</v>
      </c>
      <c r="E77" s="20">
        <f t="shared" si="7"/>
        <v>6464.5518167938926</v>
      </c>
      <c r="F77" s="20"/>
      <c r="Q77" t="s">
        <v>211</v>
      </c>
      <c r="R77" t="s">
        <v>162</v>
      </c>
      <c r="S77" t="s">
        <v>26</v>
      </c>
      <c r="T77" t="s">
        <v>40</v>
      </c>
      <c r="U77">
        <v>2024</v>
      </c>
      <c r="V77">
        <v>0</v>
      </c>
      <c r="W77">
        <v>0</v>
      </c>
      <c r="Y77">
        <v>2024</v>
      </c>
      <c r="Z77" t="s">
        <v>215</v>
      </c>
      <c r="AA77">
        <v>18440.490000000002</v>
      </c>
    </row>
    <row r="78" spans="1:27">
      <c r="A78">
        <v>2045</v>
      </c>
      <c r="B78" t="s">
        <v>26</v>
      </c>
      <c r="C78" s="27">
        <f t="shared" si="4"/>
        <v>26802.535</v>
      </c>
      <c r="D78" s="18">
        <f t="shared" si="6"/>
        <v>4.078125</v>
      </c>
      <c r="E78" s="20">
        <f t="shared" si="7"/>
        <v>6572.2691187739465</v>
      </c>
      <c r="F78" s="20"/>
      <c r="Q78" t="s">
        <v>211</v>
      </c>
      <c r="R78" t="s">
        <v>162</v>
      </c>
      <c r="S78" t="s">
        <v>26</v>
      </c>
      <c r="T78" t="s">
        <v>40</v>
      </c>
      <c r="U78">
        <v>2025</v>
      </c>
      <c r="V78">
        <v>0</v>
      </c>
      <c r="W78">
        <v>0</v>
      </c>
      <c r="Y78">
        <v>2025</v>
      </c>
      <c r="Z78" t="s">
        <v>215</v>
      </c>
      <c r="AA78">
        <v>18870.099999999999</v>
      </c>
    </row>
    <row r="79" spans="1:27">
      <c r="A79">
        <v>2046</v>
      </c>
      <c r="B79" t="s">
        <v>26</v>
      </c>
      <c r="C79" s="27">
        <f t="shared" si="4"/>
        <v>27131.367999999999</v>
      </c>
      <c r="D79" s="18">
        <f t="shared" si="6"/>
        <v>4.0625</v>
      </c>
      <c r="E79" s="20">
        <f t="shared" si="7"/>
        <v>6678.4905846153843</v>
      </c>
      <c r="F79" s="20"/>
      <c r="Q79" t="s">
        <v>211</v>
      </c>
      <c r="R79" t="s">
        <v>162</v>
      </c>
      <c r="S79" t="s">
        <v>26</v>
      </c>
      <c r="T79" t="s">
        <v>40</v>
      </c>
      <c r="U79">
        <v>2026</v>
      </c>
      <c r="V79">
        <v>0</v>
      </c>
      <c r="W79">
        <v>0</v>
      </c>
      <c r="Y79">
        <v>2026</v>
      </c>
      <c r="Z79" t="s">
        <v>215</v>
      </c>
      <c r="AA79">
        <v>19302.072</v>
      </c>
    </row>
    <row r="80" spans="1:27">
      <c r="A80">
        <v>2047</v>
      </c>
      <c r="B80" t="s">
        <v>26</v>
      </c>
      <c r="C80" s="27">
        <f t="shared" si="4"/>
        <v>27450.330999999998</v>
      </c>
      <c r="D80" s="18">
        <f t="shared" si="6"/>
        <v>4.046875</v>
      </c>
      <c r="E80" s="20">
        <f t="shared" si="7"/>
        <v>6783.0933745173743</v>
      </c>
      <c r="F80" s="20"/>
      <c r="Q80" t="s">
        <v>211</v>
      </c>
      <c r="R80" t="s">
        <v>162</v>
      </c>
      <c r="S80" t="s">
        <v>26</v>
      </c>
      <c r="T80" t="s">
        <v>40</v>
      </c>
      <c r="U80">
        <v>2027</v>
      </c>
      <c r="V80">
        <v>0</v>
      </c>
      <c r="W80">
        <v>0</v>
      </c>
      <c r="Y80">
        <v>2027</v>
      </c>
      <c r="Z80" t="s">
        <v>215</v>
      </c>
      <c r="AA80">
        <v>19735.339</v>
      </c>
    </row>
    <row r="81" spans="1:27">
      <c r="A81">
        <v>2048</v>
      </c>
      <c r="B81" t="s">
        <v>26</v>
      </c>
      <c r="C81" s="27">
        <f t="shared" si="4"/>
        <v>27759.081999999999</v>
      </c>
      <c r="D81" s="18">
        <f t="shared" si="6"/>
        <v>4.03125</v>
      </c>
      <c r="E81" s="20">
        <f t="shared" si="7"/>
        <v>6885.9738294573635</v>
      </c>
      <c r="F81" s="20"/>
      <c r="Q81" t="s">
        <v>211</v>
      </c>
      <c r="R81" t="s">
        <v>162</v>
      </c>
      <c r="S81" t="s">
        <v>26</v>
      </c>
      <c r="T81" t="s">
        <v>40</v>
      </c>
      <c r="U81">
        <v>2028</v>
      </c>
      <c r="V81">
        <v>0</v>
      </c>
      <c r="W81">
        <v>0</v>
      </c>
      <c r="Y81">
        <v>2028</v>
      </c>
      <c r="Z81" t="s">
        <v>215</v>
      </c>
      <c r="AA81">
        <v>20168.414000000001</v>
      </c>
    </row>
    <row r="82" spans="1:27">
      <c r="A82">
        <v>2049</v>
      </c>
      <c r="B82" t="s">
        <v>26</v>
      </c>
      <c r="C82" s="27">
        <f t="shared" si="4"/>
        <v>28057.339</v>
      </c>
      <c r="D82" s="18">
        <f t="shared" si="6"/>
        <v>4.015625</v>
      </c>
      <c r="E82" s="20">
        <f t="shared" si="7"/>
        <v>6987.0416186770426</v>
      </c>
      <c r="F82" s="20"/>
      <c r="Q82" t="s">
        <v>211</v>
      </c>
      <c r="R82" t="s">
        <v>162</v>
      </c>
      <c r="S82" t="s">
        <v>26</v>
      </c>
      <c r="T82" t="s">
        <v>40</v>
      </c>
      <c r="U82">
        <v>2029</v>
      </c>
      <c r="V82">
        <v>0</v>
      </c>
      <c r="W82">
        <v>0</v>
      </c>
      <c r="Y82">
        <v>2029</v>
      </c>
      <c r="Z82" t="s">
        <v>215</v>
      </c>
      <c r="AA82">
        <v>20599.526999999998</v>
      </c>
    </row>
    <row r="83" spans="1:27">
      <c r="A83">
        <v>2050</v>
      </c>
      <c r="B83" t="s">
        <v>26</v>
      </c>
      <c r="C83" s="27">
        <f t="shared" si="4"/>
        <v>28344.776999999998</v>
      </c>
      <c r="D83" s="125">
        <f>N2</f>
        <v>4</v>
      </c>
      <c r="E83" s="20">
        <f t="shared" si="7"/>
        <v>7086.1942499999996</v>
      </c>
      <c r="F83" s="20"/>
      <c r="Q83" t="s">
        <v>211</v>
      </c>
      <c r="R83" t="s">
        <v>162</v>
      </c>
      <c r="S83" t="s">
        <v>26</v>
      </c>
      <c r="T83" t="s">
        <v>40</v>
      </c>
      <c r="U83">
        <v>2030</v>
      </c>
      <c r="V83">
        <v>0</v>
      </c>
      <c r="W83">
        <v>0</v>
      </c>
      <c r="Y83">
        <v>2030</v>
      </c>
      <c r="Z83" t="s">
        <v>215</v>
      </c>
      <c r="AA83">
        <v>21027.123</v>
      </c>
    </row>
    <row r="84" spans="1:27">
      <c r="A84">
        <v>2010</v>
      </c>
      <c r="B84" t="s">
        <v>29</v>
      </c>
      <c r="C84" s="20">
        <f>C2+C43</f>
        <v>19564.850999999999</v>
      </c>
      <c r="D84" s="18">
        <f>C84/E84</f>
        <v>4.5918985942717612</v>
      </c>
      <c r="E84" s="20">
        <f>E2+E43</f>
        <v>4260.7323742746612</v>
      </c>
      <c r="F84" s="20"/>
      <c r="Q84" t="s">
        <v>211</v>
      </c>
      <c r="R84" t="s">
        <v>162</v>
      </c>
      <c r="S84" t="s">
        <v>26</v>
      </c>
      <c r="T84" t="s">
        <v>40</v>
      </c>
      <c r="U84">
        <v>2031</v>
      </c>
      <c r="V84">
        <v>0</v>
      </c>
      <c r="W84">
        <v>0</v>
      </c>
      <c r="Y84">
        <v>2031</v>
      </c>
      <c r="Z84" t="s">
        <v>215</v>
      </c>
      <c r="AA84">
        <v>21450.185000000001</v>
      </c>
    </row>
    <row r="85" spans="1:27">
      <c r="A85">
        <v>2011</v>
      </c>
      <c r="B85" t="s">
        <v>29</v>
      </c>
      <c r="C85" s="20">
        <f t="shared" ref="C85:E124" si="8">C3+C44</f>
        <v>20262.614999999998</v>
      </c>
      <c r="D85" s="18">
        <f t="shared" ref="D85:D124" si="9">C85/E85</f>
        <v>4.5655470783171435</v>
      </c>
      <c r="E85" s="20">
        <f t="shared" si="8"/>
        <v>4438.1570603514137</v>
      </c>
      <c r="F85" s="20"/>
      <c r="Q85" t="s">
        <v>211</v>
      </c>
      <c r="R85" t="s">
        <v>162</v>
      </c>
      <c r="S85" t="s">
        <v>26</v>
      </c>
      <c r="T85" t="s">
        <v>40</v>
      </c>
      <c r="U85">
        <v>2032</v>
      </c>
      <c r="V85">
        <v>0</v>
      </c>
      <c r="W85">
        <v>0</v>
      </c>
      <c r="Y85">
        <v>2032</v>
      </c>
      <c r="Z85" t="s">
        <v>215</v>
      </c>
      <c r="AA85">
        <v>21868.07</v>
      </c>
    </row>
    <row r="86" spans="1:27">
      <c r="A86">
        <v>2012</v>
      </c>
      <c r="B86" t="s">
        <v>29</v>
      </c>
      <c r="C86" s="20">
        <f t="shared" si="8"/>
        <v>20976.989999999998</v>
      </c>
      <c r="D86" s="18">
        <f t="shared" si="9"/>
        <v>4.5391931135853572</v>
      </c>
      <c r="E86" s="20">
        <f t="shared" si="8"/>
        <v>4621.3037152391553</v>
      </c>
      <c r="F86" s="20"/>
      <c r="Q86" t="s">
        <v>211</v>
      </c>
      <c r="R86" t="s">
        <v>162</v>
      </c>
      <c r="S86" t="s">
        <v>26</v>
      </c>
      <c r="T86" t="s">
        <v>40</v>
      </c>
      <c r="U86">
        <v>2033</v>
      </c>
      <c r="V86">
        <v>0</v>
      </c>
      <c r="W86">
        <v>0</v>
      </c>
      <c r="Y86">
        <v>2033</v>
      </c>
      <c r="Z86" t="s">
        <v>215</v>
      </c>
      <c r="AA86">
        <v>22280.129000000001</v>
      </c>
    </row>
    <row r="87" spans="1:27">
      <c r="A87">
        <v>2013</v>
      </c>
      <c r="B87" t="s">
        <v>29</v>
      </c>
      <c r="C87" s="20">
        <f t="shared" si="8"/>
        <v>21709.317999999999</v>
      </c>
      <c r="D87" s="18">
        <f t="shared" si="9"/>
        <v>4.5128360061696515</v>
      </c>
      <c r="E87" s="20">
        <f t="shared" si="8"/>
        <v>4810.5709957819099</v>
      </c>
      <c r="F87" s="20"/>
      <c r="Q87" t="s">
        <v>211</v>
      </c>
      <c r="R87" t="s">
        <v>162</v>
      </c>
      <c r="S87" t="s">
        <v>26</v>
      </c>
      <c r="T87" t="s">
        <v>40</v>
      </c>
      <c r="U87">
        <v>2034</v>
      </c>
      <c r="V87">
        <v>0</v>
      </c>
      <c r="W87">
        <v>0</v>
      </c>
      <c r="Y87">
        <v>2034</v>
      </c>
      <c r="Z87" t="s">
        <v>215</v>
      </c>
      <c r="AA87">
        <v>22686.02</v>
      </c>
    </row>
    <row r="88" spans="1:27">
      <c r="A88">
        <v>2014</v>
      </c>
      <c r="B88" t="s">
        <v>29</v>
      </c>
      <c r="C88" s="20">
        <f t="shared" si="8"/>
        <v>22461.708999999999</v>
      </c>
      <c r="D88" s="18">
        <f t="shared" si="9"/>
        <v>4.4864765144822858</v>
      </c>
      <c r="E88" s="20">
        <f t="shared" si="8"/>
        <v>5006.5366279069785</v>
      </c>
      <c r="F88" s="20"/>
      <c r="Q88" t="s">
        <v>211</v>
      </c>
      <c r="R88" t="s">
        <v>162</v>
      </c>
      <c r="S88" t="s">
        <v>26</v>
      </c>
      <c r="T88" t="s">
        <v>40</v>
      </c>
      <c r="U88">
        <v>2035</v>
      </c>
      <c r="V88">
        <v>0</v>
      </c>
      <c r="W88">
        <v>0</v>
      </c>
      <c r="Y88">
        <v>2035</v>
      </c>
      <c r="Z88" t="s">
        <v>215</v>
      </c>
      <c r="AA88">
        <v>23088.127</v>
      </c>
    </row>
    <row r="89" spans="1:27">
      <c r="A89">
        <v>2015</v>
      </c>
      <c r="B89" t="s">
        <v>29</v>
      </c>
      <c r="C89" s="20">
        <f t="shared" si="8"/>
        <v>23235.699999999997</v>
      </c>
      <c r="D89" s="18">
        <f t="shared" si="9"/>
        <v>4.4601150832665057</v>
      </c>
      <c r="E89" s="20">
        <f t="shared" si="8"/>
        <v>5209.6637791199328</v>
      </c>
      <c r="F89" s="20"/>
      <c r="Q89" t="s">
        <v>211</v>
      </c>
      <c r="R89" t="s">
        <v>162</v>
      </c>
      <c r="S89" t="s">
        <v>26</v>
      </c>
      <c r="T89" t="s">
        <v>40</v>
      </c>
      <c r="U89">
        <v>2036</v>
      </c>
      <c r="V89">
        <v>0</v>
      </c>
      <c r="W89">
        <v>0</v>
      </c>
      <c r="Y89">
        <v>2036</v>
      </c>
      <c r="Z89" t="s">
        <v>215</v>
      </c>
      <c r="AA89">
        <v>23486.260999999999</v>
      </c>
    </row>
    <row r="90" spans="1:27">
      <c r="A90">
        <v>2016</v>
      </c>
      <c r="B90" t="s">
        <v>29</v>
      </c>
      <c r="C90" s="20">
        <f t="shared" si="8"/>
        <v>24031.544999999998</v>
      </c>
      <c r="D90" s="18">
        <f t="shared" si="9"/>
        <v>4.4337505938332242</v>
      </c>
      <c r="E90" s="20">
        <f t="shared" si="8"/>
        <v>5420.1391105365246</v>
      </c>
      <c r="F90" s="20"/>
      <c r="Q90" t="s">
        <v>211</v>
      </c>
      <c r="R90" t="s">
        <v>162</v>
      </c>
      <c r="S90" t="s">
        <v>26</v>
      </c>
      <c r="T90" t="s">
        <v>40</v>
      </c>
      <c r="U90">
        <v>2037</v>
      </c>
      <c r="V90">
        <v>0</v>
      </c>
      <c r="W90">
        <v>0</v>
      </c>
      <c r="Y90">
        <v>2037</v>
      </c>
      <c r="Z90" t="s">
        <v>215</v>
      </c>
      <c r="AA90">
        <v>23879.805</v>
      </c>
    </row>
    <row r="91" spans="1:27">
      <c r="A91">
        <v>2017</v>
      </c>
      <c r="B91" t="s">
        <v>29</v>
      </c>
      <c r="C91" s="20">
        <f t="shared" si="8"/>
        <v>24848.538999999997</v>
      </c>
      <c r="D91" s="18">
        <f t="shared" si="9"/>
        <v>4.4073814397658824</v>
      </c>
      <c r="E91" s="20">
        <f t="shared" si="8"/>
        <v>5637.9370244205456</v>
      </c>
      <c r="F91" s="20"/>
      <c r="Q91" t="s">
        <v>211</v>
      </c>
      <c r="R91" t="s">
        <v>162</v>
      </c>
      <c r="S91" t="s">
        <v>26</v>
      </c>
      <c r="T91" t="s">
        <v>40</v>
      </c>
      <c r="U91">
        <v>2038</v>
      </c>
      <c r="V91">
        <v>0</v>
      </c>
      <c r="W91">
        <v>0</v>
      </c>
      <c r="Y91">
        <v>2038</v>
      </c>
      <c r="Z91" t="s">
        <v>215</v>
      </c>
      <c r="AA91">
        <v>24268.276000000002</v>
      </c>
    </row>
    <row r="92" spans="1:27">
      <c r="A92">
        <v>2018</v>
      </c>
      <c r="B92" t="s">
        <v>29</v>
      </c>
      <c r="C92" s="20">
        <f t="shared" si="8"/>
        <v>25686.080000000002</v>
      </c>
      <c r="D92" s="18">
        <f t="shared" si="9"/>
        <v>4.3810068594593581</v>
      </c>
      <c r="E92" s="20">
        <f t="shared" si="8"/>
        <v>5863.0540476190472</v>
      </c>
      <c r="F92" s="20"/>
      <c r="Q92" t="s">
        <v>211</v>
      </c>
      <c r="R92" t="s">
        <v>162</v>
      </c>
      <c r="S92" t="s">
        <v>26</v>
      </c>
      <c r="T92" t="s">
        <v>40</v>
      </c>
      <c r="U92">
        <v>2039</v>
      </c>
      <c r="V92">
        <v>0</v>
      </c>
      <c r="W92">
        <v>0</v>
      </c>
      <c r="Y92">
        <v>2039</v>
      </c>
      <c r="Z92" t="s">
        <v>215</v>
      </c>
      <c r="AA92">
        <v>24651.174999999999</v>
      </c>
    </row>
    <row r="93" spans="1:27">
      <c r="A93">
        <v>2019</v>
      </c>
      <c r="B93" t="s">
        <v>29</v>
      </c>
      <c r="C93" s="20">
        <f t="shared" si="8"/>
        <v>26543.199000000001</v>
      </c>
      <c r="D93" s="18">
        <f t="shared" si="9"/>
        <v>4.3548300587626168</v>
      </c>
      <c r="E93" s="20">
        <f t="shared" si="8"/>
        <v>6095.1170635443805</v>
      </c>
      <c r="F93" s="20"/>
      <c r="Q93" t="s">
        <v>211</v>
      </c>
      <c r="R93" t="s">
        <v>162</v>
      </c>
      <c r="S93" t="s">
        <v>26</v>
      </c>
      <c r="T93" t="s">
        <v>40</v>
      </c>
      <c r="U93">
        <v>2040</v>
      </c>
      <c r="V93">
        <v>0</v>
      </c>
      <c r="W93">
        <v>0</v>
      </c>
      <c r="Y93">
        <v>2040</v>
      </c>
      <c r="Z93" t="s">
        <v>215</v>
      </c>
      <c r="AA93">
        <v>25028.031999999999</v>
      </c>
    </row>
    <row r="94" spans="1:27">
      <c r="A94">
        <v>2020</v>
      </c>
      <c r="B94" t="s">
        <v>29</v>
      </c>
      <c r="C94" s="20">
        <f t="shared" si="8"/>
        <v>27419.107</v>
      </c>
      <c r="D94" s="18">
        <f t="shared" si="9"/>
        <v>4.3283827531486532</v>
      </c>
      <c r="E94" s="20">
        <f t="shared" si="8"/>
        <v>6334.7232820512818</v>
      </c>
      <c r="F94" s="20"/>
      <c r="Q94" t="s">
        <v>211</v>
      </c>
      <c r="R94" t="s">
        <v>162</v>
      </c>
      <c r="S94" t="s">
        <v>26</v>
      </c>
      <c r="T94" t="s">
        <v>40</v>
      </c>
      <c r="U94">
        <v>2041</v>
      </c>
      <c r="V94">
        <v>0</v>
      </c>
      <c r="W94">
        <v>0</v>
      </c>
      <c r="Y94">
        <v>2041</v>
      </c>
      <c r="Z94" t="s">
        <v>215</v>
      </c>
      <c r="AA94">
        <v>25398.337</v>
      </c>
    </row>
    <row r="95" spans="1:27">
      <c r="A95">
        <v>2021</v>
      </c>
      <c r="B95" t="s">
        <v>29</v>
      </c>
      <c r="C95" s="20">
        <f t="shared" si="8"/>
        <v>28313.190999999999</v>
      </c>
      <c r="D95" s="18">
        <f t="shared" si="9"/>
        <v>4.3016612397304765</v>
      </c>
      <c r="E95" s="20">
        <f t="shared" si="8"/>
        <v>6581.9201982938994</v>
      </c>
      <c r="F95" s="20"/>
      <c r="Q95" t="s">
        <v>211</v>
      </c>
      <c r="R95" t="s">
        <v>162</v>
      </c>
      <c r="S95" t="s">
        <v>26</v>
      </c>
      <c r="T95" t="s">
        <v>40</v>
      </c>
      <c r="U95">
        <v>2042</v>
      </c>
      <c r="V95">
        <v>0</v>
      </c>
      <c r="W95">
        <v>0</v>
      </c>
      <c r="Y95">
        <v>2042</v>
      </c>
      <c r="Z95" t="s">
        <v>215</v>
      </c>
      <c r="AA95">
        <v>25761.555</v>
      </c>
    </row>
    <row r="96" spans="1:27">
      <c r="A96">
        <v>2022</v>
      </c>
      <c r="B96" t="s">
        <v>29</v>
      </c>
      <c r="C96" s="20">
        <f t="shared" si="8"/>
        <v>29225.303</v>
      </c>
      <c r="D96" s="18">
        <f t="shared" si="9"/>
        <v>4.274664330612489</v>
      </c>
      <c r="E96" s="20">
        <f t="shared" si="8"/>
        <v>6836.865011997912</v>
      </c>
      <c r="F96" s="20"/>
      <c r="Q96" t="s">
        <v>211</v>
      </c>
      <c r="R96" t="s">
        <v>162</v>
      </c>
      <c r="S96" t="s">
        <v>26</v>
      </c>
      <c r="T96" t="s">
        <v>40</v>
      </c>
      <c r="U96">
        <v>2043</v>
      </c>
      <c r="V96">
        <v>0</v>
      </c>
      <c r="W96">
        <v>0</v>
      </c>
      <c r="Y96">
        <v>2043</v>
      </c>
      <c r="Z96" t="s">
        <v>215</v>
      </c>
      <c r="AA96">
        <v>26117.078000000001</v>
      </c>
    </row>
    <row r="97" spans="1:27">
      <c r="A97">
        <v>2023</v>
      </c>
      <c r="B97" t="s">
        <v>29</v>
      </c>
      <c r="C97" s="20">
        <f t="shared" si="8"/>
        <v>30155.457000000002</v>
      </c>
      <c r="D97" s="18">
        <f t="shared" si="9"/>
        <v>4.2473951510717765</v>
      </c>
      <c r="E97" s="20">
        <f t="shared" si="8"/>
        <v>7099.7531257223982</v>
      </c>
      <c r="F97" s="20"/>
      <c r="Q97" t="s">
        <v>211</v>
      </c>
      <c r="R97" t="s">
        <v>162</v>
      </c>
      <c r="S97" t="s">
        <v>26</v>
      </c>
      <c r="T97" t="s">
        <v>40</v>
      </c>
      <c r="U97">
        <v>2044</v>
      </c>
      <c r="V97">
        <v>0</v>
      </c>
      <c r="W97">
        <v>0</v>
      </c>
      <c r="Y97">
        <v>2044</v>
      </c>
      <c r="Z97" t="s">
        <v>215</v>
      </c>
      <c r="AA97">
        <v>26464.258999999998</v>
      </c>
    </row>
    <row r="98" spans="1:27">
      <c r="A98">
        <v>2024</v>
      </c>
      <c r="B98" t="s">
        <v>29</v>
      </c>
      <c r="C98" s="20">
        <f t="shared" si="8"/>
        <v>31103.789000000004</v>
      </c>
      <c r="D98" s="18">
        <f t="shared" si="9"/>
        <v>4.2198595997253499</v>
      </c>
      <c r="E98" s="20">
        <f t="shared" si="8"/>
        <v>7370.8113421651269</v>
      </c>
      <c r="Q98" t="s">
        <v>211</v>
      </c>
      <c r="R98" t="s">
        <v>162</v>
      </c>
      <c r="S98" t="s">
        <v>26</v>
      </c>
      <c r="T98" t="s">
        <v>40</v>
      </c>
      <c r="U98">
        <v>2045</v>
      </c>
      <c r="V98">
        <v>0</v>
      </c>
      <c r="W98">
        <v>0</v>
      </c>
      <c r="Y98">
        <v>2045</v>
      </c>
      <c r="Z98" t="s">
        <v>215</v>
      </c>
      <c r="AA98">
        <v>26802.535</v>
      </c>
    </row>
    <row r="99" spans="1:27">
      <c r="A99">
        <v>2025</v>
      </c>
      <c r="B99" t="s">
        <v>29</v>
      </c>
      <c r="C99" s="20">
        <f t="shared" si="8"/>
        <v>32070.048999999999</v>
      </c>
      <c r="D99" s="18">
        <f t="shared" si="9"/>
        <v>4.1920622364755449</v>
      </c>
      <c r="E99" s="20">
        <f t="shared" si="8"/>
        <v>7650.1843701067601</v>
      </c>
      <c r="Q99" t="s">
        <v>211</v>
      </c>
      <c r="R99" t="s">
        <v>162</v>
      </c>
      <c r="S99" t="s">
        <v>26</v>
      </c>
      <c r="T99" t="s">
        <v>40</v>
      </c>
      <c r="U99">
        <v>2046</v>
      </c>
      <c r="V99">
        <v>0</v>
      </c>
      <c r="W99">
        <v>0</v>
      </c>
      <c r="Y99">
        <v>2046</v>
      </c>
      <c r="Z99" t="s">
        <v>215</v>
      </c>
      <c r="AA99">
        <v>27131.367999999999</v>
      </c>
    </row>
    <row r="100" spans="1:27">
      <c r="A100">
        <v>2026</v>
      </c>
      <c r="B100" t="s">
        <v>29</v>
      </c>
      <c r="C100" s="20">
        <f t="shared" si="8"/>
        <v>33053.667999999998</v>
      </c>
      <c r="D100" s="18">
        <f t="shared" si="9"/>
        <v>4.1640042946187235</v>
      </c>
      <c r="E100" s="20">
        <f t="shared" si="8"/>
        <v>7937.9524278388271</v>
      </c>
      <c r="Q100" t="s">
        <v>211</v>
      </c>
      <c r="R100" t="s">
        <v>162</v>
      </c>
      <c r="S100" t="s">
        <v>26</v>
      </c>
      <c r="T100" t="s">
        <v>40</v>
      </c>
      <c r="U100">
        <v>2047</v>
      </c>
      <c r="V100">
        <v>0</v>
      </c>
      <c r="W100">
        <v>0</v>
      </c>
      <c r="Y100">
        <v>2047</v>
      </c>
      <c r="Z100" t="s">
        <v>215</v>
      </c>
      <c r="AA100">
        <v>27450.330999999998</v>
      </c>
    </row>
    <row r="101" spans="1:27">
      <c r="A101">
        <v>2027</v>
      </c>
      <c r="B101" t="s">
        <v>29</v>
      </c>
      <c r="C101" s="20">
        <f t="shared" si="8"/>
        <v>34053.373999999996</v>
      </c>
      <c r="D101" s="18">
        <f t="shared" si="9"/>
        <v>4.135683627756281</v>
      </c>
      <c r="E101" s="20">
        <f t="shared" si="8"/>
        <v>8234.037480878309</v>
      </c>
      <c r="Q101" t="s">
        <v>211</v>
      </c>
      <c r="R101" t="s">
        <v>162</v>
      </c>
      <c r="S101" t="s">
        <v>26</v>
      </c>
      <c r="T101" t="s">
        <v>40</v>
      </c>
      <c r="U101">
        <v>2048</v>
      </c>
      <c r="V101">
        <v>0</v>
      </c>
      <c r="W101">
        <v>0</v>
      </c>
      <c r="Y101">
        <v>2048</v>
      </c>
      <c r="Z101" t="s">
        <v>215</v>
      </c>
      <c r="AA101">
        <v>27759.081999999999</v>
      </c>
    </row>
    <row r="102" spans="1:27">
      <c r="A102">
        <v>2028</v>
      </c>
      <c r="B102" t="s">
        <v>29</v>
      </c>
      <c r="C102" s="20">
        <f t="shared" si="8"/>
        <v>35067.279999999999</v>
      </c>
      <c r="D102" s="18">
        <f t="shared" si="9"/>
        <v>4.1070966140924092</v>
      </c>
      <c r="E102" s="20">
        <f t="shared" si="8"/>
        <v>8538.2164811209841</v>
      </c>
      <c r="Q102" t="s">
        <v>211</v>
      </c>
      <c r="R102" t="s">
        <v>162</v>
      </c>
      <c r="S102" t="s">
        <v>26</v>
      </c>
      <c r="T102" t="s">
        <v>40</v>
      </c>
      <c r="U102">
        <v>2049</v>
      </c>
      <c r="V102">
        <v>0</v>
      </c>
      <c r="W102">
        <v>0</v>
      </c>
      <c r="Y102">
        <v>2049</v>
      </c>
      <c r="Z102" t="s">
        <v>215</v>
      </c>
      <c r="AA102">
        <v>28057.339</v>
      </c>
    </row>
    <row r="103" spans="1:27">
      <c r="A103">
        <v>2029</v>
      </c>
      <c r="B103" t="s">
        <v>29</v>
      </c>
      <c r="C103" s="20">
        <f t="shared" si="8"/>
        <v>36093.102999999996</v>
      </c>
      <c r="D103" s="18">
        <f t="shared" si="9"/>
        <v>4.0782380905314497</v>
      </c>
      <c r="E103" s="20">
        <f t="shared" si="8"/>
        <v>8850.1706371185828</v>
      </c>
      <c r="Q103" t="s">
        <v>211</v>
      </c>
      <c r="R103" t="s">
        <v>162</v>
      </c>
      <c r="S103" t="s">
        <v>26</v>
      </c>
      <c r="T103" t="s">
        <v>40</v>
      </c>
      <c r="U103">
        <v>2050</v>
      </c>
      <c r="V103">
        <v>0</v>
      </c>
      <c r="W103">
        <v>0</v>
      </c>
      <c r="Y103">
        <v>2050</v>
      </c>
      <c r="Z103" t="s">
        <v>215</v>
      </c>
      <c r="AA103">
        <v>28344.776999999998</v>
      </c>
    </row>
    <row r="104" spans="1:27">
      <c r="A104">
        <v>2030</v>
      </c>
      <c r="B104" t="s">
        <v>29</v>
      </c>
      <c r="C104" s="20">
        <f t="shared" si="8"/>
        <v>37128.782999999996</v>
      </c>
      <c r="D104" s="18">
        <f t="shared" si="9"/>
        <v>4.0491034573181617</v>
      </c>
      <c r="E104" s="20">
        <f t="shared" si="8"/>
        <v>9169.6306086956502</v>
      </c>
      <c r="Q104" t="s">
        <v>211</v>
      </c>
      <c r="R104" t="s">
        <v>162</v>
      </c>
      <c r="S104" t="s">
        <v>29</v>
      </c>
      <c r="T104" t="s">
        <v>40</v>
      </c>
      <c r="U104">
        <v>2000</v>
      </c>
      <c r="V104">
        <v>2E-3</v>
      </c>
      <c r="W104">
        <v>22.752344000000001</v>
      </c>
    </row>
    <row r="105" spans="1:27">
      <c r="A105">
        <v>2031</v>
      </c>
      <c r="B105" t="s">
        <v>29</v>
      </c>
      <c r="C105" s="20">
        <f t="shared" si="8"/>
        <v>38172.803</v>
      </c>
      <c r="D105" s="18">
        <f t="shared" si="9"/>
        <v>4.0196910622384516</v>
      </c>
      <c r="E105" s="20">
        <f t="shared" si="8"/>
        <v>9496.451943434342</v>
      </c>
      <c r="Q105" t="s">
        <v>211</v>
      </c>
      <c r="R105" t="s">
        <v>162</v>
      </c>
      <c r="S105" t="s">
        <v>29</v>
      </c>
      <c r="T105" t="s">
        <v>40</v>
      </c>
      <c r="U105">
        <v>2001</v>
      </c>
      <c r="V105">
        <v>2E-3</v>
      </c>
      <c r="W105">
        <v>23.391725999999998</v>
      </c>
    </row>
    <row r="106" spans="1:27">
      <c r="A106">
        <v>2032</v>
      </c>
      <c r="B106" t="s">
        <v>29</v>
      </c>
      <c r="C106" s="20">
        <f t="shared" si="8"/>
        <v>39224.024000000005</v>
      </c>
      <c r="D106" s="18">
        <f t="shared" si="9"/>
        <v>3.9900014285827643</v>
      </c>
      <c r="E106" s="20">
        <f t="shared" si="8"/>
        <v>9830.578936392074</v>
      </c>
      <c r="Q106" t="s">
        <v>211</v>
      </c>
      <c r="R106" t="s">
        <v>162</v>
      </c>
      <c r="S106" t="s">
        <v>29</v>
      </c>
      <c r="T106" t="s">
        <v>40</v>
      </c>
      <c r="U106">
        <v>2002</v>
      </c>
      <c r="V106">
        <v>1E-3</v>
      </c>
      <c r="W106">
        <v>12.013711000000001</v>
      </c>
    </row>
    <row r="107" spans="1:27">
      <c r="A107">
        <v>2033</v>
      </c>
      <c r="B107" t="s">
        <v>29</v>
      </c>
      <c r="C107" s="20">
        <f t="shared" si="8"/>
        <v>40281.097999999998</v>
      </c>
      <c r="D107" s="18">
        <f t="shared" si="9"/>
        <v>3.9600366025370959</v>
      </c>
      <c r="E107" s="20">
        <f t="shared" si="8"/>
        <v>10171.900424908425</v>
      </c>
      <c r="Q107" t="s">
        <v>211</v>
      </c>
      <c r="R107" t="s">
        <v>162</v>
      </c>
      <c r="S107" t="s">
        <v>29</v>
      </c>
      <c r="T107" t="s">
        <v>40</v>
      </c>
      <c r="U107">
        <v>2003</v>
      </c>
      <c r="V107">
        <v>1E-3</v>
      </c>
      <c r="W107">
        <v>12.336687</v>
      </c>
    </row>
    <row r="108" spans="1:27">
      <c r="A108">
        <v>2034</v>
      </c>
      <c r="B108" t="s">
        <v>29</v>
      </c>
      <c r="C108" s="20">
        <f t="shared" si="8"/>
        <v>41342.531999999999</v>
      </c>
      <c r="D108" s="18">
        <f t="shared" si="9"/>
        <v>3.9298045286424479</v>
      </c>
      <c r="E108" s="20">
        <f t="shared" si="8"/>
        <v>10520.251503267973</v>
      </c>
      <c r="Q108" t="s">
        <v>211</v>
      </c>
      <c r="R108" t="s">
        <v>162</v>
      </c>
      <c r="S108" t="s">
        <v>29</v>
      </c>
      <c r="T108" t="s">
        <v>40</v>
      </c>
      <c r="U108">
        <v>2004</v>
      </c>
      <c r="V108">
        <v>1E-3</v>
      </c>
      <c r="W108">
        <v>12.676038</v>
      </c>
    </row>
    <row r="109" spans="1:27">
      <c r="A109">
        <v>2035</v>
      </c>
      <c r="B109" t="s">
        <v>29</v>
      </c>
      <c r="C109" s="20">
        <f t="shared" si="8"/>
        <v>42415.885000000002</v>
      </c>
      <c r="D109" s="18">
        <f t="shared" si="9"/>
        <v>3.8992778475504317</v>
      </c>
      <c r="E109" s="20">
        <f t="shared" si="8"/>
        <v>10877.882176733345</v>
      </c>
      <c r="Q109" t="s">
        <v>211</v>
      </c>
      <c r="R109" t="s">
        <v>162</v>
      </c>
      <c r="S109" t="s">
        <v>29</v>
      </c>
      <c r="T109" t="s">
        <v>40</v>
      </c>
      <c r="U109">
        <v>2005</v>
      </c>
      <c r="V109">
        <v>1E-3</v>
      </c>
      <c r="W109">
        <v>13.039711</v>
      </c>
    </row>
    <row r="110" spans="1:27">
      <c r="A110">
        <v>2036</v>
      </c>
      <c r="B110" t="s">
        <v>29</v>
      </c>
      <c r="C110" s="20">
        <f t="shared" si="8"/>
        <v>43499.978999999999</v>
      </c>
      <c r="D110" s="18">
        <f t="shared" si="9"/>
        <v>3.8684651957468099</v>
      </c>
      <c r="E110" s="20">
        <f t="shared" si="8"/>
        <v>11244.764214972418</v>
      </c>
      <c r="Q110" t="s">
        <v>211</v>
      </c>
      <c r="R110" t="s">
        <v>162</v>
      </c>
      <c r="S110" t="s">
        <v>29</v>
      </c>
      <c r="T110" t="s">
        <v>40</v>
      </c>
      <c r="U110">
        <v>2006</v>
      </c>
      <c r="V110">
        <v>1E-3</v>
      </c>
      <c r="W110">
        <v>13.429262</v>
      </c>
    </row>
    <row r="111" spans="1:27">
      <c r="A111">
        <v>2037</v>
      </c>
      <c r="B111" t="s">
        <v>29</v>
      </c>
      <c r="C111" s="20">
        <f t="shared" si="8"/>
        <v>44594.142999999996</v>
      </c>
      <c r="D111" s="18">
        <f t="shared" si="9"/>
        <v>3.837363904003674</v>
      </c>
      <c r="E111" s="20">
        <f t="shared" si="8"/>
        <v>11621.035720243566</v>
      </c>
      <c r="Q111" t="s">
        <v>211</v>
      </c>
      <c r="R111" t="s">
        <v>162</v>
      </c>
      <c r="S111" t="s">
        <v>29</v>
      </c>
      <c r="T111" t="s">
        <v>40</v>
      </c>
      <c r="U111">
        <v>2007</v>
      </c>
      <c r="V111">
        <v>1E-3</v>
      </c>
      <c r="W111">
        <v>13.840968999999999</v>
      </c>
    </row>
    <row r="112" spans="1:27">
      <c r="A112">
        <v>2038</v>
      </c>
      <c r="B112" t="s">
        <v>29</v>
      </c>
      <c r="C112" s="20">
        <f t="shared" si="8"/>
        <v>45697.982000000004</v>
      </c>
      <c r="D112" s="18">
        <f t="shared" si="9"/>
        <v>3.8059709674611772</v>
      </c>
      <c r="E112" s="20">
        <f t="shared" si="8"/>
        <v>12006.918179537097</v>
      </c>
      <c r="Q112" t="s">
        <v>211</v>
      </c>
      <c r="R112" t="s">
        <v>162</v>
      </c>
      <c r="S112" t="s">
        <v>29</v>
      </c>
      <c r="T112" t="s">
        <v>40</v>
      </c>
      <c r="U112">
        <v>2008</v>
      </c>
      <c r="V112">
        <v>1E-3</v>
      </c>
      <c r="W112">
        <v>14.271234</v>
      </c>
    </row>
    <row r="113" spans="1:23">
      <c r="A113">
        <v>2039</v>
      </c>
      <c r="B113" t="s">
        <v>29</v>
      </c>
      <c r="C113" s="20">
        <f t="shared" si="8"/>
        <v>46811.130000000005</v>
      </c>
      <c r="D113" s="18">
        <f t="shared" si="9"/>
        <v>3.7742828276754152</v>
      </c>
      <c r="E113" s="20">
        <f t="shared" si="8"/>
        <v>12402.655587109519</v>
      </c>
      <c r="Q113" t="s">
        <v>211</v>
      </c>
      <c r="R113" t="s">
        <v>162</v>
      </c>
      <c r="S113" t="s">
        <v>29</v>
      </c>
      <c r="T113" t="s">
        <v>40</v>
      </c>
      <c r="U113">
        <v>2009</v>
      </c>
      <c r="V113">
        <v>0</v>
      </c>
      <c r="W113">
        <v>0</v>
      </c>
    </row>
    <row r="114" spans="1:23">
      <c r="A114">
        <v>2040</v>
      </c>
      <c r="B114" t="s">
        <v>29</v>
      </c>
      <c r="C114" s="20">
        <f t="shared" si="8"/>
        <v>47933.2</v>
      </c>
      <c r="D114" s="18">
        <f t="shared" si="9"/>
        <v>3.7422965464241682</v>
      </c>
      <c r="E114" s="20">
        <f t="shared" si="8"/>
        <v>12808.49857978279</v>
      </c>
      <c r="Q114" t="s">
        <v>211</v>
      </c>
      <c r="R114" t="s">
        <v>162</v>
      </c>
      <c r="S114" t="s">
        <v>29</v>
      </c>
      <c r="T114" t="s">
        <v>40</v>
      </c>
      <c r="U114">
        <v>2010</v>
      </c>
      <c r="V114">
        <v>0</v>
      </c>
      <c r="W114">
        <v>0</v>
      </c>
    </row>
    <row r="115" spans="1:23">
      <c r="A115">
        <v>2041</v>
      </c>
      <c r="B115" t="s">
        <v>29</v>
      </c>
      <c r="C115" s="20">
        <f t="shared" si="8"/>
        <v>49063.630000000005</v>
      </c>
      <c r="D115" s="18">
        <f t="shared" si="9"/>
        <v>3.7100099944964824</v>
      </c>
      <c r="E115" s="20">
        <f t="shared" si="8"/>
        <v>13224.662486834852</v>
      </c>
      <c r="Q115" t="s">
        <v>211</v>
      </c>
      <c r="R115" t="s">
        <v>162</v>
      </c>
      <c r="S115" t="s">
        <v>29</v>
      </c>
      <c r="T115" t="s">
        <v>40</v>
      </c>
      <c r="U115">
        <v>2011</v>
      </c>
      <c r="V115">
        <v>0</v>
      </c>
      <c r="W115">
        <v>0</v>
      </c>
    </row>
    <row r="116" spans="1:23">
      <c r="A116">
        <v>2042</v>
      </c>
      <c r="B116" t="s">
        <v>29</v>
      </c>
      <c r="C116" s="20">
        <f t="shared" si="8"/>
        <v>50201.775000000001</v>
      </c>
      <c r="D116" s="18">
        <f t="shared" si="9"/>
        <v>3.6774212785306397</v>
      </c>
      <c r="E116" s="20">
        <f t="shared" si="8"/>
        <v>13651.352727272726</v>
      </c>
      <c r="Q116" t="s">
        <v>211</v>
      </c>
      <c r="R116" t="s">
        <v>162</v>
      </c>
      <c r="S116" t="s">
        <v>29</v>
      </c>
      <c r="T116" t="s">
        <v>40</v>
      </c>
      <c r="U116">
        <v>2012</v>
      </c>
      <c r="V116">
        <v>0</v>
      </c>
      <c r="W116">
        <v>0</v>
      </c>
    </row>
    <row r="117" spans="1:23">
      <c r="A117">
        <v>2043</v>
      </c>
      <c r="B117" t="s">
        <v>29</v>
      </c>
      <c r="C117" s="20">
        <f t="shared" si="8"/>
        <v>51346.960000000006</v>
      </c>
      <c r="D117" s="18">
        <f t="shared" si="9"/>
        <v>3.6445274931377893</v>
      </c>
      <c r="E117" s="20">
        <f t="shared" si="8"/>
        <v>14088.783826347917</v>
      </c>
      <c r="Q117" t="s">
        <v>211</v>
      </c>
      <c r="R117" t="s">
        <v>162</v>
      </c>
      <c r="S117" t="s">
        <v>29</v>
      </c>
      <c r="T117" t="s">
        <v>40</v>
      </c>
      <c r="U117">
        <v>2013</v>
      </c>
      <c r="V117">
        <v>0</v>
      </c>
      <c r="W117">
        <v>0</v>
      </c>
    </row>
    <row r="118" spans="1:23">
      <c r="A118">
        <v>2044</v>
      </c>
      <c r="B118" t="s">
        <v>29</v>
      </c>
      <c r="C118" s="20">
        <f t="shared" si="8"/>
        <v>52498.457999999999</v>
      </c>
      <c r="D118" s="18">
        <f t="shared" si="9"/>
        <v>3.6113254504736063</v>
      </c>
      <c r="E118" s="20">
        <f t="shared" si="8"/>
        <v>14537.171661755132</v>
      </c>
      <c r="Q118" t="s">
        <v>211</v>
      </c>
      <c r="R118" t="s">
        <v>162</v>
      </c>
      <c r="S118" t="s">
        <v>29</v>
      </c>
      <c r="T118" t="s">
        <v>40</v>
      </c>
      <c r="U118">
        <v>2014</v>
      </c>
      <c r="V118">
        <v>0</v>
      </c>
      <c r="W118">
        <v>0</v>
      </c>
    </row>
    <row r="119" spans="1:23">
      <c r="A119">
        <v>2045</v>
      </c>
      <c r="B119" t="s">
        <v>29</v>
      </c>
      <c r="C119" s="20">
        <f t="shared" si="8"/>
        <v>53655.585999999996</v>
      </c>
      <c r="D119" s="18">
        <f t="shared" si="9"/>
        <v>3.5778128982205293</v>
      </c>
      <c r="E119" s="20">
        <f t="shared" si="8"/>
        <v>14996.755707009241</v>
      </c>
      <c r="Q119" t="s">
        <v>211</v>
      </c>
      <c r="R119" t="s">
        <v>162</v>
      </c>
      <c r="S119" t="s">
        <v>29</v>
      </c>
      <c r="T119" t="s">
        <v>40</v>
      </c>
      <c r="U119">
        <v>2015</v>
      </c>
      <c r="V119">
        <v>0</v>
      </c>
      <c r="W119">
        <v>0</v>
      </c>
    </row>
    <row r="120" spans="1:23">
      <c r="A120">
        <v>2046</v>
      </c>
      <c r="B120" t="s">
        <v>29</v>
      </c>
      <c r="C120" s="20">
        <f t="shared" si="8"/>
        <v>54817.638999999996</v>
      </c>
      <c r="D120" s="18">
        <f t="shared" si="9"/>
        <v>3.5439881152992267</v>
      </c>
      <c r="E120" s="20">
        <f t="shared" si="8"/>
        <v>15467.782965567767</v>
      </c>
      <c r="Q120" t="s">
        <v>211</v>
      </c>
      <c r="R120" t="s">
        <v>162</v>
      </c>
      <c r="S120" t="s">
        <v>29</v>
      </c>
      <c r="T120" t="s">
        <v>40</v>
      </c>
      <c r="U120">
        <v>2016</v>
      </c>
      <c r="V120">
        <v>0</v>
      </c>
      <c r="W120">
        <v>0</v>
      </c>
    </row>
    <row r="121" spans="1:23">
      <c r="A121">
        <v>2047</v>
      </c>
      <c r="B121" t="s">
        <v>29</v>
      </c>
      <c r="C121" s="20">
        <f t="shared" si="8"/>
        <v>55983.956999999995</v>
      </c>
      <c r="D121" s="18">
        <f t="shared" si="9"/>
        <v>3.5098507769646194</v>
      </c>
      <c r="E121" s="20">
        <f t="shared" si="8"/>
        <v>15950.523414678017</v>
      </c>
      <c r="Q121" t="s">
        <v>211</v>
      </c>
      <c r="R121" t="s">
        <v>162</v>
      </c>
      <c r="S121" t="s">
        <v>29</v>
      </c>
      <c r="T121" t="s">
        <v>40</v>
      </c>
      <c r="U121">
        <v>2017</v>
      </c>
      <c r="V121">
        <v>0</v>
      </c>
      <c r="W121">
        <v>0</v>
      </c>
    </row>
    <row r="122" spans="1:23">
      <c r="A122">
        <v>2048</v>
      </c>
      <c r="B122" t="s">
        <v>29</v>
      </c>
      <c r="C122" s="20">
        <f t="shared" si="8"/>
        <v>57153.95</v>
      </c>
      <c r="D122" s="18">
        <f t="shared" si="9"/>
        <v>3.475401347728337</v>
      </c>
      <c r="E122" s="20">
        <f t="shared" si="8"/>
        <v>16445.280496124033</v>
      </c>
      <c r="Q122" t="s">
        <v>211</v>
      </c>
      <c r="R122" t="s">
        <v>162</v>
      </c>
      <c r="S122" t="s">
        <v>29</v>
      </c>
      <c r="T122" t="s">
        <v>40</v>
      </c>
      <c r="U122">
        <v>2018</v>
      </c>
      <c r="V122">
        <v>0</v>
      </c>
      <c r="W122">
        <v>0</v>
      </c>
    </row>
    <row r="123" spans="1:23">
      <c r="A123">
        <v>2049</v>
      </c>
      <c r="B123" t="s">
        <v>29</v>
      </c>
      <c r="C123" s="20">
        <f t="shared" si="8"/>
        <v>58327.021999999997</v>
      </c>
      <c r="D123" s="18">
        <f t="shared" si="9"/>
        <v>3.4406412919357372</v>
      </c>
      <c r="E123" s="20">
        <f t="shared" si="8"/>
        <v>16952.369355302559</v>
      </c>
      <c r="Q123" t="s">
        <v>211</v>
      </c>
      <c r="R123" t="s">
        <v>162</v>
      </c>
      <c r="S123" t="s">
        <v>29</v>
      </c>
      <c r="T123" t="s">
        <v>40</v>
      </c>
      <c r="U123">
        <v>2019</v>
      </c>
      <c r="V123">
        <v>0</v>
      </c>
      <c r="W123">
        <v>0</v>
      </c>
    </row>
    <row r="124" spans="1:23">
      <c r="A124">
        <v>2050</v>
      </c>
      <c r="B124" t="s">
        <v>29</v>
      </c>
      <c r="C124" s="20">
        <f t="shared" si="8"/>
        <v>59502.517999999996</v>
      </c>
      <c r="D124" s="18">
        <f t="shared" si="9"/>
        <v>3.4055717995674959</v>
      </c>
      <c r="E124" s="20">
        <f t="shared" si="8"/>
        <v>17472.107916666668</v>
      </c>
      <c r="Q124" t="s">
        <v>211</v>
      </c>
      <c r="R124" t="s">
        <v>162</v>
      </c>
      <c r="S124" t="s">
        <v>29</v>
      </c>
      <c r="T124" t="s">
        <v>40</v>
      </c>
      <c r="U124">
        <v>2020</v>
      </c>
      <c r="V124">
        <v>0</v>
      </c>
      <c r="W124">
        <v>0</v>
      </c>
    </row>
    <row r="125" spans="1:23">
      <c r="Q125" t="s">
        <v>211</v>
      </c>
      <c r="R125" t="s">
        <v>162</v>
      </c>
      <c r="S125" t="s">
        <v>29</v>
      </c>
      <c r="T125" t="s">
        <v>40</v>
      </c>
      <c r="U125">
        <v>2021</v>
      </c>
      <c r="V125">
        <v>0</v>
      </c>
      <c r="W125">
        <v>0</v>
      </c>
    </row>
    <row r="126" spans="1:23">
      <c r="Q126" t="s">
        <v>211</v>
      </c>
      <c r="R126" t="s">
        <v>162</v>
      </c>
      <c r="S126" t="s">
        <v>29</v>
      </c>
      <c r="T126" t="s">
        <v>40</v>
      </c>
      <c r="U126">
        <v>2022</v>
      </c>
      <c r="V126">
        <v>0</v>
      </c>
      <c r="W126">
        <v>0</v>
      </c>
    </row>
    <row r="127" spans="1:23">
      <c r="Q127" t="s">
        <v>211</v>
      </c>
      <c r="R127" t="s">
        <v>162</v>
      </c>
      <c r="S127" t="s">
        <v>29</v>
      </c>
      <c r="T127" t="s">
        <v>40</v>
      </c>
      <c r="U127">
        <v>2023</v>
      </c>
      <c r="V127">
        <v>0</v>
      </c>
      <c r="W127">
        <v>0</v>
      </c>
    </row>
    <row r="128" spans="1:23">
      <c r="Q128" t="s">
        <v>211</v>
      </c>
      <c r="R128" t="s">
        <v>162</v>
      </c>
      <c r="S128" t="s">
        <v>29</v>
      </c>
      <c r="T128" t="s">
        <v>40</v>
      </c>
      <c r="U128">
        <v>2024</v>
      </c>
      <c r="V128">
        <v>0</v>
      </c>
      <c r="W128">
        <v>0</v>
      </c>
    </row>
    <row r="129" spans="17:23">
      <c r="Q129" t="s">
        <v>211</v>
      </c>
      <c r="R129" t="s">
        <v>162</v>
      </c>
      <c r="S129" t="s">
        <v>29</v>
      </c>
      <c r="T129" t="s">
        <v>40</v>
      </c>
      <c r="U129">
        <v>2025</v>
      </c>
      <c r="V129">
        <v>0</v>
      </c>
      <c r="W129">
        <v>0</v>
      </c>
    </row>
    <row r="130" spans="17:23">
      <c r="Q130" t="s">
        <v>211</v>
      </c>
      <c r="R130" t="s">
        <v>162</v>
      </c>
      <c r="S130" t="s">
        <v>29</v>
      </c>
      <c r="T130" t="s">
        <v>40</v>
      </c>
      <c r="U130">
        <v>2026</v>
      </c>
      <c r="V130">
        <v>0</v>
      </c>
      <c r="W130">
        <v>0</v>
      </c>
    </row>
    <row r="131" spans="17:23">
      <c r="Q131" t="s">
        <v>211</v>
      </c>
      <c r="R131" t="s">
        <v>162</v>
      </c>
      <c r="S131" t="s">
        <v>29</v>
      </c>
      <c r="T131" t="s">
        <v>40</v>
      </c>
      <c r="U131">
        <v>2027</v>
      </c>
      <c r="V131">
        <v>0</v>
      </c>
      <c r="W131">
        <v>0</v>
      </c>
    </row>
    <row r="132" spans="17:23">
      <c r="Q132" t="s">
        <v>211</v>
      </c>
      <c r="R132" t="s">
        <v>162</v>
      </c>
      <c r="S132" t="s">
        <v>29</v>
      </c>
      <c r="T132" t="s">
        <v>40</v>
      </c>
      <c r="U132">
        <v>2028</v>
      </c>
      <c r="V132">
        <v>0</v>
      </c>
      <c r="W132">
        <v>0</v>
      </c>
    </row>
    <row r="133" spans="17:23">
      <c r="Q133" t="s">
        <v>211</v>
      </c>
      <c r="R133" t="s">
        <v>162</v>
      </c>
      <c r="S133" t="s">
        <v>29</v>
      </c>
      <c r="T133" t="s">
        <v>40</v>
      </c>
      <c r="U133">
        <v>2029</v>
      </c>
      <c r="V133">
        <v>0</v>
      </c>
      <c r="W133">
        <v>0</v>
      </c>
    </row>
    <row r="134" spans="17:23">
      <c r="Q134" t="s">
        <v>211</v>
      </c>
      <c r="R134" t="s">
        <v>162</v>
      </c>
      <c r="S134" t="s">
        <v>29</v>
      </c>
      <c r="T134" t="s">
        <v>40</v>
      </c>
      <c r="U134">
        <v>2030</v>
      </c>
      <c r="V134">
        <v>0</v>
      </c>
      <c r="W134">
        <v>0</v>
      </c>
    </row>
    <row r="135" spans="17:23">
      <c r="Q135" t="s">
        <v>211</v>
      </c>
      <c r="R135" t="s">
        <v>162</v>
      </c>
      <c r="S135" t="s">
        <v>29</v>
      </c>
      <c r="T135" t="s">
        <v>40</v>
      </c>
      <c r="U135">
        <v>2031</v>
      </c>
      <c r="V135">
        <v>0</v>
      </c>
      <c r="W135">
        <v>0</v>
      </c>
    </row>
    <row r="136" spans="17:23">
      <c r="Q136" t="s">
        <v>211</v>
      </c>
      <c r="R136" t="s">
        <v>162</v>
      </c>
      <c r="S136" t="s">
        <v>29</v>
      </c>
      <c r="T136" t="s">
        <v>40</v>
      </c>
      <c r="U136">
        <v>2032</v>
      </c>
      <c r="V136">
        <v>0</v>
      </c>
      <c r="W136">
        <v>0</v>
      </c>
    </row>
    <row r="137" spans="17:23">
      <c r="Q137" t="s">
        <v>211</v>
      </c>
      <c r="R137" t="s">
        <v>162</v>
      </c>
      <c r="S137" t="s">
        <v>29</v>
      </c>
      <c r="T137" t="s">
        <v>40</v>
      </c>
      <c r="U137">
        <v>2033</v>
      </c>
      <c r="V137">
        <v>0</v>
      </c>
      <c r="W137">
        <v>0</v>
      </c>
    </row>
    <row r="138" spans="17:23">
      <c r="Q138" t="s">
        <v>211</v>
      </c>
      <c r="R138" t="s">
        <v>162</v>
      </c>
      <c r="S138" t="s">
        <v>29</v>
      </c>
      <c r="T138" t="s">
        <v>40</v>
      </c>
      <c r="U138">
        <v>2034</v>
      </c>
      <c r="V138">
        <v>0</v>
      </c>
      <c r="W138">
        <v>0</v>
      </c>
    </row>
    <row r="139" spans="17:23">
      <c r="Q139" t="s">
        <v>211</v>
      </c>
      <c r="R139" t="s">
        <v>162</v>
      </c>
      <c r="S139" t="s">
        <v>29</v>
      </c>
      <c r="T139" t="s">
        <v>40</v>
      </c>
      <c r="U139">
        <v>2035</v>
      </c>
      <c r="V139">
        <v>0</v>
      </c>
      <c r="W139">
        <v>0</v>
      </c>
    </row>
    <row r="140" spans="17:23">
      <c r="Q140" t="s">
        <v>211</v>
      </c>
      <c r="R140" t="s">
        <v>162</v>
      </c>
      <c r="S140" t="s">
        <v>29</v>
      </c>
      <c r="T140" t="s">
        <v>40</v>
      </c>
      <c r="U140">
        <v>2036</v>
      </c>
      <c r="V140">
        <v>0</v>
      </c>
      <c r="W140">
        <v>0</v>
      </c>
    </row>
    <row r="141" spans="17:23">
      <c r="Q141" t="s">
        <v>211</v>
      </c>
      <c r="R141" t="s">
        <v>162</v>
      </c>
      <c r="S141" t="s">
        <v>29</v>
      </c>
      <c r="T141" t="s">
        <v>40</v>
      </c>
      <c r="U141">
        <v>2037</v>
      </c>
      <c r="V141">
        <v>0</v>
      </c>
      <c r="W141">
        <v>0</v>
      </c>
    </row>
    <row r="142" spans="17:23">
      <c r="Q142" t="s">
        <v>211</v>
      </c>
      <c r="R142" t="s">
        <v>162</v>
      </c>
      <c r="S142" t="s">
        <v>29</v>
      </c>
      <c r="T142" t="s">
        <v>40</v>
      </c>
      <c r="U142">
        <v>2038</v>
      </c>
      <c r="V142">
        <v>0</v>
      </c>
      <c r="W142">
        <v>0</v>
      </c>
    </row>
    <row r="143" spans="17:23">
      <c r="Q143" t="s">
        <v>211</v>
      </c>
      <c r="R143" t="s">
        <v>162</v>
      </c>
      <c r="S143" t="s">
        <v>29</v>
      </c>
      <c r="T143" t="s">
        <v>40</v>
      </c>
      <c r="U143">
        <v>2039</v>
      </c>
      <c r="V143">
        <v>0</v>
      </c>
      <c r="W143">
        <v>0</v>
      </c>
    </row>
    <row r="144" spans="17:23">
      <c r="Q144" t="s">
        <v>211</v>
      </c>
      <c r="R144" t="s">
        <v>162</v>
      </c>
      <c r="S144" t="s">
        <v>29</v>
      </c>
      <c r="T144" t="s">
        <v>40</v>
      </c>
      <c r="U144">
        <v>2040</v>
      </c>
      <c r="V144">
        <v>0</v>
      </c>
      <c r="W144">
        <v>0</v>
      </c>
    </row>
    <row r="145" spans="17:23">
      <c r="Q145" t="s">
        <v>211</v>
      </c>
      <c r="R145" t="s">
        <v>162</v>
      </c>
      <c r="S145" t="s">
        <v>29</v>
      </c>
      <c r="T145" t="s">
        <v>40</v>
      </c>
      <c r="U145">
        <v>2041</v>
      </c>
      <c r="V145">
        <v>0</v>
      </c>
      <c r="W145">
        <v>0</v>
      </c>
    </row>
    <row r="146" spans="17:23">
      <c r="Q146" t="s">
        <v>211</v>
      </c>
      <c r="R146" t="s">
        <v>162</v>
      </c>
      <c r="S146" t="s">
        <v>29</v>
      </c>
      <c r="T146" t="s">
        <v>40</v>
      </c>
      <c r="U146">
        <v>2042</v>
      </c>
      <c r="V146">
        <v>0</v>
      </c>
      <c r="W146">
        <v>0</v>
      </c>
    </row>
    <row r="147" spans="17:23">
      <c r="Q147" t="s">
        <v>211</v>
      </c>
      <c r="R147" t="s">
        <v>162</v>
      </c>
      <c r="S147" t="s">
        <v>29</v>
      </c>
      <c r="T147" t="s">
        <v>40</v>
      </c>
      <c r="U147">
        <v>2043</v>
      </c>
      <c r="V147">
        <v>0</v>
      </c>
      <c r="W147">
        <v>0</v>
      </c>
    </row>
    <row r="148" spans="17:23">
      <c r="Q148" t="s">
        <v>211</v>
      </c>
      <c r="R148" t="s">
        <v>162</v>
      </c>
      <c r="S148" t="s">
        <v>29</v>
      </c>
      <c r="T148" t="s">
        <v>40</v>
      </c>
      <c r="U148">
        <v>2044</v>
      </c>
      <c r="V148">
        <v>0</v>
      </c>
      <c r="W148">
        <v>0</v>
      </c>
    </row>
    <row r="149" spans="17:23">
      <c r="Q149" t="s">
        <v>211</v>
      </c>
      <c r="R149" t="s">
        <v>162</v>
      </c>
      <c r="S149" t="s">
        <v>29</v>
      </c>
      <c r="T149" t="s">
        <v>40</v>
      </c>
      <c r="U149">
        <v>2045</v>
      </c>
      <c r="V149">
        <v>0</v>
      </c>
      <c r="W149">
        <v>0</v>
      </c>
    </row>
    <row r="150" spans="17:23">
      <c r="Q150" t="s">
        <v>211</v>
      </c>
      <c r="R150" t="s">
        <v>162</v>
      </c>
      <c r="S150" t="s">
        <v>29</v>
      </c>
      <c r="T150" t="s">
        <v>40</v>
      </c>
      <c r="U150">
        <v>2046</v>
      </c>
      <c r="V150">
        <v>0</v>
      </c>
      <c r="W150">
        <v>0</v>
      </c>
    </row>
    <row r="151" spans="17:23">
      <c r="Q151" t="s">
        <v>211</v>
      </c>
      <c r="R151" t="s">
        <v>162</v>
      </c>
      <c r="S151" t="s">
        <v>29</v>
      </c>
      <c r="T151" t="s">
        <v>40</v>
      </c>
      <c r="U151">
        <v>2047</v>
      </c>
      <c r="V151">
        <v>0</v>
      </c>
      <c r="W151">
        <v>0</v>
      </c>
    </row>
    <row r="152" spans="17:23">
      <c r="Q152" t="s">
        <v>211</v>
      </c>
      <c r="R152" t="s">
        <v>162</v>
      </c>
      <c r="S152" t="s">
        <v>29</v>
      </c>
      <c r="T152" t="s">
        <v>40</v>
      </c>
      <c r="U152">
        <v>2048</v>
      </c>
      <c r="V152">
        <v>0</v>
      </c>
      <c r="W152">
        <v>0</v>
      </c>
    </row>
    <row r="153" spans="17:23">
      <c r="Q153" t="s">
        <v>211</v>
      </c>
      <c r="R153" t="s">
        <v>162</v>
      </c>
      <c r="S153" t="s">
        <v>29</v>
      </c>
      <c r="T153" t="s">
        <v>40</v>
      </c>
      <c r="U153">
        <v>2049</v>
      </c>
      <c r="V153">
        <v>0</v>
      </c>
      <c r="W153">
        <v>0</v>
      </c>
    </row>
    <row r="154" spans="17:23">
      <c r="Q154" t="s">
        <v>211</v>
      </c>
      <c r="R154" t="s">
        <v>162</v>
      </c>
      <c r="S154" t="s">
        <v>29</v>
      </c>
      <c r="T154" t="s">
        <v>40</v>
      </c>
      <c r="U154">
        <v>2050</v>
      </c>
      <c r="V154">
        <v>0</v>
      </c>
      <c r="W154">
        <v>0</v>
      </c>
    </row>
    <row r="155" spans="17:23">
      <c r="Q155" t="s">
        <v>211</v>
      </c>
      <c r="R155" t="s">
        <v>162</v>
      </c>
      <c r="S155" t="s">
        <v>25</v>
      </c>
      <c r="T155" t="s">
        <v>11</v>
      </c>
      <c r="U155">
        <v>2000</v>
      </c>
      <c r="V155">
        <v>0</v>
      </c>
      <c r="W155">
        <v>0</v>
      </c>
    </row>
    <row r="156" spans="17:23">
      <c r="Q156" t="s">
        <v>211</v>
      </c>
      <c r="R156" t="s">
        <v>162</v>
      </c>
      <c r="S156" t="s">
        <v>25</v>
      </c>
      <c r="T156" t="s">
        <v>11</v>
      </c>
      <c r="U156">
        <v>2001</v>
      </c>
      <c r="V156">
        <v>0</v>
      </c>
      <c r="W156">
        <v>0</v>
      </c>
    </row>
    <row r="157" spans="17:23">
      <c r="Q157" t="s">
        <v>211</v>
      </c>
      <c r="R157" t="s">
        <v>162</v>
      </c>
      <c r="S157" t="s">
        <v>25</v>
      </c>
      <c r="T157" t="s">
        <v>11</v>
      </c>
      <c r="U157">
        <v>2002</v>
      </c>
      <c r="V157">
        <v>0</v>
      </c>
      <c r="W157">
        <v>0</v>
      </c>
    </row>
    <row r="158" spans="17:23">
      <c r="Q158" t="s">
        <v>211</v>
      </c>
      <c r="R158" t="s">
        <v>162</v>
      </c>
      <c r="S158" t="s">
        <v>25</v>
      </c>
      <c r="T158" t="s">
        <v>11</v>
      </c>
      <c r="U158">
        <v>2003</v>
      </c>
      <c r="V158">
        <v>0</v>
      </c>
      <c r="W158">
        <v>0</v>
      </c>
    </row>
    <row r="159" spans="17:23">
      <c r="Q159" t="s">
        <v>211</v>
      </c>
      <c r="R159" t="s">
        <v>162</v>
      </c>
      <c r="S159" t="s">
        <v>25</v>
      </c>
      <c r="T159" t="s">
        <v>11</v>
      </c>
      <c r="U159">
        <v>2004</v>
      </c>
      <c r="V159">
        <v>0</v>
      </c>
      <c r="W159">
        <v>0</v>
      </c>
    </row>
    <row r="160" spans="17:23">
      <c r="Q160" t="s">
        <v>211</v>
      </c>
      <c r="R160" t="s">
        <v>162</v>
      </c>
      <c r="S160" t="s">
        <v>25</v>
      </c>
      <c r="T160" t="s">
        <v>11</v>
      </c>
      <c r="U160">
        <v>2005</v>
      </c>
      <c r="V160">
        <v>0</v>
      </c>
      <c r="W160">
        <v>0</v>
      </c>
    </row>
    <row r="161" spans="17:23">
      <c r="Q161" t="s">
        <v>211</v>
      </c>
      <c r="R161" t="s">
        <v>162</v>
      </c>
      <c r="S161" t="s">
        <v>25</v>
      </c>
      <c r="T161" t="s">
        <v>11</v>
      </c>
      <c r="U161">
        <v>2006</v>
      </c>
      <c r="V161">
        <v>0</v>
      </c>
      <c r="W161">
        <v>0</v>
      </c>
    </row>
    <row r="162" spans="17:23">
      <c r="Q162" t="s">
        <v>211</v>
      </c>
      <c r="R162" t="s">
        <v>162</v>
      </c>
      <c r="S162" t="s">
        <v>25</v>
      </c>
      <c r="T162" t="s">
        <v>11</v>
      </c>
      <c r="U162">
        <v>2007</v>
      </c>
      <c r="V162">
        <v>0</v>
      </c>
      <c r="W162">
        <v>0</v>
      </c>
    </row>
    <row r="163" spans="17:23">
      <c r="Q163" t="s">
        <v>211</v>
      </c>
      <c r="R163" t="s">
        <v>162</v>
      </c>
      <c r="S163" t="s">
        <v>25</v>
      </c>
      <c r="T163" t="s">
        <v>11</v>
      </c>
      <c r="U163">
        <v>2008</v>
      </c>
      <c r="V163">
        <v>1E-3</v>
      </c>
      <c r="W163">
        <v>2.1871710000000002</v>
      </c>
    </row>
    <row r="164" spans="17:23">
      <c r="Q164" t="s">
        <v>211</v>
      </c>
      <c r="R164" t="s">
        <v>162</v>
      </c>
      <c r="S164" t="s">
        <v>25</v>
      </c>
      <c r="T164" t="s">
        <v>11</v>
      </c>
      <c r="U164">
        <v>2009</v>
      </c>
      <c r="V164">
        <v>1E-3</v>
      </c>
      <c r="W164">
        <v>2.2702719999999998</v>
      </c>
    </row>
    <row r="165" spans="17:23">
      <c r="Q165" t="s">
        <v>211</v>
      </c>
      <c r="R165" t="s">
        <v>162</v>
      </c>
      <c r="S165" t="s">
        <v>25</v>
      </c>
      <c r="T165" t="s">
        <v>11</v>
      </c>
      <c r="U165">
        <v>2010</v>
      </c>
      <c r="V165">
        <v>1E-3</v>
      </c>
      <c r="W165">
        <v>2.3575810000000001</v>
      </c>
    </row>
    <row r="166" spans="17:23">
      <c r="Q166" t="s">
        <v>211</v>
      </c>
      <c r="R166" t="s">
        <v>162</v>
      </c>
      <c r="S166" t="s">
        <v>25</v>
      </c>
      <c r="T166" t="s">
        <v>11</v>
      </c>
      <c r="U166">
        <v>2011</v>
      </c>
      <c r="V166">
        <v>1E-3</v>
      </c>
      <c r="W166">
        <v>2.449138</v>
      </c>
    </row>
    <row r="167" spans="17:23">
      <c r="Q167" t="s">
        <v>211</v>
      </c>
      <c r="R167" t="s">
        <v>162</v>
      </c>
      <c r="S167" t="s">
        <v>25</v>
      </c>
      <c r="T167" t="s">
        <v>11</v>
      </c>
      <c r="U167">
        <v>2012</v>
      </c>
      <c r="V167">
        <v>1E-3</v>
      </c>
      <c r="W167">
        <v>2.545363</v>
      </c>
    </row>
    <row r="168" spans="17:23">
      <c r="Q168" t="s">
        <v>211</v>
      </c>
      <c r="R168" t="s">
        <v>162</v>
      </c>
      <c r="S168" t="s">
        <v>25</v>
      </c>
      <c r="T168" t="s">
        <v>11</v>
      </c>
      <c r="U168">
        <v>2013</v>
      </c>
      <c r="V168">
        <v>1E-3</v>
      </c>
      <c r="W168">
        <v>2.646671</v>
      </c>
    </row>
    <row r="169" spans="17:23">
      <c r="Q169" t="s">
        <v>211</v>
      </c>
      <c r="R169" t="s">
        <v>162</v>
      </c>
      <c r="S169" t="s">
        <v>25</v>
      </c>
      <c r="T169" t="s">
        <v>11</v>
      </c>
      <c r="U169">
        <v>2014</v>
      </c>
      <c r="V169">
        <v>0</v>
      </c>
      <c r="W169">
        <v>0</v>
      </c>
    </row>
    <row r="170" spans="17:23">
      <c r="Q170" t="s">
        <v>211</v>
      </c>
      <c r="R170" t="s">
        <v>162</v>
      </c>
      <c r="S170" t="s">
        <v>25</v>
      </c>
      <c r="T170" t="s">
        <v>11</v>
      </c>
      <c r="U170">
        <v>2015</v>
      </c>
      <c r="V170">
        <v>0</v>
      </c>
      <c r="W170">
        <v>0</v>
      </c>
    </row>
    <row r="171" spans="17:23">
      <c r="Q171" t="s">
        <v>211</v>
      </c>
      <c r="R171" t="s">
        <v>162</v>
      </c>
      <c r="S171" t="s">
        <v>25</v>
      </c>
      <c r="T171" t="s">
        <v>11</v>
      </c>
      <c r="U171">
        <v>2016</v>
      </c>
      <c r="V171">
        <v>0</v>
      </c>
      <c r="W171">
        <v>0</v>
      </c>
    </row>
    <row r="172" spans="17:23">
      <c r="Q172" t="s">
        <v>211</v>
      </c>
      <c r="R172" t="s">
        <v>162</v>
      </c>
      <c r="S172" t="s">
        <v>25</v>
      </c>
      <c r="T172" t="s">
        <v>11</v>
      </c>
      <c r="U172">
        <v>2017</v>
      </c>
      <c r="V172">
        <v>0</v>
      </c>
      <c r="W172">
        <v>0</v>
      </c>
    </row>
    <row r="173" spans="17:23">
      <c r="Q173" t="s">
        <v>211</v>
      </c>
      <c r="R173" t="s">
        <v>162</v>
      </c>
      <c r="S173" t="s">
        <v>25</v>
      </c>
      <c r="T173" t="s">
        <v>11</v>
      </c>
      <c r="U173">
        <v>2018</v>
      </c>
      <c r="V173">
        <v>0</v>
      </c>
      <c r="W173">
        <v>0</v>
      </c>
    </row>
    <row r="174" spans="17:23">
      <c r="Q174" t="s">
        <v>211</v>
      </c>
      <c r="R174" t="s">
        <v>162</v>
      </c>
      <c r="S174" t="s">
        <v>25</v>
      </c>
      <c r="T174" t="s">
        <v>11</v>
      </c>
      <c r="U174">
        <v>2019</v>
      </c>
      <c r="V174">
        <v>0</v>
      </c>
      <c r="W174">
        <v>0</v>
      </c>
    </row>
    <row r="175" spans="17:23">
      <c r="Q175" t="s">
        <v>211</v>
      </c>
      <c r="R175" t="s">
        <v>162</v>
      </c>
      <c r="S175" t="s">
        <v>25</v>
      </c>
      <c r="T175" t="s">
        <v>11</v>
      </c>
      <c r="U175">
        <v>2020</v>
      </c>
      <c r="V175">
        <v>0</v>
      </c>
      <c r="W175">
        <v>0</v>
      </c>
    </row>
    <row r="176" spans="17:23">
      <c r="Q176" t="s">
        <v>211</v>
      </c>
      <c r="R176" t="s">
        <v>162</v>
      </c>
      <c r="S176" t="s">
        <v>25</v>
      </c>
      <c r="T176" t="s">
        <v>11</v>
      </c>
      <c r="U176">
        <v>2021</v>
      </c>
      <c r="V176">
        <v>0</v>
      </c>
      <c r="W176">
        <v>0</v>
      </c>
    </row>
    <row r="177" spans="17:23">
      <c r="Q177" t="s">
        <v>211</v>
      </c>
      <c r="R177" t="s">
        <v>162</v>
      </c>
      <c r="S177" t="s">
        <v>25</v>
      </c>
      <c r="T177" t="s">
        <v>11</v>
      </c>
      <c r="U177">
        <v>2022</v>
      </c>
      <c r="V177">
        <v>0</v>
      </c>
      <c r="W177">
        <v>0</v>
      </c>
    </row>
    <row r="178" spans="17:23">
      <c r="Q178" t="s">
        <v>211</v>
      </c>
      <c r="R178" t="s">
        <v>162</v>
      </c>
      <c r="S178" t="s">
        <v>25</v>
      </c>
      <c r="T178" t="s">
        <v>11</v>
      </c>
      <c r="U178">
        <v>2023</v>
      </c>
      <c r="V178">
        <v>0</v>
      </c>
      <c r="W178">
        <v>0</v>
      </c>
    </row>
    <row r="179" spans="17:23">
      <c r="Q179" t="s">
        <v>211</v>
      </c>
      <c r="R179" t="s">
        <v>162</v>
      </c>
      <c r="S179" t="s">
        <v>25</v>
      </c>
      <c r="T179" t="s">
        <v>11</v>
      </c>
      <c r="U179">
        <v>2024</v>
      </c>
      <c r="V179">
        <v>0</v>
      </c>
      <c r="W179">
        <v>0</v>
      </c>
    </row>
    <row r="180" spans="17:23">
      <c r="Q180" t="s">
        <v>211</v>
      </c>
      <c r="R180" t="s">
        <v>162</v>
      </c>
      <c r="S180" t="s">
        <v>25</v>
      </c>
      <c r="T180" t="s">
        <v>11</v>
      </c>
      <c r="U180">
        <v>2025</v>
      </c>
      <c r="V180">
        <v>0</v>
      </c>
      <c r="W180">
        <v>0</v>
      </c>
    </row>
    <row r="181" spans="17:23">
      <c r="Q181" t="s">
        <v>211</v>
      </c>
      <c r="R181" t="s">
        <v>162</v>
      </c>
      <c r="S181" t="s">
        <v>25</v>
      </c>
      <c r="T181" t="s">
        <v>11</v>
      </c>
      <c r="U181">
        <v>2026</v>
      </c>
      <c r="V181">
        <v>0</v>
      </c>
      <c r="W181">
        <v>0</v>
      </c>
    </row>
    <row r="182" spans="17:23">
      <c r="Q182" t="s">
        <v>211</v>
      </c>
      <c r="R182" t="s">
        <v>162</v>
      </c>
      <c r="S182" t="s">
        <v>25</v>
      </c>
      <c r="T182" t="s">
        <v>11</v>
      </c>
      <c r="U182">
        <v>2027</v>
      </c>
      <c r="V182">
        <v>0</v>
      </c>
      <c r="W182">
        <v>0</v>
      </c>
    </row>
    <row r="183" spans="17:23">
      <c r="Q183" t="s">
        <v>211</v>
      </c>
      <c r="R183" t="s">
        <v>162</v>
      </c>
      <c r="S183" t="s">
        <v>25</v>
      </c>
      <c r="T183" t="s">
        <v>11</v>
      </c>
      <c r="U183">
        <v>2028</v>
      </c>
      <c r="V183">
        <v>0</v>
      </c>
      <c r="W183">
        <v>0</v>
      </c>
    </row>
    <row r="184" spans="17:23">
      <c r="Q184" t="s">
        <v>211</v>
      </c>
      <c r="R184" t="s">
        <v>162</v>
      </c>
      <c r="S184" t="s">
        <v>25</v>
      </c>
      <c r="T184" t="s">
        <v>11</v>
      </c>
      <c r="U184">
        <v>2029</v>
      </c>
      <c r="V184">
        <v>0</v>
      </c>
      <c r="W184">
        <v>0</v>
      </c>
    </row>
    <row r="185" spans="17:23">
      <c r="Q185" t="s">
        <v>211</v>
      </c>
      <c r="R185" t="s">
        <v>162</v>
      </c>
      <c r="S185" t="s">
        <v>25</v>
      </c>
      <c r="T185" t="s">
        <v>11</v>
      </c>
      <c r="U185">
        <v>2030</v>
      </c>
      <c r="V185">
        <v>0</v>
      </c>
      <c r="W185">
        <v>0</v>
      </c>
    </row>
    <row r="186" spans="17:23">
      <c r="Q186" t="s">
        <v>211</v>
      </c>
      <c r="R186" t="s">
        <v>162</v>
      </c>
      <c r="S186" t="s">
        <v>25</v>
      </c>
      <c r="T186" t="s">
        <v>11</v>
      </c>
      <c r="U186">
        <v>2031</v>
      </c>
      <c r="V186">
        <v>0</v>
      </c>
      <c r="W186">
        <v>0</v>
      </c>
    </row>
    <row r="187" spans="17:23">
      <c r="Q187" t="s">
        <v>211</v>
      </c>
      <c r="R187" t="s">
        <v>162</v>
      </c>
      <c r="S187" t="s">
        <v>25</v>
      </c>
      <c r="T187" t="s">
        <v>11</v>
      </c>
      <c r="U187">
        <v>2032</v>
      </c>
      <c r="V187">
        <v>0</v>
      </c>
      <c r="W187">
        <v>0</v>
      </c>
    </row>
    <row r="188" spans="17:23">
      <c r="Q188" t="s">
        <v>211</v>
      </c>
      <c r="R188" t="s">
        <v>162</v>
      </c>
      <c r="S188" t="s">
        <v>25</v>
      </c>
      <c r="T188" t="s">
        <v>11</v>
      </c>
      <c r="U188">
        <v>2033</v>
      </c>
      <c r="V188">
        <v>0</v>
      </c>
      <c r="W188">
        <v>0</v>
      </c>
    </row>
    <row r="189" spans="17:23">
      <c r="Q189" t="s">
        <v>211</v>
      </c>
      <c r="R189" t="s">
        <v>162</v>
      </c>
      <c r="S189" t="s">
        <v>25</v>
      </c>
      <c r="T189" t="s">
        <v>11</v>
      </c>
      <c r="U189">
        <v>2034</v>
      </c>
      <c r="V189">
        <v>0</v>
      </c>
      <c r="W189">
        <v>0</v>
      </c>
    </row>
    <row r="190" spans="17:23">
      <c r="Q190" t="s">
        <v>211</v>
      </c>
      <c r="R190" t="s">
        <v>162</v>
      </c>
      <c r="S190" t="s">
        <v>25</v>
      </c>
      <c r="T190" t="s">
        <v>11</v>
      </c>
      <c r="U190">
        <v>2035</v>
      </c>
      <c r="V190">
        <v>0</v>
      </c>
      <c r="W190">
        <v>0</v>
      </c>
    </row>
    <row r="191" spans="17:23">
      <c r="Q191" t="s">
        <v>211</v>
      </c>
      <c r="R191" t="s">
        <v>162</v>
      </c>
      <c r="S191" t="s">
        <v>25</v>
      </c>
      <c r="T191" t="s">
        <v>11</v>
      </c>
      <c r="U191">
        <v>2036</v>
      </c>
      <c r="V191">
        <v>0</v>
      </c>
      <c r="W191">
        <v>0</v>
      </c>
    </row>
    <row r="192" spans="17:23">
      <c r="Q192" t="s">
        <v>211</v>
      </c>
      <c r="R192" t="s">
        <v>162</v>
      </c>
      <c r="S192" t="s">
        <v>25</v>
      </c>
      <c r="T192" t="s">
        <v>11</v>
      </c>
      <c r="U192">
        <v>2037</v>
      </c>
      <c r="V192">
        <v>0</v>
      </c>
      <c r="W192">
        <v>0</v>
      </c>
    </row>
    <row r="193" spans="17:23">
      <c r="Q193" t="s">
        <v>211</v>
      </c>
      <c r="R193" t="s">
        <v>162</v>
      </c>
      <c r="S193" t="s">
        <v>25</v>
      </c>
      <c r="T193" t="s">
        <v>11</v>
      </c>
      <c r="U193">
        <v>2038</v>
      </c>
      <c r="V193">
        <v>0</v>
      </c>
      <c r="W193">
        <v>0</v>
      </c>
    </row>
    <row r="194" spans="17:23">
      <c r="Q194" t="s">
        <v>211</v>
      </c>
      <c r="R194" t="s">
        <v>162</v>
      </c>
      <c r="S194" t="s">
        <v>25</v>
      </c>
      <c r="T194" t="s">
        <v>11</v>
      </c>
      <c r="U194">
        <v>2039</v>
      </c>
      <c r="V194">
        <v>0</v>
      </c>
      <c r="W194">
        <v>0</v>
      </c>
    </row>
    <row r="195" spans="17:23">
      <c r="Q195" t="s">
        <v>211</v>
      </c>
      <c r="R195" t="s">
        <v>162</v>
      </c>
      <c r="S195" t="s">
        <v>25</v>
      </c>
      <c r="T195" t="s">
        <v>11</v>
      </c>
      <c r="U195">
        <v>2040</v>
      </c>
      <c r="V195">
        <v>0</v>
      </c>
      <c r="W195">
        <v>0</v>
      </c>
    </row>
    <row r="196" spans="17:23">
      <c r="Q196" t="s">
        <v>211</v>
      </c>
      <c r="R196" t="s">
        <v>162</v>
      </c>
      <c r="S196" t="s">
        <v>25</v>
      </c>
      <c r="T196" t="s">
        <v>11</v>
      </c>
      <c r="U196">
        <v>2041</v>
      </c>
      <c r="V196">
        <v>0</v>
      </c>
      <c r="W196">
        <v>0</v>
      </c>
    </row>
    <row r="197" spans="17:23">
      <c r="Q197" t="s">
        <v>211</v>
      </c>
      <c r="R197" t="s">
        <v>162</v>
      </c>
      <c r="S197" t="s">
        <v>25</v>
      </c>
      <c r="T197" t="s">
        <v>11</v>
      </c>
      <c r="U197">
        <v>2042</v>
      </c>
      <c r="V197">
        <v>0</v>
      </c>
      <c r="W197">
        <v>0</v>
      </c>
    </row>
    <row r="198" spans="17:23">
      <c r="Q198" t="s">
        <v>211</v>
      </c>
      <c r="R198" t="s">
        <v>162</v>
      </c>
      <c r="S198" t="s">
        <v>25</v>
      </c>
      <c r="T198" t="s">
        <v>11</v>
      </c>
      <c r="U198">
        <v>2043</v>
      </c>
      <c r="V198">
        <v>0</v>
      </c>
      <c r="W198">
        <v>0</v>
      </c>
    </row>
    <row r="199" spans="17:23">
      <c r="Q199" t="s">
        <v>211</v>
      </c>
      <c r="R199" t="s">
        <v>162</v>
      </c>
      <c r="S199" t="s">
        <v>25</v>
      </c>
      <c r="T199" t="s">
        <v>11</v>
      </c>
      <c r="U199">
        <v>2044</v>
      </c>
      <c r="V199">
        <v>0</v>
      </c>
      <c r="W199">
        <v>0</v>
      </c>
    </row>
    <row r="200" spans="17:23">
      <c r="Q200" t="s">
        <v>211</v>
      </c>
      <c r="R200" t="s">
        <v>162</v>
      </c>
      <c r="S200" t="s">
        <v>25</v>
      </c>
      <c r="T200" t="s">
        <v>11</v>
      </c>
      <c r="U200">
        <v>2045</v>
      </c>
      <c r="V200">
        <v>0</v>
      </c>
      <c r="W200">
        <v>0</v>
      </c>
    </row>
    <row r="201" spans="17:23">
      <c r="Q201" t="s">
        <v>211</v>
      </c>
      <c r="R201" t="s">
        <v>162</v>
      </c>
      <c r="S201" t="s">
        <v>25</v>
      </c>
      <c r="T201" t="s">
        <v>11</v>
      </c>
      <c r="U201">
        <v>2046</v>
      </c>
      <c r="V201">
        <v>0</v>
      </c>
      <c r="W201">
        <v>0</v>
      </c>
    </row>
    <row r="202" spans="17:23">
      <c r="Q202" t="s">
        <v>211</v>
      </c>
      <c r="R202" t="s">
        <v>162</v>
      </c>
      <c r="S202" t="s">
        <v>25</v>
      </c>
      <c r="T202" t="s">
        <v>11</v>
      </c>
      <c r="U202">
        <v>2047</v>
      </c>
      <c r="V202">
        <v>0</v>
      </c>
      <c r="W202">
        <v>0</v>
      </c>
    </row>
    <row r="203" spans="17:23">
      <c r="Q203" t="s">
        <v>211</v>
      </c>
      <c r="R203" t="s">
        <v>162</v>
      </c>
      <c r="S203" t="s">
        <v>25</v>
      </c>
      <c r="T203" t="s">
        <v>11</v>
      </c>
      <c r="U203">
        <v>2048</v>
      </c>
      <c r="V203">
        <v>0</v>
      </c>
      <c r="W203">
        <v>0</v>
      </c>
    </row>
    <row r="204" spans="17:23">
      <c r="Q204" t="s">
        <v>211</v>
      </c>
      <c r="R204" t="s">
        <v>162</v>
      </c>
      <c r="S204" t="s">
        <v>25</v>
      </c>
      <c r="T204" t="s">
        <v>11</v>
      </c>
      <c r="U204">
        <v>2049</v>
      </c>
      <c r="V204">
        <v>0</v>
      </c>
      <c r="W204">
        <v>0</v>
      </c>
    </row>
    <row r="205" spans="17:23">
      <c r="Q205" t="s">
        <v>211</v>
      </c>
      <c r="R205" t="s">
        <v>162</v>
      </c>
      <c r="S205" t="s">
        <v>25</v>
      </c>
      <c r="T205" t="s">
        <v>11</v>
      </c>
      <c r="U205">
        <v>2050</v>
      </c>
      <c r="V205">
        <v>0</v>
      </c>
      <c r="W205">
        <v>0</v>
      </c>
    </row>
    <row r="206" spans="17:23">
      <c r="Q206" t="s">
        <v>211</v>
      </c>
      <c r="R206" t="s">
        <v>162</v>
      </c>
      <c r="S206" t="s">
        <v>26</v>
      </c>
      <c r="T206" t="s">
        <v>11</v>
      </c>
      <c r="U206">
        <v>2000</v>
      </c>
      <c r="V206">
        <v>0</v>
      </c>
      <c r="W206">
        <v>0</v>
      </c>
    </row>
    <row r="207" spans="17:23">
      <c r="Q207" t="s">
        <v>211</v>
      </c>
      <c r="R207" t="s">
        <v>162</v>
      </c>
      <c r="S207" t="s">
        <v>26</v>
      </c>
      <c r="T207" t="s">
        <v>11</v>
      </c>
      <c r="U207">
        <v>2001</v>
      </c>
      <c r="V207">
        <v>0</v>
      </c>
      <c r="W207">
        <v>0</v>
      </c>
    </row>
    <row r="208" spans="17:23">
      <c r="Q208" t="s">
        <v>211</v>
      </c>
      <c r="R208" t="s">
        <v>162</v>
      </c>
      <c r="S208" t="s">
        <v>26</v>
      </c>
      <c r="T208" t="s">
        <v>11</v>
      </c>
      <c r="U208">
        <v>2002</v>
      </c>
      <c r="V208">
        <v>0</v>
      </c>
      <c r="W208">
        <v>0</v>
      </c>
    </row>
    <row r="209" spans="17:23">
      <c r="Q209" t="s">
        <v>211</v>
      </c>
      <c r="R209" t="s">
        <v>162</v>
      </c>
      <c r="S209" t="s">
        <v>26</v>
      </c>
      <c r="T209" t="s">
        <v>11</v>
      </c>
      <c r="U209">
        <v>2003</v>
      </c>
      <c r="V209">
        <v>0</v>
      </c>
      <c r="W209">
        <v>0</v>
      </c>
    </row>
    <row r="210" spans="17:23">
      <c r="Q210" t="s">
        <v>211</v>
      </c>
      <c r="R210" t="s">
        <v>162</v>
      </c>
      <c r="S210" t="s">
        <v>26</v>
      </c>
      <c r="T210" t="s">
        <v>11</v>
      </c>
      <c r="U210">
        <v>2004</v>
      </c>
      <c r="V210">
        <v>0</v>
      </c>
      <c r="W210">
        <v>0</v>
      </c>
    </row>
    <row r="211" spans="17:23">
      <c r="Q211" t="s">
        <v>211</v>
      </c>
      <c r="R211" t="s">
        <v>162</v>
      </c>
      <c r="S211" t="s">
        <v>26</v>
      </c>
      <c r="T211" t="s">
        <v>11</v>
      </c>
      <c r="U211">
        <v>2005</v>
      </c>
      <c r="V211">
        <v>0</v>
      </c>
      <c r="W211">
        <v>0</v>
      </c>
    </row>
    <row r="212" spans="17:23">
      <c r="Q212" t="s">
        <v>211</v>
      </c>
      <c r="R212" t="s">
        <v>162</v>
      </c>
      <c r="S212" t="s">
        <v>26</v>
      </c>
      <c r="T212" t="s">
        <v>11</v>
      </c>
      <c r="U212">
        <v>2006</v>
      </c>
      <c r="V212">
        <v>0</v>
      </c>
      <c r="W212">
        <v>0</v>
      </c>
    </row>
    <row r="213" spans="17:23">
      <c r="Q213" t="s">
        <v>211</v>
      </c>
      <c r="R213" t="s">
        <v>162</v>
      </c>
      <c r="S213" t="s">
        <v>26</v>
      </c>
      <c r="T213" t="s">
        <v>11</v>
      </c>
      <c r="U213">
        <v>2007</v>
      </c>
      <c r="V213">
        <v>0</v>
      </c>
      <c r="W213">
        <v>0</v>
      </c>
    </row>
    <row r="214" spans="17:23">
      <c r="Q214" t="s">
        <v>211</v>
      </c>
      <c r="R214" t="s">
        <v>162</v>
      </c>
      <c r="S214" t="s">
        <v>26</v>
      </c>
      <c r="T214" t="s">
        <v>11</v>
      </c>
      <c r="U214">
        <v>2008</v>
      </c>
      <c r="V214">
        <v>0</v>
      </c>
      <c r="W214">
        <v>0</v>
      </c>
    </row>
    <row r="215" spans="17:23">
      <c r="Q215" t="s">
        <v>211</v>
      </c>
      <c r="R215" t="s">
        <v>162</v>
      </c>
      <c r="S215" t="s">
        <v>26</v>
      </c>
      <c r="T215" t="s">
        <v>11</v>
      </c>
      <c r="U215">
        <v>2009</v>
      </c>
      <c r="V215">
        <v>0</v>
      </c>
      <c r="W215">
        <v>0</v>
      </c>
    </row>
    <row r="216" spans="17:23">
      <c r="Q216" t="s">
        <v>211</v>
      </c>
      <c r="R216" t="s">
        <v>162</v>
      </c>
      <c r="S216" t="s">
        <v>26</v>
      </c>
      <c r="T216" t="s">
        <v>11</v>
      </c>
      <c r="U216">
        <v>2010</v>
      </c>
      <c r="V216">
        <v>0</v>
      </c>
      <c r="W216">
        <v>0</v>
      </c>
    </row>
    <row r="217" spans="17:23">
      <c r="Q217" t="s">
        <v>211</v>
      </c>
      <c r="R217" t="s">
        <v>162</v>
      </c>
      <c r="S217" t="s">
        <v>26</v>
      </c>
      <c r="T217" t="s">
        <v>11</v>
      </c>
      <c r="U217">
        <v>2011</v>
      </c>
      <c r="V217">
        <v>0</v>
      </c>
      <c r="W217">
        <v>0</v>
      </c>
    </row>
    <row r="218" spans="17:23">
      <c r="Q218" t="s">
        <v>211</v>
      </c>
      <c r="R218" t="s">
        <v>162</v>
      </c>
      <c r="S218" t="s">
        <v>26</v>
      </c>
      <c r="T218" t="s">
        <v>11</v>
      </c>
      <c r="U218">
        <v>2012</v>
      </c>
      <c r="V218">
        <v>0</v>
      </c>
      <c r="W218">
        <v>0</v>
      </c>
    </row>
    <row r="219" spans="17:23">
      <c r="Q219" t="s">
        <v>211</v>
      </c>
      <c r="R219" t="s">
        <v>162</v>
      </c>
      <c r="S219" t="s">
        <v>26</v>
      </c>
      <c r="T219" t="s">
        <v>11</v>
      </c>
      <c r="U219">
        <v>2013</v>
      </c>
      <c r="V219">
        <v>0</v>
      </c>
      <c r="W219">
        <v>0</v>
      </c>
    </row>
    <row r="220" spans="17:23">
      <c r="Q220" t="s">
        <v>211</v>
      </c>
      <c r="R220" t="s">
        <v>162</v>
      </c>
      <c r="S220" t="s">
        <v>26</v>
      </c>
      <c r="T220" t="s">
        <v>11</v>
      </c>
      <c r="U220">
        <v>2014</v>
      </c>
      <c r="V220">
        <v>0</v>
      </c>
      <c r="W220">
        <v>0</v>
      </c>
    </row>
    <row r="221" spans="17:23">
      <c r="Q221" t="s">
        <v>211</v>
      </c>
      <c r="R221" t="s">
        <v>162</v>
      </c>
      <c r="S221" t="s">
        <v>26</v>
      </c>
      <c r="T221" t="s">
        <v>11</v>
      </c>
      <c r="U221">
        <v>2015</v>
      </c>
      <c r="V221">
        <v>0</v>
      </c>
      <c r="W221">
        <v>0</v>
      </c>
    </row>
    <row r="222" spans="17:23">
      <c r="Q222" t="s">
        <v>211</v>
      </c>
      <c r="R222" t="s">
        <v>162</v>
      </c>
      <c r="S222" t="s">
        <v>26</v>
      </c>
      <c r="T222" t="s">
        <v>11</v>
      </c>
      <c r="U222">
        <v>2016</v>
      </c>
      <c r="V222">
        <v>0</v>
      </c>
      <c r="W222">
        <v>0</v>
      </c>
    </row>
    <row r="223" spans="17:23">
      <c r="Q223" t="s">
        <v>211</v>
      </c>
      <c r="R223" t="s">
        <v>162</v>
      </c>
      <c r="S223" t="s">
        <v>26</v>
      </c>
      <c r="T223" t="s">
        <v>11</v>
      </c>
      <c r="U223">
        <v>2017</v>
      </c>
      <c r="V223">
        <v>0</v>
      </c>
      <c r="W223">
        <v>0</v>
      </c>
    </row>
    <row r="224" spans="17:23">
      <c r="Q224" t="s">
        <v>211</v>
      </c>
      <c r="R224" t="s">
        <v>162</v>
      </c>
      <c r="S224" t="s">
        <v>26</v>
      </c>
      <c r="T224" t="s">
        <v>11</v>
      </c>
      <c r="U224">
        <v>2018</v>
      </c>
      <c r="V224">
        <v>0</v>
      </c>
      <c r="W224">
        <v>0</v>
      </c>
    </row>
    <row r="225" spans="17:23">
      <c r="Q225" t="s">
        <v>211</v>
      </c>
      <c r="R225" t="s">
        <v>162</v>
      </c>
      <c r="S225" t="s">
        <v>26</v>
      </c>
      <c r="T225" t="s">
        <v>11</v>
      </c>
      <c r="U225">
        <v>2019</v>
      </c>
      <c r="V225">
        <v>0</v>
      </c>
      <c r="W225">
        <v>0</v>
      </c>
    </row>
    <row r="226" spans="17:23">
      <c r="Q226" t="s">
        <v>211</v>
      </c>
      <c r="R226" t="s">
        <v>162</v>
      </c>
      <c r="S226" t="s">
        <v>26</v>
      </c>
      <c r="T226" t="s">
        <v>11</v>
      </c>
      <c r="U226">
        <v>2020</v>
      </c>
      <c r="V226">
        <v>0</v>
      </c>
      <c r="W226">
        <v>0</v>
      </c>
    </row>
    <row r="227" spans="17:23">
      <c r="Q227" t="s">
        <v>211</v>
      </c>
      <c r="R227" t="s">
        <v>162</v>
      </c>
      <c r="S227" t="s">
        <v>26</v>
      </c>
      <c r="T227" t="s">
        <v>11</v>
      </c>
      <c r="U227">
        <v>2021</v>
      </c>
      <c r="V227">
        <v>0</v>
      </c>
      <c r="W227">
        <v>0</v>
      </c>
    </row>
    <row r="228" spans="17:23">
      <c r="Q228" t="s">
        <v>211</v>
      </c>
      <c r="R228" t="s">
        <v>162</v>
      </c>
      <c r="S228" t="s">
        <v>26</v>
      </c>
      <c r="T228" t="s">
        <v>11</v>
      </c>
      <c r="U228">
        <v>2022</v>
      </c>
      <c r="V228">
        <v>0</v>
      </c>
      <c r="W228">
        <v>0</v>
      </c>
    </row>
    <row r="229" spans="17:23">
      <c r="Q229" t="s">
        <v>211</v>
      </c>
      <c r="R229" t="s">
        <v>162</v>
      </c>
      <c r="S229" t="s">
        <v>26</v>
      </c>
      <c r="T229" t="s">
        <v>11</v>
      </c>
      <c r="U229">
        <v>2023</v>
      </c>
      <c r="V229">
        <v>0</v>
      </c>
      <c r="W229">
        <v>0</v>
      </c>
    </row>
    <row r="230" spans="17:23">
      <c r="Q230" t="s">
        <v>211</v>
      </c>
      <c r="R230" t="s">
        <v>162</v>
      </c>
      <c r="S230" t="s">
        <v>26</v>
      </c>
      <c r="T230" t="s">
        <v>11</v>
      </c>
      <c r="U230">
        <v>2024</v>
      </c>
      <c r="V230">
        <v>0</v>
      </c>
      <c r="W230">
        <v>0</v>
      </c>
    </row>
    <row r="231" spans="17:23">
      <c r="Q231" t="s">
        <v>211</v>
      </c>
      <c r="R231" t="s">
        <v>162</v>
      </c>
      <c r="S231" t="s">
        <v>26</v>
      </c>
      <c r="T231" t="s">
        <v>11</v>
      </c>
      <c r="U231">
        <v>2025</v>
      </c>
      <c r="V231">
        <v>0</v>
      </c>
      <c r="W231">
        <v>0</v>
      </c>
    </row>
    <row r="232" spans="17:23">
      <c r="Q232" t="s">
        <v>211</v>
      </c>
      <c r="R232" t="s">
        <v>162</v>
      </c>
      <c r="S232" t="s">
        <v>26</v>
      </c>
      <c r="T232" t="s">
        <v>11</v>
      </c>
      <c r="U232">
        <v>2026</v>
      </c>
      <c r="V232">
        <v>0</v>
      </c>
      <c r="W232">
        <v>0</v>
      </c>
    </row>
    <row r="233" spans="17:23">
      <c r="Q233" t="s">
        <v>211</v>
      </c>
      <c r="R233" t="s">
        <v>162</v>
      </c>
      <c r="S233" t="s">
        <v>26</v>
      </c>
      <c r="T233" t="s">
        <v>11</v>
      </c>
      <c r="U233">
        <v>2027</v>
      </c>
      <c r="V233">
        <v>0</v>
      </c>
      <c r="W233">
        <v>0</v>
      </c>
    </row>
    <row r="234" spans="17:23">
      <c r="Q234" t="s">
        <v>211</v>
      </c>
      <c r="R234" t="s">
        <v>162</v>
      </c>
      <c r="S234" t="s">
        <v>26</v>
      </c>
      <c r="T234" t="s">
        <v>11</v>
      </c>
      <c r="U234">
        <v>2028</v>
      </c>
      <c r="V234">
        <v>0</v>
      </c>
      <c r="W234">
        <v>0</v>
      </c>
    </row>
    <row r="235" spans="17:23">
      <c r="Q235" t="s">
        <v>211</v>
      </c>
      <c r="R235" t="s">
        <v>162</v>
      </c>
      <c r="S235" t="s">
        <v>26</v>
      </c>
      <c r="T235" t="s">
        <v>11</v>
      </c>
      <c r="U235">
        <v>2029</v>
      </c>
      <c r="V235">
        <v>0</v>
      </c>
      <c r="W235">
        <v>0</v>
      </c>
    </row>
    <row r="236" spans="17:23">
      <c r="Q236" t="s">
        <v>211</v>
      </c>
      <c r="R236" t="s">
        <v>162</v>
      </c>
      <c r="S236" t="s">
        <v>26</v>
      </c>
      <c r="T236" t="s">
        <v>11</v>
      </c>
      <c r="U236">
        <v>2030</v>
      </c>
      <c r="V236">
        <v>0</v>
      </c>
      <c r="W236">
        <v>0</v>
      </c>
    </row>
    <row r="237" spans="17:23">
      <c r="Q237" t="s">
        <v>211</v>
      </c>
      <c r="R237" t="s">
        <v>162</v>
      </c>
      <c r="S237" t="s">
        <v>26</v>
      </c>
      <c r="T237" t="s">
        <v>11</v>
      </c>
      <c r="U237">
        <v>2031</v>
      </c>
      <c r="V237">
        <v>0</v>
      </c>
      <c r="W237">
        <v>0</v>
      </c>
    </row>
    <row r="238" spans="17:23">
      <c r="Q238" t="s">
        <v>211</v>
      </c>
      <c r="R238" t="s">
        <v>162</v>
      </c>
      <c r="S238" t="s">
        <v>26</v>
      </c>
      <c r="T238" t="s">
        <v>11</v>
      </c>
      <c r="U238">
        <v>2032</v>
      </c>
      <c r="V238">
        <v>0</v>
      </c>
      <c r="W238">
        <v>0</v>
      </c>
    </row>
    <row r="239" spans="17:23">
      <c r="Q239" t="s">
        <v>211</v>
      </c>
      <c r="R239" t="s">
        <v>162</v>
      </c>
      <c r="S239" t="s">
        <v>26</v>
      </c>
      <c r="T239" t="s">
        <v>11</v>
      </c>
      <c r="U239">
        <v>2033</v>
      </c>
      <c r="V239">
        <v>0</v>
      </c>
      <c r="W239">
        <v>0</v>
      </c>
    </row>
    <row r="240" spans="17:23">
      <c r="Q240" t="s">
        <v>211</v>
      </c>
      <c r="R240" t="s">
        <v>162</v>
      </c>
      <c r="S240" t="s">
        <v>26</v>
      </c>
      <c r="T240" t="s">
        <v>11</v>
      </c>
      <c r="U240">
        <v>2034</v>
      </c>
      <c r="V240">
        <v>0</v>
      </c>
      <c r="W240">
        <v>0</v>
      </c>
    </row>
    <row r="241" spans="17:23">
      <c r="Q241" t="s">
        <v>211</v>
      </c>
      <c r="R241" t="s">
        <v>162</v>
      </c>
      <c r="S241" t="s">
        <v>26</v>
      </c>
      <c r="T241" t="s">
        <v>11</v>
      </c>
      <c r="U241">
        <v>2035</v>
      </c>
      <c r="V241">
        <v>0</v>
      </c>
      <c r="W241">
        <v>0</v>
      </c>
    </row>
    <row r="242" spans="17:23">
      <c r="Q242" t="s">
        <v>211</v>
      </c>
      <c r="R242" t="s">
        <v>162</v>
      </c>
      <c r="S242" t="s">
        <v>26</v>
      </c>
      <c r="T242" t="s">
        <v>11</v>
      </c>
      <c r="U242">
        <v>2036</v>
      </c>
      <c r="V242">
        <v>0</v>
      </c>
      <c r="W242">
        <v>0</v>
      </c>
    </row>
    <row r="243" spans="17:23">
      <c r="Q243" t="s">
        <v>211</v>
      </c>
      <c r="R243" t="s">
        <v>162</v>
      </c>
      <c r="S243" t="s">
        <v>26</v>
      </c>
      <c r="T243" t="s">
        <v>11</v>
      </c>
      <c r="U243">
        <v>2037</v>
      </c>
      <c r="V243">
        <v>0</v>
      </c>
      <c r="W243">
        <v>0</v>
      </c>
    </row>
    <row r="244" spans="17:23">
      <c r="Q244" t="s">
        <v>211</v>
      </c>
      <c r="R244" t="s">
        <v>162</v>
      </c>
      <c r="S244" t="s">
        <v>26</v>
      </c>
      <c r="T244" t="s">
        <v>11</v>
      </c>
      <c r="U244">
        <v>2038</v>
      </c>
      <c r="V244">
        <v>0</v>
      </c>
      <c r="W244">
        <v>0</v>
      </c>
    </row>
    <row r="245" spans="17:23">
      <c r="Q245" t="s">
        <v>211</v>
      </c>
      <c r="R245" t="s">
        <v>162</v>
      </c>
      <c r="S245" t="s">
        <v>26</v>
      </c>
      <c r="T245" t="s">
        <v>11</v>
      </c>
      <c r="U245">
        <v>2039</v>
      </c>
      <c r="V245">
        <v>0</v>
      </c>
      <c r="W245">
        <v>0</v>
      </c>
    </row>
    <row r="246" spans="17:23">
      <c r="Q246" t="s">
        <v>211</v>
      </c>
      <c r="R246" t="s">
        <v>162</v>
      </c>
      <c r="S246" t="s">
        <v>26</v>
      </c>
      <c r="T246" t="s">
        <v>11</v>
      </c>
      <c r="U246">
        <v>2040</v>
      </c>
      <c r="V246">
        <v>0</v>
      </c>
      <c r="W246">
        <v>0</v>
      </c>
    </row>
    <row r="247" spans="17:23">
      <c r="Q247" t="s">
        <v>211</v>
      </c>
      <c r="R247" t="s">
        <v>162</v>
      </c>
      <c r="S247" t="s">
        <v>26</v>
      </c>
      <c r="T247" t="s">
        <v>11</v>
      </c>
      <c r="U247">
        <v>2041</v>
      </c>
      <c r="V247">
        <v>0</v>
      </c>
      <c r="W247">
        <v>0</v>
      </c>
    </row>
    <row r="248" spans="17:23">
      <c r="Q248" t="s">
        <v>211</v>
      </c>
      <c r="R248" t="s">
        <v>162</v>
      </c>
      <c r="S248" t="s">
        <v>26</v>
      </c>
      <c r="T248" t="s">
        <v>11</v>
      </c>
      <c r="U248">
        <v>2042</v>
      </c>
      <c r="V248">
        <v>0</v>
      </c>
      <c r="W248">
        <v>0</v>
      </c>
    </row>
    <row r="249" spans="17:23">
      <c r="Q249" t="s">
        <v>211</v>
      </c>
      <c r="R249" t="s">
        <v>162</v>
      </c>
      <c r="S249" t="s">
        <v>26</v>
      </c>
      <c r="T249" t="s">
        <v>11</v>
      </c>
      <c r="U249">
        <v>2043</v>
      </c>
      <c r="V249">
        <v>0</v>
      </c>
      <c r="W249">
        <v>0</v>
      </c>
    </row>
    <row r="250" spans="17:23">
      <c r="Q250" t="s">
        <v>211</v>
      </c>
      <c r="R250" t="s">
        <v>162</v>
      </c>
      <c r="S250" t="s">
        <v>26</v>
      </c>
      <c r="T250" t="s">
        <v>11</v>
      </c>
      <c r="U250">
        <v>2044</v>
      </c>
      <c r="V250">
        <v>0</v>
      </c>
      <c r="W250">
        <v>0</v>
      </c>
    </row>
    <row r="251" spans="17:23">
      <c r="Q251" t="s">
        <v>211</v>
      </c>
      <c r="R251" t="s">
        <v>162</v>
      </c>
      <c r="S251" t="s">
        <v>26</v>
      </c>
      <c r="T251" t="s">
        <v>11</v>
      </c>
      <c r="U251">
        <v>2045</v>
      </c>
      <c r="V251">
        <v>0</v>
      </c>
      <c r="W251">
        <v>0</v>
      </c>
    </row>
    <row r="252" spans="17:23">
      <c r="Q252" t="s">
        <v>211</v>
      </c>
      <c r="R252" t="s">
        <v>162</v>
      </c>
      <c r="S252" t="s">
        <v>26</v>
      </c>
      <c r="T252" t="s">
        <v>11</v>
      </c>
      <c r="U252">
        <v>2046</v>
      </c>
      <c r="V252">
        <v>0</v>
      </c>
      <c r="W252">
        <v>0</v>
      </c>
    </row>
    <row r="253" spans="17:23">
      <c r="Q253" t="s">
        <v>211</v>
      </c>
      <c r="R253" t="s">
        <v>162</v>
      </c>
      <c r="S253" t="s">
        <v>26</v>
      </c>
      <c r="T253" t="s">
        <v>11</v>
      </c>
      <c r="U253">
        <v>2047</v>
      </c>
      <c r="V253">
        <v>0</v>
      </c>
      <c r="W253">
        <v>0</v>
      </c>
    </row>
    <row r="254" spans="17:23">
      <c r="Q254" t="s">
        <v>211</v>
      </c>
      <c r="R254" t="s">
        <v>162</v>
      </c>
      <c r="S254" t="s">
        <v>26</v>
      </c>
      <c r="T254" t="s">
        <v>11</v>
      </c>
      <c r="U254">
        <v>2048</v>
      </c>
      <c r="V254">
        <v>0</v>
      </c>
      <c r="W254">
        <v>0</v>
      </c>
    </row>
    <row r="255" spans="17:23">
      <c r="Q255" t="s">
        <v>211</v>
      </c>
      <c r="R255" t="s">
        <v>162</v>
      </c>
      <c r="S255" t="s">
        <v>26</v>
      </c>
      <c r="T255" t="s">
        <v>11</v>
      </c>
      <c r="U255">
        <v>2049</v>
      </c>
      <c r="V255">
        <v>0</v>
      </c>
      <c r="W255">
        <v>0</v>
      </c>
    </row>
    <row r="256" spans="17:23">
      <c r="Q256" t="s">
        <v>211</v>
      </c>
      <c r="R256" t="s">
        <v>162</v>
      </c>
      <c r="S256" t="s">
        <v>26</v>
      </c>
      <c r="T256" t="s">
        <v>11</v>
      </c>
      <c r="U256">
        <v>2050</v>
      </c>
      <c r="V256">
        <v>0</v>
      </c>
      <c r="W256">
        <v>0</v>
      </c>
    </row>
    <row r="257" spans="17:23">
      <c r="Q257" t="s">
        <v>211</v>
      </c>
      <c r="R257" t="s">
        <v>162</v>
      </c>
      <c r="S257" t="s">
        <v>29</v>
      </c>
      <c r="T257" t="s">
        <v>11</v>
      </c>
      <c r="U257">
        <v>2000</v>
      </c>
      <c r="V257">
        <v>0</v>
      </c>
      <c r="W257">
        <v>0</v>
      </c>
    </row>
    <row r="258" spans="17:23">
      <c r="Q258" t="s">
        <v>211</v>
      </c>
      <c r="R258" t="s">
        <v>162</v>
      </c>
      <c r="S258" t="s">
        <v>29</v>
      </c>
      <c r="T258" t="s">
        <v>11</v>
      </c>
      <c r="U258">
        <v>2001</v>
      </c>
      <c r="V258">
        <v>0</v>
      </c>
      <c r="W258">
        <v>0</v>
      </c>
    </row>
    <row r="259" spans="17:23">
      <c r="Q259" t="s">
        <v>211</v>
      </c>
      <c r="R259" t="s">
        <v>162</v>
      </c>
      <c r="S259" t="s">
        <v>29</v>
      </c>
      <c r="T259" t="s">
        <v>11</v>
      </c>
      <c r="U259">
        <v>2002</v>
      </c>
      <c r="V259">
        <v>0</v>
      </c>
      <c r="W259">
        <v>0</v>
      </c>
    </row>
    <row r="260" spans="17:23">
      <c r="Q260" t="s">
        <v>211</v>
      </c>
      <c r="R260" t="s">
        <v>162</v>
      </c>
      <c r="S260" t="s">
        <v>29</v>
      </c>
      <c r="T260" t="s">
        <v>11</v>
      </c>
      <c r="U260">
        <v>2003</v>
      </c>
      <c r="V260">
        <v>0</v>
      </c>
      <c r="W260">
        <v>0</v>
      </c>
    </row>
    <row r="261" spans="17:23">
      <c r="Q261" t="s">
        <v>211</v>
      </c>
      <c r="R261" t="s">
        <v>162</v>
      </c>
      <c r="S261" t="s">
        <v>29</v>
      </c>
      <c r="T261" t="s">
        <v>11</v>
      </c>
      <c r="U261">
        <v>2004</v>
      </c>
      <c r="V261">
        <v>0</v>
      </c>
      <c r="W261">
        <v>0</v>
      </c>
    </row>
    <row r="262" spans="17:23">
      <c r="Q262" t="s">
        <v>211</v>
      </c>
      <c r="R262" t="s">
        <v>162</v>
      </c>
      <c r="S262" t="s">
        <v>29</v>
      </c>
      <c r="T262" t="s">
        <v>11</v>
      </c>
      <c r="U262">
        <v>2005</v>
      </c>
      <c r="V262">
        <v>0</v>
      </c>
      <c r="W262">
        <v>0</v>
      </c>
    </row>
    <row r="263" spans="17:23">
      <c r="Q263" t="s">
        <v>211</v>
      </c>
      <c r="R263" t="s">
        <v>162</v>
      </c>
      <c r="S263" t="s">
        <v>29</v>
      </c>
      <c r="T263" t="s">
        <v>11</v>
      </c>
      <c r="U263">
        <v>2006</v>
      </c>
      <c r="V263">
        <v>0</v>
      </c>
      <c r="W263">
        <v>0</v>
      </c>
    </row>
    <row r="264" spans="17:23">
      <c r="Q264" t="s">
        <v>211</v>
      </c>
      <c r="R264" t="s">
        <v>162</v>
      </c>
      <c r="S264" t="s">
        <v>29</v>
      </c>
      <c r="T264" t="s">
        <v>11</v>
      </c>
      <c r="U264">
        <v>2007</v>
      </c>
      <c r="V264">
        <v>0</v>
      </c>
      <c r="W264">
        <v>0</v>
      </c>
    </row>
    <row r="265" spans="17:23">
      <c r="Q265" t="s">
        <v>211</v>
      </c>
      <c r="R265" t="s">
        <v>162</v>
      </c>
      <c r="S265" t="s">
        <v>29</v>
      </c>
      <c r="T265" t="s">
        <v>11</v>
      </c>
      <c r="U265">
        <v>2008</v>
      </c>
      <c r="V265">
        <v>0</v>
      </c>
      <c r="W265">
        <v>0</v>
      </c>
    </row>
    <row r="266" spans="17:23">
      <c r="Q266" t="s">
        <v>211</v>
      </c>
      <c r="R266" t="s">
        <v>162</v>
      </c>
      <c r="S266" t="s">
        <v>29</v>
      </c>
      <c r="T266" t="s">
        <v>11</v>
      </c>
      <c r="U266">
        <v>2009</v>
      </c>
      <c r="V266">
        <v>0</v>
      </c>
      <c r="W266">
        <v>0</v>
      </c>
    </row>
    <row r="267" spans="17:23">
      <c r="Q267" t="s">
        <v>211</v>
      </c>
      <c r="R267" t="s">
        <v>162</v>
      </c>
      <c r="S267" t="s">
        <v>29</v>
      </c>
      <c r="T267" t="s">
        <v>11</v>
      </c>
      <c r="U267">
        <v>2010</v>
      </c>
      <c r="V267">
        <v>0</v>
      </c>
      <c r="W267">
        <v>0</v>
      </c>
    </row>
    <row r="268" spans="17:23">
      <c r="Q268" t="s">
        <v>211</v>
      </c>
      <c r="R268" t="s">
        <v>162</v>
      </c>
      <c r="S268" t="s">
        <v>29</v>
      </c>
      <c r="T268" t="s">
        <v>11</v>
      </c>
      <c r="U268">
        <v>2011</v>
      </c>
      <c r="V268">
        <v>0</v>
      </c>
      <c r="W268">
        <v>0</v>
      </c>
    </row>
    <row r="269" spans="17:23">
      <c r="Q269" t="s">
        <v>211</v>
      </c>
      <c r="R269" t="s">
        <v>162</v>
      </c>
      <c r="S269" t="s">
        <v>29</v>
      </c>
      <c r="T269" t="s">
        <v>11</v>
      </c>
      <c r="U269">
        <v>2012</v>
      </c>
      <c r="V269">
        <v>0</v>
      </c>
      <c r="W269">
        <v>0</v>
      </c>
    </row>
    <row r="270" spans="17:23">
      <c r="Q270" t="s">
        <v>211</v>
      </c>
      <c r="R270" t="s">
        <v>162</v>
      </c>
      <c r="S270" t="s">
        <v>29</v>
      </c>
      <c r="T270" t="s">
        <v>11</v>
      </c>
      <c r="U270">
        <v>2013</v>
      </c>
      <c r="V270">
        <v>0</v>
      </c>
      <c r="W270">
        <v>0</v>
      </c>
    </row>
    <row r="271" spans="17:23">
      <c r="Q271" t="s">
        <v>211</v>
      </c>
      <c r="R271" t="s">
        <v>162</v>
      </c>
      <c r="S271" t="s">
        <v>29</v>
      </c>
      <c r="T271" t="s">
        <v>11</v>
      </c>
      <c r="U271">
        <v>2014</v>
      </c>
      <c r="V271">
        <v>0</v>
      </c>
      <c r="W271">
        <v>0</v>
      </c>
    </row>
    <row r="272" spans="17:23">
      <c r="Q272" t="s">
        <v>211</v>
      </c>
      <c r="R272" t="s">
        <v>162</v>
      </c>
      <c r="S272" t="s">
        <v>29</v>
      </c>
      <c r="T272" t="s">
        <v>11</v>
      </c>
      <c r="U272">
        <v>2015</v>
      </c>
      <c r="V272">
        <v>0</v>
      </c>
      <c r="W272">
        <v>0</v>
      </c>
    </row>
    <row r="273" spans="17:23">
      <c r="Q273" t="s">
        <v>211</v>
      </c>
      <c r="R273" t="s">
        <v>162</v>
      </c>
      <c r="S273" t="s">
        <v>29</v>
      </c>
      <c r="T273" t="s">
        <v>11</v>
      </c>
      <c r="U273">
        <v>2016</v>
      </c>
      <c r="V273">
        <v>0</v>
      </c>
      <c r="W273">
        <v>0</v>
      </c>
    </row>
    <row r="274" spans="17:23">
      <c r="Q274" t="s">
        <v>211</v>
      </c>
      <c r="R274" t="s">
        <v>162</v>
      </c>
      <c r="S274" t="s">
        <v>29</v>
      </c>
      <c r="T274" t="s">
        <v>11</v>
      </c>
      <c r="U274">
        <v>2017</v>
      </c>
      <c r="V274">
        <v>0</v>
      </c>
      <c r="W274">
        <v>0</v>
      </c>
    </row>
    <row r="275" spans="17:23">
      <c r="Q275" t="s">
        <v>211</v>
      </c>
      <c r="R275" t="s">
        <v>162</v>
      </c>
      <c r="S275" t="s">
        <v>29</v>
      </c>
      <c r="T275" t="s">
        <v>11</v>
      </c>
      <c r="U275">
        <v>2018</v>
      </c>
      <c r="V275">
        <v>0</v>
      </c>
      <c r="W275">
        <v>0</v>
      </c>
    </row>
    <row r="276" spans="17:23">
      <c r="Q276" t="s">
        <v>211</v>
      </c>
      <c r="R276" t="s">
        <v>162</v>
      </c>
      <c r="S276" t="s">
        <v>29</v>
      </c>
      <c r="T276" t="s">
        <v>11</v>
      </c>
      <c r="U276">
        <v>2019</v>
      </c>
      <c r="V276">
        <v>0</v>
      </c>
      <c r="W276">
        <v>0</v>
      </c>
    </row>
    <row r="277" spans="17:23">
      <c r="Q277" t="s">
        <v>211</v>
      </c>
      <c r="R277" t="s">
        <v>162</v>
      </c>
      <c r="S277" t="s">
        <v>29</v>
      </c>
      <c r="T277" t="s">
        <v>11</v>
      </c>
      <c r="U277">
        <v>2020</v>
      </c>
      <c r="V277">
        <v>0</v>
      </c>
      <c r="W277">
        <v>0</v>
      </c>
    </row>
    <row r="278" spans="17:23">
      <c r="Q278" t="s">
        <v>211</v>
      </c>
      <c r="R278" t="s">
        <v>162</v>
      </c>
      <c r="S278" t="s">
        <v>29</v>
      </c>
      <c r="T278" t="s">
        <v>11</v>
      </c>
      <c r="U278">
        <v>2021</v>
      </c>
      <c r="V278">
        <v>0</v>
      </c>
      <c r="W278">
        <v>0</v>
      </c>
    </row>
    <row r="279" spans="17:23">
      <c r="Q279" t="s">
        <v>211</v>
      </c>
      <c r="R279" t="s">
        <v>162</v>
      </c>
      <c r="S279" t="s">
        <v>29</v>
      </c>
      <c r="T279" t="s">
        <v>11</v>
      </c>
      <c r="U279">
        <v>2022</v>
      </c>
      <c r="V279">
        <v>0</v>
      </c>
      <c r="W279">
        <v>0</v>
      </c>
    </row>
    <row r="280" spans="17:23">
      <c r="Q280" t="s">
        <v>211</v>
      </c>
      <c r="R280" t="s">
        <v>162</v>
      </c>
      <c r="S280" t="s">
        <v>29</v>
      </c>
      <c r="T280" t="s">
        <v>11</v>
      </c>
      <c r="U280">
        <v>2023</v>
      </c>
      <c r="V280">
        <v>0</v>
      </c>
      <c r="W280">
        <v>0</v>
      </c>
    </row>
    <row r="281" spans="17:23">
      <c r="Q281" t="s">
        <v>211</v>
      </c>
      <c r="R281" t="s">
        <v>162</v>
      </c>
      <c r="S281" t="s">
        <v>29</v>
      </c>
      <c r="T281" t="s">
        <v>11</v>
      </c>
      <c r="U281">
        <v>2024</v>
      </c>
      <c r="V281">
        <v>0</v>
      </c>
      <c r="W281">
        <v>0</v>
      </c>
    </row>
    <row r="282" spans="17:23">
      <c r="Q282" t="s">
        <v>211</v>
      </c>
      <c r="R282" t="s">
        <v>162</v>
      </c>
      <c r="S282" t="s">
        <v>29</v>
      </c>
      <c r="T282" t="s">
        <v>11</v>
      </c>
      <c r="U282">
        <v>2025</v>
      </c>
      <c r="V282">
        <v>0</v>
      </c>
      <c r="W282">
        <v>0</v>
      </c>
    </row>
    <row r="283" spans="17:23">
      <c r="Q283" t="s">
        <v>211</v>
      </c>
      <c r="R283" t="s">
        <v>162</v>
      </c>
      <c r="S283" t="s">
        <v>29</v>
      </c>
      <c r="T283" t="s">
        <v>11</v>
      </c>
      <c r="U283">
        <v>2026</v>
      </c>
      <c r="V283">
        <v>0</v>
      </c>
      <c r="W283">
        <v>0</v>
      </c>
    </row>
    <row r="284" spans="17:23">
      <c r="Q284" t="s">
        <v>211</v>
      </c>
      <c r="R284" t="s">
        <v>162</v>
      </c>
      <c r="S284" t="s">
        <v>29</v>
      </c>
      <c r="T284" t="s">
        <v>11</v>
      </c>
      <c r="U284">
        <v>2027</v>
      </c>
      <c r="V284">
        <v>0</v>
      </c>
      <c r="W284">
        <v>0</v>
      </c>
    </row>
    <row r="285" spans="17:23">
      <c r="Q285" t="s">
        <v>211</v>
      </c>
      <c r="R285" t="s">
        <v>162</v>
      </c>
      <c r="S285" t="s">
        <v>29</v>
      </c>
      <c r="T285" t="s">
        <v>11</v>
      </c>
      <c r="U285">
        <v>2028</v>
      </c>
      <c r="V285">
        <v>0</v>
      </c>
      <c r="W285">
        <v>0</v>
      </c>
    </row>
    <row r="286" spans="17:23">
      <c r="Q286" t="s">
        <v>211</v>
      </c>
      <c r="R286" t="s">
        <v>162</v>
      </c>
      <c r="S286" t="s">
        <v>29</v>
      </c>
      <c r="T286" t="s">
        <v>11</v>
      </c>
      <c r="U286">
        <v>2029</v>
      </c>
      <c r="V286">
        <v>0</v>
      </c>
      <c r="W286">
        <v>0</v>
      </c>
    </row>
    <row r="287" spans="17:23">
      <c r="Q287" t="s">
        <v>211</v>
      </c>
      <c r="R287" t="s">
        <v>162</v>
      </c>
      <c r="S287" t="s">
        <v>29</v>
      </c>
      <c r="T287" t="s">
        <v>11</v>
      </c>
      <c r="U287">
        <v>2030</v>
      </c>
      <c r="V287">
        <v>0</v>
      </c>
      <c r="W287">
        <v>0</v>
      </c>
    </row>
    <row r="288" spans="17:23">
      <c r="Q288" t="s">
        <v>211</v>
      </c>
      <c r="R288" t="s">
        <v>162</v>
      </c>
      <c r="S288" t="s">
        <v>29</v>
      </c>
      <c r="T288" t="s">
        <v>11</v>
      </c>
      <c r="U288">
        <v>2031</v>
      </c>
      <c r="V288">
        <v>0</v>
      </c>
      <c r="W288">
        <v>0</v>
      </c>
    </row>
    <row r="289" spans="17:23">
      <c r="Q289" t="s">
        <v>211</v>
      </c>
      <c r="R289" t="s">
        <v>162</v>
      </c>
      <c r="S289" t="s">
        <v>29</v>
      </c>
      <c r="T289" t="s">
        <v>11</v>
      </c>
      <c r="U289">
        <v>2032</v>
      </c>
      <c r="V289">
        <v>0</v>
      </c>
      <c r="W289">
        <v>0</v>
      </c>
    </row>
    <row r="290" spans="17:23">
      <c r="Q290" t="s">
        <v>211</v>
      </c>
      <c r="R290" t="s">
        <v>162</v>
      </c>
      <c r="S290" t="s">
        <v>29</v>
      </c>
      <c r="T290" t="s">
        <v>11</v>
      </c>
      <c r="U290">
        <v>2033</v>
      </c>
      <c r="V290">
        <v>0</v>
      </c>
      <c r="W290">
        <v>0</v>
      </c>
    </row>
    <row r="291" spans="17:23">
      <c r="Q291" t="s">
        <v>211</v>
      </c>
      <c r="R291" t="s">
        <v>162</v>
      </c>
      <c r="S291" t="s">
        <v>29</v>
      </c>
      <c r="T291" t="s">
        <v>11</v>
      </c>
      <c r="U291">
        <v>2034</v>
      </c>
      <c r="V291">
        <v>0</v>
      </c>
      <c r="W291">
        <v>0</v>
      </c>
    </row>
    <row r="292" spans="17:23">
      <c r="Q292" t="s">
        <v>211</v>
      </c>
      <c r="R292" t="s">
        <v>162</v>
      </c>
      <c r="S292" t="s">
        <v>29</v>
      </c>
      <c r="T292" t="s">
        <v>11</v>
      </c>
      <c r="U292">
        <v>2035</v>
      </c>
      <c r="V292">
        <v>0</v>
      </c>
      <c r="W292">
        <v>0</v>
      </c>
    </row>
    <row r="293" spans="17:23">
      <c r="Q293" t="s">
        <v>211</v>
      </c>
      <c r="R293" t="s">
        <v>162</v>
      </c>
      <c r="S293" t="s">
        <v>29</v>
      </c>
      <c r="T293" t="s">
        <v>11</v>
      </c>
      <c r="U293">
        <v>2036</v>
      </c>
      <c r="V293">
        <v>0</v>
      </c>
      <c r="W293">
        <v>0</v>
      </c>
    </row>
    <row r="294" spans="17:23">
      <c r="Q294" t="s">
        <v>211</v>
      </c>
      <c r="R294" t="s">
        <v>162</v>
      </c>
      <c r="S294" t="s">
        <v>29</v>
      </c>
      <c r="T294" t="s">
        <v>11</v>
      </c>
      <c r="U294">
        <v>2037</v>
      </c>
      <c r="V294">
        <v>0</v>
      </c>
      <c r="W294">
        <v>0</v>
      </c>
    </row>
    <row r="295" spans="17:23">
      <c r="Q295" t="s">
        <v>211</v>
      </c>
      <c r="R295" t="s">
        <v>162</v>
      </c>
      <c r="S295" t="s">
        <v>29</v>
      </c>
      <c r="T295" t="s">
        <v>11</v>
      </c>
      <c r="U295">
        <v>2038</v>
      </c>
      <c r="V295">
        <v>0</v>
      </c>
      <c r="W295">
        <v>0</v>
      </c>
    </row>
    <row r="296" spans="17:23">
      <c r="Q296" t="s">
        <v>211</v>
      </c>
      <c r="R296" t="s">
        <v>162</v>
      </c>
      <c r="S296" t="s">
        <v>29</v>
      </c>
      <c r="T296" t="s">
        <v>11</v>
      </c>
      <c r="U296">
        <v>2039</v>
      </c>
      <c r="V296">
        <v>0</v>
      </c>
      <c r="W296">
        <v>0</v>
      </c>
    </row>
    <row r="297" spans="17:23">
      <c r="Q297" t="s">
        <v>211</v>
      </c>
      <c r="R297" t="s">
        <v>162</v>
      </c>
      <c r="S297" t="s">
        <v>29</v>
      </c>
      <c r="T297" t="s">
        <v>11</v>
      </c>
      <c r="U297">
        <v>2040</v>
      </c>
      <c r="V297">
        <v>0</v>
      </c>
      <c r="W297">
        <v>0</v>
      </c>
    </row>
    <row r="298" spans="17:23">
      <c r="Q298" t="s">
        <v>211</v>
      </c>
      <c r="R298" t="s">
        <v>162</v>
      </c>
      <c r="S298" t="s">
        <v>29</v>
      </c>
      <c r="T298" t="s">
        <v>11</v>
      </c>
      <c r="U298">
        <v>2041</v>
      </c>
      <c r="V298">
        <v>0</v>
      </c>
      <c r="W298">
        <v>0</v>
      </c>
    </row>
    <row r="299" spans="17:23">
      <c r="Q299" t="s">
        <v>211</v>
      </c>
      <c r="R299" t="s">
        <v>162</v>
      </c>
      <c r="S299" t="s">
        <v>29</v>
      </c>
      <c r="T299" t="s">
        <v>11</v>
      </c>
      <c r="U299">
        <v>2042</v>
      </c>
      <c r="V299">
        <v>0</v>
      </c>
      <c r="W299">
        <v>0</v>
      </c>
    </row>
    <row r="300" spans="17:23">
      <c r="Q300" t="s">
        <v>211</v>
      </c>
      <c r="R300" t="s">
        <v>162</v>
      </c>
      <c r="S300" t="s">
        <v>29</v>
      </c>
      <c r="T300" t="s">
        <v>11</v>
      </c>
      <c r="U300">
        <v>2043</v>
      </c>
      <c r="V300">
        <v>0</v>
      </c>
      <c r="W300">
        <v>0</v>
      </c>
    </row>
    <row r="301" spans="17:23">
      <c r="Q301" t="s">
        <v>211</v>
      </c>
      <c r="R301" t="s">
        <v>162</v>
      </c>
      <c r="S301" t="s">
        <v>29</v>
      </c>
      <c r="T301" t="s">
        <v>11</v>
      </c>
      <c r="U301">
        <v>2044</v>
      </c>
      <c r="V301">
        <v>0</v>
      </c>
      <c r="W301">
        <v>0</v>
      </c>
    </row>
    <row r="302" spans="17:23">
      <c r="Q302" t="s">
        <v>211</v>
      </c>
      <c r="R302" t="s">
        <v>162</v>
      </c>
      <c r="S302" t="s">
        <v>29</v>
      </c>
      <c r="T302" t="s">
        <v>11</v>
      </c>
      <c r="U302">
        <v>2045</v>
      </c>
      <c r="V302">
        <v>0</v>
      </c>
      <c r="W302">
        <v>0</v>
      </c>
    </row>
    <row r="303" spans="17:23">
      <c r="Q303" t="s">
        <v>211</v>
      </c>
      <c r="R303" t="s">
        <v>162</v>
      </c>
      <c r="S303" t="s">
        <v>29</v>
      </c>
      <c r="T303" t="s">
        <v>11</v>
      </c>
      <c r="U303">
        <v>2046</v>
      </c>
      <c r="V303">
        <v>0</v>
      </c>
      <c r="W303">
        <v>0</v>
      </c>
    </row>
    <row r="304" spans="17:23">
      <c r="Q304" t="s">
        <v>211</v>
      </c>
      <c r="R304" t="s">
        <v>162</v>
      </c>
      <c r="S304" t="s">
        <v>29</v>
      </c>
      <c r="T304" t="s">
        <v>11</v>
      </c>
      <c r="U304">
        <v>2047</v>
      </c>
      <c r="V304">
        <v>0</v>
      </c>
      <c r="W304">
        <v>0</v>
      </c>
    </row>
    <row r="305" spans="17:23">
      <c r="Q305" t="s">
        <v>211</v>
      </c>
      <c r="R305" t="s">
        <v>162</v>
      </c>
      <c r="S305" t="s">
        <v>29</v>
      </c>
      <c r="T305" t="s">
        <v>11</v>
      </c>
      <c r="U305">
        <v>2048</v>
      </c>
      <c r="V305">
        <v>0</v>
      </c>
      <c r="W305">
        <v>0</v>
      </c>
    </row>
    <row r="306" spans="17:23">
      <c r="Q306" t="s">
        <v>211</v>
      </c>
      <c r="R306" t="s">
        <v>162</v>
      </c>
      <c r="S306" t="s">
        <v>29</v>
      </c>
      <c r="T306" t="s">
        <v>11</v>
      </c>
      <c r="U306">
        <v>2049</v>
      </c>
      <c r="V306">
        <v>0</v>
      </c>
      <c r="W306">
        <v>0</v>
      </c>
    </row>
    <row r="307" spans="17:23">
      <c r="Q307" t="s">
        <v>211</v>
      </c>
      <c r="R307" t="s">
        <v>162</v>
      </c>
      <c r="S307" t="s">
        <v>29</v>
      </c>
      <c r="T307" t="s">
        <v>11</v>
      </c>
      <c r="U307">
        <v>2050</v>
      </c>
      <c r="V307">
        <v>0</v>
      </c>
      <c r="W307">
        <v>0</v>
      </c>
    </row>
    <row r="308" spans="17:23">
      <c r="Q308" t="s">
        <v>211</v>
      </c>
      <c r="R308" t="s">
        <v>162</v>
      </c>
      <c r="S308" t="s">
        <v>25</v>
      </c>
      <c r="T308" t="s">
        <v>42</v>
      </c>
      <c r="U308">
        <v>2000</v>
      </c>
      <c r="V308">
        <v>0.11899999999999999</v>
      </c>
      <c r="W308">
        <v>197.78395</v>
      </c>
    </row>
    <row r="309" spans="17:23">
      <c r="Q309" t="s">
        <v>211</v>
      </c>
      <c r="R309" t="s">
        <v>162</v>
      </c>
      <c r="S309" t="s">
        <v>25</v>
      </c>
      <c r="T309" t="s">
        <v>42</v>
      </c>
      <c r="U309">
        <v>2001</v>
      </c>
      <c r="V309">
        <v>0.11700000000000001</v>
      </c>
      <c r="W309">
        <v>201.12627599999999</v>
      </c>
    </row>
    <row r="310" spans="17:23">
      <c r="Q310" t="s">
        <v>211</v>
      </c>
      <c r="R310" t="s">
        <v>162</v>
      </c>
      <c r="S310" t="s">
        <v>25</v>
      </c>
      <c r="T310" t="s">
        <v>42</v>
      </c>
      <c r="U310">
        <v>2002</v>
      </c>
      <c r="V310">
        <v>0.11600000000000001</v>
      </c>
      <c r="W310">
        <v>206.05787599999999</v>
      </c>
    </row>
    <row r="311" spans="17:23">
      <c r="Q311" t="s">
        <v>211</v>
      </c>
      <c r="R311" t="s">
        <v>162</v>
      </c>
      <c r="S311" t="s">
        <v>25</v>
      </c>
      <c r="T311" t="s">
        <v>42</v>
      </c>
      <c r="U311">
        <v>2003</v>
      </c>
      <c r="V311">
        <v>0.113</v>
      </c>
      <c r="W311">
        <v>207.363249</v>
      </c>
    </row>
    <row r="312" spans="17:23">
      <c r="Q312" t="s">
        <v>211</v>
      </c>
      <c r="R312" t="s">
        <v>162</v>
      </c>
      <c r="S312" t="s">
        <v>25</v>
      </c>
      <c r="T312" t="s">
        <v>42</v>
      </c>
      <c r="U312">
        <v>2004</v>
      </c>
      <c r="V312">
        <v>0.114</v>
      </c>
      <c r="W312">
        <v>216.24443400000001</v>
      </c>
    </row>
    <row r="313" spans="17:23">
      <c r="Q313" t="s">
        <v>211</v>
      </c>
      <c r="R313" t="s">
        <v>162</v>
      </c>
      <c r="S313" t="s">
        <v>25</v>
      </c>
      <c r="T313" t="s">
        <v>42</v>
      </c>
      <c r="U313">
        <v>2005</v>
      </c>
      <c r="V313">
        <v>0.11600000000000001</v>
      </c>
      <c r="W313">
        <v>227.70591200000001</v>
      </c>
    </row>
    <row r="314" spans="17:23">
      <c r="Q314" t="s">
        <v>211</v>
      </c>
      <c r="R314" t="s">
        <v>162</v>
      </c>
      <c r="S314" t="s">
        <v>25</v>
      </c>
      <c r="T314" t="s">
        <v>42</v>
      </c>
      <c r="U314">
        <v>2006</v>
      </c>
      <c r="V314">
        <v>0.114</v>
      </c>
      <c r="W314">
        <v>231.84499199999999</v>
      </c>
    </row>
    <row r="315" spans="17:23">
      <c r="Q315" t="s">
        <v>211</v>
      </c>
      <c r="R315" t="s">
        <v>162</v>
      </c>
      <c r="S315" t="s">
        <v>25</v>
      </c>
      <c r="T315" t="s">
        <v>42</v>
      </c>
      <c r="U315">
        <v>2007</v>
      </c>
      <c r="V315">
        <v>0.11600000000000001</v>
      </c>
      <c r="W315">
        <v>244.59922399999999</v>
      </c>
    </row>
    <row r="316" spans="17:23">
      <c r="Q316" t="s">
        <v>211</v>
      </c>
      <c r="R316" t="s">
        <v>162</v>
      </c>
      <c r="S316" t="s">
        <v>25</v>
      </c>
      <c r="T316" t="s">
        <v>42</v>
      </c>
      <c r="U316">
        <v>2008</v>
      </c>
      <c r="V316">
        <v>0.114</v>
      </c>
      <c r="W316">
        <v>249.33749399999999</v>
      </c>
    </row>
    <row r="317" spans="17:23">
      <c r="Q317" t="s">
        <v>211</v>
      </c>
      <c r="R317" t="s">
        <v>162</v>
      </c>
      <c r="S317" t="s">
        <v>25</v>
      </c>
      <c r="T317" t="s">
        <v>42</v>
      </c>
      <c r="U317">
        <v>2009</v>
      </c>
      <c r="V317">
        <v>0.115</v>
      </c>
      <c r="W317">
        <v>261.08127999999999</v>
      </c>
    </row>
    <row r="318" spans="17:23">
      <c r="Q318" t="s">
        <v>211</v>
      </c>
      <c r="R318" t="s">
        <v>162</v>
      </c>
      <c r="S318" t="s">
        <v>25</v>
      </c>
      <c r="T318" t="s">
        <v>42</v>
      </c>
      <c r="U318">
        <v>2010</v>
      </c>
      <c r="V318">
        <v>0.114</v>
      </c>
      <c r="W318">
        <v>268.76423399999999</v>
      </c>
    </row>
    <row r="319" spans="17:23">
      <c r="Q319" t="s">
        <v>211</v>
      </c>
      <c r="R319" t="s">
        <v>162</v>
      </c>
      <c r="S319" t="s">
        <v>25</v>
      </c>
      <c r="T319" t="s">
        <v>42</v>
      </c>
      <c r="U319">
        <v>2011</v>
      </c>
      <c r="V319">
        <v>0.111</v>
      </c>
      <c r="W319">
        <v>271.85431799999998</v>
      </c>
    </row>
    <row r="320" spans="17:23">
      <c r="Q320" t="s">
        <v>211</v>
      </c>
      <c r="R320" t="s">
        <v>162</v>
      </c>
      <c r="S320" t="s">
        <v>25</v>
      </c>
      <c r="T320" t="s">
        <v>42</v>
      </c>
      <c r="U320">
        <v>2012</v>
      </c>
      <c r="V320">
        <v>0.106</v>
      </c>
      <c r="W320">
        <v>269.80847799999998</v>
      </c>
    </row>
    <row r="321" spans="17:23">
      <c r="Q321" t="s">
        <v>211</v>
      </c>
      <c r="R321" t="s">
        <v>162</v>
      </c>
      <c r="S321" t="s">
        <v>25</v>
      </c>
      <c r="T321" t="s">
        <v>42</v>
      </c>
      <c r="U321">
        <v>2013</v>
      </c>
      <c r="V321">
        <v>0.10100000000000001</v>
      </c>
      <c r="W321">
        <v>267.31377099999997</v>
      </c>
    </row>
    <row r="322" spans="17:23">
      <c r="Q322" t="s">
        <v>211</v>
      </c>
      <c r="R322" t="s">
        <v>162</v>
      </c>
      <c r="S322" t="s">
        <v>25</v>
      </c>
      <c r="T322" t="s">
        <v>42</v>
      </c>
      <c r="U322">
        <v>2014</v>
      </c>
      <c r="V322">
        <v>9.4E-2</v>
      </c>
      <c r="W322">
        <v>258.83981</v>
      </c>
    </row>
    <row r="323" spans="17:23">
      <c r="Q323" t="s">
        <v>211</v>
      </c>
      <c r="R323" t="s">
        <v>162</v>
      </c>
      <c r="S323" t="s">
        <v>25</v>
      </c>
      <c r="T323" t="s">
        <v>42</v>
      </c>
      <c r="U323">
        <v>2015</v>
      </c>
      <c r="V323">
        <v>8.3000000000000004E-2</v>
      </c>
      <c r="W323">
        <v>237.93610000000001</v>
      </c>
    </row>
    <row r="324" spans="17:23">
      <c r="Q324" t="s">
        <v>211</v>
      </c>
      <c r="R324" t="s">
        <v>162</v>
      </c>
      <c r="S324" t="s">
        <v>25</v>
      </c>
      <c r="T324" t="s">
        <v>42</v>
      </c>
      <c r="U324">
        <v>2016</v>
      </c>
      <c r="V324">
        <v>7.4999999999999997E-2</v>
      </c>
      <c r="W324">
        <v>223.97069999999999</v>
      </c>
    </row>
    <row r="325" spans="17:23">
      <c r="Q325" t="s">
        <v>211</v>
      </c>
      <c r="R325" t="s">
        <v>162</v>
      </c>
      <c r="S325" t="s">
        <v>25</v>
      </c>
      <c r="T325" t="s">
        <v>42</v>
      </c>
      <c r="U325">
        <v>2017</v>
      </c>
      <c r="V325">
        <v>6.6000000000000003E-2</v>
      </c>
      <c r="W325">
        <v>205.43093999999999</v>
      </c>
    </row>
    <row r="326" spans="17:23">
      <c r="Q326" t="s">
        <v>211</v>
      </c>
      <c r="R326" t="s">
        <v>162</v>
      </c>
      <c r="S326" t="s">
        <v>25</v>
      </c>
      <c r="T326" t="s">
        <v>42</v>
      </c>
      <c r="U326">
        <v>2018</v>
      </c>
      <c r="V326">
        <v>5.8000000000000003E-2</v>
      </c>
      <c r="W326">
        <v>188.26411400000001</v>
      </c>
    </row>
    <row r="327" spans="17:23">
      <c r="Q327" t="s">
        <v>211</v>
      </c>
      <c r="R327" t="s">
        <v>162</v>
      </c>
      <c r="S327" t="s">
        <v>25</v>
      </c>
      <c r="T327" t="s">
        <v>42</v>
      </c>
      <c r="U327">
        <v>2019</v>
      </c>
      <c r="V327">
        <v>4.9000000000000002E-2</v>
      </c>
      <c r="W327">
        <v>165.94207700000001</v>
      </c>
    </row>
    <row r="328" spans="17:23">
      <c r="Q328" t="s">
        <v>211</v>
      </c>
      <c r="R328" t="s">
        <v>162</v>
      </c>
      <c r="S328" t="s">
        <v>25</v>
      </c>
      <c r="T328" t="s">
        <v>42</v>
      </c>
      <c r="U328">
        <v>2020</v>
      </c>
      <c r="V328">
        <v>4.2000000000000003E-2</v>
      </c>
      <c r="W328">
        <v>148.463112</v>
      </c>
    </row>
    <row r="329" spans="17:23">
      <c r="Q329" t="s">
        <v>211</v>
      </c>
      <c r="R329" t="s">
        <v>162</v>
      </c>
      <c r="S329" t="s">
        <v>25</v>
      </c>
      <c r="T329" t="s">
        <v>42</v>
      </c>
      <c r="U329">
        <v>2021</v>
      </c>
      <c r="V329">
        <v>3.6999999999999998E-2</v>
      </c>
      <c r="W329">
        <v>136.569997</v>
      </c>
    </row>
    <row r="330" spans="17:23">
      <c r="Q330" t="s">
        <v>211</v>
      </c>
      <c r="R330" t="s">
        <v>162</v>
      </c>
      <c r="S330" t="s">
        <v>25</v>
      </c>
      <c r="T330" t="s">
        <v>42</v>
      </c>
      <c r="U330">
        <v>2022</v>
      </c>
      <c r="V330">
        <v>3.1E-2</v>
      </c>
      <c r="W330">
        <v>119.529614</v>
      </c>
    </row>
    <row r="331" spans="17:23">
      <c r="Q331" t="s">
        <v>211</v>
      </c>
      <c r="R331" t="s">
        <v>162</v>
      </c>
      <c r="S331" t="s">
        <v>25</v>
      </c>
      <c r="T331" t="s">
        <v>42</v>
      </c>
      <c r="U331">
        <v>2023</v>
      </c>
      <c r="V331">
        <v>2.5999999999999999E-2</v>
      </c>
      <c r="W331">
        <v>104.76902800000001</v>
      </c>
    </row>
    <row r="332" spans="17:23">
      <c r="Q332" t="s">
        <v>211</v>
      </c>
      <c r="R332" t="s">
        <v>162</v>
      </c>
      <c r="S332" t="s">
        <v>25</v>
      </c>
      <c r="T332" t="s">
        <v>42</v>
      </c>
      <c r="U332">
        <v>2024</v>
      </c>
      <c r="V332">
        <v>2.1999999999999999E-2</v>
      </c>
      <c r="W332">
        <v>92.688969999999998</v>
      </c>
    </row>
    <row r="333" spans="17:23">
      <c r="Q333" t="s">
        <v>211</v>
      </c>
      <c r="R333" t="s">
        <v>162</v>
      </c>
      <c r="S333" t="s">
        <v>25</v>
      </c>
      <c r="T333" t="s">
        <v>42</v>
      </c>
      <c r="U333">
        <v>2025</v>
      </c>
      <c r="V333">
        <v>1.7999999999999999E-2</v>
      </c>
      <c r="W333">
        <v>79.328232</v>
      </c>
    </row>
    <row r="334" spans="17:23">
      <c r="Q334" t="s">
        <v>211</v>
      </c>
      <c r="R334" t="s">
        <v>162</v>
      </c>
      <c r="S334" t="s">
        <v>25</v>
      </c>
      <c r="T334" t="s">
        <v>42</v>
      </c>
      <c r="U334">
        <v>2026</v>
      </c>
      <c r="V334">
        <v>1.4999999999999999E-2</v>
      </c>
      <c r="W334">
        <v>69.182175000000001</v>
      </c>
    </row>
    <row r="335" spans="17:23">
      <c r="Q335" t="s">
        <v>211</v>
      </c>
      <c r="R335" t="s">
        <v>162</v>
      </c>
      <c r="S335" t="s">
        <v>25</v>
      </c>
      <c r="T335" t="s">
        <v>42</v>
      </c>
      <c r="U335">
        <v>2027</v>
      </c>
      <c r="V335">
        <v>1.2999999999999999E-2</v>
      </c>
      <c r="W335">
        <v>62.772866</v>
      </c>
    </row>
    <row r="336" spans="17:23">
      <c r="Q336" t="s">
        <v>211</v>
      </c>
      <c r="R336" t="s">
        <v>162</v>
      </c>
      <c r="S336" t="s">
        <v>25</v>
      </c>
      <c r="T336" t="s">
        <v>42</v>
      </c>
      <c r="U336">
        <v>2028</v>
      </c>
      <c r="V336">
        <v>0.01</v>
      </c>
      <c r="W336">
        <v>50.571309999999997</v>
      </c>
    </row>
    <row r="337" spans="17:23">
      <c r="Q337" t="s">
        <v>211</v>
      </c>
      <c r="R337" t="s">
        <v>162</v>
      </c>
      <c r="S337" t="s">
        <v>25</v>
      </c>
      <c r="T337" t="s">
        <v>42</v>
      </c>
      <c r="U337">
        <v>2029</v>
      </c>
      <c r="V337">
        <v>8.0000000000000002E-3</v>
      </c>
      <c r="W337">
        <v>42.382559999999998</v>
      </c>
    </row>
    <row r="338" spans="17:23">
      <c r="Q338" t="s">
        <v>211</v>
      </c>
      <c r="R338" t="s">
        <v>162</v>
      </c>
      <c r="S338" t="s">
        <v>25</v>
      </c>
      <c r="T338" t="s">
        <v>42</v>
      </c>
      <c r="U338">
        <v>2030</v>
      </c>
      <c r="V338">
        <v>6.0000000000000001E-3</v>
      </c>
      <c r="W338">
        <v>33.306744000000002</v>
      </c>
    </row>
    <row r="339" spans="17:23">
      <c r="Q339" t="s">
        <v>211</v>
      </c>
      <c r="R339" t="s">
        <v>162</v>
      </c>
      <c r="S339" t="s">
        <v>25</v>
      </c>
      <c r="T339" t="s">
        <v>42</v>
      </c>
      <c r="U339">
        <v>2031</v>
      </c>
      <c r="V339">
        <v>5.0000000000000001E-3</v>
      </c>
      <c r="W339">
        <v>29.087724999999999</v>
      </c>
    </row>
    <row r="340" spans="17:23">
      <c r="Q340" t="s">
        <v>211</v>
      </c>
      <c r="R340" t="s">
        <v>162</v>
      </c>
      <c r="S340" t="s">
        <v>25</v>
      </c>
      <c r="T340" t="s">
        <v>42</v>
      </c>
      <c r="U340">
        <v>2032</v>
      </c>
      <c r="V340">
        <v>4.0000000000000001E-3</v>
      </c>
      <c r="W340">
        <v>24.390640000000001</v>
      </c>
    </row>
    <row r="341" spans="17:23">
      <c r="Q341" t="s">
        <v>211</v>
      </c>
      <c r="R341" t="s">
        <v>162</v>
      </c>
      <c r="S341" t="s">
        <v>25</v>
      </c>
      <c r="T341" t="s">
        <v>42</v>
      </c>
      <c r="U341">
        <v>2033</v>
      </c>
      <c r="V341">
        <v>3.0000000000000001E-3</v>
      </c>
      <c r="W341">
        <v>19.175937000000001</v>
      </c>
    </row>
    <row r="342" spans="17:23">
      <c r="Q342" t="s">
        <v>211</v>
      </c>
      <c r="R342" t="s">
        <v>162</v>
      </c>
      <c r="S342" t="s">
        <v>25</v>
      </c>
      <c r="T342" t="s">
        <v>42</v>
      </c>
      <c r="U342">
        <v>2034</v>
      </c>
      <c r="V342">
        <v>2E-3</v>
      </c>
      <c r="W342">
        <v>13.401643999999999</v>
      </c>
    </row>
    <row r="343" spans="17:23">
      <c r="Q343" t="s">
        <v>211</v>
      </c>
      <c r="R343" t="s">
        <v>162</v>
      </c>
      <c r="S343" t="s">
        <v>25</v>
      </c>
      <c r="T343" t="s">
        <v>42</v>
      </c>
      <c r="U343">
        <v>2035</v>
      </c>
      <c r="V343">
        <v>1E-3</v>
      </c>
      <c r="W343">
        <v>7.0217299999999998</v>
      </c>
    </row>
    <row r="344" spans="17:23">
      <c r="Q344" t="s">
        <v>211</v>
      </c>
      <c r="R344" t="s">
        <v>162</v>
      </c>
      <c r="S344" t="s">
        <v>25</v>
      </c>
      <c r="T344" t="s">
        <v>42</v>
      </c>
      <c r="U344">
        <v>2036</v>
      </c>
      <c r="V344">
        <v>1E-3</v>
      </c>
      <c r="W344">
        <v>7.3545319999999998</v>
      </c>
    </row>
    <row r="345" spans="17:23">
      <c r="Q345" t="s">
        <v>211</v>
      </c>
      <c r="R345" t="s">
        <v>162</v>
      </c>
      <c r="S345" t="s">
        <v>25</v>
      </c>
      <c r="T345" t="s">
        <v>42</v>
      </c>
      <c r="U345">
        <v>2037</v>
      </c>
      <c r="V345">
        <v>1E-3</v>
      </c>
      <c r="W345">
        <v>7.6994129999999998</v>
      </c>
    </row>
    <row r="346" spans="17:23">
      <c r="Q346" t="s">
        <v>211</v>
      </c>
      <c r="R346" t="s">
        <v>162</v>
      </c>
      <c r="S346" t="s">
        <v>25</v>
      </c>
      <c r="T346" t="s">
        <v>42</v>
      </c>
      <c r="U346">
        <v>2038</v>
      </c>
      <c r="V346">
        <v>0</v>
      </c>
      <c r="W346">
        <v>0</v>
      </c>
    </row>
    <row r="347" spans="17:23">
      <c r="Q347" t="s">
        <v>211</v>
      </c>
      <c r="R347" t="s">
        <v>162</v>
      </c>
      <c r="S347" t="s">
        <v>25</v>
      </c>
      <c r="T347" t="s">
        <v>42</v>
      </c>
      <c r="U347">
        <v>2039</v>
      </c>
      <c r="V347">
        <v>0</v>
      </c>
      <c r="W347">
        <v>0</v>
      </c>
    </row>
    <row r="348" spans="17:23">
      <c r="Q348" t="s">
        <v>211</v>
      </c>
      <c r="R348" t="s">
        <v>162</v>
      </c>
      <c r="S348" t="s">
        <v>25</v>
      </c>
      <c r="T348" t="s">
        <v>42</v>
      </c>
      <c r="U348">
        <v>2040</v>
      </c>
      <c r="V348">
        <v>0</v>
      </c>
      <c r="W348">
        <v>0</v>
      </c>
    </row>
    <row r="349" spans="17:23">
      <c r="Q349" t="s">
        <v>211</v>
      </c>
      <c r="R349" t="s">
        <v>162</v>
      </c>
      <c r="S349" t="s">
        <v>25</v>
      </c>
      <c r="T349" t="s">
        <v>42</v>
      </c>
      <c r="U349">
        <v>2041</v>
      </c>
      <c r="V349">
        <v>0</v>
      </c>
      <c r="W349">
        <v>0</v>
      </c>
    </row>
    <row r="350" spans="17:23">
      <c r="Q350" t="s">
        <v>211</v>
      </c>
      <c r="R350" t="s">
        <v>162</v>
      </c>
      <c r="S350" t="s">
        <v>25</v>
      </c>
      <c r="T350" t="s">
        <v>42</v>
      </c>
      <c r="U350">
        <v>2042</v>
      </c>
      <c r="V350">
        <v>0</v>
      </c>
      <c r="W350">
        <v>0</v>
      </c>
    </row>
    <row r="351" spans="17:23">
      <c r="Q351" t="s">
        <v>211</v>
      </c>
      <c r="R351" t="s">
        <v>162</v>
      </c>
      <c r="S351" t="s">
        <v>25</v>
      </c>
      <c r="T351" t="s">
        <v>42</v>
      </c>
      <c r="U351">
        <v>2043</v>
      </c>
      <c r="V351">
        <v>0</v>
      </c>
      <c r="W351">
        <v>0</v>
      </c>
    </row>
    <row r="352" spans="17:23">
      <c r="Q352" t="s">
        <v>211</v>
      </c>
      <c r="R352" t="s">
        <v>162</v>
      </c>
      <c r="S352" t="s">
        <v>25</v>
      </c>
      <c r="T352" t="s">
        <v>42</v>
      </c>
      <c r="U352">
        <v>2044</v>
      </c>
      <c r="V352">
        <v>0</v>
      </c>
      <c r="W352">
        <v>0</v>
      </c>
    </row>
    <row r="353" spans="17:23">
      <c r="Q353" t="s">
        <v>211</v>
      </c>
      <c r="R353" t="s">
        <v>162</v>
      </c>
      <c r="S353" t="s">
        <v>25</v>
      </c>
      <c r="T353" t="s">
        <v>42</v>
      </c>
      <c r="U353">
        <v>2045</v>
      </c>
      <c r="V353">
        <v>0</v>
      </c>
      <c r="W353">
        <v>0</v>
      </c>
    </row>
    <row r="354" spans="17:23">
      <c r="Q354" t="s">
        <v>211</v>
      </c>
      <c r="R354" t="s">
        <v>162</v>
      </c>
      <c r="S354" t="s">
        <v>25</v>
      </c>
      <c r="T354" t="s">
        <v>42</v>
      </c>
      <c r="U354">
        <v>2046</v>
      </c>
      <c r="V354">
        <v>0</v>
      </c>
      <c r="W354">
        <v>0</v>
      </c>
    </row>
    <row r="355" spans="17:23">
      <c r="Q355" t="s">
        <v>211</v>
      </c>
      <c r="R355" t="s">
        <v>162</v>
      </c>
      <c r="S355" t="s">
        <v>25</v>
      </c>
      <c r="T355" t="s">
        <v>42</v>
      </c>
      <c r="U355">
        <v>2047</v>
      </c>
      <c r="V355">
        <v>0</v>
      </c>
      <c r="W355">
        <v>0</v>
      </c>
    </row>
    <row r="356" spans="17:23">
      <c r="Q356" t="s">
        <v>211</v>
      </c>
      <c r="R356" t="s">
        <v>162</v>
      </c>
      <c r="S356" t="s">
        <v>25</v>
      </c>
      <c r="T356" t="s">
        <v>42</v>
      </c>
      <c r="U356">
        <v>2048</v>
      </c>
      <c r="V356">
        <v>0</v>
      </c>
      <c r="W356">
        <v>0</v>
      </c>
    </row>
    <row r="357" spans="17:23">
      <c r="Q357" t="s">
        <v>211</v>
      </c>
      <c r="R357" t="s">
        <v>162</v>
      </c>
      <c r="S357" t="s">
        <v>25</v>
      </c>
      <c r="T357" t="s">
        <v>42</v>
      </c>
      <c r="U357">
        <v>2049</v>
      </c>
      <c r="V357">
        <v>0</v>
      </c>
      <c r="W357">
        <v>0</v>
      </c>
    </row>
    <row r="358" spans="17:23">
      <c r="Q358" t="s">
        <v>211</v>
      </c>
      <c r="R358" t="s">
        <v>162</v>
      </c>
      <c r="S358" t="s">
        <v>25</v>
      </c>
      <c r="T358" t="s">
        <v>42</v>
      </c>
      <c r="U358">
        <v>2050</v>
      </c>
      <c r="V358">
        <v>0</v>
      </c>
      <c r="W358">
        <v>0</v>
      </c>
    </row>
    <row r="359" spans="17:23">
      <c r="Q359" t="s">
        <v>211</v>
      </c>
      <c r="R359" t="s">
        <v>162</v>
      </c>
      <c r="S359" t="s">
        <v>26</v>
      </c>
      <c r="T359" t="s">
        <v>42</v>
      </c>
      <c r="U359">
        <v>2000</v>
      </c>
      <c r="V359">
        <v>2E-3</v>
      </c>
      <c r="W359">
        <v>19.428243999999999</v>
      </c>
    </row>
    <row r="360" spans="17:23">
      <c r="Q360" t="s">
        <v>211</v>
      </c>
      <c r="R360" t="s">
        <v>162</v>
      </c>
      <c r="S360" t="s">
        <v>26</v>
      </c>
      <c r="T360" t="s">
        <v>42</v>
      </c>
      <c r="U360">
        <v>2001</v>
      </c>
      <c r="V360">
        <v>2E-3</v>
      </c>
      <c r="W360">
        <v>19.953669999999999</v>
      </c>
    </row>
    <row r="361" spans="17:23">
      <c r="Q361" t="s">
        <v>211</v>
      </c>
      <c r="R361" t="s">
        <v>162</v>
      </c>
      <c r="S361" t="s">
        <v>26</v>
      </c>
      <c r="T361" t="s">
        <v>42</v>
      </c>
      <c r="U361">
        <v>2002</v>
      </c>
      <c r="V361">
        <v>3.0000000000000001E-3</v>
      </c>
      <c r="W361">
        <v>30.712050000000001</v>
      </c>
    </row>
    <row r="362" spans="17:23">
      <c r="Q362" t="s">
        <v>211</v>
      </c>
      <c r="R362" t="s">
        <v>162</v>
      </c>
      <c r="S362" t="s">
        <v>26</v>
      </c>
      <c r="T362" t="s">
        <v>42</v>
      </c>
      <c r="U362">
        <v>2003</v>
      </c>
      <c r="V362">
        <v>3.0000000000000001E-3</v>
      </c>
      <c r="W362">
        <v>31.504842</v>
      </c>
    </row>
    <row r="363" spans="17:23">
      <c r="Q363" t="s">
        <v>211</v>
      </c>
      <c r="R363" t="s">
        <v>162</v>
      </c>
      <c r="S363" t="s">
        <v>26</v>
      </c>
      <c r="T363" t="s">
        <v>42</v>
      </c>
      <c r="U363">
        <v>2004</v>
      </c>
      <c r="V363">
        <v>3.0000000000000001E-3</v>
      </c>
      <c r="W363">
        <v>32.337471000000001</v>
      </c>
    </row>
    <row r="364" spans="17:23">
      <c r="Q364" t="s">
        <v>211</v>
      </c>
      <c r="R364" t="s">
        <v>162</v>
      </c>
      <c r="S364" t="s">
        <v>26</v>
      </c>
      <c r="T364" t="s">
        <v>42</v>
      </c>
      <c r="U364">
        <v>2005</v>
      </c>
      <c r="V364">
        <v>4.0000000000000001E-3</v>
      </c>
      <c r="W364">
        <v>44.306916000000001</v>
      </c>
    </row>
    <row r="365" spans="17:23">
      <c r="Q365" t="s">
        <v>211</v>
      </c>
      <c r="R365" t="s">
        <v>162</v>
      </c>
      <c r="S365" t="s">
        <v>26</v>
      </c>
      <c r="T365" t="s">
        <v>42</v>
      </c>
      <c r="U365">
        <v>2006</v>
      </c>
      <c r="V365">
        <v>4.0000000000000001E-3</v>
      </c>
      <c r="W365">
        <v>45.582135999999998</v>
      </c>
    </row>
    <row r="366" spans="17:23">
      <c r="Q366" t="s">
        <v>211</v>
      </c>
      <c r="R366" t="s">
        <v>162</v>
      </c>
      <c r="S366" t="s">
        <v>26</v>
      </c>
      <c r="T366" t="s">
        <v>42</v>
      </c>
      <c r="U366">
        <v>2007</v>
      </c>
      <c r="V366">
        <v>4.0000000000000001E-3</v>
      </c>
      <c r="W366">
        <v>46.92942</v>
      </c>
    </row>
    <row r="367" spans="17:23">
      <c r="Q367" t="s">
        <v>211</v>
      </c>
      <c r="R367" t="s">
        <v>162</v>
      </c>
      <c r="S367" t="s">
        <v>26</v>
      </c>
      <c r="T367" t="s">
        <v>42</v>
      </c>
      <c r="U367">
        <v>2008</v>
      </c>
      <c r="V367">
        <v>4.0000000000000001E-3</v>
      </c>
      <c r="W367">
        <v>48.336252000000002</v>
      </c>
    </row>
    <row r="368" spans="17:23">
      <c r="Q368" t="s">
        <v>211</v>
      </c>
      <c r="R368" t="s">
        <v>162</v>
      </c>
      <c r="S368" t="s">
        <v>26</v>
      </c>
      <c r="T368" t="s">
        <v>42</v>
      </c>
      <c r="U368">
        <v>2009</v>
      </c>
      <c r="V368">
        <v>4.0000000000000001E-3</v>
      </c>
      <c r="W368">
        <v>49.777320000000003</v>
      </c>
    </row>
    <row r="369" spans="17:23">
      <c r="Q369" t="s">
        <v>211</v>
      </c>
      <c r="R369" t="s">
        <v>162</v>
      </c>
      <c r="S369" t="s">
        <v>26</v>
      </c>
      <c r="T369" t="s">
        <v>42</v>
      </c>
      <c r="U369">
        <v>2010</v>
      </c>
      <c r="V369">
        <v>5.0000000000000001E-3</v>
      </c>
      <c r="W369">
        <v>64.047569999999993</v>
      </c>
    </row>
    <row r="370" spans="17:23">
      <c r="Q370" t="s">
        <v>211</v>
      </c>
      <c r="R370" t="s">
        <v>162</v>
      </c>
      <c r="S370" t="s">
        <v>26</v>
      </c>
      <c r="T370" t="s">
        <v>42</v>
      </c>
      <c r="U370">
        <v>2011</v>
      </c>
      <c r="V370">
        <v>5.0000000000000001E-3</v>
      </c>
      <c r="W370">
        <v>65.892399999999995</v>
      </c>
    </row>
    <row r="371" spans="17:23">
      <c r="Q371" t="s">
        <v>211</v>
      </c>
      <c r="R371" t="s">
        <v>162</v>
      </c>
      <c r="S371" t="s">
        <v>26</v>
      </c>
      <c r="T371" t="s">
        <v>42</v>
      </c>
      <c r="U371">
        <v>2012</v>
      </c>
      <c r="V371">
        <v>5.0000000000000001E-3</v>
      </c>
      <c r="W371">
        <v>67.759709999999998</v>
      </c>
    </row>
    <row r="372" spans="17:23">
      <c r="Q372" t="s">
        <v>211</v>
      </c>
      <c r="R372" t="s">
        <v>162</v>
      </c>
      <c r="S372" t="s">
        <v>26</v>
      </c>
      <c r="T372" t="s">
        <v>42</v>
      </c>
      <c r="U372">
        <v>2013</v>
      </c>
      <c r="V372">
        <v>4.0000000000000001E-3</v>
      </c>
      <c r="W372">
        <v>55.721904000000002</v>
      </c>
    </row>
    <row r="373" spans="17:23">
      <c r="Q373" t="s">
        <v>211</v>
      </c>
      <c r="R373" t="s">
        <v>162</v>
      </c>
      <c r="S373" t="s">
        <v>26</v>
      </c>
      <c r="T373" t="s">
        <v>42</v>
      </c>
      <c r="U373">
        <v>2014</v>
      </c>
      <c r="V373">
        <v>4.0000000000000001E-3</v>
      </c>
      <c r="W373">
        <v>57.260891999999998</v>
      </c>
    </row>
    <row r="374" spans="17:23">
      <c r="Q374" t="s">
        <v>211</v>
      </c>
      <c r="R374" t="s">
        <v>162</v>
      </c>
      <c r="S374" t="s">
        <v>26</v>
      </c>
      <c r="T374" t="s">
        <v>42</v>
      </c>
      <c r="U374">
        <v>2015</v>
      </c>
      <c r="V374">
        <v>4.0000000000000001E-3</v>
      </c>
      <c r="W374">
        <v>58.827627999999997</v>
      </c>
    </row>
    <row r="375" spans="17:23">
      <c r="Q375" t="s">
        <v>211</v>
      </c>
      <c r="R375" t="s">
        <v>162</v>
      </c>
      <c r="S375" t="s">
        <v>26</v>
      </c>
      <c r="T375" t="s">
        <v>42</v>
      </c>
      <c r="U375">
        <v>2016</v>
      </c>
      <c r="V375">
        <v>3.0000000000000001E-3</v>
      </c>
      <c r="W375">
        <v>45.315897</v>
      </c>
    </row>
    <row r="376" spans="17:23">
      <c r="Q376" t="s">
        <v>211</v>
      </c>
      <c r="R376" t="s">
        <v>162</v>
      </c>
      <c r="S376" t="s">
        <v>26</v>
      </c>
      <c r="T376" t="s">
        <v>42</v>
      </c>
      <c r="U376">
        <v>2017</v>
      </c>
      <c r="V376">
        <v>3.0000000000000001E-3</v>
      </c>
      <c r="W376">
        <v>46.528542000000002</v>
      </c>
    </row>
    <row r="377" spans="17:23">
      <c r="Q377" t="s">
        <v>211</v>
      </c>
      <c r="R377" t="s">
        <v>162</v>
      </c>
      <c r="S377" t="s">
        <v>26</v>
      </c>
      <c r="T377" t="s">
        <v>42</v>
      </c>
      <c r="U377">
        <v>2018</v>
      </c>
      <c r="V377">
        <v>3.0000000000000001E-3</v>
      </c>
      <c r="W377">
        <v>47.756385000000002</v>
      </c>
    </row>
    <row r="378" spans="17:23">
      <c r="Q378" t="s">
        <v>211</v>
      </c>
      <c r="R378" t="s">
        <v>162</v>
      </c>
      <c r="S378" t="s">
        <v>26</v>
      </c>
      <c r="T378" t="s">
        <v>42</v>
      </c>
      <c r="U378">
        <v>2019</v>
      </c>
      <c r="V378">
        <v>2E-3</v>
      </c>
      <c r="W378">
        <v>32.664340000000003</v>
      </c>
    </row>
    <row r="379" spans="17:23">
      <c r="Q379" t="s">
        <v>211</v>
      </c>
      <c r="R379" t="s">
        <v>162</v>
      </c>
      <c r="S379" t="s">
        <v>26</v>
      </c>
      <c r="T379" t="s">
        <v>42</v>
      </c>
      <c r="U379">
        <v>2020</v>
      </c>
      <c r="V379">
        <v>2E-3</v>
      </c>
      <c r="W379">
        <v>33.497709999999998</v>
      </c>
    </row>
    <row r="380" spans="17:23">
      <c r="Q380" t="s">
        <v>211</v>
      </c>
      <c r="R380" t="s">
        <v>162</v>
      </c>
      <c r="S380" t="s">
        <v>26</v>
      </c>
      <c r="T380" t="s">
        <v>42</v>
      </c>
      <c r="U380">
        <v>2021</v>
      </c>
      <c r="V380">
        <v>2E-3</v>
      </c>
      <c r="W380">
        <v>34.336219999999997</v>
      </c>
    </row>
    <row r="381" spans="17:23">
      <c r="Q381" t="s">
        <v>211</v>
      </c>
      <c r="R381" t="s">
        <v>162</v>
      </c>
      <c r="S381" t="s">
        <v>26</v>
      </c>
      <c r="T381" t="s">
        <v>42</v>
      </c>
      <c r="U381">
        <v>2022</v>
      </c>
      <c r="V381">
        <v>2E-3</v>
      </c>
      <c r="W381">
        <v>35.179347999999997</v>
      </c>
    </row>
    <row r="382" spans="17:23">
      <c r="Q382" t="s">
        <v>211</v>
      </c>
      <c r="R382" t="s">
        <v>162</v>
      </c>
      <c r="S382" t="s">
        <v>26</v>
      </c>
      <c r="T382" t="s">
        <v>42</v>
      </c>
      <c r="U382">
        <v>2023</v>
      </c>
      <c r="V382">
        <v>1E-3</v>
      </c>
      <c r="W382">
        <v>18.013680000000001</v>
      </c>
    </row>
    <row r="383" spans="17:23">
      <c r="Q383" t="s">
        <v>211</v>
      </c>
      <c r="R383" t="s">
        <v>162</v>
      </c>
      <c r="S383" t="s">
        <v>26</v>
      </c>
      <c r="T383" t="s">
        <v>42</v>
      </c>
      <c r="U383">
        <v>2024</v>
      </c>
      <c r="V383">
        <v>1E-3</v>
      </c>
      <c r="W383">
        <v>18.44049</v>
      </c>
    </row>
    <row r="384" spans="17:23">
      <c r="Q384" t="s">
        <v>211</v>
      </c>
      <c r="R384" t="s">
        <v>162</v>
      </c>
      <c r="S384" t="s">
        <v>26</v>
      </c>
      <c r="T384" t="s">
        <v>42</v>
      </c>
      <c r="U384">
        <v>2025</v>
      </c>
      <c r="V384">
        <v>1E-3</v>
      </c>
      <c r="W384">
        <v>18.870100000000001</v>
      </c>
    </row>
    <row r="385" spans="17:23">
      <c r="Q385" t="s">
        <v>211</v>
      </c>
      <c r="R385" t="s">
        <v>162</v>
      </c>
      <c r="S385" t="s">
        <v>26</v>
      </c>
      <c r="T385" t="s">
        <v>42</v>
      </c>
      <c r="U385">
        <v>2026</v>
      </c>
      <c r="V385">
        <v>1E-3</v>
      </c>
      <c r="W385">
        <v>19.302071999999999</v>
      </c>
    </row>
    <row r="386" spans="17:23">
      <c r="Q386" t="s">
        <v>211</v>
      </c>
      <c r="R386" t="s">
        <v>162</v>
      </c>
      <c r="S386" t="s">
        <v>26</v>
      </c>
      <c r="T386" t="s">
        <v>42</v>
      </c>
      <c r="U386">
        <v>2027</v>
      </c>
      <c r="V386">
        <v>1E-3</v>
      </c>
      <c r="W386">
        <v>19.735339</v>
      </c>
    </row>
    <row r="387" spans="17:23">
      <c r="Q387" t="s">
        <v>211</v>
      </c>
      <c r="R387" t="s">
        <v>162</v>
      </c>
      <c r="S387" t="s">
        <v>26</v>
      </c>
      <c r="T387" t="s">
        <v>42</v>
      </c>
      <c r="U387">
        <v>2028</v>
      </c>
      <c r="V387">
        <v>1E-3</v>
      </c>
      <c r="W387">
        <v>20.168413999999999</v>
      </c>
    </row>
    <row r="388" spans="17:23">
      <c r="Q388" t="s">
        <v>211</v>
      </c>
      <c r="R388" t="s">
        <v>162</v>
      </c>
      <c r="S388" t="s">
        <v>26</v>
      </c>
      <c r="T388" t="s">
        <v>42</v>
      </c>
      <c r="U388">
        <v>2029</v>
      </c>
      <c r="V388">
        <v>1E-3</v>
      </c>
      <c r="W388">
        <v>20.599526999999998</v>
      </c>
    </row>
    <row r="389" spans="17:23">
      <c r="Q389" t="s">
        <v>211</v>
      </c>
      <c r="R389" t="s">
        <v>162</v>
      </c>
      <c r="S389" t="s">
        <v>26</v>
      </c>
      <c r="T389" t="s">
        <v>42</v>
      </c>
      <c r="U389">
        <v>2030</v>
      </c>
      <c r="V389">
        <v>1E-3</v>
      </c>
      <c r="W389">
        <v>21.027123</v>
      </c>
    </row>
    <row r="390" spans="17:23">
      <c r="Q390" t="s">
        <v>211</v>
      </c>
      <c r="R390" t="s">
        <v>162</v>
      </c>
      <c r="S390" t="s">
        <v>26</v>
      </c>
      <c r="T390" t="s">
        <v>42</v>
      </c>
      <c r="U390">
        <v>2031</v>
      </c>
      <c r="V390">
        <v>1E-3</v>
      </c>
      <c r="W390">
        <v>21.450185000000001</v>
      </c>
    </row>
    <row r="391" spans="17:23">
      <c r="Q391" t="s">
        <v>211</v>
      </c>
      <c r="R391" t="s">
        <v>162</v>
      </c>
      <c r="S391" t="s">
        <v>26</v>
      </c>
      <c r="T391" t="s">
        <v>42</v>
      </c>
      <c r="U391">
        <v>2032</v>
      </c>
      <c r="V391">
        <v>1E-3</v>
      </c>
      <c r="W391">
        <v>21.868069999999999</v>
      </c>
    </row>
    <row r="392" spans="17:23">
      <c r="Q392" t="s">
        <v>211</v>
      </c>
      <c r="R392" t="s">
        <v>162</v>
      </c>
      <c r="S392" t="s">
        <v>26</v>
      </c>
      <c r="T392" t="s">
        <v>42</v>
      </c>
      <c r="U392">
        <v>2033</v>
      </c>
      <c r="V392">
        <v>1E-3</v>
      </c>
      <c r="W392">
        <v>22.280128999999999</v>
      </c>
    </row>
    <row r="393" spans="17:23">
      <c r="Q393" t="s">
        <v>211</v>
      </c>
      <c r="R393" t="s">
        <v>162</v>
      </c>
      <c r="S393" t="s">
        <v>26</v>
      </c>
      <c r="T393" t="s">
        <v>42</v>
      </c>
      <c r="U393">
        <v>2034</v>
      </c>
      <c r="V393">
        <v>1E-3</v>
      </c>
      <c r="W393">
        <v>22.686019999999999</v>
      </c>
    </row>
    <row r="394" spans="17:23">
      <c r="Q394" t="s">
        <v>211</v>
      </c>
      <c r="R394" t="s">
        <v>162</v>
      </c>
      <c r="S394" t="s">
        <v>26</v>
      </c>
      <c r="T394" t="s">
        <v>42</v>
      </c>
      <c r="U394">
        <v>2035</v>
      </c>
      <c r="V394">
        <v>1E-3</v>
      </c>
      <c r="W394">
        <v>23.088127</v>
      </c>
    </row>
    <row r="395" spans="17:23">
      <c r="Q395" t="s">
        <v>211</v>
      </c>
      <c r="R395" t="s">
        <v>162</v>
      </c>
      <c r="S395" t="s">
        <v>26</v>
      </c>
      <c r="T395" t="s">
        <v>42</v>
      </c>
      <c r="U395">
        <v>2036</v>
      </c>
      <c r="V395">
        <v>1E-3</v>
      </c>
      <c r="W395">
        <v>23.486260999999999</v>
      </c>
    </row>
    <row r="396" spans="17:23">
      <c r="Q396" t="s">
        <v>211</v>
      </c>
      <c r="R396" t="s">
        <v>162</v>
      </c>
      <c r="S396" t="s">
        <v>26</v>
      </c>
      <c r="T396" t="s">
        <v>42</v>
      </c>
      <c r="U396">
        <v>2037</v>
      </c>
      <c r="V396">
        <v>0</v>
      </c>
      <c r="W396">
        <v>0</v>
      </c>
    </row>
    <row r="397" spans="17:23">
      <c r="Q397" t="s">
        <v>211</v>
      </c>
      <c r="R397" t="s">
        <v>162</v>
      </c>
      <c r="S397" t="s">
        <v>26</v>
      </c>
      <c r="T397" t="s">
        <v>42</v>
      </c>
      <c r="U397">
        <v>2038</v>
      </c>
      <c r="V397">
        <v>1E-3</v>
      </c>
      <c r="W397">
        <v>24.268276</v>
      </c>
    </row>
    <row r="398" spans="17:23">
      <c r="Q398" t="s">
        <v>211</v>
      </c>
      <c r="R398" t="s">
        <v>162</v>
      </c>
      <c r="S398" t="s">
        <v>26</v>
      </c>
      <c r="T398" t="s">
        <v>42</v>
      </c>
      <c r="U398">
        <v>2039</v>
      </c>
      <c r="V398">
        <v>0</v>
      </c>
      <c r="W398">
        <v>0</v>
      </c>
    </row>
    <row r="399" spans="17:23">
      <c r="Q399" t="s">
        <v>211</v>
      </c>
      <c r="R399" t="s">
        <v>162</v>
      </c>
      <c r="S399" t="s">
        <v>26</v>
      </c>
      <c r="T399" t="s">
        <v>42</v>
      </c>
      <c r="U399">
        <v>2040</v>
      </c>
      <c r="V399">
        <v>0</v>
      </c>
      <c r="W399">
        <v>0</v>
      </c>
    </row>
    <row r="400" spans="17:23">
      <c r="Q400" t="s">
        <v>211</v>
      </c>
      <c r="R400" t="s">
        <v>162</v>
      </c>
      <c r="S400" t="s">
        <v>26</v>
      </c>
      <c r="T400" t="s">
        <v>42</v>
      </c>
      <c r="U400">
        <v>2041</v>
      </c>
      <c r="V400">
        <v>0</v>
      </c>
      <c r="W400">
        <v>0</v>
      </c>
    </row>
    <row r="401" spans="17:23">
      <c r="Q401" t="s">
        <v>211</v>
      </c>
      <c r="R401" t="s">
        <v>162</v>
      </c>
      <c r="S401" t="s">
        <v>26</v>
      </c>
      <c r="T401" t="s">
        <v>42</v>
      </c>
      <c r="U401">
        <v>2042</v>
      </c>
      <c r="V401">
        <v>0</v>
      </c>
      <c r="W401">
        <v>0</v>
      </c>
    </row>
    <row r="402" spans="17:23">
      <c r="Q402" t="s">
        <v>211</v>
      </c>
      <c r="R402" t="s">
        <v>162</v>
      </c>
      <c r="S402" t="s">
        <v>26</v>
      </c>
      <c r="T402" t="s">
        <v>42</v>
      </c>
      <c r="U402">
        <v>2043</v>
      </c>
      <c r="V402">
        <v>0</v>
      </c>
      <c r="W402">
        <v>0</v>
      </c>
    </row>
    <row r="403" spans="17:23">
      <c r="Q403" t="s">
        <v>211</v>
      </c>
      <c r="R403" t="s">
        <v>162</v>
      </c>
      <c r="S403" t="s">
        <v>26</v>
      </c>
      <c r="T403" t="s">
        <v>42</v>
      </c>
      <c r="U403">
        <v>2044</v>
      </c>
      <c r="V403">
        <v>0</v>
      </c>
      <c r="W403">
        <v>0</v>
      </c>
    </row>
    <row r="404" spans="17:23">
      <c r="Q404" t="s">
        <v>211</v>
      </c>
      <c r="R404" t="s">
        <v>162</v>
      </c>
      <c r="S404" t="s">
        <v>26</v>
      </c>
      <c r="T404" t="s">
        <v>42</v>
      </c>
      <c r="U404">
        <v>2045</v>
      </c>
      <c r="V404">
        <v>0</v>
      </c>
      <c r="W404">
        <v>0</v>
      </c>
    </row>
    <row r="405" spans="17:23">
      <c r="Q405" t="s">
        <v>211</v>
      </c>
      <c r="R405" t="s">
        <v>162</v>
      </c>
      <c r="S405" t="s">
        <v>26</v>
      </c>
      <c r="T405" t="s">
        <v>42</v>
      </c>
      <c r="U405">
        <v>2046</v>
      </c>
      <c r="V405">
        <v>0</v>
      </c>
      <c r="W405">
        <v>0</v>
      </c>
    </row>
    <row r="406" spans="17:23">
      <c r="Q406" t="s">
        <v>211</v>
      </c>
      <c r="R406" t="s">
        <v>162</v>
      </c>
      <c r="S406" t="s">
        <v>26</v>
      </c>
      <c r="T406" t="s">
        <v>42</v>
      </c>
      <c r="U406">
        <v>2047</v>
      </c>
      <c r="V406">
        <v>0</v>
      </c>
      <c r="W406">
        <v>0</v>
      </c>
    </row>
    <row r="407" spans="17:23">
      <c r="Q407" t="s">
        <v>211</v>
      </c>
      <c r="R407" t="s">
        <v>162</v>
      </c>
      <c r="S407" t="s">
        <v>26</v>
      </c>
      <c r="T407" t="s">
        <v>42</v>
      </c>
      <c r="U407">
        <v>2048</v>
      </c>
      <c r="V407">
        <v>0</v>
      </c>
      <c r="W407">
        <v>0</v>
      </c>
    </row>
    <row r="408" spans="17:23">
      <c r="Q408" t="s">
        <v>211</v>
      </c>
      <c r="R408" t="s">
        <v>162</v>
      </c>
      <c r="S408" t="s">
        <v>26</v>
      </c>
      <c r="T408" t="s">
        <v>42</v>
      </c>
      <c r="U408">
        <v>2049</v>
      </c>
      <c r="V408">
        <v>0</v>
      </c>
      <c r="W408">
        <v>0</v>
      </c>
    </row>
    <row r="409" spans="17:23">
      <c r="Q409" t="s">
        <v>211</v>
      </c>
      <c r="R409" t="s">
        <v>162</v>
      </c>
      <c r="S409" t="s">
        <v>26</v>
      </c>
      <c r="T409" t="s">
        <v>42</v>
      </c>
      <c r="U409">
        <v>2050</v>
      </c>
      <c r="V409">
        <v>0</v>
      </c>
      <c r="W409">
        <v>0</v>
      </c>
    </row>
    <row r="410" spans="17:23">
      <c r="Q410" t="s">
        <v>211</v>
      </c>
      <c r="R410" t="s">
        <v>162</v>
      </c>
      <c r="S410" t="s">
        <v>29</v>
      </c>
      <c r="T410" t="s">
        <v>42</v>
      </c>
      <c r="U410">
        <v>2000</v>
      </c>
      <c r="V410">
        <v>1.7999999999999999E-2</v>
      </c>
      <c r="W410">
        <v>204.771096</v>
      </c>
    </row>
    <row r="411" spans="17:23">
      <c r="Q411" t="s">
        <v>211</v>
      </c>
      <c r="R411" t="s">
        <v>162</v>
      </c>
      <c r="S411" t="s">
        <v>29</v>
      </c>
      <c r="T411" t="s">
        <v>42</v>
      </c>
      <c r="U411">
        <v>2001</v>
      </c>
      <c r="V411">
        <v>1.7999999999999999E-2</v>
      </c>
      <c r="W411">
        <v>210.52553399999999</v>
      </c>
    </row>
    <row r="412" spans="17:23">
      <c r="Q412" t="s">
        <v>211</v>
      </c>
      <c r="R412" t="s">
        <v>162</v>
      </c>
      <c r="S412" t="s">
        <v>29</v>
      </c>
      <c r="T412" t="s">
        <v>42</v>
      </c>
      <c r="U412">
        <v>2002</v>
      </c>
      <c r="V412">
        <v>1.7999999999999999E-2</v>
      </c>
      <c r="W412">
        <v>216.24679800000001</v>
      </c>
    </row>
    <row r="413" spans="17:23">
      <c r="Q413" t="s">
        <v>211</v>
      </c>
      <c r="R413" t="s">
        <v>162</v>
      </c>
      <c r="S413" t="s">
        <v>29</v>
      </c>
      <c r="T413" t="s">
        <v>42</v>
      </c>
      <c r="U413">
        <v>2003</v>
      </c>
      <c r="V413">
        <v>1.9E-2</v>
      </c>
      <c r="W413">
        <v>234.397053</v>
      </c>
    </row>
    <row r="414" spans="17:23">
      <c r="Q414" t="s">
        <v>211</v>
      </c>
      <c r="R414" t="s">
        <v>162</v>
      </c>
      <c r="S414" t="s">
        <v>29</v>
      </c>
      <c r="T414" t="s">
        <v>42</v>
      </c>
      <c r="U414">
        <v>2004</v>
      </c>
      <c r="V414">
        <v>1.9E-2</v>
      </c>
      <c r="W414">
        <v>240.84472199999999</v>
      </c>
    </row>
    <row r="415" spans="17:23">
      <c r="Q415" t="s">
        <v>211</v>
      </c>
      <c r="R415" t="s">
        <v>162</v>
      </c>
      <c r="S415" t="s">
        <v>29</v>
      </c>
      <c r="T415" t="s">
        <v>42</v>
      </c>
      <c r="U415">
        <v>2005</v>
      </c>
      <c r="V415">
        <v>0.02</v>
      </c>
      <c r="W415">
        <v>260.79422</v>
      </c>
    </row>
    <row r="416" spans="17:23">
      <c r="Q416" t="s">
        <v>211</v>
      </c>
      <c r="R416" t="s">
        <v>162</v>
      </c>
      <c r="S416" t="s">
        <v>29</v>
      </c>
      <c r="T416" t="s">
        <v>42</v>
      </c>
      <c r="U416">
        <v>2006</v>
      </c>
      <c r="V416">
        <v>0.02</v>
      </c>
      <c r="W416">
        <v>268.58524</v>
      </c>
    </row>
    <row r="417" spans="17:23">
      <c r="Q417" t="s">
        <v>211</v>
      </c>
      <c r="R417" t="s">
        <v>162</v>
      </c>
      <c r="S417" t="s">
        <v>29</v>
      </c>
      <c r="T417" t="s">
        <v>42</v>
      </c>
      <c r="U417">
        <v>2007</v>
      </c>
      <c r="V417">
        <v>2.1000000000000001E-2</v>
      </c>
      <c r="W417">
        <v>290.660349</v>
      </c>
    </row>
    <row r="418" spans="17:23">
      <c r="Q418" t="s">
        <v>211</v>
      </c>
      <c r="R418" t="s">
        <v>162</v>
      </c>
      <c r="S418" t="s">
        <v>29</v>
      </c>
      <c r="T418" t="s">
        <v>42</v>
      </c>
      <c r="U418">
        <v>2008</v>
      </c>
      <c r="V418">
        <v>2.1000000000000001E-2</v>
      </c>
      <c r="W418">
        <v>299.69591400000002</v>
      </c>
    </row>
    <row r="419" spans="17:23">
      <c r="Q419" t="s">
        <v>211</v>
      </c>
      <c r="R419" t="s">
        <v>162</v>
      </c>
      <c r="S419" t="s">
        <v>29</v>
      </c>
      <c r="T419" t="s">
        <v>42</v>
      </c>
      <c r="U419">
        <v>2009</v>
      </c>
      <c r="V419">
        <v>2.1000000000000001E-2</v>
      </c>
      <c r="W419">
        <v>309.006642</v>
      </c>
    </row>
    <row r="420" spans="17:23">
      <c r="Q420" t="s">
        <v>211</v>
      </c>
      <c r="R420" t="s">
        <v>162</v>
      </c>
      <c r="S420" t="s">
        <v>29</v>
      </c>
      <c r="T420" t="s">
        <v>42</v>
      </c>
      <c r="U420">
        <v>2010</v>
      </c>
      <c r="V420">
        <v>2.1000000000000001E-2</v>
      </c>
      <c r="W420">
        <v>318.50899500000003</v>
      </c>
    </row>
    <row r="421" spans="17:23">
      <c r="Q421" t="s">
        <v>211</v>
      </c>
      <c r="R421" t="s">
        <v>162</v>
      </c>
      <c r="S421" t="s">
        <v>29</v>
      </c>
      <c r="T421" t="s">
        <v>42</v>
      </c>
      <c r="U421">
        <v>2011</v>
      </c>
      <c r="V421">
        <v>2.1000000000000001E-2</v>
      </c>
      <c r="W421">
        <v>328.17997800000001</v>
      </c>
    </row>
    <row r="422" spans="17:23">
      <c r="Q422" t="s">
        <v>211</v>
      </c>
      <c r="R422" t="s">
        <v>162</v>
      </c>
      <c r="S422" t="s">
        <v>29</v>
      </c>
      <c r="T422" t="s">
        <v>42</v>
      </c>
      <c r="U422">
        <v>2012</v>
      </c>
      <c r="V422">
        <v>2.1000000000000001E-2</v>
      </c>
      <c r="W422">
        <v>338.04340500000001</v>
      </c>
    </row>
    <row r="423" spans="17:23">
      <c r="Q423" t="s">
        <v>211</v>
      </c>
      <c r="R423" t="s">
        <v>162</v>
      </c>
      <c r="S423" t="s">
        <v>29</v>
      </c>
      <c r="T423" t="s">
        <v>42</v>
      </c>
      <c r="U423">
        <v>2013</v>
      </c>
      <c r="V423">
        <v>0.02</v>
      </c>
      <c r="W423">
        <v>331.54293999999999</v>
      </c>
    </row>
    <row r="424" spans="17:23">
      <c r="Q424" t="s">
        <v>211</v>
      </c>
      <c r="R424" t="s">
        <v>162</v>
      </c>
      <c r="S424" t="s">
        <v>29</v>
      </c>
      <c r="T424" t="s">
        <v>42</v>
      </c>
      <c r="U424">
        <v>2014</v>
      </c>
      <c r="V424">
        <v>1.9E-2</v>
      </c>
      <c r="W424">
        <v>324.30792200000002</v>
      </c>
    </row>
    <row r="425" spans="17:23">
      <c r="Q425" t="s">
        <v>211</v>
      </c>
      <c r="R425" t="s">
        <v>162</v>
      </c>
      <c r="S425" t="s">
        <v>29</v>
      </c>
      <c r="T425" t="s">
        <v>42</v>
      </c>
      <c r="U425">
        <v>2015</v>
      </c>
      <c r="V425">
        <v>1.7500000000000002E-2</v>
      </c>
      <c r="W425">
        <v>307.53812249999999</v>
      </c>
    </row>
    <row r="426" spans="17:23">
      <c r="Q426" t="s">
        <v>211</v>
      </c>
      <c r="R426" t="s">
        <v>162</v>
      </c>
      <c r="S426" t="s">
        <v>29</v>
      </c>
      <c r="T426" t="s">
        <v>42</v>
      </c>
      <c r="U426">
        <v>2016</v>
      </c>
      <c r="V426">
        <v>1.6E-2</v>
      </c>
      <c r="W426">
        <v>289.46519999999998</v>
      </c>
    </row>
    <row r="427" spans="17:23">
      <c r="Q427" t="s">
        <v>211</v>
      </c>
      <c r="R427" t="s">
        <v>162</v>
      </c>
      <c r="S427" t="s">
        <v>29</v>
      </c>
      <c r="T427" t="s">
        <v>42</v>
      </c>
      <c r="U427">
        <v>2017</v>
      </c>
      <c r="V427">
        <v>1.4999999999999999E-2</v>
      </c>
      <c r="W427">
        <v>279.33156000000002</v>
      </c>
    </row>
    <row r="428" spans="17:23">
      <c r="Q428" t="s">
        <v>211</v>
      </c>
      <c r="R428" t="s">
        <v>162</v>
      </c>
      <c r="S428" t="s">
        <v>29</v>
      </c>
      <c r="T428" t="s">
        <v>42</v>
      </c>
      <c r="U428">
        <v>2018</v>
      </c>
      <c r="V428">
        <v>1.2999999999999999E-2</v>
      </c>
      <c r="W428">
        <v>249.14146400000001</v>
      </c>
    </row>
    <row r="429" spans="17:23">
      <c r="Q429" t="s">
        <v>211</v>
      </c>
      <c r="R429" t="s">
        <v>162</v>
      </c>
      <c r="S429" t="s">
        <v>29</v>
      </c>
      <c r="T429" t="s">
        <v>42</v>
      </c>
      <c r="U429">
        <v>2019</v>
      </c>
      <c r="V429">
        <v>1.0999999999999999E-2</v>
      </c>
      <c r="W429">
        <v>216.906173</v>
      </c>
    </row>
    <row r="430" spans="17:23">
      <c r="Q430" t="s">
        <v>211</v>
      </c>
      <c r="R430" t="s">
        <v>162</v>
      </c>
      <c r="S430" t="s">
        <v>29</v>
      </c>
      <c r="T430" t="s">
        <v>42</v>
      </c>
      <c r="U430">
        <v>2020</v>
      </c>
      <c r="V430">
        <v>0.01</v>
      </c>
      <c r="W430">
        <v>202.83690999999999</v>
      </c>
    </row>
    <row r="431" spans="17:23">
      <c r="Q431" t="s">
        <v>211</v>
      </c>
      <c r="R431" t="s">
        <v>162</v>
      </c>
      <c r="S431" t="s">
        <v>29</v>
      </c>
      <c r="T431" t="s">
        <v>42</v>
      </c>
      <c r="U431">
        <v>2021</v>
      </c>
      <c r="V431">
        <v>8.9999999999999993E-3</v>
      </c>
      <c r="W431">
        <v>187.732719</v>
      </c>
    </row>
    <row r="432" spans="17:23">
      <c r="Q432" t="s">
        <v>211</v>
      </c>
      <c r="R432" t="s">
        <v>162</v>
      </c>
      <c r="S432" t="s">
        <v>29</v>
      </c>
      <c r="T432" t="s">
        <v>42</v>
      </c>
      <c r="U432">
        <v>2022</v>
      </c>
      <c r="V432">
        <v>8.0000000000000002E-3</v>
      </c>
      <c r="W432">
        <v>171.56374400000001</v>
      </c>
    </row>
    <row r="433" spans="17:23">
      <c r="Q433" t="s">
        <v>211</v>
      </c>
      <c r="R433" t="s">
        <v>162</v>
      </c>
      <c r="S433" t="s">
        <v>29</v>
      </c>
      <c r="T433" t="s">
        <v>42</v>
      </c>
      <c r="U433">
        <v>2023</v>
      </c>
      <c r="V433">
        <v>7.0000000000000001E-3</v>
      </c>
      <c r="W433">
        <v>154.302806</v>
      </c>
    </row>
    <row r="434" spans="17:23">
      <c r="Q434" t="s">
        <v>211</v>
      </c>
      <c r="R434" t="s">
        <v>162</v>
      </c>
      <c r="S434" t="s">
        <v>29</v>
      </c>
      <c r="T434" t="s">
        <v>42</v>
      </c>
      <c r="U434">
        <v>2024</v>
      </c>
      <c r="V434">
        <v>6.0000000000000001E-3</v>
      </c>
      <c r="W434">
        <v>135.92175</v>
      </c>
    </row>
    <row r="435" spans="17:23">
      <c r="Q435" t="s">
        <v>211</v>
      </c>
      <c r="R435" t="s">
        <v>162</v>
      </c>
      <c r="S435" t="s">
        <v>29</v>
      </c>
      <c r="T435" t="s">
        <v>42</v>
      </c>
      <c r="U435">
        <v>2025</v>
      </c>
      <c r="V435">
        <v>5.0000000000000001E-3</v>
      </c>
      <c r="W435">
        <v>116.38612000000001</v>
      </c>
    </row>
    <row r="436" spans="17:23">
      <c r="Q436" t="s">
        <v>211</v>
      </c>
      <c r="R436" t="s">
        <v>162</v>
      </c>
      <c r="S436" t="s">
        <v>29</v>
      </c>
      <c r="T436" t="s">
        <v>42</v>
      </c>
      <c r="U436">
        <v>2026</v>
      </c>
      <c r="V436">
        <v>5.0000000000000001E-3</v>
      </c>
      <c r="W436">
        <v>119.571085</v>
      </c>
    </row>
    <row r="437" spans="17:23">
      <c r="Q437" t="s">
        <v>211</v>
      </c>
      <c r="R437" t="s">
        <v>162</v>
      </c>
      <c r="S437" t="s">
        <v>29</v>
      </c>
      <c r="T437" t="s">
        <v>42</v>
      </c>
      <c r="U437">
        <v>2027</v>
      </c>
      <c r="V437">
        <v>4.0000000000000001E-3</v>
      </c>
      <c r="W437">
        <v>98.256084000000001</v>
      </c>
    </row>
    <row r="438" spans="17:23">
      <c r="Q438" t="s">
        <v>211</v>
      </c>
      <c r="R438" t="s">
        <v>162</v>
      </c>
      <c r="S438" t="s">
        <v>29</v>
      </c>
      <c r="T438" t="s">
        <v>42</v>
      </c>
      <c r="U438">
        <v>2028</v>
      </c>
      <c r="V438">
        <v>4.0000000000000001E-3</v>
      </c>
      <c r="W438">
        <v>100.90218</v>
      </c>
    </row>
    <row r="439" spans="17:23">
      <c r="Q439" t="s">
        <v>211</v>
      </c>
      <c r="R439" t="s">
        <v>162</v>
      </c>
      <c r="S439" t="s">
        <v>29</v>
      </c>
      <c r="T439" t="s">
        <v>42</v>
      </c>
      <c r="U439">
        <v>2029</v>
      </c>
      <c r="V439">
        <v>3.0000000000000001E-3</v>
      </c>
      <c r="W439">
        <v>77.692041000000003</v>
      </c>
    </row>
    <row r="440" spans="17:23">
      <c r="Q440" t="s">
        <v>211</v>
      </c>
      <c r="R440" t="s">
        <v>162</v>
      </c>
      <c r="S440" t="s">
        <v>29</v>
      </c>
      <c r="T440" t="s">
        <v>42</v>
      </c>
      <c r="U440">
        <v>2030</v>
      </c>
      <c r="V440">
        <v>3.0000000000000001E-3</v>
      </c>
      <c r="W440">
        <v>79.734741</v>
      </c>
    </row>
    <row r="441" spans="17:23">
      <c r="Q441" t="s">
        <v>211</v>
      </c>
      <c r="R441" t="s">
        <v>162</v>
      </c>
      <c r="S441" t="s">
        <v>29</v>
      </c>
      <c r="T441" t="s">
        <v>42</v>
      </c>
      <c r="U441">
        <v>2031</v>
      </c>
      <c r="V441">
        <v>2E-3</v>
      </c>
      <c r="W441">
        <v>54.53546</v>
      </c>
    </row>
    <row r="442" spans="17:23">
      <c r="Q442" t="s">
        <v>211</v>
      </c>
      <c r="R442" t="s">
        <v>162</v>
      </c>
      <c r="S442" t="s">
        <v>29</v>
      </c>
      <c r="T442" t="s">
        <v>42</v>
      </c>
      <c r="U442">
        <v>2032</v>
      </c>
      <c r="V442">
        <v>2E-3</v>
      </c>
      <c r="W442">
        <v>55.931460000000001</v>
      </c>
    </row>
    <row r="443" spans="17:23">
      <c r="Q443" t="s">
        <v>211</v>
      </c>
      <c r="R443" t="s">
        <v>162</v>
      </c>
      <c r="S443" t="s">
        <v>29</v>
      </c>
      <c r="T443" t="s">
        <v>42</v>
      </c>
      <c r="U443">
        <v>2033</v>
      </c>
      <c r="V443">
        <v>2E-3</v>
      </c>
      <c r="W443">
        <v>57.344216000000003</v>
      </c>
    </row>
    <row r="444" spans="17:23">
      <c r="Q444" t="s">
        <v>211</v>
      </c>
      <c r="R444" t="s">
        <v>162</v>
      </c>
      <c r="S444" t="s">
        <v>29</v>
      </c>
      <c r="T444" t="s">
        <v>42</v>
      </c>
      <c r="U444">
        <v>2034</v>
      </c>
      <c r="V444">
        <v>2E-3</v>
      </c>
      <c r="W444">
        <v>58.773684000000003</v>
      </c>
    </row>
    <row r="445" spans="17:23">
      <c r="Q445" t="s">
        <v>211</v>
      </c>
      <c r="R445" t="s">
        <v>162</v>
      </c>
      <c r="S445" t="s">
        <v>29</v>
      </c>
      <c r="T445" t="s">
        <v>42</v>
      </c>
      <c r="U445">
        <v>2035</v>
      </c>
      <c r="V445">
        <v>1E-3</v>
      </c>
      <c r="W445">
        <v>30.109857000000002</v>
      </c>
    </row>
    <row r="446" spans="17:23">
      <c r="Q446" t="s">
        <v>211</v>
      </c>
      <c r="R446" t="s">
        <v>162</v>
      </c>
      <c r="S446" t="s">
        <v>29</v>
      </c>
      <c r="T446" t="s">
        <v>42</v>
      </c>
      <c r="U446">
        <v>2036</v>
      </c>
      <c r="V446">
        <v>1E-3</v>
      </c>
      <c r="W446">
        <v>30.840793000000001</v>
      </c>
    </row>
    <row r="447" spans="17:23">
      <c r="Q447" t="s">
        <v>211</v>
      </c>
      <c r="R447" t="s">
        <v>162</v>
      </c>
      <c r="S447" t="s">
        <v>29</v>
      </c>
      <c r="T447" t="s">
        <v>42</v>
      </c>
      <c r="U447">
        <v>2037</v>
      </c>
      <c r="V447">
        <v>1E-3</v>
      </c>
      <c r="W447">
        <v>31.579218000000001</v>
      </c>
    </row>
    <row r="448" spans="17:23">
      <c r="Q448" t="s">
        <v>211</v>
      </c>
      <c r="R448" t="s">
        <v>162</v>
      </c>
      <c r="S448" t="s">
        <v>29</v>
      </c>
      <c r="T448" t="s">
        <v>42</v>
      </c>
      <c r="U448">
        <v>2038</v>
      </c>
      <c r="V448">
        <v>1E-3</v>
      </c>
      <c r="W448">
        <v>32.324869</v>
      </c>
    </row>
    <row r="449" spans="17:23">
      <c r="Q449" t="s">
        <v>211</v>
      </c>
      <c r="R449" t="s">
        <v>162</v>
      </c>
      <c r="S449" t="s">
        <v>29</v>
      </c>
      <c r="T449" t="s">
        <v>42</v>
      </c>
      <c r="U449">
        <v>2039</v>
      </c>
      <c r="V449">
        <v>1E-3</v>
      </c>
      <c r="W449">
        <v>33.077454000000003</v>
      </c>
    </row>
    <row r="450" spans="17:23">
      <c r="Q450" t="s">
        <v>211</v>
      </c>
      <c r="R450" t="s">
        <v>162</v>
      </c>
      <c r="S450" t="s">
        <v>29</v>
      </c>
      <c r="T450" t="s">
        <v>42</v>
      </c>
      <c r="U450">
        <v>2040</v>
      </c>
      <c r="V450">
        <v>1E-3</v>
      </c>
      <c r="W450">
        <v>33.836706999999997</v>
      </c>
    </row>
    <row r="451" spans="17:23">
      <c r="Q451" t="s">
        <v>211</v>
      </c>
      <c r="R451" t="s">
        <v>162</v>
      </c>
      <c r="S451" t="s">
        <v>29</v>
      </c>
      <c r="T451" t="s">
        <v>42</v>
      </c>
      <c r="U451">
        <v>2041</v>
      </c>
      <c r="V451">
        <v>1E-3</v>
      </c>
      <c r="W451">
        <v>34.6023</v>
      </c>
    </row>
    <row r="452" spans="17:23">
      <c r="Q452" t="s">
        <v>211</v>
      </c>
      <c r="R452" t="s">
        <v>162</v>
      </c>
      <c r="S452" t="s">
        <v>29</v>
      </c>
      <c r="T452" t="s">
        <v>42</v>
      </c>
      <c r="U452">
        <v>2042</v>
      </c>
      <c r="V452">
        <v>1E-3</v>
      </c>
      <c r="W452">
        <v>35.373854999999999</v>
      </c>
    </row>
    <row r="453" spans="17:23">
      <c r="Q453" t="s">
        <v>211</v>
      </c>
      <c r="R453" t="s">
        <v>162</v>
      </c>
      <c r="S453" t="s">
        <v>29</v>
      </c>
      <c r="T453" t="s">
        <v>42</v>
      </c>
      <c r="U453">
        <v>2043</v>
      </c>
      <c r="V453">
        <v>1E-3</v>
      </c>
      <c r="W453">
        <v>36.150880000000001</v>
      </c>
    </row>
    <row r="454" spans="17:23">
      <c r="Q454" t="s">
        <v>211</v>
      </c>
      <c r="R454" t="s">
        <v>162</v>
      </c>
      <c r="S454" t="s">
        <v>29</v>
      </c>
      <c r="T454" t="s">
        <v>42</v>
      </c>
      <c r="U454">
        <v>2044</v>
      </c>
      <c r="V454">
        <v>1E-3</v>
      </c>
      <c r="W454">
        <v>36.932805000000002</v>
      </c>
    </row>
    <row r="455" spans="17:23">
      <c r="Q455" t="s">
        <v>211</v>
      </c>
      <c r="R455" t="s">
        <v>162</v>
      </c>
      <c r="S455" t="s">
        <v>29</v>
      </c>
      <c r="T455" t="s">
        <v>42</v>
      </c>
      <c r="U455">
        <v>2045</v>
      </c>
      <c r="V455">
        <v>1E-3</v>
      </c>
      <c r="W455">
        <v>37.719155000000001</v>
      </c>
    </row>
    <row r="456" spans="17:23">
      <c r="Q456" t="s">
        <v>211</v>
      </c>
      <c r="R456" t="s">
        <v>162</v>
      </c>
      <c r="S456" t="s">
        <v>29</v>
      </c>
      <c r="T456" t="s">
        <v>42</v>
      </c>
      <c r="U456">
        <v>2046</v>
      </c>
      <c r="V456">
        <v>1E-3</v>
      </c>
      <c r="W456">
        <v>38.509466000000003</v>
      </c>
    </row>
    <row r="457" spans="17:23">
      <c r="Q457" t="s">
        <v>211</v>
      </c>
      <c r="R457" t="s">
        <v>162</v>
      </c>
      <c r="S457" t="s">
        <v>29</v>
      </c>
      <c r="T457" t="s">
        <v>42</v>
      </c>
      <c r="U457">
        <v>2047</v>
      </c>
      <c r="V457">
        <v>1E-3</v>
      </c>
      <c r="W457">
        <v>39.303412000000002</v>
      </c>
    </row>
    <row r="458" spans="17:23">
      <c r="Q458" t="s">
        <v>211</v>
      </c>
      <c r="R458" t="s">
        <v>162</v>
      </c>
      <c r="S458" t="s">
        <v>29</v>
      </c>
      <c r="T458" t="s">
        <v>42</v>
      </c>
      <c r="U458">
        <v>2048</v>
      </c>
      <c r="V458">
        <v>1E-3</v>
      </c>
      <c r="W458">
        <v>40.100768000000002</v>
      </c>
    </row>
    <row r="459" spans="17:23">
      <c r="Q459" t="s">
        <v>211</v>
      </c>
      <c r="R459" t="s">
        <v>162</v>
      </c>
      <c r="S459" t="s">
        <v>29</v>
      </c>
      <c r="T459" t="s">
        <v>42</v>
      </c>
      <c r="U459">
        <v>2049</v>
      </c>
      <c r="V459">
        <v>0</v>
      </c>
      <c r="W459">
        <v>0</v>
      </c>
    </row>
    <row r="460" spans="17:23">
      <c r="Q460" t="s">
        <v>211</v>
      </c>
      <c r="R460" t="s">
        <v>162</v>
      </c>
      <c r="S460" t="s">
        <v>29</v>
      </c>
      <c r="T460" t="s">
        <v>42</v>
      </c>
      <c r="U460">
        <v>2050</v>
      </c>
      <c r="V460">
        <v>0</v>
      </c>
      <c r="W460">
        <v>0</v>
      </c>
    </row>
    <row r="461" spans="17:23">
      <c r="Q461" t="s">
        <v>211</v>
      </c>
      <c r="R461" t="s">
        <v>162</v>
      </c>
      <c r="S461" t="s">
        <v>25</v>
      </c>
      <c r="T461" t="s">
        <v>107</v>
      </c>
      <c r="U461">
        <v>2000</v>
      </c>
      <c r="V461">
        <v>0.60350000000000004</v>
      </c>
      <c r="W461">
        <v>1003.047175</v>
      </c>
    </row>
    <row r="462" spans="17:23">
      <c r="Q462" t="s">
        <v>211</v>
      </c>
      <c r="R462" t="s">
        <v>162</v>
      </c>
      <c r="S462" t="s">
        <v>25</v>
      </c>
      <c r="T462" t="s">
        <v>107</v>
      </c>
      <c r="U462">
        <v>2001</v>
      </c>
      <c r="V462">
        <v>0.58299999999999996</v>
      </c>
      <c r="W462">
        <v>1002.193324</v>
      </c>
    </row>
    <row r="463" spans="17:23">
      <c r="Q463" t="s">
        <v>211</v>
      </c>
      <c r="R463" t="s">
        <v>162</v>
      </c>
      <c r="S463" t="s">
        <v>25</v>
      </c>
      <c r="T463" t="s">
        <v>107</v>
      </c>
      <c r="U463">
        <v>2002</v>
      </c>
      <c r="V463">
        <v>0.56799999999999995</v>
      </c>
      <c r="W463">
        <v>1008.9730479999999</v>
      </c>
    </row>
    <row r="464" spans="17:23">
      <c r="Q464" t="s">
        <v>211</v>
      </c>
      <c r="R464" t="s">
        <v>162</v>
      </c>
      <c r="S464" t="s">
        <v>25</v>
      </c>
      <c r="T464" t="s">
        <v>107</v>
      </c>
      <c r="U464">
        <v>2003</v>
      </c>
      <c r="V464">
        <v>0.54500000000000004</v>
      </c>
      <c r="W464">
        <v>1000.114785</v>
      </c>
    </row>
    <row r="465" spans="17:23">
      <c r="Q465" t="s">
        <v>211</v>
      </c>
      <c r="R465" t="s">
        <v>162</v>
      </c>
      <c r="S465" t="s">
        <v>25</v>
      </c>
      <c r="T465" t="s">
        <v>107</v>
      </c>
      <c r="U465">
        <v>2004</v>
      </c>
      <c r="V465">
        <v>0.51900000000000002</v>
      </c>
      <c r="W465">
        <v>984.48123899999996</v>
      </c>
    </row>
    <row r="466" spans="17:23">
      <c r="Q466" t="s">
        <v>211</v>
      </c>
      <c r="R466" t="s">
        <v>162</v>
      </c>
      <c r="S466" t="s">
        <v>25</v>
      </c>
      <c r="T466" t="s">
        <v>107</v>
      </c>
      <c r="U466">
        <v>2005</v>
      </c>
      <c r="V466">
        <v>0.496</v>
      </c>
      <c r="W466">
        <v>973.63907200000006</v>
      </c>
    </row>
    <row r="467" spans="17:23">
      <c r="Q467" t="s">
        <v>211</v>
      </c>
      <c r="R467" t="s">
        <v>162</v>
      </c>
      <c r="S467" t="s">
        <v>25</v>
      </c>
      <c r="T467" t="s">
        <v>107</v>
      </c>
      <c r="U467">
        <v>2006</v>
      </c>
      <c r="V467">
        <v>0.47399999999999998</v>
      </c>
      <c r="W467">
        <v>963.98707200000001</v>
      </c>
    </row>
    <row r="468" spans="17:23">
      <c r="Q468" t="s">
        <v>211</v>
      </c>
      <c r="R468" t="s">
        <v>162</v>
      </c>
      <c r="S468" t="s">
        <v>25</v>
      </c>
      <c r="T468" t="s">
        <v>107</v>
      </c>
      <c r="U468">
        <v>2007</v>
      </c>
      <c r="V468">
        <v>0.45</v>
      </c>
      <c r="W468">
        <v>948.87630000000001</v>
      </c>
    </row>
    <row r="469" spans="17:23">
      <c r="Q469" t="s">
        <v>211</v>
      </c>
      <c r="R469" t="s">
        <v>162</v>
      </c>
      <c r="S469" t="s">
        <v>25</v>
      </c>
      <c r="T469" t="s">
        <v>107</v>
      </c>
      <c r="U469">
        <v>2008</v>
      </c>
      <c r="V469">
        <v>0.42699999999999999</v>
      </c>
      <c r="W469">
        <v>933.92201699999998</v>
      </c>
    </row>
    <row r="470" spans="17:23">
      <c r="Q470" t="s">
        <v>211</v>
      </c>
      <c r="R470" t="s">
        <v>162</v>
      </c>
      <c r="S470" t="s">
        <v>25</v>
      </c>
      <c r="T470" t="s">
        <v>107</v>
      </c>
      <c r="U470">
        <v>2009</v>
      </c>
      <c r="V470">
        <v>0.40400000000000003</v>
      </c>
      <c r="W470">
        <v>917.189888</v>
      </c>
    </row>
    <row r="471" spans="17:23">
      <c r="Q471" t="s">
        <v>211</v>
      </c>
      <c r="R471" t="s">
        <v>162</v>
      </c>
      <c r="S471" t="s">
        <v>25</v>
      </c>
      <c r="T471" t="s">
        <v>107</v>
      </c>
      <c r="U471">
        <v>2010</v>
      </c>
      <c r="V471">
        <v>0.38400000000000001</v>
      </c>
      <c r="W471">
        <v>905.311104</v>
      </c>
    </row>
    <row r="472" spans="17:23">
      <c r="Q472" t="s">
        <v>211</v>
      </c>
      <c r="R472" t="s">
        <v>162</v>
      </c>
      <c r="S472" t="s">
        <v>25</v>
      </c>
      <c r="T472" t="s">
        <v>107</v>
      </c>
      <c r="U472">
        <v>2011</v>
      </c>
      <c r="V472">
        <v>0.36199999999999999</v>
      </c>
      <c r="W472">
        <v>886.58795599999996</v>
      </c>
    </row>
    <row r="473" spans="17:23">
      <c r="Q473" t="s">
        <v>211</v>
      </c>
      <c r="R473" t="s">
        <v>162</v>
      </c>
      <c r="S473" t="s">
        <v>25</v>
      </c>
      <c r="T473" t="s">
        <v>107</v>
      </c>
      <c r="U473">
        <v>2012</v>
      </c>
      <c r="V473">
        <v>0.34300000000000003</v>
      </c>
      <c r="W473">
        <v>873.05950900000005</v>
      </c>
    </row>
    <row r="474" spans="17:23">
      <c r="Q474" t="s">
        <v>211</v>
      </c>
      <c r="R474" t="s">
        <v>162</v>
      </c>
      <c r="S474" t="s">
        <v>25</v>
      </c>
      <c r="T474" t="s">
        <v>107</v>
      </c>
      <c r="U474">
        <v>2013</v>
      </c>
      <c r="V474">
        <v>0.32300000000000001</v>
      </c>
      <c r="W474">
        <v>854.87473299999999</v>
      </c>
    </row>
    <row r="475" spans="17:23">
      <c r="Q475" t="s">
        <v>211</v>
      </c>
      <c r="R475" t="s">
        <v>162</v>
      </c>
      <c r="S475" t="s">
        <v>25</v>
      </c>
      <c r="T475" t="s">
        <v>107</v>
      </c>
      <c r="U475">
        <v>2014</v>
      </c>
      <c r="V475">
        <v>0.30599999999999999</v>
      </c>
      <c r="W475">
        <v>842.60618999999997</v>
      </c>
    </row>
    <row r="476" spans="17:23">
      <c r="Q476" t="s">
        <v>211</v>
      </c>
      <c r="R476" t="s">
        <v>162</v>
      </c>
      <c r="S476" t="s">
        <v>25</v>
      </c>
      <c r="T476" t="s">
        <v>107</v>
      </c>
      <c r="U476">
        <v>2015</v>
      </c>
      <c r="V476">
        <v>0.28899999999999998</v>
      </c>
      <c r="W476">
        <v>828.47630000000004</v>
      </c>
    </row>
    <row r="477" spans="17:23">
      <c r="Q477" t="s">
        <v>211</v>
      </c>
      <c r="R477" t="s">
        <v>162</v>
      </c>
      <c r="S477" t="s">
        <v>25</v>
      </c>
      <c r="T477" t="s">
        <v>107</v>
      </c>
      <c r="U477">
        <v>2016</v>
      </c>
      <c r="V477">
        <v>0.27</v>
      </c>
      <c r="W477">
        <v>806.29452000000003</v>
      </c>
    </row>
    <row r="478" spans="17:23">
      <c r="Q478" t="s">
        <v>211</v>
      </c>
      <c r="R478" t="s">
        <v>162</v>
      </c>
      <c r="S478" t="s">
        <v>25</v>
      </c>
      <c r="T478" t="s">
        <v>107</v>
      </c>
      <c r="U478">
        <v>2017</v>
      </c>
      <c r="V478">
        <v>0.253</v>
      </c>
      <c r="W478">
        <v>787.48527000000001</v>
      </c>
    </row>
    <row r="479" spans="17:23">
      <c r="Q479" t="s">
        <v>211</v>
      </c>
      <c r="R479" t="s">
        <v>162</v>
      </c>
      <c r="S479" t="s">
        <v>25</v>
      </c>
      <c r="T479" t="s">
        <v>107</v>
      </c>
      <c r="U479">
        <v>2018</v>
      </c>
      <c r="V479">
        <v>0.23599999999999999</v>
      </c>
      <c r="W479">
        <v>766.04018799999994</v>
      </c>
    </row>
    <row r="480" spans="17:23">
      <c r="Q480" t="s">
        <v>211</v>
      </c>
      <c r="R480" t="s">
        <v>162</v>
      </c>
      <c r="S480" t="s">
        <v>25</v>
      </c>
      <c r="T480" t="s">
        <v>107</v>
      </c>
      <c r="U480">
        <v>2019</v>
      </c>
      <c r="V480">
        <v>0.219</v>
      </c>
      <c r="W480">
        <v>741.65948700000001</v>
      </c>
    </row>
    <row r="481" spans="17:23">
      <c r="Q481" t="s">
        <v>211</v>
      </c>
      <c r="R481" t="s">
        <v>162</v>
      </c>
      <c r="S481" t="s">
        <v>25</v>
      </c>
      <c r="T481" t="s">
        <v>107</v>
      </c>
      <c r="U481">
        <v>2020</v>
      </c>
      <c r="V481">
        <v>0.20599999999999999</v>
      </c>
      <c r="W481">
        <v>728.17621599999995</v>
      </c>
    </row>
    <row r="482" spans="17:23">
      <c r="Q482" t="s">
        <v>211</v>
      </c>
      <c r="R482" t="s">
        <v>162</v>
      </c>
      <c r="S482" t="s">
        <v>25</v>
      </c>
      <c r="T482" t="s">
        <v>107</v>
      </c>
      <c r="U482">
        <v>2021</v>
      </c>
      <c r="V482">
        <v>0.19</v>
      </c>
      <c r="W482">
        <v>701.30538999999999</v>
      </c>
    </row>
    <row r="483" spans="17:23">
      <c r="Q483" t="s">
        <v>211</v>
      </c>
      <c r="R483" t="s">
        <v>162</v>
      </c>
      <c r="S483" t="s">
        <v>25</v>
      </c>
      <c r="T483" t="s">
        <v>107</v>
      </c>
      <c r="U483">
        <v>2022</v>
      </c>
      <c r="V483">
        <v>0.17499999999999999</v>
      </c>
      <c r="W483">
        <v>674.76395000000002</v>
      </c>
    </row>
    <row r="484" spans="17:23">
      <c r="Q484" t="s">
        <v>211</v>
      </c>
      <c r="R484" t="s">
        <v>162</v>
      </c>
      <c r="S484" t="s">
        <v>25</v>
      </c>
      <c r="T484" t="s">
        <v>107</v>
      </c>
      <c r="U484">
        <v>2023</v>
      </c>
      <c r="V484">
        <v>0.161</v>
      </c>
      <c r="W484">
        <v>648.76205800000002</v>
      </c>
    </row>
    <row r="485" spans="17:23">
      <c r="Q485" t="s">
        <v>211</v>
      </c>
      <c r="R485" t="s">
        <v>162</v>
      </c>
      <c r="S485" t="s">
        <v>25</v>
      </c>
      <c r="T485" t="s">
        <v>107</v>
      </c>
      <c r="U485">
        <v>2024</v>
      </c>
      <c r="V485">
        <v>0.15</v>
      </c>
      <c r="W485">
        <v>631.97024999999996</v>
      </c>
    </row>
    <row r="486" spans="17:23">
      <c r="Q486" t="s">
        <v>211</v>
      </c>
      <c r="R486" t="s">
        <v>162</v>
      </c>
      <c r="S486" t="s">
        <v>25</v>
      </c>
      <c r="T486" t="s">
        <v>107</v>
      </c>
      <c r="U486">
        <v>2025</v>
      </c>
      <c r="V486">
        <v>0.13700000000000001</v>
      </c>
      <c r="W486">
        <v>603.77598799999998</v>
      </c>
    </row>
    <row r="487" spans="17:23">
      <c r="Q487" t="s">
        <v>211</v>
      </c>
      <c r="R487" t="s">
        <v>162</v>
      </c>
      <c r="S487" t="s">
        <v>25</v>
      </c>
      <c r="T487" t="s">
        <v>107</v>
      </c>
      <c r="U487">
        <v>2026</v>
      </c>
      <c r="V487">
        <v>0.124</v>
      </c>
      <c r="W487">
        <v>571.90598</v>
      </c>
    </row>
    <row r="488" spans="17:23">
      <c r="Q488" t="s">
        <v>211</v>
      </c>
      <c r="R488" t="s">
        <v>162</v>
      </c>
      <c r="S488" t="s">
        <v>25</v>
      </c>
      <c r="T488" t="s">
        <v>107</v>
      </c>
      <c r="U488">
        <v>2027</v>
      </c>
      <c r="V488">
        <v>0.114</v>
      </c>
      <c r="W488">
        <v>550.46974799999998</v>
      </c>
    </row>
    <row r="489" spans="17:23">
      <c r="Q489" t="s">
        <v>211</v>
      </c>
      <c r="R489" t="s">
        <v>162</v>
      </c>
      <c r="S489" t="s">
        <v>25</v>
      </c>
      <c r="T489" t="s">
        <v>107</v>
      </c>
      <c r="U489">
        <v>2028</v>
      </c>
      <c r="V489">
        <v>0.107</v>
      </c>
      <c r="W489">
        <v>541.11301700000001</v>
      </c>
    </row>
    <row r="490" spans="17:23">
      <c r="Q490" t="s">
        <v>211</v>
      </c>
      <c r="R490" t="s">
        <v>162</v>
      </c>
      <c r="S490" t="s">
        <v>25</v>
      </c>
      <c r="T490" t="s">
        <v>107</v>
      </c>
      <c r="U490">
        <v>2029</v>
      </c>
      <c r="V490">
        <v>9.6000000000000002E-2</v>
      </c>
      <c r="W490">
        <v>508.59071999999998</v>
      </c>
    </row>
    <row r="491" spans="17:23">
      <c r="Q491" t="s">
        <v>211</v>
      </c>
      <c r="R491" t="s">
        <v>162</v>
      </c>
      <c r="S491" t="s">
        <v>25</v>
      </c>
      <c r="T491" t="s">
        <v>107</v>
      </c>
      <c r="U491">
        <v>2030</v>
      </c>
      <c r="V491">
        <v>8.6999999999999994E-2</v>
      </c>
      <c r="W491">
        <v>482.947788</v>
      </c>
    </row>
    <row r="492" spans="17:23">
      <c r="Q492" t="s">
        <v>211</v>
      </c>
      <c r="R492" t="s">
        <v>162</v>
      </c>
      <c r="S492" t="s">
        <v>25</v>
      </c>
      <c r="T492" t="s">
        <v>107</v>
      </c>
      <c r="U492">
        <v>2031</v>
      </c>
      <c r="V492">
        <v>7.9000000000000001E-2</v>
      </c>
      <c r="W492">
        <v>459.58605499999999</v>
      </c>
    </row>
    <row r="493" spans="17:23">
      <c r="Q493" t="s">
        <v>211</v>
      </c>
      <c r="R493" t="s">
        <v>162</v>
      </c>
      <c r="S493" t="s">
        <v>25</v>
      </c>
      <c r="T493" t="s">
        <v>107</v>
      </c>
      <c r="U493">
        <v>2032</v>
      </c>
      <c r="V493">
        <v>7.1999999999999995E-2</v>
      </c>
      <c r="W493">
        <v>439.03152</v>
      </c>
    </row>
    <row r="494" spans="17:23">
      <c r="Q494" t="s">
        <v>211</v>
      </c>
      <c r="R494" t="s">
        <v>162</v>
      </c>
      <c r="S494" t="s">
        <v>25</v>
      </c>
      <c r="T494" t="s">
        <v>107</v>
      </c>
      <c r="U494">
        <v>2033</v>
      </c>
      <c r="V494">
        <v>6.5000000000000002E-2</v>
      </c>
      <c r="W494">
        <v>415.478635</v>
      </c>
    </row>
    <row r="495" spans="17:23">
      <c r="Q495" t="s">
        <v>211</v>
      </c>
      <c r="R495" t="s">
        <v>162</v>
      </c>
      <c r="S495" t="s">
        <v>25</v>
      </c>
      <c r="T495" t="s">
        <v>107</v>
      </c>
      <c r="U495">
        <v>2034</v>
      </c>
      <c r="V495">
        <v>0.06</v>
      </c>
      <c r="W495">
        <v>402.04932000000002</v>
      </c>
    </row>
    <row r="496" spans="17:23">
      <c r="Q496" t="s">
        <v>211</v>
      </c>
      <c r="R496" t="s">
        <v>162</v>
      </c>
      <c r="S496" t="s">
        <v>25</v>
      </c>
      <c r="T496" t="s">
        <v>107</v>
      </c>
      <c r="U496">
        <v>2035</v>
      </c>
      <c r="V496">
        <v>5.3999999999999999E-2</v>
      </c>
      <c r="W496">
        <v>379.17342000000002</v>
      </c>
    </row>
    <row r="497" spans="17:23">
      <c r="Q497" t="s">
        <v>211</v>
      </c>
      <c r="R497" t="s">
        <v>162</v>
      </c>
      <c r="S497" t="s">
        <v>25</v>
      </c>
      <c r="T497" t="s">
        <v>107</v>
      </c>
      <c r="U497">
        <v>2036</v>
      </c>
      <c r="V497">
        <v>4.8000000000000001E-2</v>
      </c>
      <c r="W497">
        <v>353.01753600000001</v>
      </c>
    </row>
    <row r="498" spans="17:23">
      <c r="Q498" t="s">
        <v>211</v>
      </c>
      <c r="R498" t="s">
        <v>162</v>
      </c>
      <c r="S498" t="s">
        <v>25</v>
      </c>
      <c r="T498" t="s">
        <v>107</v>
      </c>
      <c r="U498">
        <v>2037</v>
      </c>
      <c r="V498">
        <v>4.2999999999999997E-2</v>
      </c>
      <c r="W498">
        <v>331.07475899999997</v>
      </c>
    </row>
    <row r="499" spans="17:23">
      <c r="Q499" t="s">
        <v>211</v>
      </c>
      <c r="R499" t="s">
        <v>162</v>
      </c>
      <c r="S499" t="s">
        <v>25</v>
      </c>
      <c r="T499" t="s">
        <v>107</v>
      </c>
      <c r="U499">
        <v>2038</v>
      </c>
      <c r="V499">
        <v>3.9E-2</v>
      </c>
      <c r="W499">
        <v>314.20712700000001</v>
      </c>
    </row>
    <row r="500" spans="17:23">
      <c r="Q500" t="s">
        <v>211</v>
      </c>
      <c r="R500" t="s">
        <v>162</v>
      </c>
      <c r="S500" t="s">
        <v>25</v>
      </c>
      <c r="T500" t="s">
        <v>107</v>
      </c>
      <c r="U500">
        <v>2039</v>
      </c>
      <c r="V500">
        <v>3.5000000000000003E-2</v>
      </c>
      <c r="W500">
        <v>294.91976499999998</v>
      </c>
    </row>
    <row r="501" spans="17:23">
      <c r="Q501" t="s">
        <v>211</v>
      </c>
      <c r="R501" t="s">
        <v>162</v>
      </c>
      <c r="S501" t="s">
        <v>25</v>
      </c>
      <c r="T501" t="s">
        <v>107</v>
      </c>
      <c r="U501">
        <v>2040</v>
      </c>
      <c r="V501">
        <v>3.2000000000000001E-2</v>
      </c>
      <c r="W501">
        <v>281.87759999999997</v>
      </c>
    </row>
    <row r="502" spans="17:23">
      <c r="Q502" t="s">
        <v>211</v>
      </c>
      <c r="R502" t="s">
        <v>162</v>
      </c>
      <c r="S502" t="s">
        <v>25</v>
      </c>
      <c r="T502" t="s">
        <v>107</v>
      </c>
      <c r="U502">
        <v>2041</v>
      </c>
      <c r="V502">
        <v>2.8000000000000001E-2</v>
      </c>
      <c r="W502">
        <v>257.71096399999999</v>
      </c>
    </row>
    <row r="503" spans="17:23">
      <c r="Q503" t="s">
        <v>211</v>
      </c>
      <c r="R503" t="s">
        <v>162</v>
      </c>
      <c r="S503" t="s">
        <v>25</v>
      </c>
      <c r="T503" t="s">
        <v>107</v>
      </c>
      <c r="U503">
        <v>2042</v>
      </c>
      <c r="V503">
        <v>2.5000000000000001E-2</v>
      </c>
      <c r="W503">
        <v>240.3075</v>
      </c>
    </row>
    <row r="504" spans="17:23">
      <c r="Q504" t="s">
        <v>211</v>
      </c>
      <c r="R504" t="s">
        <v>162</v>
      </c>
      <c r="S504" t="s">
        <v>25</v>
      </c>
      <c r="T504" t="s">
        <v>107</v>
      </c>
      <c r="U504">
        <v>2043</v>
      </c>
      <c r="V504">
        <v>2.3E-2</v>
      </c>
      <c r="W504">
        <v>230.777446</v>
      </c>
    </row>
    <row r="505" spans="17:23">
      <c r="Q505" t="s">
        <v>211</v>
      </c>
      <c r="R505" t="s">
        <v>162</v>
      </c>
      <c r="S505" t="s">
        <v>25</v>
      </c>
      <c r="T505" t="s">
        <v>107</v>
      </c>
      <c r="U505">
        <v>2044</v>
      </c>
      <c r="V505">
        <v>0.02</v>
      </c>
      <c r="W505">
        <v>209.37092000000001</v>
      </c>
    </row>
    <row r="506" spans="17:23">
      <c r="Q506" t="s">
        <v>211</v>
      </c>
      <c r="R506" t="s">
        <v>162</v>
      </c>
      <c r="S506" t="s">
        <v>25</v>
      </c>
      <c r="T506" t="s">
        <v>107</v>
      </c>
      <c r="U506">
        <v>2045</v>
      </c>
      <c r="V506">
        <v>1.7999999999999999E-2</v>
      </c>
      <c r="W506">
        <v>196.49915999999999</v>
      </c>
    </row>
    <row r="507" spans="17:23">
      <c r="Q507" t="s">
        <v>211</v>
      </c>
      <c r="R507" t="s">
        <v>162</v>
      </c>
      <c r="S507" t="s">
        <v>25</v>
      </c>
      <c r="T507" t="s">
        <v>107</v>
      </c>
      <c r="U507">
        <v>2046</v>
      </c>
      <c r="V507">
        <v>1.4999999999999999E-2</v>
      </c>
      <c r="W507">
        <v>170.67147</v>
      </c>
    </row>
    <row r="508" spans="17:23">
      <c r="Q508" t="s">
        <v>211</v>
      </c>
      <c r="R508" t="s">
        <v>162</v>
      </c>
      <c r="S508" t="s">
        <v>25</v>
      </c>
      <c r="T508" t="s">
        <v>107</v>
      </c>
      <c r="U508">
        <v>2047</v>
      </c>
      <c r="V508">
        <v>1.2999999999999999E-2</v>
      </c>
      <c r="W508">
        <v>154.09005300000001</v>
      </c>
    </row>
    <row r="509" spans="17:23">
      <c r="Q509" t="s">
        <v>211</v>
      </c>
      <c r="R509" t="s">
        <v>162</v>
      </c>
      <c r="S509" t="s">
        <v>25</v>
      </c>
      <c r="T509" t="s">
        <v>107</v>
      </c>
      <c r="U509">
        <v>2048</v>
      </c>
      <c r="V509">
        <v>1.2E-2</v>
      </c>
      <c r="W509">
        <v>148.10023200000001</v>
      </c>
    </row>
    <row r="510" spans="17:23">
      <c r="Q510" t="s">
        <v>211</v>
      </c>
      <c r="R510" t="s">
        <v>162</v>
      </c>
      <c r="S510" t="s">
        <v>25</v>
      </c>
      <c r="T510" t="s">
        <v>107</v>
      </c>
      <c r="U510">
        <v>2049</v>
      </c>
      <c r="V510">
        <v>0.01</v>
      </c>
      <c r="W510">
        <v>128.44036</v>
      </c>
    </row>
    <row r="511" spans="17:23">
      <c r="Q511" t="s">
        <v>211</v>
      </c>
      <c r="R511" t="s">
        <v>162</v>
      </c>
      <c r="S511" t="s">
        <v>25</v>
      </c>
      <c r="T511" t="s">
        <v>107</v>
      </c>
      <c r="U511">
        <v>2050</v>
      </c>
      <c r="V511">
        <v>8.9999999999999993E-3</v>
      </c>
      <c r="W511">
        <v>120.242025</v>
      </c>
    </row>
    <row r="512" spans="17:23">
      <c r="Q512" t="s">
        <v>211</v>
      </c>
      <c r="R512" t="s">
        <v>162</v>
      </c>
      <c r="S512" t="s">
        <v>26</v>
      </c>
      <c r="T512" t="s">
        <v>107</v>
      </c>
      <c r="U512">
        <v>2000</v>
      </c>
      <c r="V512">
        <v>0.98399999999999999</v>
      </c>
      <c r="W512">
        <v>9558.6960479999998</v>
      </c>
    </row>
    <row r="513" spans="17:23">
      <c r="Q513" t="s">
        <v>211</v>
      </c>
      <c r="R513" t="s">
        <v>162</v>
      </c>
      <c r="S513" t="s">
        <v>26</v>
      </c>
      <c r="T513" t="s">
        <v>107</v>
      </c>
      <c r="U513">
        <v>2001</v>
      </c>
      <c r="V513">
        <v>0.98299999999999998</v>
      </c>
      <c r="W513">
        <v>9807.2288050000006</v>
      </c>
    </row>
    <row r="514" spans="17:23">
      <c r="Q514" t="s">
        <v>211</v>
      </c>
      <c r="R514" t="s">
        <v>162</v>
      </c>
      <c r="S514" t="s">
        <v>26</v>
      </c>
      <c r="T514" t="s">
        <v>107</v>
      </c>
      <c r="U514">
        <v>2002</v>
      </c>
      <c r="V514">
        <v>0.98099999999999998</v>
      </c>
      <c r="W514">
        <v>10042.84035</v>
      </c>
    </row>
    <row r="515" spans="17:23">
      <c r="Q515" t="s">
        <v>211</v>
      </c>
      <c r="R515" t="s">
        <v>162</v>
      </c>
      <c r="S515" t="s">
        <v>26</v>
      </c>
      <c r="T515" t="s">
        <v>107</v>
      </c>
      <c r="U515">
        <v>2003</v>
      </c>
      <c r="V515">
        <v>0.98</v>
      </c>
      <c r="W515">
        <v>10291.58172</v>
      </c>
    </row>
    <row r="516" spans="17:23">
      <c r="Q516" t="s">
        <v>211</v>
      </c>
      <c r="R516" t="s">
        <v>162</v>
      </c>
      <c r="S516" t="s">
        <v>26</v>
      </c>
      <c r="T516" t="s">
        <v>107</v>
      </c>
      <c r="U516">
        <v>2004</v>
      </c>
      <c r="V516">
        <v>0.97799999999999998</v>
      </c>
      <c r="W516">
        <v>10542.015546000001</v>
      </c>
    </row>
    <row r="517" spans="17:23">
      <c r="Q517" t="s">
        <v>211</v>
      </c>
      <c r="R517" t="s">
        <v>162</v>
      </c>
      <c r="S517" t="s">
        <v>26</v>
      </c>
      <c r="T517" t="s">
        <v>107</v>
      </c>
      <c r="U517">
        <v>2005</v>
      </c>
      <c r="V517">
        <v>0.97599999999999998</v>
      </c>
      <c r="W517">
        <v>10810.887504</v>
      </c>
    </row>
    <row r="518" spans="17:23">
      <c r="Q518" t="s">
        <v>211</v>
      </c>
      <c r="R518" t="s">
        <v>162</v>
      </c>
      <c r="S518" t="s">
        <v>26</v>
      </c>
      <c r="T518" t="s">
        <v>107</v>
      </c>
      <c r="U518">
        <v>2006</v>
      </c>
      <c r="V518">
        <v>0.97299999999999998</v>
      </c>
      <c r="W518">
        <v>11087.854582</v>
      </c>
    </row>
    <row r="519" spans="17:23">
      <c r="Q519" t="s">
        <v>211</v>
      </c>
      <c r="R519" t="s">
        <v>162</v>
      </c>
      <c r="S519" t="s">
        <v>26</v>
      </c>
      <c r="T519" t="s">
        <v>107</v>
      </c>
      <c r="U519">
        <v>2007</v>
      </c>
      <c r="V519">
        <v>0.97</v>
      </c>
      <c r="W519">
        <v>11380.38435</v>
      </c>
    </row>
    <row r="520" spans="17:23">
      <c r="Q520" t="s">
        <v>211</v>
      </c>
      <c r="R520" t="s">
        <v>162</v>
      </c>
      <c r="S520" t="s">
        <v>26</v>
      </c>
      <c r="T520" t="s">
        <v>107</v>
      </c>
      <c r="U520">
        <v>2008</v>
      </c>
      <c r="V520">
        <v>0.96699999999999997</v>
      </c>
      <c r="W520">
        <v>11685.288920999999</v>
      </c>
    </row>
    <row r="521" spans="17:23">
      <c r="Q521" t="s">
        <v>211</v>
      </c>
      <c r="R521" t="s">
        <v>162</v>
      </c>
      <c r="S521" t="s">
        <v>26</v>
      </c>
      <c r="T521" t="s">
        <v>107</v>
      </c>
      <c r="U521">
        <v>2009</v>
      </c>
      <c r="V521">
        <v>0.96399999999999997</v>
      </c>
      <c r="W521">
        <v>11996.33412</v>
      </c>
    </row>
    <row r="522" spans="17:23">
      <c r="Q522" t="s">
        <v>211</v>
      </c>
      <c r="R522" t="s">
        <v>162</v>
      </c>
      <c r="S522" t="s">
        <v>26</v>
      </c>
      <c r="T522" t="s">
        <v>107</v>
      </c>
      <c r="U522">
        <v>2010</v>
      </c>
      <c r="V522">
        <v>0.96</v>
      </c>
      <c r="W522">
        <v>12297.13344</v>
      </c>
    </row>
    <row r="523" spans="17:23">
      <c r="Q523" t="s">
        <v>211</v>
      </c>
      <c r="R523" t="s">
        <v>162</v>
      </c>
      <c r="S523" t="s">
        <v>26</v>
      </c>
      <c r="T523" t="s">
        <v>107</v>
      </c>
      <c r="U523">
        <v>2011</v>
      </c>
      <c r="V523">
        <v>0.95599999999999996</v>
      </c>
      <c r="W523">
        <v>12598.62688</v>
      </c>
    </row>
    <row r="524" spans="17:23">
      <c r="Q524" t="s">
        <v>211</v>
      </c>
      <c r="R524" t="s">
        <v>162</v>
      </c>
      <c r="S524" t="s">
        <v>26</v>
      </c>
      <c r="T524" t="s">
        <v>107</v>
      </c>
      <c r="U524">
        <v>2012</v>
      </c>
      <c r="V524">
        <v>0.95150000000000001</v>
      </c>
      <c r="W524">
        <v>12894.672812999999</v>
      </c>
    </row>
    <row r="525" spans="17:23">
      <c r="Q525" t="s">
        <v>211</v>
      </c>
      <c r="R525" t="s">
        <v>162</v>
      </c>
      <c r="S525" t="s">
        <v>26</v>
      </c>
      <c r="T525" t="s">
        <v>107</v>
      </c>
      <c r="U525">
        <v>2013</v>
      </c>
      <c r="V525">
        <v>0.94499999999999995</v>
      </c>
      <c r="W525">
        <v>13164.29982</v>
      </c>
    </row>
    <row r="526" spans="17:23">
      <c r="Q526" t="s">
        <v>211</v>
      </c>
      <c r="R526" t="s">
        <v>162</v>
      </c>
      <c r="S526" t="s">
        <v>26</v>
      </c>
      <c r="T526" t="s">
        <v>107</v>
      </c>
      <c r="U526">
        <v>2014</v>
      </c>
      <c r="V526">
        <v>0.94099999999999995</v>
      </c>
      <c r="W526">
        <v>13470.624843</v>
      </c>
    </row>
    <row r="527" spans="17:23">
      <c r="Q527" t="s">
        <v>211</v>
      </c>
      <c r="R527" t="s">
        <v>162</v>
      </c>
      <c r="S527" t="s">
        <v>26</v>
      </c>
      <c r="T527" t="s">
        <v>107</v>
      </c>
      <c r="U527">
        <v>2015</v>
      </c>
      <c r="V527">
        <v>0.93400000000000005</v>
      </c>
      <c r="W527">
        <v>13736.251138</v>
      </c>
    </row>
    <row r="528" spans="17:23">
      <c r="Q528" t="s">
        <v>211</v>
      </c>
      <c r="R528" t="s">
        <v>162</v>
      </c>
      <c r="S528" t="s">
        <v>26</v>
      </c>
      <c r="T528" t="s">
        <v>107</v>
      </c>
      <c r="U528">
        <v>2016</v>
      </c>
      <c r="V528">
        <v>0.92800000000000005</v>
      </c>
      <c r="W528">
        <v>14017.717472</v>
      </c>
    </row>
    <row r="529" spans="17:23">
      <c r="Q529" t="s">
        <v>211</v>
      </c>
      <c r="R529" t="s">
        <v>162</v>
      </c>
      <c r="S529" t="s">
        <v>26</v>
      </c>
      <c r="T529" t="s">
        <v>107</v>
      </c>
      <c r="U529">
        <v>2017</v>
      </c>
      <c r="V529">
        <v>0.92100000000000004</v>
      </c>
      <c r="W529">
        <v>14284.262393999999</v>
      </c>
    </row>
    <row r="530" spans="17:23">
      <c r="Q530" t="s">
        <v>211</v>
      </c>
      <c r="R530" t="s">
        <v>162</v>
      </c>
      <c r="S530" t="s">
        <v>26</v>
      </c>
      <c r="T530" t="s">
        <v>107</v>
      </c>
      <c r="U530">
        <v>2018</v>
      </c>
      <c r="V530">
        <v>0.91400000000000003</v>
      </c>
      <c r="W530">
        <v>14549.778630000001</v>
      </c>
    </row>
    <row r="531" spans="17:23">
      <c r="Q531" t="s">
        <v>211</v>
      </c>
      <c r="R531" t="s">
        <v>162</v>
      </c>
      <c r="S531" t="s">
        <v>26</v>
      </c>
      <c r="T531" t="s">
        <v>107</v>
      </c>
      <c r="U531">
        <v>2019</v>
      </c>
      <c r="V531">
        <v>0.90600000000000003</v>
      </c>
      <c r="W531">
        <v>14796.946019999999</v>
      </c>
    </row>
    <row r="532" spans="17:23">
      <c r="Q532" t="s">
        <v>211</v>
      </c>
      <c r="R532" t="s">
        <v>162</v>
      </c>
      <c r="S532" t="s">
        <v>26</v>
      </c>
      <c r="T532" t="s">
        <v>107</v>
      </c>
      <c r="U532">
        <v>2020</v>
      </c>
      <c r="V532">
        <v>0.89700000000000002</v>
      </c>
      <c r="W532">
        <v>15023.722935</v>
      </c>
    </row>
    <row r="533" spans="17:23">
      <c r="Q533" t="s">
        <v>211</v>
      </c>
      <c r="R533" t="s">
        <v>162</v>
      </c>
      <c r="S533" t="s">
        <v>26</v>
      </c>
      <c r="T533" t="s">
        <v>107</v>
      </c>
      <c r="U533">
        <v>2021</v>
      </c>
      <c r="V533">
        <v>0.88600000000000001</v>
      </c>
      <c r="W533">
        <v>15210.945460000001</v>
      </c>
    </row>
    <row r="534" spans="17:23">
      <c r="Q534" t="s">
        <v>211</v>
      </c>
      <c r="R534" t="s">
        <v>162</v>
      </c>
      <c r="S534" t="s">
        <v>26</v>
      </c>
      <c r="T534" t="s">
        <v>107</v>
      </c>
      <c r="U534">
        <v>2022</v>
      </c>
      <c r="V534">
        <v>0.877</v>
      </c>
      <c r="W534">
        <v>15426.144098000001</v>
      </c>
    </row>
    <row r="535" spans="17:23">
      <c r="Q535" t="s">
        <v>211</v>
      </c>
      <c r="R535" t="s">
        <v>162</v>
      </c>
      <c r="S535" t="s">
        <v>26</v>
      </c>
      <c r="T535" t="s">
        <v>107</v>
      </c>
      <c r="U535">
        <v>2023</v>
      </c>
      <c r="V535">
        <v>0.86399999999999999</v>
      </c>
      <c r="W535">
        <v>15563.819519999999</v>
      </c>
    </row>
    <row r="536" spans="17:23">
      <c r="Q536" t="s">
        <v>211</v>
      </c>
      <c r="R536" t="s">
        <v>162</v>
      </c>
      <c r="S536" t="s">
        <v>26</v>
      </c>
      <c r="T536" t="s">
        <v>107</v>
      </c>
      <c r="U536">
        <v>2024</v>
      </c>
      <c r="V536">
        <v>0.85199999999999998</v>
      </c>
      <c r="W536">
        <v>15711.297479999999</v>
      </c>
    </row>
    <row r="537" spans="17:23">
      <c r="Q537" t="s">
        <v>211</v>
      </c>
      <c r="R537" t="s">
        <v>162</v>
      </c>
      <c r="S537" t="s">
        <v>26</v>
      </c>
      <c r="T537" t="s">
        <v>107</v>
      </c>
      <c r="U537">
        <v>2025</v>
      </c>
      <c r="V537">
        <v>0.83899999999999997</v>
      </c>
      <c r="W537">
        <v>15832.0139</v>
      </c>
    </row>
    <row r="538" spans="17:23">
      <c r="Q538" t="s">
        <v>211</v>
      </c>
      <c r="R538" t="s">
        <v>162</v>
      </c>
      <c r="S538" t="s">
        <v>26</v>
      </c>
      <c r="T538" t="s">
        <v>107</v>
      </c>
      <c r="U538">
        <v>2026</v>
      </c>
      <c r="V538">
        <v>0.82299999999999995</v>
      </c>
      <c r="W538">
        <v>15885.605256000001</v>
      </c>
    </row>
    <row r="539" spans="17:23">
      <c r="Q539" t="s">
        <v>211</v>
      </c>
      <c r="R539" t="s">
        <v>162</v>
      </c>
      <c r="S539" t="s">
        <v>26</v>
      </c>
      <c r="T539" t="s">
        <v>107</v>
      </c>
      <c r="U539">
        <v>2027</v>
      </c>
      <c r="V539">
        <v>0.80800000000000005</v>
      </c>
      <c r="W539">
        <v>15946.153912</v>
      </c>
    </row>
    <row r="540" spans="17:23">
      <c r="Q540" t="s">
        <v>211</v>
      </c>
      <c r="R540" t="s">
        <v>162</v>
      </c>
      <c r="S540" t="s">
        <v>26</v>
      </c>
      <c r="T540" t="s">
        <v>107</v>
      </c>
      <c r="U540">
        <v>2028</v>
      </c>
      <c r="V540">
        <v>0.79</v>
      </c>
      <c r="W540">
        <v>15933.047060000001</v>
      </c>
    </row>
    <row r="541" spans="17:23">
      <c r="Q541" t="s">
        <v>211</v>
      </c>
      <c r="R541" t="s">
        <v>162</v>
      </c>
      <c r="S541" t="s">
        <v>26</v>
      </c>
      <c r="T541" t="s">
        <v>107</v>
      </c>
      <c r="U541">
        <v>2029</v>
      </c>
      <c r="V541">
        <v>0.77100000000000002</v>
      </c>
      <c r="W541">
        <v>15882.235317000001</v>
      </c>
    </row>
    <row r="542" spans="17:23">
      <c r="Q542" t="s">
        <v>211</v>
      </c>
      <c r="R542" t="s">
        <v>162</v>
      </c>
      <c r="S542" t="s">
        <v>26</v>
      </c>
      <c r="T542" t="s">
        <v>107</v>
      </c>
      <c r="U542">
        <v>2030</v>
      </c>
      <c r="V542">
        <v>0.75349999999999995</v>
      </c>
      <c r="W542">
        <v>15843.937180499999</v>
      </c>
    </row>
    <row r="543" spans="17:23">
      <c r="Q543" t="s">
        <v>211</v>
      </c>
      <c r="R543" t="s">
        <v>162</v>
      </c>
      <c r="S543" t="s">
        <v>26</v>
      </c>
      <c r="T543" t="s">
        <v>107</v>
      </c>
      <c r="U543">
        <v>2031</v>
      </c>
      <c r="V543">
        <v>0.73099999999999998</v>
      </c>
      <c r="W543">
        <v>15680.085235</v>
      </c>
    </row>
    <row r="544" spans="17:23">
      <c r="Q544" t="s">
        <v>211</v>
      </c>
      <c r="R544" t="s">
        <v>162</v>
      </c>
      <c r="S544" t="s">
        <v>26</v>
      </c>
      <c r="T544" t="s">
        <v>107</v>
      </c>
      <c r="U544">
        <v>2032</v>
      </c>
      <c r="V544">
        <v>0.71099999999999997</v>
      </c>
      <c r="W544">
        <v>15548.197770000001</v>
      </c>
    </row>
    <row r="545" spans="17:23">
      <c r="Q545" t="s">
        <v>211</v>
      </c>
      <c r="R545" t="s">
        <v>162</v>
      </c>
      <c r="S545" t="s">
        <v>26</v>
      </c>
      <c r="T545" t="s">
        <v>107</v>
      </c>
      <c r="U545">
        <v>2033</v>
      </c>
      <c r="V545">
        <v>0.68799999999999994</v>
      </c>
      <c r="W545">
        <v>15328.728752000001</v>
      </c>
    </row>
    <row r="546" spans="17:23">
      <c r="Q546" t="s">
        <v>211</v>
      </c>
      <c r="R546" t="s">
        <v>162</v>
      </c>
      <c r="S546" t="s">
        <v>26</v>
      </c>
      <c r="T546" t="s">
        <v>107</v>
      </c>
      <c r="U546">
        <v>2034</v>
      </c>
      <c r="V546">
        <v>0.66400000000000003</v>
      </c>
      <c r="W546">
        <v>15063.51728</v>
      </c>
    </row>
    <row r="547" spans="17:23">
      <c r="Q547" t="s">
        <v>211</v>
      </c>
      <c r="R547" t="s">
        <v>162</v>
      </c>
      <c r="S547" t="s">
        <v>26</v>
      </c>
      <c r="T547" t="s">
        <v>107</v>
      </c>
      <c r="U547">
        <v>2035</v>
      </c>
      <c r="V547">
        <v>0.64149999999999996</v>
      </c>
      <c r="W547">
        <v>14811.0334705</v>
      </c>
    </row>
    <row r="548" spans="17:23">
      <c r="Q548" t="s">
        <v>211</v>
      </c>
      <c r="R548" t="s">
        <v>162</v>
      </c>
      <c r="S548" t="s">
        <v>26</v>
      </c>
      <c r="T548" t="s">
        <v>107</v>
      </c>
      <c r="U548">
        <v>2036</v>
      </c>
      <c r="V548">
        <v>0.61399999999999999</v>
      </c>
      <c r="W548">
        <v>14420.564254000001</v>
      </c>
    </row>
    <row r="549" spans="17:23">
      <c r="Q549" t="s">
        <v>211</v>
      </c>
      <c r="R549" t="s">
        <v>162</v>
      </c>
      <c r="S549" t="s">
        <v>26</v>
      </c>
      <c r="T549" t="s">
        <v>107</v>
      </c>
      <c r="U549">
        <v>2037</v>
      </c>
      <c r="V549">
        <v>0.59</v>
      </c>
      <c r="W549">
        <v>14089.08495</v>
      </c>
    </row>
    <row r="550" spans="17:23">
      <c r="Q550" t="s">
        <v>211</v>
      </c>
      <c r="R550" t="s">
        <v>162</v>
      </c>
      <c r="S550" t="s">
        <v>26</v>
      </c>
      <c r="T550" t="s">
        <v>107</v>
      </c>
      <c r="U550">
        <v>2038</v>
      </c>
      <c r="V550">
        <v>0.56399999999999995</v>
      </c>
      <c r="W550">
        <v>13687.307664</v>
      </c>
    </row>
    <row r="551" spans="17:23">
      <c r="Q551" t="s">
        <v>211</v>
      </c>
      <c r="R551" t="s">
        <v>162</v>
      </c>
      <c r="S551" t="s">
        <v>26</v>
      </c>
      <c r="T551" t="s">
        <v>107</v>
      </c>
      <c r="U551">
        <v>2039</v>
      </c>
      <c r="V551">
        <v>0.53400000000000003</v>
      </c>
      <c r="W551">
        <v>13163.72745</v>
      </c>
    </row>
    <row r="552" spans="17:23">
      <c r="Q552" t="s">
        <v>211</v>
      </c>
      <c r="R552" t="s">
        <v>162</v>
      </c>
      <c r="S552" t="s">
        <v>26</v>
      </c>
      <c r="T552" t="s">
        <v>107</v>
      </c>
      <c r="U552">
        <v>2040</v>
      </c>
      <c r="V552">
        <v>0.51100000000000001</v>
      </c>
      <c r="W552">
        <v>12789.324352</v>
      </c>
    </row>
    <row r="553" spans="17:23">
      <c r="Q553" t="s">
        <v>211</v>
      </c>
      <c r="R553" t="s">
        <v>162</v>
      </c>
      <c r="S553" t="s">
        <v>26</v>
      </c>
      <c r="T553" t="s">
        <v>107</v>
      </c>
      <c r="U553">
        <v>2041</v>
      </c>
      <c r="V553">
        <v>0.48099999999999998</v>
      </c>
      <c r="W553">
        <v>12216.600097</v>
      </c>
    </row>
    <row r="554" spans="17:23">
      <c r="Q554" t="s">
        <v>211</v>
      </c>
      <c r="R554" t="s">
        <v>162</v>
      </c>
      <c r="S554" t="s">
        <v>26</v>
      </c>
      <c r="T554" t="s">
        <v>107</v>
      </c>
      <c r="U554">
        <v>2042</v>
      </c>
      <c r="V554">
        <v>0.45450000000000002</v>
      </c>
      <c r="W554">
        <v>11708.6267475</v>
      </c>
    </row>
    <row r="555" spans="17:23">
      <c r="Q555" t="s">
        <v>211</v>
      </c>
      <c r="R555" t="s">
        <v>162</v>
      </c>
      <c r="S555" t="s">
        <v>26</v>
      </c>
      <c r="T555" t="s">
        <v>107</v>
      </c>
      <c r="U555">
        <v>2043</v>
      </c>
      <c r="V555">
        <v>0.43</v>
      </c>
      <c r="W555">
        <v>11230.34354</v>
      </c>
    </row>
    <row r="556" spans="17:23">
      <c r="Q556" t="s">
        <v>211</v>
      </c>
      <c r="R556" t="s">
        <v>162</v>
      </c>
      <c r="S556" t="s">
        <v>26</v>
      </c>
      <c r="T556" t="s">
        <v>107</v>
      </c>
      <c r="U556">
        <v>2044</v>
      </c>
      <c r="V556">
        <v>0.40400000000000003</v>
      </c>
      <c r="W556">
        <v>10691.560636</v>
      </c>
    </row>
    <row r="557" spans="17:23">
      <c r="Q557" t="s">
        <v>211</v>
      </c>
      <c r="R557" t="s">
        <v>162</v>
      </c>
      <c r="S557" t="s">
        <v>26</v>
      </c>
      <c r="T557" t="s">
        <v>107</v>
      </c>
      <c r="U557">
        <v>2045</v>
      </c>
      <c r="V557">
        <v>0.378</v>
      </c>
      <c r="W557">
        <v>10131.35823</v>
      </c>
    </row>
    <row r="558" spans="17:23">
      <c r="Q558" t="s">
        <v>211</v>
      </c>
      <c r="R558" t="s">
        <v>162</v>
      </c>
      <c r="S558" t="s">
        <v>26</v>
      </c>
      <c r="T558" t="s">
        <v>107</v>
      </c>
      <c r="U558">
        <v>2046</v>
      </c>
      <c r="V558">
        <v>0.35499999999999998</v>
      </c>
      <c r="W558">
        <v>9631.6356400000004</v>
      </c>
    </row>
    <row r="559" spans="17:23">
      <c r="Q559" t="s">
        <v>211</v>
      </c>
      <c r="R559" t="s">
        <v>162</v>
      </c>
      <c r="S559" t="s">
        <v>26</v>
      </c>
      <c r="T559" t="s">
        <v>107</v>
      </c>
      <c r="U559">
        <v>2047</v>
      </c>
      <c r="V559">
        <v>0.32700000000000001</v>
      </c>
      <c r="W559">
        <v>8976.258237</v>
      </c>
    </row>
    <row r="560" spans="17:23">
      <c r="Q560" t="s">
        <v>211</v>
      </c>
      <c r="R560" t="s">
        <v>162</v>
      </c>
      <c r="S560" t="s">
        <v>26</v>
      </c>
      <c r="T560" t="s">
        <v>107</v>
      </c>
      <c r="U560">
        <v>2048</v>
      </c>
      <c r="V560">
        <v>0.307</v>
      </c>
      <c r="W560">
        <v>8522.0381739999993</v>
      </c>
    </row>
    <row r="561" spans="17:23">
      <c r="Q561" t="s">
        <v>211</v>
      </c>
      <c r="R561" t="s">
        <v>162</v>
      </c>
      <c r="S561" t="s">
        <v>26</v>
      </c>
      <c r="T561" t="s">
        <v>107</v>
      </c>
      <c r="U561">
        <v>2049</v>
      </c>
      <c r="V561">
        <v>0.28149999999999997</v>
      </c>
      <c r="W561">
        <v>7898.1409285</v>
      </c>
    </row>
    <row r="562" spans="17:23">
      <c r="Q562" t="s">
        <v>211</v>
      </c>
      <c r="R562" t="s">
        <v>162</v>
      </c>
      <c r="S562" t="s">
        <v>26</v>
      </c>
      <c r="T562" t="s">
        <v>107</v>
      </c>
      <c r="U562">
        <v>2050</v>
      </c>
      <c r="V562">
        <v>0.26400000000000001</v>
      </c>
      <c r="W562">
        <v>7483.0211280000003</v>
      </c>
    </row>
    <row r="563" spans="17:23">
      <c r="Q563" t="s">
        <v>211</v>
      </c>
      <c r="R563" t="s">
        <v>162</v>
      </c>
      <c r="S563" t="s">
        <v>29</v>
      </c>
      <c r="T563" t="s">
        <v>107</v>
      </c>
      <c r="U563">
        <v>2000</v>
      </c>
      <c r="V563">
        <v>0.93300000000000005</v>
      </c>
      <c r="W563">
        <v>10613.968476</v>
      </c>
    </row>
    <row r="564" spans="17:23">
      <c r="Q564" t="s">
        <v>211</v>
      </c>
      <c r="R564" t="s">
        <v>162</v>
      </c>
      <c r="S564" t="s">
        <v>29</v>
      </c>
      <c r="T564" t="s">
        <v>107</v>
      </c>
      <c r="U564">
        <v>2001</v>
      </c>
      <c r="V564">
        <v>0.92800000000000005</v>
      </c>
      <c r="W564">
        <v>10853.760864</v>
      </c>
    </row>
    <row r="565" spans="17:23">
      <c r="Q565" t="s">
        <v>211</v>
      </c>
      <c r="R565" t="s">
        <v>162</v>
      </c>
      <c r="S565" t="s">
        <v>29</v>
      </c>
      <c r="T565" t="s">
        <v>107</v>
      </c>
      <c r="U565">
        <v>2002</v>
      </c>
      <c r="V565">
        <v>0.92300000000000004</v>
      </c>
      <c r="W565">
        <v>11088.655253000001</v>
      </c>
    </row>
    <row r="566" spans="17:23">
      <c r="Q566" t="s">
        <v>211</v>
      </c>
      <c r="R566" t="s">
        <v>162</v>
      </c>
      <c r="S566" t="s">
        <v>29</v>
      </c>
      <c r="T566" t="s">
        <v>107</v>
      </c>
      <c r="U566">
        <v>2003</v>
      </c>
      <c r="V566">
        <v>0.91800000000000004</v>
      </c>
      <c r="W566">
        <v>11325.078665999999</v>
      </c>
    </row>
    <row r="567" spans="17:23">
      <c r="Q567" t="s">
        <v>211</v>
      </c>
      <c r="R567" t="s">
        <v>162</v>
      </c>
      <c r="S567" t="s">
        <v>29</v>
      </c>
      <c r="T567" t="s">
        <v>107</v>
      </c>
      <c r="U567">
        <v>2004</v>
      </c>
      <c r="V567">
        <v>0.91300000000000003</v>
      </c>
      <c r="W567">
        <v>11573.222694</v>
      </c>
    </row>
    <row r="568" spans="17:23">
      <c r="Q568" t="s">
        <v>211</v>
      </c>
      <c r="R568" t="s">
        <v>162</v>
      </c>
      <c r="S568" t="s">
        <v>29</v>
      </c>
      <c r="T568" t="s">
        <v>107</v>
      </c>
      <c r="U568">
        <v>2005</v>
      </c>
      <c r="V568">
        <v>0.90700000000000003</v>
      </c>
      <c r="W568">
        <v>11827.017877</v>
      </c>
    </row>
    <row r="569" spans="17:23">
      <c r="Q569" t="s">
        <v>211</v>
      </c>
      <c r="R569" t="s">
        <v>162</v>
      </c>
      <c r="S569" t="s">
        <v>29</v>
      </c>
      <c r="T569" t="s">
        <v>107</v>
      </c>
      <c r="U569">
        <v>2006</v>
      </c>
      <c r="V569">
        <v>0.90200000000000002</v>
      </c>
      <c r="W569">
        <v>12113.194324</v>
      </c>
    </row>
    <row r="570" spans="17:23">
      <c r="Q570" t="s">
        <v>211</v>
      </c>
      <c r="R570" t="s">
        <v>162</v>
      </c>
      <c r="S570" t="s">
        <v>29</v>
      </c>
      <c r="T570" t="s">
        <v>107</v>
      </c>
      <c r="U570">
        <v>2007</v>
      </c>
      <c r="V570">
        <v>0.89300000000000002</v>
      </c>
      <c r="W570">
        <v>12359.985317000001</v>
      </c>
    </row>
    <row r="571" spans="17:23">
      <c r="Q571" t="s">
        <v>211</v>
      </c>
      <c r="R571" t="s">
        <v>162</v>
      </c>
      <c r="S571" t="s">
        <v>29</v>
      </c>
      <c r="T571" t="s">
        <v>107</v>
      </c>
      <c r="U571">
        <v>2008</v>
      </c>
      <c r="V571">
        <v>0.88600000000000001</v>
      </c>
      <c r="W571">
        <v>12644.313324000001</v>
      </c>
    </row>
    <row r="572" spans="17:23">
      <c r="Q572" t="s">
        <v>211</v>
      </c>
      <c r="R572" t="s">
        <v>162</v>
      </c>
      <c r="S572" t="s">
        <v>29</v>
      </c>
      <c r="T572" t="s">
        <v>107</v>
      </c>
      <c r="U572">
        <v>2009</v>
      </c>
      <c r="V572">
        <v>0.879</v>
      </c>
      <c r="W572">
        <v>12934.135157999999</v>
      </c>
    </row>
    <row r="573" spans="17:23">
      <c r="Q573" t="s">
        <v>211</v>
      </c>
      <c r="R573" t="s">
        <v>162</v>
      </c>
      <c r="S573" t="s">
        <v>29</v>
      </c>
      <c r="T573" t="s">
        <v>107</v>
      </c>
      <c r="U573">
        <v>2010</v>
      </c>
      <c r="V573">
        <v>0.871</v>
      </c>
      <c r="W573">
        <v>13210.539745</v>
      </c>
    </row>
    <row r="574" spans="17:23">
      <c r="Q574" t="s">
        <v>211</v>
      </c>
      <c r="R574" t="s">
        <v>162</v>
      </c>
      <c r="S574" t="s">
        <v>29</v>
      </c>
      <c r="T574" t="s">
        <v>107</v>
      </c>
      <c r="U574">
        <v>2011</v>
      </c>
      <c r="V574">
        <v>0.86399999999999999</v>
      </c>
      <c r="W574">
        <v>13502.261952000001</v>
      </c>
    </row>
    <row r="575" spans="17:23">
      <c r="Q575" t="s">
        <v>211</v>
      </c>
      <c r="R575" t="s">
        <v>162</v>
      </c>
      <c r="S575" t="s">
        <v>29</v>
      </c>
      <c r="T575" t="s">
        <v>107</v>
      </c>
      <c r="U575">
        <v>2012</v>
      </c>
      <c r="V575">
        <v>0.85399999999999998</v>
      </c>
      <c r="W575">
        <v>13747.098470000001</v>
      </c>
    </row>
    <row r="576" spans="17:23">
      <c r="Q576" t="s">
        <v>211</v>
      </c>
      <c r="R576" t="s">
        <v>162</v>
      </c>
      <c r="S576" t="s">
        <v>29</v>
      </c>
      <c r="T576" t="s">
        <v>107</v>
      </c>
      <c r="U576">
        <v>2013</v>
      </c>
      <c r="V576">
        <v>0.84499999999999997</v>
      </c>
      <c r="W576">
        <v>14007.689215</v>
      </c>
    </row>
    <row r="577" spans="17:23">
      <c r="Q577" t="s">
        <v>211</v>
      </c>
      <c r="R577" t="s">
        <v>162</v>
      </c>
      <c r="S577" t="s">
        <v>29</v>
      </c>
      <c r="T577" t="s">
        <v>107</v>
      </c>
      <c r="U577">
        <v>2014</v>
      </c>
      <c r="V577">
        <v>0.83699999999999997</v>
      </c>
      <c r="W577">
        <v>14286.617405999999</v>
      </c>
    </row>
    <row r="578" spans="17:23">
      <c r="Q578" t="s">
        <v>211</v>
      </c>
      <c r="R578" t="s">
        <v>162</v>
      </c>
      <c r="S578" t="s">
        <v>29</v>
      </c>
      <c r="T578" t="s">
        <v>107</v>
      </c>
      <c r="U578">
        <v>2015</v>
      </c>
      <c r="V578">
        <v>0.82599999999999996</v>
      </c>
      <c r="W578">
        <v>14515.799381999999</v>
      </c>
    </row>
    <row r="579" spans="17:23">
      <c r="Q579" t="s">
        <v>211</v>
      </c>
      <c r="R579" t="s">
        <v>162</v>
      </c>
      <c r="S579" t="s">
        <v>29</v>
      </c>
      <c r="T579" t="s">
        <v>107</v>
      </c>
      <c r="U579">
        <v>2016</v>
      </c>
      <c r="V579">
        <v>0.81699999999999995</v>
      </c>
      <c r="W579">
        <v>14780.816774999999</v>
      </c>
    </row>
    <row r="580" spans="17:23">
      <c r="Q580" t="s">
        <v>211</v>
      </c>
      <c r="R580" t="s">
        <v>162</v>
      </c>
      <c r="S580" t="s">
        <v>29</v>
      </c>
      <c r="T580" t="s">
        <v>107</v>
      </c>
      <c r="U580">
        <v>2017</v>
      </c>
      <c r="V580">
        <v>0.80600000000000005</v>
      </c>
      <c r="W580">
        <v>15009.415824</v>
      </c>
    </row>
    <row r="581" spans="17:23">
      <c r="Q581" t="s">
        <v>211</v>
      </c>
      <c r="R581" t="s">
        <v>162</v>
      </c>
      <c r="S581" t="s">
        <v>29</v>
      </c>
      <c r="T581" t="s">
        <v>107</v>
      </c>
      <c r="U581">
        <v>2018</v>
      </c>
      <c r="V581">
        <v>0.79400000000000004</v>
      </c>
      <c r="W581">
        <v>15216.794032</v>
      </c>
    </row>
    <row r="582" spans="17:23">
      <c r="Q582" t="s">
        <v>211</v>
      </c>
      <c r="R582" t="s">
        <v>162</v>
      </c>
      <c r="S582" t="s">
        <v>29</v>
      </c>
      <c r="T582" t="s">
        <v>107</v>
      </c>
      <c r="U582">
        <v>2019</v>
      </c>
      <c r="V582">
        <v>0.78200000000000003</v>
      </c>
      <c r="W582">
        <v>15420.057026</v>
      </c>
    </row>
    <row r="583" spans="17:23">
      <c r="Q583" t="s">
        <v>211</v>
      </c>
      <c r="R583" t="s">
        <v>162</v>
      </c>
      <c r="S583" t="s">
        <v>29</v>
      </c>
      <c r="T583" t="s">
        <v>107</v>
      </c>
      <c r="U583">
        <v>2020</v>
      </c>
      <c r="V583">
        <v>0.76900000000000002</v>
      </c>
      <c r="W583">
        <v>15598.158379</v>
      </c>
    </row>
    <row r="584" spans="17:23">
      <c r="Q584" t="s">
        <v>211</v>
      </c>
      <c r="R584" t="s">
        <v>162</v>
      </c>
      <c r="S584" t="s">
        <v>29</v>
      </c>
      <c r="T584" t="s">
        <v>107</v>
      </c>
      <c r="U584">
        <v>2021</v>
      </c>
      <c r="V584">
        <v>0.75600000000000001</v>
      </c>
      <c r="W584">
        <v>15769.548396</v>
      </c>
    </row>
    <row r="585" spans="17:23">
      <c r="Q585" t="s">
        <v>211</v>
      </c>
      <c r="R585" t="s">
        <v>162</v>
      </c>
      <c r="S585" t="s">
        <v>29</v>
      </c>
      <c r="T585" t="s">
        <v>107</v>
      </c>
      <c r="U585">
        <v>2022</v>
      </c>
      <c r="V585">
        <v>0.74</v>
      </c>
      <c r="W585">
        <v>15869.64632</v>
      </c>
    </row>
    <row r="586" spans="17:23">
      <c r="Q586" t="s">
        <v>211</v>
      </c>
      <c r="R586" t="s">
        <v>162</v>
      </c>
      <c r="S586" t="s">
        <v>29</v>
      </c>
      <c r="T586" t="s">
        <v>107</v>
      </c>
      <c r="U586">
        <v>2023</v>
      </c>
      <c r="V586">
        <v>0.72499999999999998</v>
      </c>
      <c r="W586">
        <v>15981.36205</v>
      </c>
    </row>
    <row r="587" spans="17:23">
      <c r="Q587" t="s">
        <v>211</v>
      </c>
      <c r="R587" t="s">
        <v>162</v>
      </c>
      <c r="S587" t="s">
        <v>29</v>
      </c>
      <c r="T587" t="s">
        <v>107</v>
      </c>
      <c r="U587">
        <v>2024</v>
      </c>
      <c r="V587">
        <v>0.70699999999999996</v>
      </c>
      <c r="W587">
        <v>16016.112875000001</v>
      </c>
    </row>
    <row r="588" spans="17:23">
      <c r="Q588" t="s">
        <v>211</v>
      </c>
      <c r="R588" t="s">
        <v>162</v>
      </c>
      <c r="S588" t="s">
        <v>29</v>
      </c>
      <c r="T588" t="s">
        <v>107</v>
      </c>
      <c r="U588">
        <v>2025</v>
      </c>
      <c r="V588">
        <v>0.69199999999999995</v>
      </c>
      <c r="W588">
        <v>16107.839008000001</v>
      </c>
    </row>
    <row r="589" spans="17:23">
      <c r="Q589" t="s">
        <v>211</v>
      </c>
      <c r="R589" t="s">
        <v>162</v>
      </c>
      <c r="S589" t="s">
        <v>29</v>
      </c>
      <c r="T589" t="s">
        <v>107</v>
      </c>
      <c r="U589">
        <v>2026</v>
      </c>
      <c r="V589">
        <v>0.67200000000000004</v>
      </c>
      <c r="W589">
        <v>16070.353824</v>
      </c>
    </row>
    <row r="590" spans="17:23">
      <c r="Q590" t="s">
        <v>211</v>
      </c>
      <c r="R590" t="s">
        <v>162</v>
      </c>
      <c r="S590" t="s">
        <v>29</v>
      </c>
      <c r="T590" t="s">
        <v>107</v>
      </c>
      <c r="U590">
        <v>2027</v>
      </c>
      <c r="V590">
        <v>0.65600000000000003</v>
      </c>
      <c r="W590">
        <v>16113.997776</v>
      </c>
    </row>
    <row r="591" spans="17:23">
      <c r="Q591" t="s">
        <v>211</v>
      </c>
      <c r="R591" t="s">
        <v>162</v>
      </c>
      <c r="S591" t="s">
        <v>29</v>
      </c>
      <c r="T591" t="s">
        <v>107</v>
      </c>
      <c r="U591">
        <v>2028</v>
      </c>
      <c r="V591">
        <v>0.63300000000000001</v>
      </c>
      <c r="W591">
        <v>15967.769985000001</v>
      </c>
    </row>
    <row r="592" spans="17:23">
      <c r="Q592" t="s">
        <v>211</v>
      </c>
      <c r="R592" t="s">
        <v>162</v>
      </c>
      <c r="S592" t="s">
        <v>29</v>
      </c>
      <c r="T592" t="s">
        <v>107</v>
      </c>
      <c r="U592">
        <v>2029</v>
      </c>
      <c r="V592">
        <v>0.61399999999999999</v>
      </c>
      <c r="W592">
        <v>15900.971057999999</v>
      </c>
    </row>
    <row r="593" spans="17:23">
      <c r="Q593" t="s">
        <v>211</v>
      </c>
      <c r="R593" t="s">
        <v>162</v>
      </c>
      <c r="S593" t="s">
        <v>29</v>
      </c>
      <c r="T593" t="s">
        <v>107</v>
      </c>
      <c r="U593">
        <v>2030</v>
      </c>
      <c r="V593">
        <v>0.59199999999999997</v>
      </c>
      <c r="W593">
        <v>15734.322224</v>
      </c>
    </row>
    <row r="594" spans="17:23">
      <c r="Q594" t="s">
        <v>211</v>
      </c>
      <c r="R594" t="s">
        <v>162</v>
      </c>
      <c r="S594" t="s">
        <v>29</v>
      </c>
      <c r="T594" t="s">
        <v>107</v>
      </c>
      <c r="U594">
        <v>2031</v>
      </c>
      <c r="V594">
        <v>0.56899999999999995</v>
      </c>
      <c r="W594">
        <v>15515.338369999999</v>
      </c>
    </row>
    <row r="595" spans="17:23">
      <c r="Q595" t="s">
        <v>211</v>
      </c>
      <c r="R595" t="s">
        <v>162</v>
      </c>
      <c r="S595" t="s">
        <v>29</v>
      </c>
      <c r="T595" t="s">
        <v>107</v>
      </c>
      <c r="U595">
        <v>2032</v>
      </c>
      <c r="V595">
        <v>0.54700000000000004</v>
      </c>
      <c r="W595">
        <v>15297.25431</v>
      </c>
    </row>
    <row r="596" spans="17:23">
      <c r="Q596" t="s">
        <v>211</v>
      </c>
      <c r="R596" t="s">
        <v>162</v>
      </c>
      <c r="S596" t="s">
        <v>29</v>
      </c>
      <c r="T596" t="s">
        <v>107</v>
      </c>
      <c r="U596">
        <v>2033</v>
      </c>
      <c r="V596">
        <v>0.52400000000000002</v>
      </c>
      <c r="W596">
        <v>15024.184592</v>
      </c>
    </row>
    <row r="597" spans="17:23">
      <c r="Q597" t="s">
        <v>211</v>
      </c>
      <c r="R597" t="s">
        <v>162</v>
      </c>
      <c r="S597" t="s">
        <v>29</v>
      </c>
      <c r="T597" t="s">
        <v>107</v>
      </c>
      <c r="U597">
        <v>2034</v>
      </c>
      <c r="V597">
        <v>0.5</v>
      </c>
      <c r="W597">
        <v>14693.421</v>
      </c>
    </row>
    <row r="598" spans="17:23">
      <c r="Q598" t="s">
        <v>211</v>
      </c>
      <c r="R598" t="s">
        <v>162</v>
      </c>
      <c r="S598" t="s">
        <v>29</v>
      </c>
      <c r="T598" t="s">
        <v>107</v>
      </c>
      <c r="U598">
        <v>2035</v>
      </c>
      <c r="V598">
        <v>0.47499999999999998</v>
      </c>
      <c r="W598">
        <v>14302.182075000001</v>
      </c>
    </row>
    <row r="599" spans="17:23">
      <c r="Q599" t="s">
        <v>211</v>
      </c>
      <c r="R599" t="s">
        <v>162</v>
      </c>
      <c r="S599" t="s">
        <v>29</v>
      </c>
      <c r="T599" t="s">
        <v>107</v>
      </c>
      <c r="U599">
        <v>2036</v>
      </c>
      <c r="V599">
        <v>0.45150000000000001</v>
      </c>
      <c r="W599">
        <v>13924.618039499999</v>
      </c>
    </row>
    <row r="600" spans="17:23">
      <c r="Q600" t="s">
        <v>211</v>
      </c>
      <c r="R600" t="s">
        <v>162</v>
      </c>
      <c r="S600" t="s">
        <v>29</v>
      </c>
      <c r="T600" t="s">
        <v>107</v>
      </c>
      <c r="U600">
        <v>2037</v>
      </c>
      <c r="V600">
        <v>0.42799999999999999</v>
      </c>
      <c r="W600">
        <v>13515.905304</v>
      </c>
    </row>
    <row r="601" spans="17:23">
      <c r="Q601" t="s">
        <v>211</v>
      </c>
      <c r="R601" t="s">
        <v>162</v>
      </c>
      <c r="S601" t="s">
        <v>29</v>
      </c>
      <c r="T601" t="s">
        <v>107</v>
      </c>
      <c r="U601">
        <v>2038</v>
      </c>
      <c r="V601">
        <v>0.40699999999999997</v>
      </c>
      <c r="W601">
        <v>13156.221683</v>
      </c>
    </row>
    <row r="602" spans="17:23">
      <c r="Q602" t="s">
        <v>211</v>
      </c>
      <c r="R602" t="s">
        <v>162</v>
      </c>
      <c r="S602" t="s">
        <v>29</v>
      </c>
      <c r="T602" t="s">
        <v>107</v>
      </c>
      <c r="U602">
        <v>2039</v>
      </c>
      <c r="V602">
        <v>0.38100000000000001</v>
      </c>
      <c r="W602">
        <v>12602.509974000001</v>
      </c>
    </row>
    <row r="603" spans="17:23">
      <c r="Q603" t="s">
        <v>211</v>
      </c>
      <c r="R603" t="s">
        <v>162</v>
      </c>
      <c r="S603" t="s">
        <v>29</v>
      </c>
      <c r="T603" t="s">
        <v>107</v>
      </c>
      <c r="U603">
        <v>2040</v>
      </c>
      <c r="V603">
        <v>0.35399999999999998</v>
      </c>
      <c r="W603">
        <v>11978.194278000001</v>
      </c>
    </row>
    <row r="604" spans="17:23">
      <c r="Q604" t="s">
        <v>211</v>
      </c>
      <c r="R604" t="s">
        <v>162</v>
      </c>
      <c r="S604" t="s">
        <v>29</v>
      </c>
      <c r="T604" t="s">
        <v>107</v>
      </c>
      <c r="U604">
        <v>2041</v>
      </c>
      <c r="V604">
        <v>0.33400000000000002</v>
      </c>
      <c r="W604">
        <v>11557.1682</v>
      </c>
    </row>
    <row r="605" spans="17:23">
      <c r="Q605" t="s">
        <v>211</v>
      </c>
      <c r="R605" t="s">
        <v>162</v>
      </c>
      <c r="S605" t="s">
        <v>29</v>
      </c>
      <c r="T605" t="s">
        <v>107</v>
      </c>
      <c r="U605">
        <v>2042</v>
      </c>
      <c r="V605">
        <v>0.313</v>
      </c>
      <c r="W605">
        <v>11072.016615</v>
      </c>
    </row>
    <row r="606" spans="17:23">
      <c r="Q606" t="s">
        <v>211</v>
      </c>
      <c r="R606" t="s">
        <v>162</v>
      </c>
      <c r="S606" t="s">
        <v>29</v>
      </c>
      <c r="T606" t="s">
        <v>107</v>
      </c>
      <c r="U606">
        <v>2043</v>
      </c>
      <c r="V606">
        <v>0.28899999999999998</v>
      </c>
      <c r="W606">
        <v>10447.60432</v>
      </c>
    </row>
    <row r="607" spans="17:23">
      <c r="Q607" t="s">
        <v>211</v>
      </c>
      <c r="R607" t="s">
        <v>162</v>
      </c>
      <c r="S607" t="s">
        <v>29</v>
      </c>
      <c r="T607" t="s">
        <v>107</v>
      </c>
      <c r="U607">
        <v>2044</v>
      </c>
      <c r="V607">
        <v>0.27200000000000002</v>
      </c>
      <c r="W607">
        <v>10045.722959999999</v>
      </c>
    </row>
    <row r="608" spans="17:23">
      <c r="Q608" t="s">
        <v>211</v>
      </c>
      <c r="R608" t="s">
        <v>162</v>
      </c>
      <c r="S608" t="s">
        <v>29</v>
      </c>
      <c r="T608" t="s">
        <v>107</v>
      </c>
      <c r="U608">
        <v>2045</v>
      </c>
      <c r="V608">
        <v>0.248</v>
      </c>
      <c r="W608">
        <v>9354.3504400000002</v>
      </c>
    </row>
    <row r="609" spans="17:23">
      <c r="Q609" t="s">
        <v>211</v>
      </c>
      <c r="R609" t="s">
        <v>162</v>
      </c>
      <c r="S609" t="s">
        <v>29</v>
      </c>
      <c r="T609" t="s">
        <v>107</v>
      </c>
      <c r="U609">
        <v>2046</v>
      </c>
      <c r="V609">
        <v>0.22800000000000001</v>
      </c>
      <c r="W609">
        <v>8780.1582479999997</v>
      </c>
    </row>
    <row r="610" spans="17:23">
      <c r="Q610" t="s">
        <v>211</v>
      </c>
      <c r="R610" t="s">
        <v>162</v>
      </c>
      <c r="S610" t="s">
        <v>29</v>
      </c>
      <c r="T610" t="s">
        <v>107</v>
      </c>
      <c r="U610">
        <v>2047</v>
      </c>
      <c r="V610">
        <v>0.21199999999999999</v>
      </c>
      <c r="W610">
        <v>8332.3233440000004</v>
      </c>
    </row>
    <row r="611" spans="17:23">
      <c r="Q611" t="s">
        <v>211</v>
      </c>
      <c r="R611" t="s">
        <v>162</v>
      </c>
      <c r="S611" t="s">
        <v>29</v>
      </c>
      <c r="T611" t="s">
        <v>107</v>
      </c>
      <c r="U611">
        <v>2048</v>
      </c>
      <c r="V611">
        <v>0.192</v>
      </c>
      <c r="W611">
        <v>7699.3474560000004</v>
      </c>
    </row>
    <row r="612" spans="17:23">
      <c r="Q612" t="s">
        <v>211</v>
      </c>
      <c r="R612" t="s">
        <v>162</v>
      </c>
      <c r="S612" t="s">
        <v>29</v>
      </c>
      <c r="T612" t="s">
        <v>107</v>
      </c>
      <c r="U612">
        <v>2049</v>
      </c>
      <c r="V612">
        <v>0.17799999999999999</v>
      </c>
      <c r="W612">
        <v>7280.4447499999997</v>
      </c>
    </row>
    <row r="613" spans="17:23">
      <c r="Q613" t="s">
        <v>211</v>
      </c>
      <c r="R613" t="s">
        <v>162</v>
      </c>
      <c r="S613" t="s">
        <v>29</v>
      </c>
      <c r="T613" t="s">
        <v>107</v>
      </c>
      <c r="U613">
        <v>2050</v>
      </c>
      <c r="V613">
        <v>0.161</v>
      </c>
      <c r="W613">
        <v>6714.505322</v>
      </c>
    </row>
    <row r="614" spans="17:23">
      <c r="Q614" t="s">
        <v>211</v>
      </c>
      <c r="R614" t="s">
        <v>162</v>
      </c>
      <c r="S614" t="s">
        <v>25</v>
      </c>
      <c r="T614" t="s">
        <v>30</v>
      </c>
      <c r="U614">
        <v>2000</v>
      </c>
      <c r="V614">
        <v>0.251</v>
      </c>
      <c r="W614">
        <v>417.17455000000001</v>
      </c>
    </row>
    <row r="615" spans="17:23">
      <c r="Q615" t="s">
        <v>211</v>
      </c>
      <c r="R615" t="s">
        <v>162</v>
      </c>
      <c r="S615" t="s">
        <v>25</v>
      </c>
      <c r="T615" t="s">
        <v>30</v>
      </c>
      <c r="U615">
        <v>2001</v>
      </c>
      <c r="V615">
        <v>0.27400000000000002</v>
      </c>
      <c r="W615">
        <v>471.01367199999999</v>
      </c>
    </row>
    <row r="616" spans="17:23">
      <c r="Q616" t="s">
        <v>211</v>
      </c>
      <c r="R616" t="s">
        <v>162</v>
      </c>
      <c r="S616" t="s">
        <v>25</v>
      </c>
      <c r="T616" t="s">
        <v>30</v>
      </c>
      <c r="U616">
        <v>2002</v>
      </c>
      <c r="V616">
        <v>0.29599999999999999</v>
      </c>
      <c r="W616">
        <v>525.80285600000002</v>
      </c>
    </row>
    <row r="617" spans="17:23">
      <c r="Q617" t="s">
        <v>211</v>
      </c>
      <c r="R617" t="s">
        <v>162</v>
      </c>
      <c r="S617" t="s">
        <v>25</v>
      </c>
      <c r="T617" t="s">
        <v>30</v>
      </c>
      <c r="U617">
        <v>2003</v>
      </c>
      <c r="V617">
        <v>0.32200000000000001</v>
      </c>
      <c r="W617">
        <v>590.893506</v>
      </c>
    </row>
    <row r="618" spans="17:23">
      <c r="Q618" t="s">
        <v>211</v>
      </c>
      <c r="R618" t="s">
        <v>162</v>
      </c>
      <c r="S618" t="s">
        <v>25</v>
      </c>
      <c r="T618" t="s">
        <v>30</v>
      </c>
      <c r="U618">
        <v>2004</v>
      </c>
      <c r="V618">
        <v>0.34499999999999997</v>
      </c>
      <c r="W618">
        <v>654.423945</v>
      </c>
    </row>
    <row r="619" spans="17:23">
      <c r="Q619" t="s">
        <v>211</v>
      </c>
      <c r="R619" t="s">
        <v>162</v>
      </c>
      <c r="S619" t="s">
        <v>25</v>
      </c>
      <c r="T619" t="s">
        <v>30</v>
      </c>
      <c r="U619">
        <v>2005</v>
      </c>
      <c r="V619">
        <v>0.37</v>
      </c>
      <c r="W619">
        <v>726.30334000000005</v>
      </c>
    </row>
    <row r="620" spans="17:23">
      <c r="Q620" t="s">
        <v>211</v>
      </c>
      <c r="R620" t="s">
        <v>162</v>
      </c>
      <c r="S620" t="s">
        <v>25</v>
      </c>
      <c r="T620" t="s">
        <v>30</v>
      </c>
      <c r="U620">
        <v>2006</v>
      </c>
      <c r="V620">
        <v>0.39400000000000002</v>
      </c>
      <c r="W620">
        <v>801.28883199999996</v>
      </c>
    </row>
    <row r="621" spans="17:23">
      <c r="Q621" t="s">
        <v>211</v>
      </c>
      <c r="R621" t="s">
        <v>162</v>
      </c>
      <c r="S621" t="s">
        <v>25</v>
      </c>
      <c r="T621" t="s">
        <v>30</v>
      </c>
      <c r="U621">
        <v>2007</v>
      </c>
      <c r="V621">
        <v>0.41699999999999998</v>
      </c>
      <c r="W621">
        <v>879.29203800000005</v>
      </c>
    </row>
    <row r="622" spans="17:23">
      <c r="Q622" t="s">
        <v>211</v>
      </c>
      <c r="R622" t="s">
        <v>162</v>
      </c>
      <c r="S622" t="s">
        <v>25</v>
      </c>
      <c r="T622" t="s">
        <v>30</v>
      </c>
      <c r="U622">
        <v>2008</v>
      </c>
      <c r="V622">
        <v>0.44350000000000001</v>
      </c>
      <c r="W622">
        <v>970.01033849999999</v>
      </c>
    </row>
    <row r="623" spans="17:23">
      <c r="Q623" t="s">
        <v>211</v>
      </c>
      <c r="R623" t="s">
        <v>162</v>
      </c>
      <c r="S623" t="s">
        <v>25</v>
      </c>
      <c r="T623" t="s">
        <v>30</v>
      </c>
      <c r="U623">
        <v>2009</v>
      </c>
      <c r="V623">
        <v>0.46600000000000003</v>
      </c>
      <c r="W623">
        <v>1057.9467520000001</v>
      </c>
    </row>
    <row r="624" spans="17:23">
      <c r="Q624" t="s">
        <v>211</v>
      </c>
      <c r="R624" t="s">
        <v>162</v>
      </c>
      <c r="S624" t="s">
        <v>25</v>
      </c>
      <c r="T624" t="s">
        <v>30</v>
      </c>
      <c r="U624">
        <v>2010</v>
      </c>
      <c r="V624">
        <v>0.48749999999999999</v>
      </c>
      <c r="W624">
        <v>1149.3207375</v>
      </c>
    </row>
    <row r="625" spans="17:23">
      <c r="Q625" t="s">
        <v>211</v>
      </c>
      <c r="R625" t="s">
        <v>162</v>
      </c>
      <c r="S625" t="s">
        <v>25</v>
      </c>
      <c r="T625" t="s">
        <v>30</v>
      </c>
      <c r="U625">
        <v>2011</v>
      </c>
      <c r="V625">
        <v>0.51349999999999996</v>
      </c>
      <c r="W625">
        <v>1257.6323629999999</v>
      </c>
    </row>
    <row r="626" spans="17:23">
      <c r="Q626" t="s">
        <v>211</v>
      </c>
      <c r="R626" t="s">
        <v>162</v>
      </c>
      <c r="S626" t="s">
        <v>25</v>
      </c>
      <c r="T626" t="s">
        <v>30</v>
      </c>
      <c r="U626">
        <v>2012</v>
      </c>
      <c r="V626">
        <v>0.53900000000000003</v>
      </c>
      <c r="W626">
        <v>1371.9506570000001</v>
      </c>
    </row>
    <row r="627" spans="17:23">
      <c r="Q627" t="s">
        <v>211</v>
      </c>
      <c r="R627" t="s">
        <v>162</v>
      </c>
      <c r="S627" t="s">
        <v>25</v>
      </c>
      <c r="T627" t="s">
        <v>30</v>
      </c>
      <c r="U627">
        <v>2013</v>
      </c>
      <c r="V627">
        <v>0.56100000000000005</v>
      </c>
      <c r="W627">
        <v>1484.7824310000001</v>
      </c>
    </row>
    <row r="628" spans="17:23">
      <c r="Q628" t="s">
        <v>211</v>
      </c>
      <c r="R628" t="s">
        <v>162</v>
      </c>
      <c r="S628" t="s">
        <v>25</v>
      </c>
      <c r="T628" t="s">
        <v>30</v>
      </c>
      <c r="U628">
        <v>2014</v>
      </c>
      <c r="V628">
        <v>0.58899999999999997</v>
      </c>
      <c r="W628">
        <v>1621.8792350000001</v>
      </c>
    </row>
    <row r="629" spans="17:23">
      <c r="Q629" t="s">
        <v>211</v>
      </c>
      <c r="R629" t="s">
        <v>162</v>
      </c>
      <c r="S629" t="s">
        <v>25</v>
      </c>
      <c r="T629" t="s">
        <v>30</v>
      </c>
      <c r="U629">
        <v>2015</v>
      </c>
      <c r="V629">
        <v>0.61699999999999999</v>
      </c>
      <c r="W629">
        <v>1768.7538999999999</v>
      </c>
    </row>
    <row r="630" spans="17:23">
      <c r="Q630" t="s">
        <v>211</v>
      </c>
      <c r="R630" t="s">
        <v>162</v>
      </c>
      <c r="S630" t="s">
        <v>25</v>
      </c>
      <c r="T630" t="s">
        <v>30</v>
      </c>
      <c r="U630">
        <v>2016</v>
      </c>
      <c r="V630">
        <v>0.64400000000000002</v>
      </c>
      <c r="W630">
        <v>1923.161744</v>
      </c>
    </row>
    <row r="631" spans="17:23">
      <c r="Q631" t="s">
        <v>211</v>
      </c>
      <c r="R631" t="s">
        <v>162</v>
      </c>
      <c r="S631" t="s">
        <v>25</v>
      </c>
      <c r="T631" t="s">
        <v>30</v>
      </c>
      <c r="U631">
        <v>2017</v>
      </c>
      <c r="V631">
        <v>0.66900000000000004</v>
      </c>
      <c r="W631">
        <v>2082.3227099999999</v>
      </c>
    </row>
    <row r="632" spans="17:23">
      <c r="Q632" t="s">
        <v>211</v>
      </c>
      <c r="R632" t="s">
        <v>162</v>
      </c>
      <c r="S632" t="s">
        <v>25</v>
      </c>
      <c r="T632" t="s">
        <v>30</v>
      </c>
      <c r="U632">
        <v>2018</v>
      </c>
      <c r="V632">
        <v>0.69399999999999995</v>
      </c>
      <c r="W632">
        <v>2252.677502</v>
      </c>
    </row>
    <row r="633" spans="17:23">
      <c r="Q633" t="s">
        <v>211</v>
      </c>
      <c r="R633" t="s">
        <v>162</v>
      </c>
      <c r="S633" t="s">
        <v>25</v>
      </c>
      <c r="T633" t="s">
        <v>30</v>
      </c>
      <c r="U633">
        <v>2019</v>
      </c>
      <c r="V633">
        <v>0.72</v>
      </c>
      <c r="W633">
        <v>2438.3325599999998</v>
      </c>
    </row>
    <row r="634" spans="17:23">
      <c r="Q634" t="s">
        <v>211</v>
      </c>
      <c r="R634" t="s">
        <v>162</v>
      </c>
      <c r="S634" t="s">
        <v>25</v>
      </c>
      <c r="T634" t="s">
        <v>30</v>
      </c>
      <c r="U634">
        <v>2020</v>
      </c>
      <c r="V634">
        <v>0.74099999999999999</v>
      </c>
      <c r="W634">
        <v>2619.3134759999998</v>
      </c>
    </row>
    <row r="635" spans="17:23">
      <c r="Q635" t="s">
        <v>211</v>
      </c>
      <c r="R635" t="s">
        <v>162</v>
      </c>
      <c r="S635" t="s">
        <v>25</v>
      </c>
      <c r="T635" t="s">
        <v>30</v>
      </c>
      <c r="U635">
        <v>2021</v>
      </c>
      <c r="V635">
        <v>0.76300000000000001</v>
      </c>
      <c r="W635">
        <v>2816.2948029999998</v>
      </c>
    </row>
    <row r="636" spans="17:23">
      <c r="Q636" t="s">
        <v>211</v>
      </c>
      <c r="R636" t="s">
        <v>162</v>
      </c>
      <c r="S636" t="s">
        <v>25</v>
      </c>
      <c r="T636" t="s">
        <v>30</v>
      </c>
      <c r="U636">
        <v>2022</v>
      </c>
      <c r="V636">
        <v>0.78049999999999997</v>
      </c>
      <c r="W636">
        <v>3009.4472169999999</v>
      </c>
    </row>
    <row r="637" spans="17:23">
      <c r="Q637" t="s">
        <v>211</v>
      </c>
      <c r="R637" t="s">
        <v>162</v>
      </c>
      <c r="S637" t="s">
        <v>25</v>
      </c>
      <c r="T637" t="s">
        <v>30</v>
      </c>
      <c r="U637">
        <v>2023</v>
      </c>
      <c r="V637">
        <v>0.8</v>
      </c>
      <c r="W637">
        <v>3223.6624000000002</v>
      </c>
    </row>
    <row r="638" spans="17:23">
      <c r="Q638" t="s">
        <v>211</v>
      </c>
      <c r="R638" t="s">
        <v>162</v>
      </c>
      <c r="S638" t="s">
        <v>25</v>
      </c>
      <c r="T638" t="s">
        <v>30</v>
      </c>
      <c r="U638">
        <v>2024</v>
      </c>
      <c r="V638">
        <v>0.81499999999999995</v>
      </c>
      <c r="W638">
        <v>3433.7050250000002</v>
      </c>
    </row>
    <row r="639" spans="17:23">
      <c r="Q639" t="s">
        <v>211</v>
      </c>
      <c r="R639" t="s">
        <v>162</v>
      </c>
      <c r="S639" t="s">
        <v>25</v>
      </c>
      <c r="T639" t="s">
        <v>30</v>
      </c>
      <c r="U639">
        <v>2025</v>
      </c>
      <c r="V639">
        <v>0.83299999999999996</v>
      </c>
      <c r="W639">
        <v>3671.1342920000002</v>
      </c>
    </row>
    <row r="640" spans="17:23">
      <c r="Q640" t="s">
        <v>211</v>
      </c>
      <c r="R640" t="s">
        <v>162</v>
      </c>
      <c r="S640" t="s">
        <v>25</v>
      </c>
      <c r="T640" t="s">
        <v>30</v>
      </c>
      <c r="U640">
        <v>2026</v>
      </c>
      <c r="V640">
        <v>0.84899999999999998</v>
      </c>
      <c r="W640">
        <v>3915.7111049999999</v>
      </c>
    </row>
    <row r="641" spans="17:23">
      <c r="Q641" t="s">
        <v>211</v>
      </c>
      <c r="R641" t="s">
        <v>162</v>
      </c>
      <c r="S641" t="s">
        <v>25</v>
      </c>
      <c r="T641" t="s">
        <v>30</v>
      </c>
      <c r="U641">
        <v>2027</v>
      </c>
      <c r="V641">
        <v>0.86</v>
      </c>
      <c r="W641">
        <v>4152.6665199999998</v>
      </c>
    </row>
    <row r="642" spans="17:23">
      <c r="Q642" t="s">
        <v>211</v>
      </c>
      <c r="R642" t="s">
        <v>162</v>
      </c>
      <c r="S642" t="s">
        <v>25</v>
      </c>
      <c r="T642" t="s">
        <v>30</v>
      </c>
      <c r="U642">
        <v>2028</v>
      </c>
      <c r="V642">
        <v>0.871</v>
      </c>
      <c r="W642">
        <v>4404.7611010000001</v>
      </c>
    </row>
    <row r="643" spans="17:23">
      <c r="Q643" t="s">
        <v>211</v>
      </c>
      <c r="R643" t="s">
        <v>162</v>
      </c>
      <c r="S643" t="s">
        <v>25</v>
      </c>
      <c r="T643" t="s">
        <v>30</v>
      </c>
      <c r="U643">
        <v>2029</v>
      </c>
      <c r="V643">
        <v>0.88300000000000001</v>
      </c>
      <c r="W643">
        <v>4677.9750599999998</v>
      </c>
    </row>
    <row r="644" spans="17:23">
      <c r="Q644" t="s">
        <v>211</v>
      </c>
      <c r="R644" t="s">
        <v>162</v>
      </c>
      <c r="S644" t="s">
        <v>25</v>
      </c>
      <c r="T644" t="s">
        <v>30</v>
      </c>
      <c r="U644">
        <v>2030</v>
      </c>
      <c r="V644">
        <v>0.89500000000000002</v>
      </c>
      <c r="W644">
        <v>4968.2559799999999</v>
      </c>
    </row>
    <row r="645" spans="17:23">
      <c r="Q645" t="s">
        <v>211</v>
      </c>
      <c r="R645" t="s">
        <v>162</v>
      </c>
      <c r="S645" t="s">
        <v>25</v>
      </c>
      <c r="T645" t="s">
        <v>30</v>
      </c>
      <c r="U645">
        <v>2031</v>
      </c>
      <c r="V645">
        <v>0.90300000000000002</v>
      </c>
      <c r="W645">
        <v>5253.2431349999997</v>
      </c>
    </row>
    <row r="646" spans="17:23">
      <c r="Q646" t="s">
        <v>211</v>
      </c>
      <c r="R646" t="s">
        <v>162</v>
      </c>
      <c r="S646" t="s">
        <v>25</v>
      </c>
      <c r="T646" t="s">
        <v>30</v>
      </c>
      <c r="U646">
        <v>2032</v>
      </c>
      <c r="V646">
        <v>0.91200000000000003</v>
      </c>
      <c r="W646">
        <v>5561.06592</v>
      </c>
    </row>
    <row r="647" spans="17:23">
      <c r="Q647" t="s">
        <v>211</v>
      </c>
      <c r="R647" t="s">
        <v>162</v>
      </c>
      <c r="S647" t="s">
        <v>25</v>
      </c>
      <c r="T647" t="s">
        <v>30</v>
      </c>
      <c r="U647">
        <v>2033</v>
      </c>
      <c r="V647">
        <v>0.91900000000000004</v>
      </c>
      <c r="W647">
        <v>5874.228701</v>
      </c>
    </row>
    <row r="648" spans="17:23">
      <c r="Q648" t="s">
        <v>211</v>
      </c>
      <c r="R648" t="s">
        <v>162</v>
      </c>
      <c r="S648" t="s">
        <v>25</v>
      </c>
      <c r="T648" t="s">
        <v>30</v>
      </c>
      <c r="U648">
        <v>2034</v>
      </c>
      <c r="V648">
        <v>0.92600000000000005</v>
      </c>
      <c r="W648">
        <v>6204.9611720000003</v>
      </c>
    </row>
    <row r="649" spans="17:23">
      <c r="Q649" t="s">
        <v>211</v>
      </c>
      <c r="R649" t="s">
        <v>162</v>
      </c>
      <c r="S649" t="s">
        <v>25</v>
      </c>
      <c r="T649" t="s">
        <v>30</v>
      </c>
      <c r="U649">
        <v>2035</v>
      </c>
      <c r="V649">
        <v>0.93200000000000005</v>
      </c>
      <c r="W649">
        <v>6544.2523600000004</v>
      </c>
    </row>
    <row r="650" spans="17:23">
      <c r="Q650" t="s">
        <v>211</v>
      </c>
      <c r="R650" t="s">
        <v>162</v>
      </c>
      <c r="S650" t="s">
        <v>25</v>
      </c>
      <c r="T650" t="s">
        <v>30</v>
      </c>
      <c r="U650">
        <v>2036</v>
      </c>
      <c r="V650">
        <v>0.93899999999999995</v>
      </c>
      <c r="W650">
        <v>6905.9055479999997</v>
      </c>
    </row>
    <row r="651" spans="17:23">
      <c r="Q651" t="s">
        <v>211</v>
      </c>
      <c r="R651" t="s">
        <v>162</v>
      </c>
      <c r="S651" t="s">
        <v>25</v>
      </c>
      <c r="T651" t="s">
        <v>30</v>
      </c>
      <c r="U651">
        <v>2037</v>
      </c>
      <c r="V651">
        <v>0.94399999999999995</v>
      </c>
      <c r="W651">
        <v>7268.2458720000004</v>
      </c>
    </row>
    <row r="652" spans="17:23">
      <c r="Q652" t="s">
        <v>211</v>
      </c>
      <c r="R652" t="s">
        <v>162</v>
      </c>
      <c r="S652" t="s">
        <v>25</v>
      </c>
      <c r="T652" t="s">
        <v>30</v>
      </c>
      <c r="U652">
        <v>2038</v>
      </c>
      <c r="V652">
        <v>0.94899999999999995</v>
      </c>
      <c r="W652">
        <v>7645.7067569999999</v>
      </c>
    </row>
    <row r="653" spans="17:23">
      <c r="Q653" t="s">
        <v>211</v>
      </c>
      <c r="R653" t="s">
        <v>162</v>
      </c>
      <c r="S653" t="s">
        <v>25</v>
      </c>
      <c r="T653" t="s">
        <v>30</v>
      </c>
      <c r="U653">
        <v>2039</v>
      </c>
      <c r="V653">
        <v>0.95299999999999996</v>
      </c>
      <c r="W653">
        <v>8030.2438869999996</v>
      </c>
    </row>
    <row r="654" spans="17:23">
      <c r="Q654" t="s">
        <v>211</v>
      </c>
      <c r="R654" t="s">
        <v>162</v>
      </c>
      <c r="S654" t="s">
        <v>25</v>
      </c>
      <c r="T654" t="s">
        <v>30</v>
      </c>
      <c r="U654">
        <v>2040</v>
      </c>
      <c r="V654">
        <v>0.95699999999999996</v>
      </c>
      <c r="W654">
        <v>8429.9019750000007</v>
      </c>
    </row>
    <row r="655" spans="17:23">
      <c r="Q655" t="s">
        <v>211</v>
      </c>
      <c r="R655" t="s">
        <v>162</v>
      </c>
      <c r="S655" t="s">
        <v>25</v>
      </c>
      <c r="T655" t="s">
        <v>30</v>
      </c>
      <c r="U655">
        <v>2041</v>
      </c>
      <c r="V655">
        <v>0.96099999999999997</v>
      </c>
      <c r="W655">
        <v>8845.0084430000006</v>
      </c>
    </row>
    <row r="656" spans="17:23">
      <c r="Q656" t="s">
        <v>211</v>
      </c>
      <c r="R656" t="s">
        <v>162</v>
      </c>
      <c r="S656" t="s">
        <v>25</v>
      </c>
      <c r="T656" t="s">
        <v>30</v>
      </c>
      <c r="U656">
        <v>2042</v>
      </c>
      <c r="V656">
        <v>0.96299999999999997</v>
      </c>
      <c r="W656">
        <v>9256.6448999999993</v>
      </c>
    </row>
    <row r="657" spans="17:23">
      <c r="Q657" t="s">
        <v>211</v>
      </c>
      <c r="R657" t="s">
        <v>162</v>
      </c>
      <c r="S657" t="s">
        <v>25</v>
      </c>
      <c r="T657" t="s">
        <v>30</v>
      </c>
      <c r="U657">
        <v>2043</v>
      </c>
      <c r="V657">
        <v>0.96499999999999997</v>
      </c>
      <c r="W657">
        <v>9682.6189300000005</v>
      </c>
    </row>
    <row r="658" spans="17:23">
      <c r="Q658" t="s">
        <v>211</v>
      </c>
      <c r="R658" t="s">
        <v>162</v>
      </c>
      <c r="S658" t="s">
        <v>25</v>
      </c>
      <c r="T658" t="s">
        <v>30</v>
      </c>
      <c r="U658">
        <v>2044</v>
      </c>
      <c r="V658">
        <v>0.96799999999999997</v>
      </c>
      <c r="W658">
        <v>10133.552528</v>
      </c>
    </row>
    <row r="659" spans="17:23">
      <c r="Q659" t="s">
        <v>211</v>
      </c>
      <c r="R659" t="s">
        <v>162</v>
      </c>
      <c r="S659" t="s">
        <v>25</v>
      </c>
      <c r="T659" t="s">
        <v>30</v>
      </c>
      <c r="U659">
        <v>2045</v>
      </c>
      <c r="V659">
        <v>0.97</v>
      </c>
      <c r="W659">
        <v>10589.1214</v>
      </c>
    </row>
    <row r="660" spans="17:23">
      <c r="Q660" t="s">
        <v>211</v>
      </c>
      <c r="R660" t="s">
        <v>162</v>
      </c>
      <c r="S660" t="s">
        <v>25</v>
      </c>
      <c r="T660" t="s">
        <v>30</v>
      </c>
      <c r="U660">
        <v>2046</v>
      </c>
      <c r="V660">
        <v>0.97199999999999998</v>
      </c>
      <c r="W660">
        <v>11059.511256</v>
      </c>
    </row>
    <row r="661" spans="17:23">
      <c r="Q661" t="s">
        <v>211</v>
      </c>
      <c r="R661" t="s">
        <v>162</v>
      </c>
      <c r="S661" t="s">
        <v>25</v>
      </c>
      <c r="T661" t="s">
        <v>30</v>
      </c>
      <c r="U661">
        <v>2047</v>
      </c>
      <c r="V661">
        <v>0.97499999999999998</v>
      </c>
      <c r="W661">
        <v>11556.753975</v>
      </c>
    </row>
    <row r="662" spans="17:23">
      <c r="Q662" t="s">
        <v>211</v>
      </c>
      <c r="R662" t="s">
        <v>162</v>
      </c>
      <c r="S662" t="s">
        <v>25</v>
      </c>
      <c r="T662" t="s">
        <v>30</v>
      </c>
      <c r="U662">
        <v>2048</v>
      </c>
      <c r="V662">
        <v>0.97599999999999998</v>
      </c>
      <c r="W662">
        <v>12045.485536</v>
      </c>
    </row>
    <row r="663" spans="17:23">
      <c r="Q663" t="s">
        <v>211</v>
      </c>
      <c r="R663" t="s">
        <v>162</v>
      </c>
      <c r="S663" t="s">
        <v>25</v>
      </c>
      <c r="T663" t="s">
        <v>30</v>
      </c>
      <c r="U663">
        <v>2049</v>
      </c>
      <c r="V663">
        <v>0.97699999999999998</v>
      </c>
      <c r="W663">
        <v>12548.623172</v>
      </c>
    </row>
    <row r="664" spans="17:23">
      <c r="Q664" t="s">
        <v>211</v>
      </c>
      <c r="R664" t="s">
        <v>162</v>
      </c>
      <c r="S664" t="s">
        <v>25</v>
      </c>
      <c r="T664" t="s">
        <v>30</v>
      </c>
      <c r="U664">
        <v>2050</v>
      </c>
      <c r="V664">
        <v>0.97799999999999998</v>
      </c>
      <c r="W664">
        <v>13066.30005</v>
      </c>
    </row>
    <row r="665" spans="17:23">
      <c r="Q665" t="s">
        <v>211</v>
      </c>
      <c r="R665" t="s">
        <v>162</v>
      </c>
      <c r="S665" t="s">
        <v>26</v>
      </c>
      <c r="T665" t="s">
        <v>30</v>
      </c>
      <c r="U665">
        <v>2000</v>
      </c>
      <c r="V665">
        <v>7.0000000000000001E-3</v>
      </c>
      <c r="W665">
        <v>67.998853999999994</v>
      </c>
    </row>
    <row r="666" spans="17:23">
      <c r="Q666" t="s">
        <v>211</v>
      </c>
      <c r="R666" t="s">
        <v>162</v>
      </c>
      <c r="S666" t="s">
        <v>26</v>
      </c>
      <c r="T666" t="s">
        <v>30</v>
      </c>
      <c r="U666">
        <v>2001</v>
      </c>
      <c r="V666">
        <v>8.0000000000000002E-3</v>
      </c>
      <c r="W666">
        <v>79.814679999999996</v>
      </c>
    </row>
    <row r="667" spans="17:23">
      <c r="Q667" t="s">
        <v>211</v>
      </c>
      <c r="R667" t="s">
        <v>162</v>
      </c>
      <c r="S667" t="s">
        <v>26</v>
      </c>
      <c r="T667" t="s">
        <v>30</v>
      </c>
      <c r="U667">
        <v>2002</v>
      </c>
      <c r="V667">
        <v>8.0000000000000002E-3</v>
      </c>
      <c r="W667">
        <v>81.898799999999994</v>
      </c>
    </row>
    <row r="668" spans="17:23">
      <c r="Q668" t="s">
        <v>211</v>
      </c>
      <c r="R668" t="s">
        <v>162</v>
      </c>
      <c r="S668" t="s">
        <v>26</v>
      </c>
      <c r="T668" t="s">
        <v>30</v>
      </c>
      <c r="U668">
        <v>2003</v>
      </c>
      <c r="V668">
        <v>0.01</v>
      </c>
      <c r="W668">
        <v>105.01613999999999</v>
      </c>
    </row>
    <row r="669" spans="17:23">
      <c r="Q669" t="s">
        <v>211</v>
      </c>
      <c r="R669" t="s">
        <v>162</v>
      </c>
      <c r="S669" t="s">
        <v>26</v>
      </c>
      <c r="T669" t="s">
        <v>30</v>
      </c>
      <c r="U669">
        <v>2004</v>
      </c>
      <c r="V669">
        <v>1.2E-2</v>
      </c>
      <c r="W669">
        <v>129.349884</v>
      </c>
    </row>
    <row r="670" spans="17:23">
      <c r="Q670" t="s">
        <v>211</v>
      </c>
      <c r="R670" t="s">
        <v>162</v>
      </c>
      <c r="S670" t="s">
        <v>26</v>
      </c>
      <c r="T670" t="s">
        <v>30</v>
      </c>
      <c r="U670">
        <v>2005</v>
      </c>
      <c r="V670">
        <v>1.2999999999999999E-2</v>
      </c>
      <c r="W670">
        <v>143.997477</v>
      </c>
    </row>
    <row r="671" spans="17:23">
      <c r="Q671" t="s">
        <v>211</v>
      </c>
      <c r="R671" t="s">
        <v>162</v>
      </c>
      <c r="S671" t="s">
        <v>26</v>
      </c>
      <c r="T671" t="s">
        <v>30</v>
      </c>
      <c r="U671">
        <v>2006</v>
      </c>
      <c r="V671">
        <v>1.6E-2</v>
      </c>
      <c r="W671">
        <v>182.32854399999999</v>
      </c>
    </row>
    <row r="672" spans="17:23">
      <c r="Q672" t="s">
        <v>211</v>
      </c>
      <c r="R672" t="s">
        <v>162</v>
      </c>
      <c r="S672" t="s">
        <v>26</v>
      </c>
      <c r="T672" t="s">
        <v>30</v>
      </c>
      <c r="U672">
        <v>2007</v>
      </c>
      <c r="V672">
        <v>1.7999999999999999E-2</v>
      </c>
      <c r="W672">
        <v>211.18239</v>
      </c>
    </row>
    <row r="673" spans="17:23">
      <c r="Q673" t="s">
        <v>211</v>
      </c>
      <c r="R673" t="s">
        <v>162</v>
      </c>
      <c r="S673" t="s">
        <v>26</v>
      </c>
      <c r="T673" t="s">
        <v>30</v>
      </c>
      <c r="U673">
        <v>2008</v>
      </c>
      <c r="V673">
        <v>2.1000000000000001E-2</v>
      </c>
      <c r="W673">
        <v>253.765323</v>
      </c>
    </row>
    <row r="674" spans="17:23">
      <c r="Q674" t="s">
        <v>211</v>
      </c>
      <c r="R674" t="s">
        <v>162</v>
      </c>
      <c r="S674" t="s">
        <v>26</v>
      </c>
      <c r="T674" t="s">
        <v>30</v>
      </c>
      <c r="U674">
        <v>2009</v>
      </c>
      <c r="V674">
        <v>2.5999999999999999E-2</v>
      </c>
      <c r="W674">
        <v>323.55257999999998</v>
      </c>
    </row>
    <row r="675" spans="17:23">
      <c r="Q675" t="s">
        <v>211</v>
      </c>
      <c r="R675" t="s">
        <v>162</v>
      </c>
      <c r="S675" t="s">
        <v>26</v>
      </c>
      <c r="T675" t="s">
        <v>30</v>
      </c>
      <c r="U675">
        <v>2010</v>
      </c>
      <c r="V675">
        <v>2.9000000000000001E-2</v>
      </c>
      <c r="W675">
        <v>371.47590600000001</v>
      </c>
    </row>
    <row r="676" spans="17:23">
      <c r="Q676" t="s">
        <v>211</v>
      </c>
      <c r="R676" t="s">
        <v>162</v>
      </c>
      <c r="S676" t="s">
        <v>26</v>
      </c>
      <c r="T676" t="s">
        <v>30</v>
      </c>
      <c r="U676">
        <v>2011</v>
      </c>
      <c r="V676">
        <v>3.3000000000000002E-2</v>
      </c>
      <c r="W676">
        <v>434.88983999999999</v>
      </c>
    </row>
    <row r="677" spans="17:23">
      <c r="Q677" t="s">
        <v>211</v>
      </c>
      <c r="R677" t="s">
        <v>162</v>
      </c>
      <c r="S677" t="s">
        <v>26</v>
      </c>
      <c r="T677" t="s">
        <v>30</v>
      </c>
      <c r="U677">
        <v>2012</v>
      </c>
      <c r="V677">
        <v>3.7999999999999999E-2</v>
      </c>
      <c r="W677">
        <v>514.97379599999999</v>
      </c>
    </row>
    <row r="678" spans="17:23">
      <c r="Q678" t="s">
        <v>211</v>
      </c>
      <c r="R678" t="s">
        <v>162</v>
      </c>
      <c r="S678" t="s">
        <v>26</v>
      </c>
      <c r="T678" t="s">
        <v>30</v>
      </c>
      <c r="U678">
        <v>2013</v>
      </c>
      <c r="V678">
        <v>4.4999999999999998E-2</v>
      </c>
      <c r="W678">
        <v>626.87141999999994</v>
      </c>
    </row>
    <row r="679" spans="17:23">
      <c r="Q679" t="s">
        <v>211</v>
      </c>
      <c r="R679" t="s">
        <v>162</v>
      </c>
      <c r="S679" t="s">
        <v>26</v>
      </c>
      <c r="T679" t="s">
        <v>30</v>
      </c>
      <c r="U679">
        <v>2014</v>
      </c>
      <c r="V679">
        <v>4.9000000000000002E-2</v>
      </c>
      <c r="W679">
        <v>701.44592699999998</v>
      </c>
    </row>
    <row r="680" spans="17:23">
      <c r="Q680" t="s">
        <v>211</v>
      </c>
      <c r="R680" t="s">
        <v>162</v>
      </c>
      <c r="S680" t="s">
        <v>26</v>
      </c>
      <c r="T680" t="s">
        <v>30</v>
      </c>
      <c r="U680">
        <v>2015</v>
      </c>
      <c r="V680">
        <v>5.7000000000000002E-2</v>
      </c>
      <c r="W680">
        <v>838.29369899999995</v>
      </c>
    </row>
    <row r="681" spans="17:23">
      <c r="Q681" t="s">
        <v>211</v>
      </c>
      <c r="R681" t="s">
        <v>162</v>
      </c>
      <c r="S681" t="s">
        <v>26</v>
      </c>
      <c r="T681" t="s">
        <v>30</v>
      </c>
      <c r="U681">
        <v>2016</v>
      </c>
      <c r="V681">
        <v>6.3E-2</v>
      </c>
      <c r="W681">
        <v>951.63383699999997</v>
      </c>
    </row>
    <row r="682" spans="17:23">
      <c r="Q682" t="s">
        <v>211</v>
      </c>
      <c r="R682" t="s">
        <v>162</v>
      </c>
      <c r="S682" t="s">
        <v>26</v>
      </c>
      <c r="T682" t="s">
        <v>30</v>
      </c>
      <c r="U682">
        <v>2017</v>
      </c>
      <c r="V682">
        <v>7.0999999999999994E-2</v>
      </c>
      <c r="W682">
        <v>1101.1754940000001</v>
      </c>
    </row>
    <row r="683" spans="17:23">
      <c r="Q683" t="s">
        <v>211</v>
      </c>
      <c r="R683" t="s">
        <v>162</v>
      </c>
      <c r="S683" t="s">
        <v>26</v>
      </c>
      <c r="T683" t="s">
        <v>30</v>
      </c>
      <c r="U683">
        <v>2018</v>
      </c>
      <c r="V683">
        <v>7.8E-2</v>
      </c>
      <c r="W683">
        <v>1241.6660099999999</v>
      </c>
    </row>
    <row r="684" spans="17:23">
      <c r="Q684" t="s">
        <v>211</v>
      </c>
      <c r="R684" t="s">
        <v>162</v>
      </c>
      <c r="S684" t="s">
        <v>26</v>
      </c>
      <c r="T684" t="s">
        <v>30</v>
      </c>
      <c r="U684">
        <v>2019</v>
      </c>
      <c r="V684">
        <v>8.6999999999999994E-2</v>
      </c>
      <c r="W684">
        <v>1420.89879</v>
      </c>
    </row>
    <row r="685" spans="17:23">
      <c r="Q685" t="s">
        <v>211</v>
      </c>
      <c r="R685" t="s">
        <v>162</v>
      </c>
      <c r="S685" t="s">
        <v>26</v>
      </c>
      <c r="T685" t="s">
        <v>30</v>
      </c>
      <c r="U685">
        <v>2020</v>
      </c>
      <c r="V685">
        <v>9.6000000000000002E-2</v>
      </c>
      <c r="W685">
        <v>1607.8900799999999</v>
      </c>
    </row>
    <row r="686" spans="17:23">
      <c r="Q686" t="s">
        <v>211</v>
      </c>
      <c r="R686" t="s">
        <v>162</v>
      </c>
      <c r="S686" t="s">
        <v>26</v>
      </c>
      <c r="T686" t="s">
        <v>30</v>
      </c>
      <c r="U686">
        <v>2021</v>
      </c>
      <c r="V686">
        <v>0.107</v>
      </c>
      <c r="W686">
        <v>1836.98777</v>
      </c>
    </row>
    <row r="687" spans="17:23">
      <c r="Q687" t="s">
        <v>211</v>
      </c>
      <c r="R687" t="s">
        <v>162</v>
      </c>
      <c r="S687" t="s">
        <v>26</v>
      </c>
      <c r="T687" t="s">
        <v>30</v>
      </c>
      <c r="U687">
        <v>2022</v>
      </c>
      <c r="V687">
        <v>0.11799999999999999</v>
      </c>
      <c r="W687">
        <v>2075.5815320000002</v>
      </c>
    </row>
    <row r="688" spans="17:23">
      <c r="Q688" t="s">
        <v>211</v>
      </c>
      <c r="R688" t="s">
        <v>162</v>
      </c>
      <c r="S688" t="s">
        <v>26</v>
      </c>
      <c r="T688" t="s">
        <v>30</v>
      </c>
      <c r="U688">
        <v>2023</v>
      </c>
      <c r="V688">
        <v>0.13</v>
      </c>
      <c r="W688">
        <v>2341.7784000000001</v>
      </c>
    </row>
    <row r="689" spans="17:23">
      <c r="Q689" t="s">
        <v>211</v>
      </c>
      <c r="R689" t="s">
        <v>162</v>
      </c>
      <c r="S689" t="s">
        <v>26</v>
      </c>
      <c r="T689" t="s">
        <v>30</v>
      </c>
      <c r="U689">
        <v>2024</v>
      </c>
      <c r="V689">
        <v>0.14199999999999999</v>
      </c>
      <c r="W689">
        <v>2618.5495799999999</v>
      </c>
    </row>
    <row r="690" spans="17:23">
      <c r="Q690" t="s">
        <v>211</v>
      </c>
      <c r="R690" t="s">
        <v>162</v>
      </c>
      <c r="S690" t="s">
        <v>26</v>
      </c>
      <c r="T690" t="s">
        <v>30</v>
      </c>
      <c r="U690">
        <v>2025</v>
      </c>
      <c r="V690">
        <v>0.155</v>
      </c>
      <c r="W690">
        <v>2924.8654999999999</v>
      </c>
    </row>
    <row r="691" spans="17:23">
      <c r="Q691" t="s">
        <v>211</v>
      </c>
      <c r="R691" t="s">
        <v>162</v>
      </c>
      <c r="S691" t="s">
        <v>26</v>
      </c>
      <c r="T691" t="s">
        <v>30</v>
      </c>
      <c r="U691">
        <v>2026</v>
      </c>
      <c r="V691">
        <v>0.17100000000000001</v>
      </c>
      <c r="W691">
        <v>3300.6543120000001</v>
      </c>
    </row>
    <row r="692" spans="17:23">
      <c r="Q692" t="s">
        <v>211</v>
      </c>
      <c r="R692" t="s">
        <v>162</v>
      </c>
      <c r="S692" t="s">
        <v>26</v>
      </c>
      <c r="T692" t="s">
        <v>30</v>
      </c>
      <c r="U692">
        <v>2027</v>
      </c>
      <c r="V692">
        <v>0.187</v>
      </c>
      <c r="W692">
        <v>3690.5083930000001</v>
      </c>
    </row>
    <row r="693" spans="17:23">
      <c r="Q693" t="s">
        <v>211</v>
      </c>
      <c r="R693" t="s">
        <v>162</v>
      </c>
      <c r="S693" t="s">
        <v>26</v>
      </c>
      <c r="T693" t="s">
        <v>30</v>
      </c>
      <c r="U693">
        <v>2028</v>
      </c>
      <c r="V693">
        <v>0.20599999999999999</v>
      </c>
      <c r="W693">
        <v>4154.6932839999999</v>
      </c>
    </row>
    <row r="694" spans="17:23">
      <c r="Q694" t="s">
        <v>211</v>
      </c>
      <c r="R694" t="s">
        <v>162</v>
      </c>
      <c r="S694" t="s">
        <v>26</v>
      </c>
      <c r="T694" t="s">
        <v>30</v>
      </c>
      <c r="U694">
        <v>2029</v>
      </c>
      <c r="V694">
        <v>0.223</v>
      </c>
      <c r="W694">
        <v>4593.6945210000003</v>
      </c>
    </row>
    <row r="695" spans="17:23">
      <c r="Q695" t="s">
        <v>211</v>
      </c>
      <c r="R695" t="s">
        <v>162</v>
      </c>
      <c r="S695" t="s">
        <v>26</v>
      </c>
      <c r="T695" t="s">
        <v>30</v>
      </c>
      <c r="U695">
        <v>2030</v>
      </c>
      <c r="V695">
        <v>0.24099999999999999</v>
      </c>
      <c r="W695">
        <v>5067.5366430000004</v>
      </c>
    </row>
    <row r="696" spans="17:23">
      <c r="Q696" t="s">
        <v>211</v>
      </c>
      <c r="R696" t="s">
        <v>162</v>
      </c>
      <c r="S696" t="s">
        <v>26</v>
      </c>
      <c r="T696" t="s">
        <v>30</v>
      </c>
      <c r="U696">
        <v>2031</v>
      </c>
      <c r="V696">
        <v>0.26200000000000001</v>
      </c>
      <c r="W696">
        <v>5619.9484700000003</v>
      </c>
    </row>
    <row r="697" spans="17:23">
      <c r="Q697" t="s">
        <v>211</v>
      </c>
      <c r="R697" t="s">
        <v>162</v>
      </c>
      <c r="S697" t="s">
        <v>26</v>
      </c>
      <c r="T697" t="s">
        <v>30</v>
      </c>
      <c r="U697">
        <v>2032</v>
      </c>
      <c r="V697">
        <v>0.28399999999999997</v>
      </c>
      <c r="W697">
        <v>6210.5318799999995</v>
      </c>
    </row>
    <row r="698" spans="17:23">
      <c r="Q698" t="s">
        <v>211</v>
      </c>
      <c r="R698" t="s">
        <v>162</v>
      </c>
      <c r="S698" t="s">
        <v>26</v>
      </c>
      <c r="T698" t="s">
        <v>30</v>
      </c>
      <c r="U698">
        <v>2033</v>
      </c>
      <c r="V698">
        <v>0.30499999999999999</v>
      </c>
      <c r="W698">
        <v>6795.4393449999998</v>
      </c>
    </row>
    <row r="699" spans="17:23">
      <c r="Q699" t="s">
        <v>211</v>
      </c>
      <c r="R699" t="s">
        <v>162</v>
      </c>
      <c r="S699" t="s">
        <v>26</v>
      </c>
      <c r="T699" t="s">
        <v>30</v>
      </c>
      <c r="U699">
        <v>2034</v>
      </c>
      <c r="V699">
        <v>0.33100000000000002</v>
      </c>
      <c r="W699">
        <v>7509.0726199999999</v>
      </c>
    </row>
    <row r="700" spans="17:23">
      <c r="Q700" t="s">
        <v>211</v>
      </c>
      <c r="R700" t="s">
        <v>162</v>
      </c>
      <c r="S700" t="s">
        <v>26</v>
      </c>
      <c r="T700" t="s">
        <v>30</v>
      </c>
      <c r="U700">
        <v>2035</v>
      </c>
      <c r="V700">
        <v>0.35299999999999998</v>
      </c>
      <c r="W700">
        <v>8150.1088309999996</v>
      </c>
    </row>
    <row r="701" spans="17:23">
      <c r="Q701" t="s">
        <v>211</v>
      </c>
      <c r="R701" t="s">
        <v>162</v>
      </c>
      <c r="S701" t="s">
        <v>26</v>
      </c>
      <c r="T701" t="s">
        <v>30</v>
      </c>
      <c r="U701">
        <v>2036</v>
      </c>
      <c r="V701">
        <v>0.38</v>
      </c>
      <c r="W701">
        <v>8924.7791799999995</v>
      </c>
    </row>
    <row r="702" spans="17:23">
      <c r="Q702" t="s">
        <v>211</v>
      </c>
      <c r="R702" t="s">
        <v>162</v>
      </c>
      <c r="S702" t="s">
        <v>26</v>
      </c>
      <c r="T702" t="s">
        <v>30</v>
      </c>
      <c r="U702">
        <v>2037</v>
      </c>
      <c r="V702">
        <v>0.40400000000000003</v>
      </c>
      <c r="W702">
        <v>9647.4412200000006</v>
      </c>
    </row>
    <row r="703" spans="17:23">
      <c r="Q703" t="s">
        <v>211</v>
      </c>
      <c r="R703" t="s">
        <v>162</v>
      </c>
      <c r="S703" t="s">
        <v>26</v>
      </c>
      <c r="T703" t="s">
        <v>30</v>
      </c>
      <c r="U703">
        <v>2038</v>
      </c>
      <c r="V703">
        <v>0.43</v>
      </c>
      <c r="W703">
        <v>10435.358679999999</v>
      </c>
    </row>
    <row r="704" spans="17:23">
      <c r="Q704" t="s">
        <v>211</v>
      </c>
      <c r="R704" t="s">
        <v>162</v>
      </c>
      <c r="S704" t="s">
        <v>26</v>
      </c>
      <c r="T704" t="s">
        <v>30</v>
      </c>
      <c r="U704">
        <v>2039</v>
      </c>
      <c r="V704">
        <v>0.45850000000000002</v>
      </c>
      <c r="W704">
        <v>11302.563737500001</v>
      </c>
    </row>
    <row r="705" spans="17:23">
      <c r="Q705" t="s">
        <v>211</v>
      </c>
      <c r="R705" t="s">
        <v>162</v>
      </c>
      <c r="S705" t="s">
        <v>26</v>
      </c>
      <c r="T705" t="s">
        <v>30</v>
      </c>
      <c r="U705">
        <v>2040</v>
      </c>
      <c r="V705">
        <v>0.48199999999999998</v>
      </c>
      <c r="W705">
        <v>12063.511424</v>
      </c>
    </row>
    <row r="706" spans="17:23">
      <c r="Q706" t="s">
        <v>211</v>
      </c>
      <c r="R706" t="s">
        <v>162</v>
      </c>
      <c r="S706" t="s">
        <v>26</v>
      </c>
      <c r="T706" t="s">
        <v>30</v>
      </c>
      <c r="U706">
        <v>2041</v>
      </c>
      <c r="V706">
        <v>0.51300000000000001</v>
      </c>
      <c r="W706">
        <v>13029.346880999999</v>
      </c>
    </row>
    <row r="707" spans="17:23">
      <c r="Q707" t="s">
        <v>211</v>
      </c>
      <c r="R707" t="s">
        <v>162</v>
      </c>
      <c r="S707" t="s">
        <v>26</v>
      </c>
      <c r="T707" t="s">
        <v>30</v>
      </c>
      <c r="U707">
        <v>2042</v>
      </c>
      <c r="V707">
        <v>0.53900000000000003</v>
      </c>
      <c r="W707">
        <v>13885.478144999999</v>
      </c>
    </row>
    <row r="708" spans="17:23">
      <c r="Q708" t="s">
        <v>211</v>
      </c>
      <c r="R708" t="s">
        <v>162</v>
      </c>
      <c r="S708" t="s">
        <v>26</v>
      </c>
      <c r="T708" t="s">
        <v>30</v>
      </c>
      <c r="U708">
        <v>2043</v>
      </c>
      <c r="V708">
        <v>0.56200000000000006</v>
      </c>
      <c r="W708">
        <v>14677.797836</v>
      </c>
    </row>
    <row r="709" spans="17:23">
      <c r="Q709" t="s">
        <v>211</v>
      </c>
      <c r="R709" t="s">
        <v>162</v>
      </c>
      <c r="S709" t="s">
        <v>26</v>
      </c>
      <c r="T709" t="s">
        <v>30</v>
      </c>
      <c r="U709">
        <v>2044</v>
      </c>
      <c r="V709">
        <v>0.58899999999999997</v>
      </c>
      <c r="W709">
        <v>15587.448550999999</v>
      </c>
    </row>
    <row r="710" spans="17:23">
      <c r="Q710" t="s">
        <v>211</v>
      </c>
      <c r="R710" t="s">
        <v>162</v>
      </c>
      <c r="S710" t="s">
        <v>26</v>
      </c>
      <c r="T710" t="s">
        <v>30</v>
      </c>
      <c r="U710">
        <v>2045</v>
      </c>
      <c r="V710">
        <v>0.61599999999999999</v>
      </c>
      <c r="W710">
        <v>16510.361560000001</v>
      </c>
    </row>
    <row r="711" spans="17:23">
      <c r="Q711" t="s">
        <v>211</v>
      </c>
      <c r="R711" t="s">
        <v>162</v>
      </c>
      <c r="S711" t="s">
        <v>26</v>
      </c>
      <c r="T711" t="s">
        <v>30</v>
      </c>
      <c r="U711">
        <v>2046</v>
      </c>
      <c r="V711">
        <v>0.63549999999999995</v>
      </c>
      <c r="W711">
        <v>17241.984364</v>
      </c>
    </row>
    <row r="712" spans="17:23">
      <c r="Q712" t="s">
        <v>211</v>
      </c>
      <c r="R712" t="s">
        <v>162</v>
      </c>
      <c r="S712" t="s">
        <v>26</v>
      </c>
      <c r="T712" t="s">
        <v>30</v>
      </c>
      <c r="U712">
        <v>2047</v>
      </c>
      <c r="V712">
        <v>0.66349999999999998</v>
      </c>
      <c r="W712">
        <v>18213.2946185</v>
      </c>
    </row>
    <row r="713" spans="17:23">
      <c r="Q713" t="s">
        <v>211</v>
      </c>
      <c r="R713" t="s">
        <v>162</v>
      </c>
      <c r="S713" t="s">
        <v>26</v>
      </c>
      <c r="T713" t="s">
        <v>30</v>
      </c>
      <c r="U713">
        <v>2048</v>
      </c>
      <c r="V713">
        <v>0.68300000000000005</v>
      </c>
      <c r="W713">
        <v>18959.453006</v>
      </c>
    </row>
    <row r="714" spans="17:23">
      <c r="Q714" t="s">
        <v>211</v>
      </c>
      <c r="R714" t="s">
        <v>162</v>
      </c>
      <c r="S714" t="s">
        <v>26</v>
      </c>
      <c r="T714" t="s">
        <v>30</v>
      </c>
      <c r="U714">
        <v>2049</v>
      </c>
      <c r="V714">
        <v>0.71099999999999997</v>
      </c>
      <c r="W714">
        <v>19948.768028999999</v>
      </c>
    </row>
    <row r="715" spans="17:23">
      <c r="Q715" t="s">
        <v>211</v>
      </c>
      <c r="R715" t="s">
        <v>162</v>
      </c>
      <c r="S715" t="s">
        <v>26</v>
      </c>
      <c r="T715" t="s">
        <v>30</v>
      </c>
      <c r="U715">
        <v>2050</v>
      </c>
      <c r="V715">
        <v>0.72599999999999998</v>
      </c>
      <c r="W715">
        <v>20578.308101999999</v>
      </c>
    </row>
    <row r="716" spans="17:23">
      <c r="Q716" t="s">
        <v>211</v>
      </c>
      <c r="R716" t="s">
        <v>162</v>
      </c>
      <c r="S716" t="s">
        <v>29</v>
      </c>
      <c r="T716" t="s">
        <v>30</v>
      </c>
      <c r="U716">
        <v>2000</v>
      </c>
      <c r="V716">
        <v>3.9E-2</v>
      </c>
      <c r="W716">
        <v>443.67070799999999</v>
      </c>
    </row>
    <row r="717" spans="17:23">
      <c r="Q717" t="s">
        <v>211</v>
      </c>
      <c r="R717" t="s">
        <v>162</v>
      </c>
      <c r="S717" t="s">
        <v>29</v>
      </c>
      <c r="T717" t="s">
        <v>30</v>
      </c>
      <c r="U717">
        <v>2001</v>
      </c>
      <c r="V717">
        <v>4.3999999999999997E-2</v>
      </c>
      <c r="W717">
        <v>514.61797200000001</v>
      </c>
    </row>
    <row r="718" spans="17:23">
      <c r="Q718" t="s">
        <v>211</v>
      </c>
      <c r="R718" t="s">
        <v>162</v>
      </c>
      <c r="S718" t="s">
        <v>29</v>
      </c>
      <c r="T718" t="s">
        <v>30</v>
      </c>
      <c r="U718">
        <v>2002</v>
      </c>
      <c r="V718">
        <v>4.9000000000000002E-2</v>
      </c>
      <c r="W718">
        <v>588.67183899999998</v>
      </c>
    </row>
    <row r="719" spans="17:23">
      <c r="Q719" t="s">
        <v>211</v>
      </c>
      <c r="R719" t="s">
        <v>162</v>
      </c>
      <c r="S719" t="s">
        <v>29</v>
      </c>
      <c r="T719" t="s">
        <v>30</v>
      </c>
      <c r="U719">
        <v>2003</v>
      </c>
      <c r="V719">
        <v>5.3999999999999999E-2</v>
      </c>
      <c r="W719">
        <v>666.18109800000002</v>
      </c>
    </row>
    <row r="720" spans="17:23">
      <c r="Q720" t="s">
        <v>211</v>
      </c>
      <c r="R720" t="s">
        <v>162</v>
      </c>
      <c r="S720" t="s">
        <v>29</v>
      </c>
      <c r="T720" t="s">
        <v>30</v>
      </c>
      <c r="U720">
        <v>2004</v>
      </c>
      <c r="V720">
        <v>5.8999999999999997E-2</v>
      </c>
      <c r="W720">
        <v>747.88624200000004</v>
      </c>
    </row>
    <row r="721" spans="17:23">
      <c r="Q721" t="s">
        <v>211</v>
      </c>
      <c r="R721" t="s">
        <v>162</v>
      </c>
      <c r="S721" t="s">
        <v>29</v>
      </c>
      <c r="T721" t="s">
        <v>30</v>
      </c>
      <c r="U721">
        <v>2005</v>
      </c>
      <c r="V721">
        <v>6.6000000000000003E-2</v>
      </c>
      <c r="W721">
        <v>860.62092600000005</v>
      </c>
    </row>
    <row r="722" spans="17:23">
      <c r="Q722" t="s">
        <v>211</v>
      </c>
      <c r="R722" t="s">
        <v>162</v>
      </c>
      <c r="S722" t="s">
        <v>29</v>
      </c>
      <c r="T722" t="s">
        <v>30</v>
      </c>
      <c r="U722">
        <v>2006</v>
      </c>
      <c r="V722">
        <v>7.0999999999999994E-2</v>
      </c>
      <c r="W722">
        <v>953.47760200000005</v>
      </c>
    </row>
    <row r="723" spans="17:23">
      <c r="Q723" t="s">
        <v>211</v>
      </c>
      <c r="R723" t="s">
        <v>162</v>
      </c>
      <c r="S723" t="s">
        <v>29</v>
      </c>
      <c r="T723" t="s">
        <v>30</v>
      </c>
      <c r="U723">
        <v>2007</v>
      </c>
      <c r="V723">
        <v>7.8E-2</v>
      </c>
      <c r="W723">
        <v>1079.5955819999999</v>
      </c>
    </row>
    <row r="724" spans="17:23">
      <c r="Q724" t="s">
        <v>211</v>
      </c>
      <c r="R724" t="s">
        <v>162</v>
      </c>
      <c r="S724" t="s">
        <v>29</v>
      </c>
      <c r="T724" t="s">
        <v>30</v>
      </c>
      <c r="U724">
        <v>2008</v>
      </c>
      <c r="V724">
        <v>8.3000000000000004E-2</v>
      </c>
      <c r="W724">
        <v>1184.512422</v>
      </c>
    </row>
    <row r="725" spans="17:23">
      <c r="Q725" t="s">
        <v>211</v>
      </c>
      <c r="R725" t="s">
        <v>162</v>
      </c>
      <c r="S725" t="s">
        <v>29</v>
      </c>
      <c r="T725" t="s">
        <v>30</v>
      </c>
      <c r="U725">
        <v>2009</v>
      </c>
      <c r="V725">
        <v>9.1999999999999998E-2</v>
      </c>
      <c r="W725">
        <v>1353.7433840000001</v>
      </c>
    </row>
    <row r="726" spans="17:23">
      <c r="Q726" t="s">
        <v>211</v>
      </c>
      <c r="R726" t="s">
        <v>162</v>
      </c>
      <c r="S726" t="s">
        <v>29</v>
      </c>
      <c r="T726" t="s">
        <v>30</v>
      </c>
      <c r="U726">
        <v>2010</v>
      </c>
      <c r="V726">
        <v>0.1</v>
      </c>
      <c r="W726">
        <v>1516.7094999999999</v>
      </c>
    </row>
    <row r="727" spans="17:23">
      <c r="Q727" t="s">
        <v>211</v>
      </c>
      <c r="R727" t="s">
        <v>162</v>
      </c>
      <c r="S727" t="s">
        <v>29</v>
      </c>
      <c r="T727" t="s">
        <v>30</v>
      </c>
      <c r="U727">
        <v>2011</v>
      </c>
      <c r="V727">
        <v>0.108</v>
      </c>
      <c r="W727">
        <v>1687.7827440000001</v>
      </c>
    </row>
    <row r="728" spans="17:23">
      <c r="Q728" t="s">
        <v>211</v>
      </c>
      <c r="R728" t="s">
        <v>162</v>
      </c>
      <c r="S728" t="s">
        <v>29</v>
      </c>
      <c r="T728" t="s">
        <v>30</v>
      </c>
      <c r="U728">
        <v>2012</v>
      </c>
      <c r="V728">
        <v>0.11700000000000001</v>
      </c>
      <c r="W728">
        <v>1883.384685</v>
      </c>
    </row>
    <row r="729" spans="17:23">
      <c r="Q729" t="s">
        <v>211</v>
      </c>
      <c r="R729" t="s">
        <v>162</v>
      </c>
      <c r="S729" t="s">
        <v>29</v>
      </c>
      <c r="T729" t="s">
        <v>30</v>
      </c>
      <c r="U729">
        <v>2013</v>
      </c>
      <c r="V729">
        <v>0.128</v>
      </c>
      <c r="W729">
        <v>2121.874816</v>
      </c>
    </row>
    <row r="730" spans="17:23">
      <c r="Q730" t="s">
        <v>211</v>
      </c>
      <c r="R730" t="s">
        <v>162</v>
      </c>
      <c r="S730" t="s">
        <v>29</v>
      </c>
      <c r="T730" t="s">
        <v>30</v>
      </c>
      <c r="U730">
        <v>2014</v>
      </c>
      <c r="V730">
        <v>0.13800000000000001</v>
      </c>
      <c r="W730">
        <v>2355.499644</v>
      </c>
    </row>
    <row r="731" spans="17:23">
      <c r="Q731" t="s">
        <v>211</v>
      </c>
      <c r="R731" t="s">
        <v>162</v>
      </c>
      <c r="S731" t="s">
        <v>29</v>
      </c>
      <c r="T731" t="s">
        <v>30</v>
      </c>
      <c r="U731">
        <v>2015</v>
      </c>
      <c r="V731">
        <v>0.14899999999999999</v>
      </c>
      <c r="W731">
        <v>2618.467443</v>
      </c>
    </row>
    <row r="732" spans="17:23">
      <c r="Q732" t="s">
        <v>211</v>
      </c>
      <c r="R732" t="s">
        <v>162</v>
      </c>
      <c r="S732" t="s">
        <v>29</v>
      </c>
      <c r="T732" t="s">
        <v>30</v>
      </c>
      <c r="U732">
        <v>2016</v>
      </c>
      <c r="V732">
        <v>0.161</v>
      </c>
      <c r="W732">
        <v>2912.743575</v>
      </c>
    </row>
    <row r="733" spans="17:23">
      <c r="Q733" t="s">
        <v>211</v>
      </c>
      <c r="R733" t="s">
        <v>162</v>
      </c>
      <c r="S733" t="s">
        <v>29</v>
      </c>
      <c r="T733" t="s">
        <v>30</v>
      </c>
      <c r="U733">
        <v>2017</v>
      </c>
      <c r="V733">
        <v>0.17499999999999999</v>
      </c>
      <c r="W733">
        <v>3258.8681999999999</v>
      </c>
    </row>
    <row r="734" spans="17:23">
      <c r="Q734" t="s">
        <v>211</v>
      </c>
      <c r="R734" t="s">
        <v>162</v>
      </c>
      <c r="S734" t="s">
        <v>29</v>
      </c>
      <c r="T734" t="s">
        <v>30</v>
      </c>
      <c r="U734">
        <v>2018</v>
      </c>
      <c r="V734">
        <v>0.187</v>
      </c>
      <c r="W734">
        <v>3583.8041360000002</v>
      </c>
    </row>
    <row r="735" spans="17:23">
      <c r="Q735" t="s">
        <v>211</v>
      </c>
      <c r="R735" t="s">
        <v>162</v>
      </c>
      <c r="S735" t="s">
        <v>29</v>
      </c>
      <c r="T735" t="s">
        <v>30</v>
      </c>
      <c r="U735">
        <v>2019</v>
      </c>
      <c r="V735">
        <v>0.20100000000000001</v>
      </c>
      <c r="W735">
        <v>3963.4673429999998</v>
      </c>
    </row>
    <row r="736" spans="17:23">
      <c r="Q736" t="s">
        <v>211</v>
      </c>
      <c r="R736" t="s">
        <v>162</v>
      </c>
      <c r="S736" t="s">
        <v>29</v>
      </c>
      <c r="T736" t="s">
        <v>30</v>
      </c>
      <c r="U736">
        <v>2020</v>
      </c>
      <c r="V736">
        <v>0.216</v>
      </c>
      <c r="W736">
        <v>4381.2772560000003</v>
      </c>
    </row>
    <row r="737" spans="17:23">
      <c r="Q737" t="s">
        <v>211</v>
      </c>
      <c r="R737" t="s">
        <v>162</v>
      </c>
      <c r="S737" t="s">
        <v>29</v>
      </c>
      <c r="T737" t="s">
        <v>30</v>
      </c>
      <c r="U737">
        <v>2021</v>
      </c>
      <c r="V737">
        <v>0.23100000000000001</v>
      </c>
      <c r="W737">
        <v>4818.473121</v>
      </c>
    </row>
    <row r="738" spans="17:23">
      <c r="Q738" t="s">
        <v>211</v>
      </c>
      <c r="R738" t="s">
        <v>162</v>
      </c>
      <c r="S738" t="s">
        <v>29</v>
      </c>
      <c r="T738" t="s">
        <v>30</v>
      </c>
      <c r="U738">
        <v>2022</v>
      </c>
      <c r="V738">
        <v>0.247</v>
      </c>
      <c r="W738">
        <v>5297.0305959999996</v>
      </c>
    </row>
    <row r="739" spans="17:23">
      <c r="Q739" t="s">
        <v>211</v>
      </c>
      <c r="R739" t="s">
        <v>162</v>
      </c>
      <c r="S739" t="s">
        <v>29</v>
      </c>
      <c r="T739" t="s">
        <v>30</v>
      </c>
      <c r="U739">
        <v>2023</v>
      </c>
      <c r="V739">
        <v>0.26200000000000001</v>
      </c>
      <c r="W739">
        <v>5775.3335960000004</v>
      </c>
    </row>
    <row r="740" spans="17:23">
      <c r="Q740" t="s">
        <v>211</v>
      </c>
      <c r="R740" t="s">
        <v>162</v>
      </c>
      <c r="S740" t="s">
        <v>29</v>
      </c>
      <c r="T740" t="s">
        <v>30</v>
      </c>
      <c r="U740">
        <v>2024</v>
      </c>
      <c r="V740">
        <v>0.28199999999999997</v>
      </c>
      <c r="W740">
        <v>6388.3222500000002</v>
      </c>
    </row>
    <row r="741" spans="17:23">
      <c r="Q741" t="s">
        <v>211</v>
      </c>
      <c r="R741" t="s">
        <v>162</v>
      </c>
      <c r="S741" t="s">
        <v>29</v>
      </c>
      <c r="T741" t="s">
        <v>30</v>
      </c>
      <c r="U741">
        <v>2025</v>
      </c>
      <c r="V741">
        <v>0.29799999999999999</v>
      </c>
      <c r="W741">
        <v>6936.612752</v>
      </c>
    </row>
    <row r="742" spans="17:23">
      <c r="Q742" t="s">
        <v>211</v>
      </c>
      <c r="R742" t="s">
        <v>162</v>
      </c>
      <c r="S742" t="s">
        <v>29</v>
      </c>
      <c r="T742" t="s">
        <v>30</v>
      </c>
      <c r="U742">
        <v>2026</v>
      </c>
      <c r="V742">
        <v>0.318</v>
      </c>
      <c r="W742">
        <v>7604.7210059999998</v>
      </c>
    </row>
    <row r="743" spans="17:23">
      <c r="Q743" t="s">
        <v>211</v>
      </c>
      <c r="R743" t="s">
        <v>162</v>
      </c>
      <c r="S743" t="s">
        <v>29</v>
      </c>
      <c r="T743" t="s">
        <v>30</v>
      </c>
      <c r="U743">
        <v>2027</v>
      </c>
      <c r="V743">
        <v>0.33500000000000002</v>
      </c>
      <c r="W743">
        <v>8228.9470349999992</v>
      </c>
    </row>
    <row r="744" spans="17:23">
      <c r="Q744" t="s">
        <v>211</v>
      </c>
      <c r="R744" t="s">
        <v>162</v>
      </c>
      <c r="S744" t="s">
        <v>29</v>
      </c>
      <c r="T744" t="s">
        <v>30</v>
      </c>
      <c r="U744">
        <v>2028</v>
      </c>
      <c r="V744">
        <v>0.35799999999999998</v>
      </c>
      <c r="W744">
        <v>9030.7451099999998</v>
      </c>
    </row>
    <row r="745" spans="17:23">
      <c r="Q745" t="s">
        <v>211</v>
      </c>
      <c r="R745" t="s">
        <v>162</v>
      </c>
      <c r="S745" t="s">
        <v>29</v>
      </c>
      <c r="T745" t="s">
        <v>30</v>
      </c>
      <c r="U745">
        <v>2029</v>
      </c>
      <c r="V745">
        <v>0.377</v>
      </c>
      <c r="W745">
        <v>9763.2998189999998</v>
      </c>
    </row>
    <row r="746" spans="17:23">
      <c r="Q746" t="s">
        <v>211</v>
      </c>
      <c r="R746" t="s">
        <v>162</v>
      </c>
      <c r="S746" t="s">
        <v>29</v>
      </c>
      <c r="T746" t="s">
        <v>30</v>
      </c>
      <c r="U746">
        <v>2030</v>
      </c>
      <c r="V746">
        <v>0.4</v>
      </c>
      <c r="W746">
        <v>10631.2988</v>
      </c>
    </row>
    <row r="747" spans="17:23">
      <c r="Q747" t="s">
        <v>211</v>
      </c>
      <c r="R747" t="s">
        <v>162</v>
      </c>
      <c r="S747" t="s">
        <v>29</v>
      </c>
      <c r="T747" t="s">
        <v>30</v>
      </c>
      <c r="U747">
        <v>2031</v>
      </c>
      <c r="V747">
        <v>0.42349999999999999</v>
      </c>
      <c r="W747">
        <v>11547.883655</v>
      </c>
    </row>
    <row r="748" spans="17:23">
      <c r="Q748" t="s">
        <v>211</v>
      </c>
      <c r="R748" t="s">
        <v>162</v>
      </c>
      <c r="S748" t="s">
        <v>29</v>
      </c>
      <c r="T748" t="s">
        <v>30</v>
      </c>
      <c r="U748">
        <v>2032</v>
      </c>
      <c r="V748">
        <v>0.44500000000000001</v>
      </c>
      <c r="W748">
        <v>12444.74985</v>
      </c>
    </row>
    <row r="749" spans="17:23">
      <c r="Q749" t="s">
        <v>211</v>
      </c>
      <c r="R749" t="s">
        <v>162</v>
      </c>
      <c r="S749" t="s">
        <v>29</v>
      </c>
      <c r="T749" t="s">
        <v>30</v>
      </c>
      <c r="U749">
        <v>2033</v>
      </c>
      <c r="V749">
        <v>0.46800000000000003</v>
      </c>
      <c r="W749">
        <v>13418.546544000001</v>
      </c>
    </row>
    <row r="750" spans="17:23">
      <c r="Q750" t="s">
        <v>211</v>
      </c>
      <c r="R750" t="s">
        <v>162</v>
      </c>
      <c r="S750" t="s">
        <v>29</v>
      </c>
      <c r="T750" t="s">
        <v>30</v>
      </c>
      <c r="U750">
        <v>2034</v>
      </c>
      <c r="V750">
        <v>0.49399999999999999</v>
      </c>
      <c r="W750">
        <v>14517.099947999999</v>
      </c>
    </row>
    <row r="751" spans="17:23">
      <c r="Q751" t="s">
        <v>211</v>
      </c>
      <c r="R751" t="s">
        <v>162</v>
      </c>
      <c r="S751" t="s">
        <v>29</v>
      </c>
      <c r="T751" t="s">
        <v>30</v>
      </c>
      <c r="U751">
        <v>2035</v>
      </c>
      <c r="V751">
        <v>0.51700000000000002</v>
      </c>
      <c r="W751">
        <v>15566.796069</v>
      </c>
    </row>
    <row r="752" spans="17:23">
      <c r="Q752" t="s">
        <v>211</v>
      </c>
      <c r="R752" t="s">
        <v>162</v>
      </c>
      <c r="S752" t="s">
        <v>29</v>
      </c>
      <c r="T752" t="s">
        <v>30</v>
      </c>
      <c r="U752">
        <v>2036</v>
      </c>
      <c r="V752">
        <v>0.54100000000000004</v>
      </c>
      <c r="W752">
        <v>16684.869013</v>
      </c>
    </row>
    <row r="753" spans="17:23">
      <c r="Q753" t="s">
        <v>211</v>
      </c>
      <c r="R753" t="s">
        <v>162</v>
      </c>
      <c r="S753" t="s">
        <v>29</v>
      </c>
      <c r="T753" t="s">
        <v>30</v>
      </c>
      <c r="U753">
        <v>2037</v>
      </c>
      <c r="V753">
        <v>0.56399999999999995</v>
      </c>
      <c r="W753">
        <v>17810.678951999998</v>
      </c>
    </row>
    <row r="754" spans="17:23">
      <c r="Q754" t="s">
        <v>211</v>
      </c>
      <c r="R754" t="s">
        <v>162</v>
      </c>
      <c r="S754" t="s">
        <v>29</v>
      </c>
      <c r="T754" t="s">
        <v>30</v>
      </c>
      <c r="U754">
        <v>2038</v>
      </c>
      <c r="V754">
        <v>0.58699999999999997</v>
      </c>
      <c r="W754">
        <v>18974.698102999999</v>
      </c>
    </row>
    <row r="755" spans="17:23">
      <c r="Q755" t="s">
        <v>211</v>
      </c>
      <c r="R755" t="s">
        <v>162</v>
      </c>
      <c r="S755" t="s">
        <v>29</v>
      </c>
      <c r="T755" t="s">
        <v>30</v>
      </c>
      <c r="U755">
        <v>2039</v>
      </c>
      <c r="V755">
        <v>0.61199999999999999</v>
      </c>
      <c r="W755">
        <v>20243.401848000001</v>
      </c>
    </row>
    <row r="756" spans="17:23">
      <c r="Q756" t="s">
        <v>211</v>
      </c>
      <c r="R756" t="s">
        <v>162</v>
      </c>
      <c r="S756" t="s">
        <v>29</v>
      </c>
      <c r="T756" t="s">
        <v>30</v>
      </c>
      <c r="U756">
        <v>2040</v>
      </c>
      <c r="V756">
        <v>0.63800000000000001</v>
      </c>
      <c r="W756">
        <v>21587.819066</v>
      </c>
    </row>
    <row r="757" spans="17:23">
      <c r="Q757" t="s">
        <v>211</v>
      </c>
      <c r="R757" t="s">
        <v>162</v>
      </c>
      <c r="S757" t="s">
        <v>29</v>
      </c>
      <c r="T757" t="s">
        <v>30</v>
      </c>
      <c r="U757">
        <v>2041</v>
      </c>
      <c r="V757">
        <v>0.65849999999999997</v>
      </c>
      <c r="W757">
        <v>22785.614549999998</v>
      </c>
    </row>
    <row r="758" spans="17:23">
      <c r="Q758" t="s">
        <v>211</v>
      </c>
      <c r="R758" t="s">
        <v>162</v>
      </c>
      <c r="S758" t="s">
        <v>29</v>
      </c>
      <c r="T758" t="s">
        <v>30</v>
      </c>
      <c r="U758">
        <v>2042</v>
      </c>
      <c r="V758">
        <v>0.68</v>
      </c>
      <c r="W758">
        <v>24054.221399999999</v>
      </c>
    </row>
    <row r="759" spans="17:23">
      <c r="Q759" t="s">
        <v>211</v>
      </c>
      <c r="R759" t="s">
        <v>162</v>
      </c>
      <c r="S759" t="s">
        <v>29</v>
      </c>
      <c r="T759" t="s">
        <v>30</v>
      </c>
      <c r="U759">
        <v>2043</v>
      </c>
      <c r="V759">
        <v>0.70399999999999996</v>
      </c>
      <c r="W759">
        <v>25450.219519999999</v>
      </c>
    </row>
    <row r="760" spans="17:23">
      <c r="Q760" t="s">
        <v>211</v>
      </c>
      <c r="R760" t="s">
        <v>162</v>
      </c>
      <c r="S760" t="s">
        <v>29</v>
      </c>
      <c r="T760" t="s">
        <v>30</v>
      </c>
      <c r="U760">
        <v>2044</v>
      </c>
      <c r="V760">
        <v>0.72</v>
      </c>
      <c r="W760">
        <v>26591.619600000002</v>
      </c>
    </row>
    <row r="761" spans="17:23">
      <c r="Q761" t="s">
        <v>211</v>
      </c>
      <c r="R761" t="s">
        <v>162</v>
      </c>
      <c r="S761" t="s">
        <v>29</v>
      </c>
      <c r="T761" t="s">
        <v>30</v>
      </c>
      <c r="U761">
        <v>2045</v>
      </c>
      <c r="V761">
        <v>0.74399999999999999</v>
      </c>
      <c r="W761">
        <v>28063.051319999999</v>
      </c>
    </row>
    <row r="762" spans="17:23">
      <c r="Q762" t="s">
        <v>211</v>
      </c>
      <c r="R762" t="s">
        <v>162</v>
      </c>
      <c r="S762" t="s">
        <v>29</v>
      </c>
      <c r="T762" t="s">
        <v>30</v>
      </c>
      <c r="U762">
        <v>2046</v>
      </c>
      <c r="V762">
        <v>0.76300000000000001</v>
      </c>
      <c r="W762">
        <v>29382.722558000001</v>
      </c>
    </row>
    <row r="763" spans="17:23">
      <c r="Q763" t="s">
        <v>211</v>
      </c>
      <c r="R763" t="s">
        <v>162</v>
      </c>
      <c r="S763" t="s">
        <v>29</v>
      </c>
      <c r="T763" t="s">
        <v>30</v>
      </c>
      <c r="U763">
        <v>2047</v>
      </c>
      <c r="V763">
        <v>0.77800000000000002</v>
      </c>
      <c r="W763">
        <v>30578.054536</v>
      </c>
    </row>
    <row r="764" spans="17:23">
      <c r="Q764" t="s">
        <v>211</v>
      </c>
      <c r="R764" t="s">
        <v>162</v>
      </c>
      <c r="S764" t="s">
        <v>29</v>
      </c>
      <c r="T764" t="s">
        <v>30</v>
      </c>
      <c r="U764">
        <v>2048</v>
      </c>
      <c r="V764">
        <v>0.79600000000000004</v>
      </c>
      <c r="W764">
        <v>31920.211328000001</v>
      </c>
    </row>
    <row r="765" spans="17:23">
      <c r="Q765" t="s">
        <v>211</v>
      </c>
      <c r="R765" t="s">
        <v>162</v>
      </c>
      <c r="S765" t="s">
        <v>29</v>
      </c>
      <c r="T765" t="s">
        <v>30</v>
      </c>
      <c r="U765">
        <v>2049</v>
      </c>
      <c r="V765">
        <v>0.81200000000000006</v>
      </c>
      <c r="W765">
        <v>33211.916499999999</v>
      </c>
    </row>
    <row r="766" spans="17:23">
      <c r="Q766" t="s">
        <v>211</v>
      </c>
      <c r="R766" t="s">
        <v>162</v>
      </c>
      <c r="S766" t="s">
        <v>29</v>
      </c>
      <c r="T766" t="s">
        <v>30</v>
      </c>
      <c r="U766">
        <v>2050</v>
      </c>
      <c r="V766">
        <v>0.82699999999999996</v>
      </c>
      <c r="W766">
        <v>34490.036654000003</v>
      </c>
    </row>
    <row r="767" spans="17:23">
      <c r="Q767" t="s">
        <v>211</v>
      </c>
      <c r="R767" t="s">
        <v>162</v>
      </c>
      <c r="S767" t="s">
        <v>25</v>
      </c>
      <c r="T767" t="s">
        <v>46</v>
      </c>
      <c r="U767">
        <v>2000</v>
      </c>
      <c r="V767">
        <v>0</v>
      </c>
      <c r="W767">
        <v>0</v>
      </c>
    </row>
    <row r="768" spans="17:23">
      <c r="Q768" t="s">
        <v>211</v>
      </c>
      <c r="R768" t="s">
        <v>162</v>
      </c>
      <c r="S768" t="s">
        <v>25</v>
      </c>
      <c r="T768" t="s">
        <v>46</v>
      </c>
      <c r="U768">
        <v>2001</v>
      </c>
      <c r="V768">
        <v>0</v>
      </c>
      <c r="W768">
        <v>0</v>
      </c>
    </row>
    <row r="769" spans="17:23">
      <c r="Q769" t="s">
        <v>211</v>
      </c>
      <c r="R769" t="s">
        <v>162</v>
      </c>
      <c r="S769" t="s">
        <v>25</v>
      </c>
      <c r="T769" t="s">
        <v>46</v>
      </c>
      <c r="U769">
        <v>2002</v>
      </c>
      <c r="V769">
        <v>0</v>
      </c>
      <c r="W769">
        <v>0</v>
      </c>
    </row>
    <row r="770" spans="17:23">
      <c r="Q770" t="s">
        <v>211</v>
      </c>
      <c r="R770" t="s">
        <v>162</v>
      </c>
      <c r="S770" t="s">
        <v>25</v>
      </c>
      <c r="T770" t="s">
        <v>46</v>
      </c>
      <c r="U770">
        <v>2003</v>
      </c>
      <c r="V770">
        <v>0</v>
      </c>
      <c r="W770">
        <v>0</v>
      </c>
    </row>
    <row r="771" spans="17:23">
      <c r="Q771" t="s">
        <v>211</v>
      </c>
      <c r="R771" t="s">
        <v>162</v>
      </c>
      <c r="S771" t="s">
        <v>25</v>
      </c>
      <c r="T771" t="s">
        <v>46</v>
      </c>
      <c r="U771">
        <v>2004</v>
      </c>
      <c r="V771">
        <v>0</v>
      </c>
      <c r="W771">
        <v>0</v>
      </c>
    </row>
    <row r="772" spans="17:23">
      <c r="Q772" t="s">
        <v>211</v>
      </c>
      <c r="R772" t="s">
        <v>162</v>
      </c>
      <c r="S772" t="s">
        <v>25</v>
      </c>
      <c r="T772" t="s">
        <v>46</v>
      </c>
      <c r="U772">
        <v>2005</v>
      </c>
      <c r="V772">
        <v>0</v>
      </c>
      <c r="W772">
        <v>0</v>
      </c>
    </row>
    <row r="773" spans="17:23">
      <c r="Q773" t="s">
        <v>211</v>
      </c>
      <c r="R773" t="s">
        <v>162</v>
      </c>
      <c r="S773" t="s">
        <v>25</v>
      </c>
      <c r="T773" t="s">
        <v>46</v>
      </c>
      <c r="U773">
        <v>2006</v>
      </c>
      <c r="V773">
        <v>0</v>
      </c>
      <c r="W773">
        <v>0</v>
      </c>
    </row>
    <row r="774" spans="17:23">
      <c r="Q774" t="s">
        <v>211</v>
      </c>
      <c r="R774" t="s">
        <v>162</v>
      </c>
      <c r="S774" t="s">
        <v>25</v>
      </c>
      <c r="T774" t="s">
        <v>46</v>
      </c>
      <c r="U774">
        <v>2007</v>
      </c>
      <c r="V774">
        <v>0</v>
      </c>
      <c r="W774">
        <v>0</v>
      </c>
    </row>
    <row r="775" spans="17:23">
      <c r="Q775" t="s">
        <v>211</v>
      </c>
      <c r="R775" t="s">
        <v>162</v>
      </c>
      <c r="S775" t="s">
        <v>25</v>
      </c>
      <c r="T775" t="s">
        <v>46</v>
      </c>
      <c r="U775">
        <v>2008</v>
      </c>
      <c r="V775">
        <v>0</v>
      </c>
      <c r="W775">
        <v>0</v>
      </c>
    </row>
    <row r="776" spans="17:23">
      <c r="Q776" t="s">
        <v>211</v>
      </c>
      <c r="R776" t="s">
        <v>162</v>
      </c>
      <c r="S776" t="s">
        <v>25</v>
      </c>
      <c r="T776" t="s">
        <v>46</v>
      </c>
      <c r="U776">
        <v>2009</v>
      </c>
      <c r="V776">
        <v>0</v>
      </c>
      <c r="W776">
        <v>0</v>
      </c>
    </row>
    <row r="777" spans="17:23">
      <c r="Q777" t="s">
        <v>211</v>
      </c>
      <c r="R777" t="s">
        <v>162</v>
      </c>
      <c r="S777" t="s">
        <v>25</v>
      </c>
      <c r="T777" t="s">
        <v>46</v>
      </c>
      <c r="U777">
        <v>2010</v>
      </c>
      <c r="V777">
        <v>0</v>
      </c>
      <c r="W777">
        <v>0</v>
      </c>
    </row>
    <row r="778" spans="17:23">
      <c r="Q778" t="s">
        <v>211</v>
      </c>
      <c r="R778" t="s">
        <v>162</v>
      </c>
      <c r="S778" t="s">
        <v>25</v>
      </c>
      <c r="T778" t="s">
        <v>46</v>
      </c>
      <c r="U778">
        <v>2011</v>
      </c>
      <c r="V778">
        <v>0</v>
      </c>
      <c r="W778">
        <v>0</v>
      </c>
    </row>
    <row r="779" spans="17:23">
      <c r="Q779" t="s">
        <v>211</v>
      </c>
      <c r="R779" t="s">
        <v>162</v>
      </c>
      <c r="S779" t="s">
        <v>25</v>
      </c>
      <c r="T779" t="s">
        <v>46</v>
      </c>
      <c r="U779">
        <v>2012</v>
      </c>
      <c r="V779">
        <v>0</v>
      </c>
      <c r="W779">
        <v>0</v>
      </c>
    </row>
    <row r="780" spans="17:23">
      <c r="Q780" t="s">
        <v>211</v>
      </c>
      <c r="R780" t="s">
        <v>162</v>
      </c>
      <c r="S780" t="s">
        <v>25</v>
      </c>
      <c r="T780" t="s">
        <v>46</v>
      </c>
      <c r="U780">
        <v>2013</v>
      </c>
      <c r="V780">
        <v>0</v>
      </c>
      <c r="W780">
        <v>0</v>
      </c>
    </row>
    <row r="781" spans="17:23">
      <c r="Q781" t="s">
        <v>211</v>
      </c>
      <c r="R781" t="s">
        <v>162</v>
      </c>
      <c r="S781" t="s">
        <v>25</v>
      </c>
      <c r="T781" t="s">
        <v>46</v>
      </c>
      <c r="U781">
        <v>2014</v>
      </c>
      <c r="V781">
        <v>0</v>
      </c>
      <c r="W781">
        <v>0</v>
      </c>
    </row>
    <row r="782" spans="17:23">
      <c r="Q782" t="s">
        <v>211</v>
      </c>
      <c r="R782" t="s">
        <v>162</v>
      </c>
      <c r="S782" t="s">
        <v>25</v>
      </c>
      <c r="T782" t="s">
        <v>46</v>
      </c>
      <c r="U782">
        <v>2015</v>
      </c>
      <c r="V782">
        <v>0</v>
      </c>
      <c r="W782">
        <v>0</v>
      </c>
    </row>
    <row r="783" spans="17:23">
      <c r="Q783" t="s">
        <v>211</v>
      </c>
      <c r="R783" t="s">
        <v>162</v>
      </c>
      <c r="S783" t="s">
        <v>25</v>
      </c>
      <c r="T783" t="s">
        <v>46</v>
      </c>
      <c r="U783">
        <v>2016</v>
      </c>
      <c r="V783">
        <v>0</v>
      </c>
      <c r="W783">
        <v>0</v>
      </c>
    </row>
    <row r="784" spans="17:23">
      <c r="Q784" t="s">
        <v>211</v>
      </c>
      <c r="R784" t="s">
        <v>162</v>
      </c>
      <c r="S784" t="s">
        <v>25</v>
      </c>
      <c r="T784" t="s">
        <v>46</v>
      </c>
      <c r="U784">
        <v>2017</v>
      </c>
      <c r="V784">
        <v>0</v>
      </c>
      <c r="W784">
        <v>0</v>
      </c>
    </row>
    <row r="785" spans="17:23">
      <c r="Q785" t="s">
        <v>211</v>
      </c>
      <c r="R785" t="s">
        <v>162</v>
      </c>
      <c r="S785" t="s">
        <v>25</v>
      </c>
      <c r="T785" t="s">
        <v>46</v>
      </c>
      <c r="U785">
        <v>2018</v>
      </c>
      <c r="V785">
        <v>0</v>
      </c>
      <c r="W785">
        <v>0</v>
      </c>
    </row>
    <row r="786" spans="17:23">
      <c r="Q786" t="s">
        <v>211</v>
      </c>
      <c r="R786" t="s">
        <v>162</v>
      </c>
      <c r="S786" t="s">
        <v>25</v>
      </c>
      <c r="T786" t="s">
        <v>46</v>
      </c>
      <c r="U786">
        <v>2019</v>
      </c>
      <c r="V786">
        <v>0</v>
      </c>
      <c r="W786">
        <v>0</v>
      </c>
    </row>
    <row r="787" spans="17:23">
      <c r="Q787" t="s">
        <v>211</v>
      </c>
      <c r="R787" t="s">
        <v>162</v>
      </c>
      <c r="S787" t="s">
        <v>25</v>
      </c>
      <c r="T787" t="s">
        <v>46</v>
      </c>
      <c r="U787">
        <v>2020</v>
      </c>
      <c r="V787">
        <v>0</v>
      </c>
      <c r="W787">
        <v>0</v>
      </c>
    </row>
    <row r="788" spans="17:23">
      <c r="Q788" t="s">
        <v>211</v>
      </c>
      <c r="R788" t="s">
        <v>162</v>
      </c>
      <c r="S788" t="s">
        <v>25</v>
      </c>
      <c r="T788" t="s">
        <v>46</v>
      </c>
      <c r="U788">
        <v>2021</v>
      </c>
      <c r="V788">
        <v>0</v>
      </c>
      <c r="W788">
        <v>0</v>
      </c>
    </row>
    <row r="789" spans="17:23">
      <c r="Q789" t="s">
        <v>211</v>
      </c>
      <c r="R789" t="s">
        <v>162</v>
      </c>
      <c r="S789" t="s">
        <v>25</v>
      </c>
      <c r="T789" t="s">
        <v>46</v>
      </c>
      <c r="U789">
        <v>2022</v>
      </c>
      <c r="V789">
        <v>0</v>
      </c>
      <c r="W789">
        <v>0</v>
      </c>
    </row>
    <row r="790" spans="17:23">
      <c r="Q790" t="s">
        <v>211</v>
      </c>
      <c r="R790" t="s">
        <v>162</v>
      </c>
      <c r="S790" t="s">
        <v>25</v>
      </c>
      <c r="T790" t="s">
        <v>46</v>
      </c>
      <c r="U790">
        <v>2023</v>
      </c>
      <c r="V790">
        <v>0</v>
      </c>
      <c r="W790">
        <v>0</v>
      </c>
    </row>
    <row r="791" spans="17:23">
      <c r="Q791" t="s">
        <v>211</v>
      </c>
      <c r="R791" t="s">
        <v>162</v>
      </c>
      <c r="S791" t="s">
        <v>25</v>
      </c>
      <c r="T791" t="s">
        <v>46</v>
      </c>
      <c r="U791">
        <v>2024</v>
      </c>
      <c r="V791">
        <v>0</v>
      </c>
      <c r="W791">
        <v>0</v>
      </c>
    </row>
    <row r="792" spans="17:23">
      <c r="Q792" t="s">
        <v>211</v>
      </c>
      <c r="R792" t="s">
        <v>162</v>
      </c>
      <c r="S792" t="s">
        <v>25</v>
      </c>
      <c r="T792" t="s">
        <v>46</v>
      </c>
      <c r="U792">
        <v>2025</v>
      </c>
      <c r="V792">
        <v>0</v>
      </c>
      <c r="W792">
        <v>0</v>
      </c>
    </row>
    <row r="793" spans="17:23">
      <c r="Q793" t="s">
        <v>211</v>
      </c>
      <c r="R793" t="s">
        <v>162</v>
      </c>
      <c r="S793" t="s">
        <v>25</v>
      </c>
      <c r="T793" t="s">
        <v>46</v>
      </c>
      <c r="U793">
        <v>2026</v>
      </c>
      <c r="V793">
        <v>0</v>
      </c>
      <c r="W793">
        <v>0</v>
      </c>
    </row>
    <row r="794" spans="17:23">
      <c r="Q794" t="s">
        <v>211</v>
      </c>
      <c r="R794" t="s">
        <v>162</v>
      </c>
      <c r="S794" t="s">
        <v>25</v>
      </c>
      <c r="T794" t="s">
        <v>46</v>
      </c>
      <c r="U794">
        <v>2027</v>
      </c>
      <c r="V794">
        <v>0</v>
      </c>
      <c r="W794">
        <v>0</v>
      </c>
    </row>
    <row r="795" spans="17:23">
      <c r="Q795" t="s">
        <v>211</v>
      </c>
      <c r="R795" t="s">
        <v>162</v>
      </c>
      <c r="S795" t="s">
        <v>25</v>
      </c>
      <c r="T795" t="s">
        <v>46</v>
      </c>
      <c r="U795">
        <v>2028</v>
      </c>
      <c r="V795">
        <v>0</v>
      </c>
      <c r="W795">
        <v>0</v>
      </c>
    </row>
    <row r="796" spans="17:23">
      <c r="Q796" t="s">
        <v>211</v>
      </c>
      <c r="R796" t="s">
        <v>162</v>
      </c>
      <c r="S796" t="s">
        <v>25</v>
      </c>
      <c r="T796" t="s">
        <v>46</v>
      </c>
      <c r="U796">
        <v>2029</v>
      </c>
      <c r="V796">
        <v>0</v>
      </c>
      <c r="W796">
        <v>0</v>
      </c>
    </row>
    <row r="797" spans="17:23">
      <c r="Q797" t="s">
        <v>211</v>
      </c>
      <c r="R797" t="s">
        <v>162</v>
      </c>
      <c r="S797" t="s">
        <v>25</v>
      </c>
      <c r="T797" t="s">
        <v>46</v>
      </c>
      <c r="U797">
        <v>2030</v>
      </c>
      <c r="V797">
        <v>0</v>
      </c>
      <c r="W797">
        <v>0</v>
      </c>
    </row>
    <row r="798" spans="17:23">
      <c r="Q798" t="s">
        <v>211</v>
      </c>
      <c r="R798" t="s">
        <v>162</v>
      </c>
      <c r="S798" t="s">
        <v>25</v>
      </c>
      <c r="T798" t="s">
        <v>46</v>
      </c>
      <c r="U798">
        <v>2031</v>
      </c>
      <c r="V798">
        <v>0</v>
      </c>
      <c r="W798">
        <v>0</v>
      </c>
    </row>
    <row r="799" spans="17:23">
      <c r="Q799" t="s">
        <v>211</v>
      </c>
      <c r="R799" t="s">
        <v>162</v>
      </c>
      <c r="S799" t="s">
        <v>25</v>
      </c>
      <c r="T799" t="s">
        <v>46</v>
      </c>
      <c r="U799">
        <v>2032</v>
      </c>
      <c r="V799">
        <v>0</v>
      </c>
      <c r="W799">
        <v>0</v>
      </c>
    </row>
    <row r="800" spans="17:23">
      <c r="Q800" t="s">
        <v>211</v>
      </c>
      <c r="R800" t="s">
        <v>162</v>
      </c>
      <c r="S800" t="s">
        <v>25</v>
      </c>
      <c r="T800" t="s">
        <v>46</v>
      </c>
      <c r="U800">
        <v>2033</v>
      </c>
      <c r="V800">
        <v>1E-3</v>
      </c>
      <c r="W800">
        <v>6.3919790000000001</v>
      </c>
    </row>
    <row r="801" spans="17:23">
      <c r="Q801" t="s">
        <v>211</v>
      </c>
      <c r="R801" t="s">
        <v>162</v>
      </c>
      <c r="S801" t="s">
        <v>25</v>
      </c>
      <c r="T801" t="s">
        <v>46</v>
      </c>
      <c r="U801">
        <v>2034</v>
      </c>
      <c r="V801">
        <v>1E-3</v>
      </c>
      <c r="W801">
        <v>6.7008219999999996</v>
      </c>
    </row>
    <row r="802" spans="17:23">
      <c r="Q802" t="s">
        <v>211</v>
      </c>
      <c r="R802" t="s">
        <v>162</v>
      </c>
      <c r="S802" t="s">
        <v>25</v>
      </c>
      <c r="T802" t="s">
        <v>46</v>
      </c>
      <c r="U802">
        <v>2035</v>
      </c>
      <c r="V802">
        <v>1E-3</v>
      </c>
      <c r="W802">
        <v>7.0217299999999998</v>
      </c>
    </row>
    <row r="803" spans="17:23">
      <c r="Q803" t="s">
        <v>211</v>
      </c>
      <c r="R803" t="s">
        <v>162</v>
      </c>
      <c r="S803" t="s">
        <v>25</v>
      </c>
      <c r="T803" t="s">
        <v>46</v>
      </c>
      <c r="U803">
        <v>2036</v>
      </c>
      <c r="V803">
        <v>1E-3</v>
      </c>
      <c r="W803">
        <v>7.3545319999999998</v>
      </c>
    </row>
    <row r="804" spans="17:23">
      <c r="Q804" t="s">
        <v>211</v>
      </c>
      <c r="R804" t="s">
        <v>162</v>
      </c>
      <c r="S804" t="s">
        <v>25</v>
      </c>
      <c r="T804" t="s">
        <v>46</v>
      </c>
      <c r="U804">
        <v>2037</v>
      </c>
      <c r="V804">
        <v>1E-3</v>
      </c>
      <c r="W804">
        <v>7.6994129999999998</v>
      </c>
    </row>
    <row r="805" spans="17:23">
      <c r="Q805" t="s">
        <v>211</v>
      </c>
      <c r="R805" t="s">
        <v>162</v>
      </c>
      <c r="S805" t="s">
        <v>25</v>
      </c>
      <c r="T805" t="s">
        <v>46</v>
      </c>
      <c r="U805">
        <v>2038</v>
      </c>
      <c r="V805">
        <v>1E-3</v>
      </c>
      <c r="W805">
        <v>8.0565929999999994</v>
      </c>
    </row>
    <row r="806" spans="17:23">
      <c r="Q806" t="s">
        <v>211</v>
      </c>
      <c r="R806" t="s">
        <v>162</v>
      </c>
      <c r="S806" t="s">
        <v>25</v>
      </c>
      <c r="T806" t="s">
        <v>46</v>
      </c>
      <c r="U806">
        <v>2039</v>
      </c>
      <c r="V806">
        <v>1E-3</v>
      </c>
      <c r="W806">
        <v>8.4262789999999992</v>
      </c>
    </row>
    <row r="807" spans="17:23">
      <c r="Q807" t="s">
        <v>211</v>
      </c>
      <c r="R807" t="s">
        <v>162</v>
      </c>
      <c r="S807" t="s">
        <v>25</v>
      </c>
      <c r="T807" t="s">
        <v>46</v>
      </c>
      <c r="U807">
        <v>2040</v>
      </c>
      <c r="V807">
        <v>1E-3</v>
      </c>
      <c r="W807">
        <v>8.8086749999999991</v>
      </c>
    </row>
    <row r="808" spans="17:23">
      <c r="Q808" t="s">
        <v>211</v>
      </c>
      <c r="R808" t="s">
        <v>162</v>
      </c>
      <c r="S808" t="s">
        <v>25</v>
      </c>
      <c r="T808" t="s">
        <v>46</v>
      </c>
      <c r="U808">
        <v>2041</v>
      </c>
      <c r="V808">
        <v>1E-3</v>
      </c>
      <c r="W808">
        <v>9.2039629999999999</v>
      </c>
    </row>
    <row r="809" spans="17:23">
      <c r="Q809" t="s">
        <v>211</v>
      </c>
      <c r="R809" t="s">
        <v>162</v>
      </c>
      <c r="S809" t="s">
        <v>25</v>
      </c>
      <c r="T809" t="s">
        <v>46</v>
      </c>
      <c r="U809">
        <v>2042</v>
      </c>
      <c r="V809">
        <v>1E-3</v>
      </c>
      <c r="W809">
        <v>9.6122999999999994</v>
      </c>
    </row>
    <row r="810" spans="17:23">
      <c r="Q810" t="s">
        <v>211</v>
      </c>
      <c r="R810" t="s">
        <v>162</v>
      </c>
      <c r="S810" t="s">
        <v>25</v>
      </c>
      <c r="T810" t="s">
        <v>46</v>
      </c>
      <c r="U810">
        <v>2043</v>
      </c>
      <c r="V810">
        <v>1E-3</v>
      </c>
      <c r="W810">
        <v>10.033802</v>
      </c>
    </row>
    <row r="811" spans="17:23">
      <c r="Q811" t="s">
        <v>211</v>
      </c>
      <c r="R811" t="s">
        <v>162</v>
      </c>
      <c r="S811" t="s">
        <v>25</v>
      </c>
      <c r="T811" t="s">
        <v>46</v>
      </c>
      <c r="U811">
        <v>2044</v>
      </c>
      <c r="V811">
        <v>1E-3</v>
      </c>
      <c r="W811">
        <v>10.468546</v>
      </c>
    </row>
    <row r="812" spans="17:23">
      <c r="Q812" t="s">
        <v>211</v>
      </c>
      <c r="R812" t="s">
        <v>162</v>
      </c>
      <c r="S812" t="s">
        <v>25</v>
      </c>
      <c r="T812" t="s">
        <v>46</v>
      </c>
      <c r="U812">
        <v>2045</v>
      </c>
      <c r="V812">
        <v>1E-3</v>
      </c>
      <c r="W812">
        <v>10.91662</v>
      </c>
    </row>
    <row r="813" spans="17:23">
      <c r="Q813" t="s">
        <v>211</v>
      </c>
      <c r="R813" t="s">
        <v>162</v>
      </c>
      <c r="S813" t="s">
        <v>25</v>
      </c>
      <c r="T813" t="s">
        <v>46</v>
      </c>
      <c r="U813">
        <v>2046</v>
      </c>
      <c r="V813">
        <v>1E-3</v>
      </c>
      <c r="W813">
        <v>11.378098</v>
      </c>
    </row>
    <row r="814" spans="17:23">
      <c r="Q814" t="s">
        <v>211</v>
      </c>
      <c r="R814" t="s">
        <v>162</v>
      </c>
      <c r="S814" t="s">
        <v>25</v>
      </c>
      <c r="T814" t="s">
        <v>46</v>
      </c>
      <c r="U814">
        <v>2047</v>
      </c>
      <c r="V814">
        <v>1E-3</v>
      </c>
      <c r="W814">
        <v>11.853081</v>
      </c>
    </row>
    <row r="815" spans="17:23">
      <c r="Q815" t="s">
        <v>211</v>
      </c>
      <c r="R815" t="s">
        <v>162</v>
      </c>
      <c r="S815" t="s">
        <v>25</v>
      </c>
      <c r="T815" t="s">
        <v>46</v>
      </c>
      <c r="U815">
        <v>2048</v>
      </c>
      <c r="V815">
        <v>1E-3</v>
      </c>
      <c r="W815">
        <v>12.341685999999999</v>
      </c>
    </row>
    <row r="816" spans="17:23">
      <c r="Q816" t="s">
        <v>211</v>
      </c>
      <c r="R816" t="s">
        <v>162</v>
      </c>
      <c r="S816" t="s">
        <v>25</v>
      </c>
      <c r="T816" t="s">
        <v>46</v>
      </c>
      <c r="U816">
        <v>2049</v>
      </c>
      <c r="V816">
        <v>1E-3</v>
      </c>
      <c r="W816">
        <v>12.844035999999999</v>
      </c>
    </row>
    <row r="817" spans="17:23">
      <c r="Q817" t="s">
        <v>211</v>
      </c>
      <c r="R817" t="s">
        <v>162</v>
      </c>
      <c r="S817" t="s">
        <v>25</v>
      </c>
      <c r="T817" t="s">
        <v>46</v>
      </c>
      <c r="U817">
        <v>2050</v>
      </c>
      <c r="V817">
        <v>1E-3</v>
      </c>
      <c r="W817">
        <v>13.360225</v>
      </c>
    </row>
    <row r="818" spans="17:23">
      <c r="Q818" t="s">
        <v>211</v>
      </c>
      <c r="R818" t="s">
        <v>162</v>
      </c>
      <c r="S818" t="s">
        <v>26</v>
      </c>
      <c r="T818" t="s">
        <v>46</v>
      </c>
      <c r="U818">
        <v>2000</v>
      </c>
      <c r="V818">
        <v>0</v>
      </c>
      <c r="W818">
        <v>0</v>
      </c>
    </row>
    <row r="819" spans="17:23">
      <c r="Q819" t="s">
        <v>211</v>
      </c>
      <c r="R819" t="s">
        <v>162</v>
      </c>
      <c r="S819" t="s">
        <v>26</v>
      </c>
      <c r="T819" t="s">
        <v>46</v>
      </c>
      <c r="U819">
        <v>2001</v>
      </c>
      <c r="V819">
        <v>0</v>
      </c>
      <c r="W819">
        <v>0</v>
      </c>
    </row>
    <row r="820" spans="17:23">
      <c r="Q820" t="s">
        <v>211</v>
      </c>
      <c r="R820" t="s">
        <v>162</v>
      </c>
      <c r="S820" t="s">
        <v>26</v>
      </c>
      <c r="T820" t="s">
        <v>46</v>
      </c>
      <c r="U820">
        <v>2002</v>
      </c>
      <c r="V820">
        <v>0</v>
      </c>
      <c r="W820">
        <v>0</v>
      </c>
    </row>
    <row r="821" spans="17:23">
      <c r="Q821" t="s">
        <v>211</v>
      </c>
      <c r="R821" t="s">
        <v>162</v>
      </c>
      <c r="S821" t="s">
        <v>26</v>
      </c>
      <c r="T821" t="s">
        <v>46</v>
      </c>
      <c r="U821">
        <v>2003</v>
      </c>
      <c r="V821">
        <v>0</v>
      </c>
      <c r="W821">
        <v>0</v>
      </c>
    </row>
    <row r="822" spans="17:23">
      <c r="Q822" t="s">
        <v>211</v>
      </c>
      <c r="R822" t="s">
        <v>162</v>
      </c>
      <c r="S822" t="s">
        <v>26</v>
      </c>
      <c r="T822" t="s">
        <v>46</v>
      </c>
      <c r="U822">
        <v>2004</v>
      </c>
      <c r="V822">
        <v>0</v>
      </c>
      <c r="W822">
        <v>0</v>
      </c>
    </row>
    <row r="823" spans="17:23">
      <c r="Q823" t="s">
        <v>211</v>
      </c>
      <c r="R823" t="s">
        <v>162</v>
      </c>
      <c r="S823" t="s">
        <v>26</v>
      </c>
      <c r="T823" t="s">
        <v>46</v>
      </c>
      <c r="U823">
        <v>2005</v>
      </c>
      <c r="V823">
        <v>0</v>
      </c>
      <c r="W823">
        <v>0</v>
      </c>
    </row>
    <row r="824" spans="17:23">
      <c r="Q824" t="s">
        <v>211</v>
      </c>
      <c r="R824" t="s">
        <v>162</v>
      </c>
      <c r="S824" t="s">
        <v>26</v>
      </c>
      <c r="T824" t="s">
        <v>46</v>
      </c>
      <c r="U824">
        <v>2006</v>
      </c>
      <c r="V824">
        <v>0</v>
      </c>
      <c r="W824">
        <v>0</v>
      </c>
    </row>
    <row r="825" spans="17:23">
      <c r="Q825" t="s">
        <v>211</v>
      </c>
      <c r="R825" t="s">
        <v>162</v>
      </c>
      <c r="S825" t="s">
        <v>26</v>
      </c>
      <c r="T825" t="s">
        <v>46</v>
      </c>
      <c r="U825">
        <v>2007</v>
      </c>
      <c r="V825">
        <v>0</v>
      </c>
      <c r="W825">
        <v>0</v>
      </c>
    </row>
    <row r="826" spans="17:23">
      <c r="Q826" t="s">
        <v>211</v>
      </c>
      <c r="R826" t="s">
        <v>162</v>
      </c>
      <c r="S826" t="s">
        <v>26</v>
      </c>
      <c r="T826" t="s">
        <v>46</v>
      </c>
      <c r="U826">
        <v>2008</v>
      </c>
      <c r="V826">
        <v>0</v>
      </c>
      <c r="W826">
        <v>0</v>
      </c>
    </row>
    <row r="827" spans="17:23">
      <c r="Q827" t="s">
        <v>211</v>
      </c>
      <c r="R827" t="s">
        <v>162</v>
      </c>
      <c r="S827" t="s">
        <v>26</v>
      </c>
      <c r="T827" t="s">
        <v>46</v>
      </c>
      <c r="U827">
        <v>2009</v>
      </c>
      <c r="V827">
        <v>0</v>
      </c>
      <c r="W827">
        <v>0</v>
      </c>
    </row>
    <row r="828" spans="17:23">
      <c r="Q828" t="s">
        <v>211</v>
      </c>
      <c r="R828" t="s">
        <v>162</v>
      </c>
      <c r="S828" t="s">
        <v>26</v>
      </c>
      <c r="T828" t="s">
        <v>46</v>
      </c>
      <c r="U828">
        <v>2010</v>
      </c>
      <c r="V828">
        <v>0</v>
      </c>
      <c r="W828">
        <v>0</v>
      </c>
    </row>
    <row r="829" spans="17:23">
      <c r="Q829" t="s">
        <v>211</v>
      </c>
      <c r="R829" t="s">
        <v>162</v>
      </c>
      <c r="S829" t="s">
        <v>26</v>
      </c>
      <c r="T829" t="s">
        <v>46</v>
      </c>
      <c r="U829">
        <v>2011</v>
      </c>
      <c r="V829">
        <v>0</v>
      </c>
      <c r="W829">
        <v>0</v>
      </c>
    </row>
    <row r="830" spans="17:23">
      <c r="Q830" t="s">
        <v>211</v>
      </c>
      <c r="R830" t="s">
        <v>162</v>
      </c>
      <c r="S830" t="s">
        <v>26</v>
      </c>
      <c r="T830" t="s">
        <v>46</v>
      </c>
      <c r="U830">
        <v>2012</v>
      </c>
      <c r="V830">
        <v>0</v>
      </c>
      <c r="W830">
        <v>0</v>
      </c>
    </row>
    <row r="831" spans="17:23">
      <c r="Q831" t="s">
        <v>211</v>
      </c>
      <c r="R831" t="s">
        <v>162</v>
      </c>
      <c r="S831" t="s">
        <v>26</v>
      </c>
      <c r="T831" t="s">
        <v>46</v>
      </c>
      <c r="U831">
        <v>2013</v>
      </c>
      <c r="V831">
        <v>0</v>
      </c>
      <c r="W831">
        <v>0</v>
      </c>
    </row>
    <row r="832" spans="17:23">
      <c r="Q832" t="s">
        <v>211</v>
      </c>
      <c r="R832" t="s">
        <v>162</v>
      </c>
      <c r="S832" t="s">
        <v>26</v>
      </c>
      <c r="T832" t="s">
        <v>46</v>
      </c>
      <c r="U832">
        <v>2014</v>
      </c>
      <c r="V832">
        <v>0</v>
      </c>
      <c r="W832">
        <v>0</v>
      </c>
    </row>
    <row r="833" spans="17:23">
      <c r="Q833" t="s">
        <v>211</v>
      </c>
      <c r="R833" t="s">
        <v>162</v>
      </c>
      <c r="S833" t="s">
        <v>26</v>
      </c>
      <c r="T833" t="s">
        <v>46</v>
      </c>
      <c r="U833">
        <v>2015</v>
      </c>
      <c r="V833">
        <v>0</v>
      </c>
      <c r="W833">
        <v>0</v>
      </c>
    </row>
    <row r="834" spans="17:23">
      <c r="Q834" t="s">
        <v>211</v>
      </c>
      <c r="R834" t="s">
        <v>162</v>
      </c>
      <c r="S834" t="s">
        <v>26</v>
      </c>
      <c r="T834" t="s">
        <v>46</v>
      </c>
      <c r="U834">
        <v>2016</v>
      </c>
      <c r="V834">
        <v>0</v>
      </c>
      <c r="W834">
        <v>0</v>
      </c>
    </row>
    <row r="835" spans="17:23">
      <c r="Q835" t="s">
        <v>211</v>
      </c>
      <c r="R835" t="s">
        <v>162</v>
      </c>
      <c r="S835" t="s">
        <v>26</v>
      </c>
      <c r="T835" t="s">
        <v>46</v>
      </c>
      <c r="U835">
        <v>2017</v>
      </c>
      <c r="V835">
        <v>0</v>
      </c>
      <c r="W835">
        <v>0</v>
      </c>
    </row>
    <row r="836" spans="17:23">
      <c r="Q836" t="s">
        <v>211</v>
      </c>
      <c r="R836" t="s">
        <v>162</v>
      </c>
      <c r="S836" t="s">
        <v>26</v>
      </c>
      <c r="T836" t="s">
        <v>46</v>
      </c>
      <c r="U836">
        <v>2018</v>
      </c>
      <c r="V836">
        <v>0</v>
      </c>
      <c r="W836">
        <v>0</v>
      </c>
    </row>
    <row r="837" spans="17:23">
      <c r="Q837" t="s">
        <v>211</v>
      </c>
      <c r="R837" t="s">
        <v>162</v>
      </c>
      <c r="S837" t="s">
        <v>26</v>
      </c>
      <c r="T837" t="s">
        <v>46</v>
      </c>
      <c r="U837">
        <v>2019</v>
      </c>
      <c r="V837">
        <v>0</v>
      </c>
      <c r="W837">
        <v>0</v>
      </c>
    </row>
    <row r="838" spans="17:23">
      <c r="Q838" t="s">
        <v>211</v>
      </c>
      <c r="R838" t="s">
        <v>162</v>
      </c>
      <c r="S838" t="s">
        <v>26</v>
      </c>
      <c r="T838" t="s">
        <v>46</v>
      </c>
      <c r="U838">
        <v>2020</v>
      </c>
      <c r="V838">
        <v>0</v>
      </c>
      <c r="W838">
        <v>0</v>
      </c>
    </row>
    <row r="839" spans="17:23">
      <c r="Q839" t="s">
        <v>211</v>
      </c>
      <c r="R839" t="s">
        <v>162</v>
      </c>
      <c r="S839" t="s">
        <v>26</v>
      </c>
      <c r="T839" t="s">
        <v>46</v>
      </c>
      <c r="U839">
        <v>2021</v>
      </c>
      <c r="V839">
        <v>0</v>
      </c>
      <c r="W839">
        <v>0</v>
      </c>
    </row>
    <row r="840" spans="17:23">
      <c r="Q840" t="s">
        <v>211</v>
      </c>
      <c r="R840" t="s">
        <v>162</v>
      </c>
      <c r="S840" t="s">
        <v>26</v>
      </c>
      <c r="T840" t="s">
        <v>46</v>
      </c>
      <c r="U840">
        <v>2022</v>
      </c>
      <c r="V840">
        <v>0</v>
      </c>
      <c r="W840">
        <v>0</v>
      </c>
    </row>
    <row r="841" spans="17:23">
      <c r="Q841" t="s">
        <v>211</v>
      </c>
      <c r="R841" t="s">
        <v>162</v>
      </c>
      <c r="S841" t="s">
        <v>26</v>
      </c>
      <c r="T841" t="s">
        <v>46</v>
      </c>
      <c r="U841">
        <v>2023</v>
      </c>
      <c r="V841">
        <v>0</v>
      </c>
      <c r="W841">
        <v>0</v>
      </c>
    </row>
    <row r="842" spans="17:23">
      <c r="Q842" t="s">
        <v>211</v>
      </c>
      <c r="R842" t="s">
        <v>162</v>
      </c>
      <c r="S842" t="s">
        <v>26</v>
      </c>
      <c r="T842" t="s">
        <v>46</v>
      </c>
      <c r="U842">
        <v>2024</v>
      </c>
      <c r="V842">
        <v>0</v>
      </c>
      <c r="W842">
        <v>0</v>
      </c>
    </row>
    <row r="843" spans="17:23">
      <c r="Q843" t="s">
        <v>211</v>
      </c>
      <c r="R843" t="s">
        <v>162</v>
      </c>
      <c r="S843" t="s">
        <v>26</v>
      </c>
      <c r="T843" t="s">
        <v>46</v>
      </c>
      <c r="U843">
        <v>2025</v>
      </c>
      <c r="V843">
        <v>0</v>
      </c>
      <c r="W843">
        <v>0</v>
      </c>
    </row>
    <row r="844" spans="17:23">
      <c r="Q844" t="s">
        <v>211</v>
      </c>
      <c r="R844" t="s">
        <v>162</v>
      </c>
      <c r="S844" t="s">
        <v>26</v>
      </c>
      <c r="T844" t="s">
        <v>46</v>
      </c>
      <c r="U844">
        <v>2026</v>
      </c>
      <c r="V844">
        <v>0</v>
      </c>
      <c r="W844">
        <v>0</v>
      </c>
    </row>
    <row r="845" spans="17:23">
      <c r="Q845" t="s">
        <v>211</v>
      </c>
      <c r="R845" t="s">
        <v>162</v>
      </c>
      <c r="S845" t="s">
        <v>26</v>
      </c>
      <c r="T845" t="s">
        <v>46</v>
      </c>
      <c r="U845">
        <v>2027</v>
      </c>
      <c r="V845">
        <v>0</v>
      </c>
      <c r="W845">
        <v>0</v>
      </c>
    </row>
    <row r="846" spans="17:23">
      <c r="Q846" t="s">
        <v>211</v>
      </c>
      <c r="R846" t="s">
        <v>162</v>
      </c>
      <c r="S846" t="s">
        <v>26</v>
      </c>
      <c r="T846" t="s">
        <v>46</v>
      </c>
      <c r="U846">
        <v>2028</v>
      </c>
      <c r="V846">
        <v>0</v>
      </c>
      <c r="W846">
        <v>0</v>
      </c>
    </row>
    <row r="847" spans="17:23">
      <c r="Q847" t="s">
        <v>211</v>
      </c>
      <c r="R847" t="s">
        <v>162</v>
      </c>
      <c r="S847" t="s">
        <v>26</v>
      </c>
      <c r="T847" t="s">
        <v>46</v>
      </c>
      <c r="U847">
        <v>2029</v>
      </c>
      <c r="V847">
        <v>0</v>
      </c>
      <c r="W847">
        <v>0</v>
      </c>
    </row>
    <row r="848" spans="17:23">
      <c r="Q848" t="s">
        <v>211</v>
      </c>
      <c r="R848" t="s">
        <v>162</v>
      </c>
      <c r="S848" t="s">
        <v>26</v>
      </c>
      <c r="T848" t="s">
        <v>46</v>
      </c>
      <c r="U848">
        <v>2030</v>
      </c>
      <c r="V848">
        <v>0</v>
      </c>
      <c r="W848">
        <v>0</v>
      </c>
    </row>
    <row r="849" spans="17:23">
      <c r="Q849" t="s">
        <v>211</v>
      </c>
      <c r="R849" t="s">
        <v>162</v>
      </c>
      <c r="S849" t="s">
        <v>26</v>
      </c>
      <c r="T849" t="s">
        <v>46</v>
      </c>
      <c r="U849">
        <v>2031</v>
      </c>
      <c r="V849">
        <v>0</v>
      </c>
      <c r="W849">
        <v>0</v>
      </c>
    </row>
    <row r="850" spans="17:23">
      <c r="Q850" t="s">
        <v>211</v>
      </c>
      <c r="R850" t="s">
        <v>162</v>
      </c>
      <c r="S850" t="s">
        <v>26</v>
      </c>
      <c r="T850" t="s">
        <v>46</v>
      </c>
      <c r="U850">
        <v>2032</v>
      </c>
      <c r="V850">
        <v>0</v>
      </c>
      <c r="W850">
        <v>0</v>
      </c>
    </row>
    <row r="851" spans="17:23">
      <c r="Q851" t="s">
        <v>211</v>
      </c>
      <c r="R851" t="s">
        <v>162</v>
      </c>
      <c r="S851" t="s">
        <v>26</v>
      </c>
      <c r="T851" t="s">
        <v>46</v>
      </c>
      <c r="U851">
        <v>2033</v>
      </c>
      <c r="V851">
        <v>0</v>
      </c>
      <c r="W851">
        <v>0</v>
      </c>
    </row>
    <row r="852" spans="17:23">
      <c r="Q852" t="s">
        <v>211</v>
      </c>
      <c r="R852" t="s">
        <v>162</v>
      </c>
      <c r="S852" t="s">
        <v>26</v>
      </c>
      <c r="T852" t="s">
        <v>46</v>
      </c>
      <c r="U852">
        <v>2034</v>
      </c>
      <c r="V852">
        <v>0</v>
      </c>
      <c r="W852">
        <v>0</v>
      </c>
    </row>
    <row r="853" spans="17:23">
      <c r="Q853" t="s">
        <v>211</v>
      </c>
      <c r="R853" t="s">
        <v>162</v>
      </c>
      <c r="S853" t="s">
        <v>26</v>
      </c>
      <c r="T853" t="s">
        <v>46</v>
      </c>
      <c r="U853">
        <v>2035</v>
      </c>
      <c r="V853">
        <v>0</v>
      </c>
      <c r="W853">
        <v>0</v>
      </c>
    </row>
    <row r="854" spans="17:23">
      <c r="Q854" t="s">
        <v>211</v>
      </c>
      <c r="R854" t="s">
        <v>162</v>
      </c>
      <c r="S854" t="s">
        <v>26</v>
      </c>
      <c r="T854" t="s">
        <v>46</v>
      </c>
      <c r="U854">
        <v>2036</v>
      </c>
      <c r="V854">
        <v>0</v>
      </c>
      <c r="W854">
        <v>0</v>
      </c>
    </row>
    <row r="855" spans="17:23">
      <c r="Q855" t="s">
        <v>211</v>
      </c>
      <c r="R855" t="s">
        <v>162</v>
      </c>
      <c r="S855" t="s">
        <v>26</v>
      </c>
      <c r="T855" t="s">
        <v>46</v>
      </c>
      <c r="U855">
        <v>2037</v>
      </c>
      <c r="V855">
        <v>0</v>
      </c>
      <c r="W855">
        <v>0</v>
      </c>
    </row>
    <row r="856" spans="17:23">
      <c r="Q856" t="s">
        <v>211</v>
      </c>
      <c r="R856" t="s">
        <v>162</v>
      </c>
      <c r="S856" t="s">
        <v>26</v>
      </c>
      <c r="T856" t="s">
        <v>46</v>
      </c>
      <c r="U856">
        <v>2038</v>
      </c>
      <c r="V856">
        <v>0</v>
      </c>
      <c r="W856">
        <v>0</v>
      </c>
    </row>
    <row r="857" spans="17:23">
      <c r="Q857" t="s">
        <v>211</v>
      </c>
      <c r="R857" t="s">
        <v>162</v>
      </c>
      <c r="S857" t="s">
        <v>26</v>
      </c>
      <c r="T857" t="s">
        <v>46</v>
      </c>
      <c r="U857">
        <v>2039</v>
      </c>
      <c r="V857">
        <v>0</v>
      </c>
      <c r="W857">
        <v>0</v>
      </c>
    </row>
    <row r="858" spans="17:23">
      <c r="Q858" t="s">
        <v>211</v>
      </c>
      <c r="R858" t="s">
        <v>162</v>
      </c>
      <c r="S858" t="s">
        <v>26</v>
      </c>
      <c r="T858" t="s">
        <v>46</v>
      </c>
      <c r="U858">
        <v>2040</v>
      </c>
      <c r="V858">
        <v>0</v>
      </c>
      <c r="W858">
        <v>0</v>
      </c>
    </row>
    <row r="859" spans="17:23">
      <c r="Q859" t="s">
        <v>211</v>
      </c>
      <c r="R859" t="s">
        <v>162</v>
      </c>
      <c r="S859" t="s">
        <v>26</v>
      </c>
      <c r="T859" t="s">
        <v>46</v>
      </c>
      <c r="U859">
        <v>2041</v>
      </c>
      <c r="V859">
        <v>0</v>
      </c>
      <c r="W859">
        <v>0</v>
      </c>
    </row>
    <row r="860" spans="17:23">
      <c r="Q860" t="s">
        <v>211</v>
      </c>
      <c r="R860" t="s">
        <v>162</v>
      </c>
      <c r="S860" t="s">
        <v>26</v>
      </c>
      <c r="T860" t="s">
        <v>46</v>
      </c>
      <c r="U860">
        <v>2042</v>
      </c>
      <c r="V860">
        <v>0</v>
      </c>
      <c r="W860">
        <v>0</v>
      </c>
    </row>
    <row r="861" spans="17:23">
      <c r="Q861" t="s">
        <v>211</v>
      </c>
      <c r="R861" t="s">
        <v>162</v>
      </c>
      <c r="S861" t="s">
        <v>26</v>
      </c>
      <c r="T861" t="s">
        <v>46</v>
      </c>
      <c r="U861">
        <v>2043</v>
      </c>
      <c r="V861">
        <v>0</v>
      </c>
      <c r="W861">
        <v>0</v>
      </c>
    </row>
    <row r="862" spans="17:23">
      <c r="Q862" t="s">
        <v>211</v>
      </c>
      <c r="R862" t="s">
        <v>162</v>
      </c>
      <c r="S862" t="s">
        <v>26</v>
      </c>
      <c r="T862" t="s">
        <v>46</v>
      </c>
      <c r="U862">
        <v>2044</v>
      </c>
      <c r="V862">
        <v>0</v>
      </c>
      <c r="W862">
        <v>0</v>
      </c>
    </row>
    <row r="863" spans="17:23">
      <c r="Q863" t="s">
        <v>211</v>
      </c>
      <c r="R863" t="s">
        <v>162</v>
      </c>
      <c r="S863" t="s">
        <v>26</v>
      </c>
      <c r="T863" t="s">
        <v>46</v>
      </c>
      <c r="U863">
        <v>2045</v>
      </c>
      <c r="V863">
        <v>0</v>
      </c>
      <c r="W863">
        <v>0</v>
      </c>
    </row>
    <row r="864" spans="17:23">
      <c r="Q864" t="s">
        <v>211</v>
      </c>
      <c r="R864" t="s">
        <v>162</v>
      </c>
      <c r="S864" t="s">
        <v>26</v>
      </c>
      <c r="T864" t="s">
        <v>46</v>
      </c>
      <c r="U864">
        <v>2046</v>
      </c>
      <c r="V864">
        <v>0</v>
      </c>
      <c r="W864">
        <v>0</v>
      </c>
    </row>
    <row r="865" spans="17:23">
      <c r="Q865" t="s">
        <v>211</v>
      </c>
      <c r="R865" t="s">
        <v>162</v>
      </c>
      <c r="S865" t="s">
        <v>26</v>
      </c>
      <c r="T865" t="s">
        <v>46</v>
      </c>
      <c r="U865">
        <v>2047</v>
      </c>
      <c r="V865">
        <v>0</v>
      </c>
      <c r="W865">
        <v>0</v>
      </c>
    </row>
    <row r="866" spans="17:23">
      <c r="Q866" t="s">
        <v>211</v>
      </c>
      <c r="R866" t="s">
        <v>162</v>
      </c>
      <c r="S866" t="s">
        <v>26</v>
      </c>
      <c r="T866" t="s">
        <v>46</v>
      </c>
      <c r="U866">
        <v>2048</v>
      </c>
      <c r="V866">
        <v>0</v>
      </c>
      <c r="W866">
        <v>0</v>
      </c>
    </row>
    <row r="867" spans="17:23">
      <c r="Q867" t="s">
        <v>211</v>
      </c>
      <c r="R867" t="s">
        <v>162</v>
      </c>
      <c r="S867" t="s">
        <v>26</v>
      </c>
      <c r="T867" t="s">
        <v>46</v>
      </c>
      <c r="U867">
        <v>2049</v>
      </c>
      <c r="V867">
        <v>0</v>
      </c>
      <c r="W867">
        <v>0</v>
      </c>
    </row>
    <row r="868" spans="17:23">
      <c r="Q868" t="s">
        <v>211</v>
      </c>
      <c r="R868" t="s">
        <v>162</v>
      </c>
      <c r="S868" t="s">
        <v>26</v>
      </c>
      <c r="T868" t="s">
        <v>46</v>
      </c>
      <c r="U868">
        <v>2050</v>
      </c>
      <c r="V868">
        <v>0</v>
      </c>
      <c r="W868">
        <v>0</v>
      </c>
    </row>
    <row r="869" spans="17:23">
      <c r="Q869" t="s">
        <v>211</v>
      </c>
      <c r="R869" t="s">
        <v>162</v>
      </c>
      <c r="S869" t="s">
        <v>29</v>
      </c>
      <c r="T869" t="s">
        <v>46</v>
      </c>
      <c r="U869">
        <v>2000</v>
      </c>
      <c r="V869">
        <v>1E-3</v>
      </c>
      <c r="W869">
        <v>11.376172</v>
      </c>
    </row>
    <row r="870" spans="17:23">
      <c r="Q870" t="s">
        <v>211</v>
      </c>
      <c r="R870" t="s">
        <v>162</v>
      </c>
      <c r="S870" t="s">
        <v>29</v>
      </c>
      <c r="T870" t="s">
        <v>46</v>
      </c>
      <c r="U870">
        <v>2001</v>
      </c>
      <c r="V870">
        <v>1E-3</v>
      </c>
      <c r="W870">
        <v>11.695862999999999</v>
      </c>
    </row>
    <row r="871" spans="17:23">
      <c r="Q871" t="s">
        <v>211</v>
      </c>
      <c r="R871" t="s">
        <v>162</v>
      </c>
      <c r="S871" t="s">
        <v>29</v>
      </c>
      <c r="T871" t="s">
        <v>46</v>
      </c>
      <c r="U871">
        <v>2002</v>
      </c>
      <c r="V871">
        <v>1E-3</v>
      </c>
      <c r="W871">
        <v>12.013711000000001</v>
      </c>
    </row>
    <row r="872" spans="17:23">
      <c r="Q872" t="s">
        <v>211</v>
      </c>
      <c r="R872" t="s">
        <v>162</v>
      </c>
      <c r="S872" t="s">
        <v>29</v>
      </c>
      <c r="T872" t="s">
        <v>46</v>
      </c>
      <c r="U872">
        <v>2003</v>
      </c>
      <c r="V872">
        <v>1E-3</v>
      </c>
      <c r="W872">
        <v>12.336687</v>
      </c>
    </row>
    <row r="873" spans="17:23">
      <c r="Q873" t="s">
        <v>211</v>
      </c>
      <c r="R873" t="s">
        <v>162</v>
      </c>
      <c r="S873" t="s">
        <v>29</v>
      </c>
      <c r="T873" t="s">
        <v>46</v>
      </c>
      <c r="U873">
        <v>2004</v>
      </c>
      <c r="V873">
        <v>0</v>
      </c>
      <c r="W873">
        <v>0</v>
      </c>
    </row>
    <row r="874" spans="17:23">
      <c r="Q874" t="s">
        <v>211</v>
      </c>
      <c r="R874" t="s">
        <v>162</v>
      </c>
      <c r="S874" t="s">
        <v>29</v>
      </c>
      <c r="T874" t="s">
        <v>46</v>
      </c>
      <c r="U874">
        <v>2005</v>
      </c>
      <c r="V874">
        <v>0</v>
      </c>
      <c r="W874">
        <v>0</v>
      </c>
    </row>
    <row r="875" spans="17:23">
      <c r="Q875" t="s">
        <v>211</v>
      </c>
      <c r="R875" t="s">
        <v>162</v>
      </c>
      <c r="S875" t="s">
        <v>29</v>
      </c>
      <c r="T875" t="s">
        <v>46</v>
      </c>
      <c r="U875">
        <v>2006</v>
      </c>
      <c r="V875">
        <v>0</v>
      </c>
      <c r="W875">
        <v>0</v>
      </c>
    </row>
    <row r="876" spans="17:23">
      <c r="Q876" t="s">
        <v>211</v>
      </c>
      <c r="R876" t="s">
        <v>162</v>
      </c>
      <c r="S876" t="s">
        <v>29</v>
      </c>
      <c r="T876" t="s">
        <v>46</v>
      </c>
      <c r="U876">
        <v>2007</v>
      </c>
      <c r="V876">
        <v>0</v>
      </c>
      <c r="W876">
        <v>0</v>
      </c>
    </row>
    <row r="877" spans="17:23">
      <c r="Q877" t="s">
        <v>211</v>
      </c>
      <c r="R877" t="s">
        <v>162</v>
      </c>
      <c r="S877" t="s">
        <v>29</v>
      </c>
      <c r="T877" t="s">
        <v>46</v>
      </c>
      <c r="U877">
        <v>2008</v>
      </c>
      <c r="V877">
        <v>0</v>
      </c>
      <c r="W877">
        <v>0</v>
      </c>
    </row>
    <row r="878" spans="17:23">
      <c r="Q878" t="s">
        <v>211</v>
      </c>
      <c r="R878" t="s">
        <v>162</v>
      </c>
      <c r="S878" t="s">
        <v>29</v>
      </c>
      <c r="T878" t="s">
        <v>46</v>
      </c>
      <c r="U878">
        <v>2009</v>
      </c>
      <c r="V878">
        <v>0</v>
      </c>
      <c r="W878">
        <v>0</v>
      </c>
    </row>
    <row r="879" spans="17:23">
      <c r="Q879" t="s">
        <v>211</v>
      </c>
      <c r="R879" t="s">
        <v>162</v>
      </c>
      <c r="S879" t="s">
        <v>29</v>
      </c>
      <c r="T879" t="s">
        <v>46</v>
      </c>
      <c r="U879">
        <v>2010</v>
      </c>
      <c r="V879">
        <v>0</v>
      </c>
      <c r="W879">
        <v>0</v>
      </c>
    </row>
    <row r="880" spans="17:23">
      <c r="Q880" t="s">
        <v>211</v>
      </c>
      <c r="R880" t="s">
        <v>162</v>
      </c>
      <c r="S880" t="s">
        <v>29</v>
      </c>
      <c r="T880" t="s">
        <v>46</v>
      </c>
      <c r="U880">
        <v>2011</v>
      </c>
      <c r="V880">
        <v>0</v>
      </c>
      <c r="W880">
        <v>0</v>
      </c>
    </row>
    <row r="881" spans="17:23">
      <c r="Q881" t="s">
        <v>211</v>
      </c>
      <c r="R881" t="s">
        <v>162</v>
      </c>
      <c r="S881" t="s">
        <v>29</v>
      </c>
      <c r="T881" t="s">
        <v>46</v>
      </c>
      <c r="U881">
        <v>2012</v>
      </c>
      <c r="V881">
        <v>0</v>
      </c>
      <c r="W881">
        <v>0</v>
      </c>
    </row>
    <row r="882" spans="17:23">
      <c r="Q882" t="s">
        <v>211</v>
      </c>
      <c r="R882" t="s">
        <v>162</v>
      </c>
      <c r="S882" t="s">
        <v>29</v>
      </c>
      <c r="T882" t="s">
        <v>46</v>
      </c>
      <c r="U882">
        <v>2013</v>
      </c>
      <c r="V882">
        <v>0</v>
      </c>
      <c r="W882">
        <v>0</v>
      </c>
    </row>
    <row r="883" spans="17:23">
      <c r="Q883" t="s">
        <v>211</v>
      </c>
      <c r="R883" t="s">
        <v>162</v>
      </c>
      <c r="S883" t="s">
        <v>29</v>
      </c>
      <c r="T883" t="s">
        <v>46</v>
      </c>
      <c r="U883">
        <v>2014</v>
      </c>
      <c r="V883">
        <v>0</v>
      </c>
      <c r="W883">
        <v>0</v>
      </c>
    </row>
    <row r="884" spans="17:23">
      <c r="Q884" t="s">
        <v>211</v>
      </c>
      <c r="R884" t="s">
        <v>162</v>
      </c>
      <c r="S884" t="s">
        <v>29</v>
      </c>
      <c r="T884" t="s">
        <v>46</v>
      </c>
      <c r="U884">
        <v>2015</v>
      </c>
      <c r="V884">
        <v>0</v>
      </c>
      <c r="W884">
        <v>0</v>
      </c>
    </row>
    <row r="885" spans="17:23">
      <c r="Q885" t="s">
        <v>211</v>
      </c>
      <c r="R885" t="s">
        <v>162</v>
      </c>
      <c r="S885" t="s">
        <v>29</v>
      </c>
      <c r="T885" t="s">
        <v>46</v>
      </c>
      <c r="U885">
        <v>2016</v>
      </c>
      <c r="V885">
        <v>0</v>
      </c>
      <c r="W885">
        <v>0</v>
      </c>
    </row>
    <row r="886" spans="17:23">
      <c r="Q886" t="s">
        <v>211</v>
      </c>
      <c r="R886" t="s">
        <v>162</v>
      </c>
      <c r="S886" t="s">
        <v>29</v>
      </c>
      <c r="T886" t="s">
        <v>46</v>
      </c>
      <c r="U886">
        <v>2017</v>
      </c>
      <c r="V886">
        <v>0</v>
      </c>
      <c r="W886">
        <v>0</v>
      </c>
    </row>
    <row r="887" spans="17:23">
      <c r="Q887" t="s">
        <v>211</v>
      </c>
      <c r="R887" t="s">
        <v>162</v>
      </c>
      <c r="S887" t="s">
        <v>29</v>
      </c>
      <c r="T887" t="s">
        <v>46</v>
      </c>
      <c r="U887">
        <v>2018</v>
      </c>
      <c r="V887">
        <v>0</v>
      </c>
      <c r="W887">
        <v>0</v>
      </c>
    </row>
    <row r="888" spans="17:23">
      <c r="Q888" t="s">
        <v>211</v>
      </c>
      <c r="R888" t="s">
        <v>162</v>
      </c>
      <c r="S888" t="s">
        <v>29</v>
      </c>
      <c r="T888" t="s">
        <v>46</v>
      </c>
      <c r="U888">
        <v>2019</v>
      </c>
      <c r="V888">
        <v>0</v>
      </c>
      <c r="W888">
        <v>0</v>
      </c>
    </row>
    <row r="889" spans="17:23">
      <c r="Q889" t="s">
        <v>211</v>
      </c>
      <c r="R889" t="s">
        <v>162</v>
      </c>
      <c r="S889" t="s">
        <v>29</v>
      </c>
      <c r="T889" t="s">
        <v>46</v>
      </c>
      <c r="U889">
        <v>2020</v>
      </c>
      <c r="V889">
        <v>0</v>
      </c>
      <c r="W889">
        <v>0</v>
      </c>
    </row>
    <row r="890" spans="17:23">
      <c r="Q890" t="s">
        <v>211</v>
      </c>
      <c r="R890" t="s">
        <v>162</v>
      </c>
      <c r="S890" t="s">
        <v>29</v>
      </c>
      <c r="T890" t="s">
        <v>46</v>
      </c>
      <c r="U890">
        <v>2021</v>
      </c>
      <c r="V890">
        <v>0</v>
      </c>
      <c r="W890">
        <v>0</v>
      </c>
    </row>
    <row r="891" spans="17:23">
      <c r="Q891" t="s">
        <v>211</v>
      </c>
      <c r="R891" t="s">
        <v>162</v>
      </c>
      <c r="S891" t="s">
        <v>29</v>
      </c>
      <c r="T891" t="s">
        <v>46</v>
      </c>
      <c r="U891">
        <v>2022</v>
      </c>
      <c r="V891">
        <v>0</v>
      </c>
      <c r="W891">
        <v>0</v>
      </c>
    </row>
    <row r="892" spans="17:23">
      <c r="Q892" t="s">
        <v>211</v>
      </c>
      <c r="R892" t="s">
        <v>162</v>
      </c>
      <c r="S892" t="s">
        <v>29</v>
      </c>
      <c r="T892" t="s">
        <v>46</v>
      </c>
      <c r="U892">
        <v>2023</v>
      </c>
      <c r="V892">
        <v>0</v>
      </c>
      <c r="W892">
        <v>0</v>
      </c>
    </row>
    <row r="893" spans="17:23">
      <c r="Q893" t="s">
        <v>211</v>
      </c>
      <c r="R893" t="s">
        <v>162</v>
      </c>
      <c r="S893" t="s">
        <v>29</v>
      </c>
      <c r="T893" t="s">
        <v>46</v>
      </c>
      <c r="U893">
        <v>2024</v>
      </c>
      <c r="V893">
        <v>0</v>
      </c>
      <c r="W893">
        <v>0</v>
      </c>
    </row>
    <row r="894" spans="17:23">
      <c r="Q894" t="s">
        <v>211</v>
      </c>
      <c r="R894" t="s">
        <v>162</v>
      </c>
      <c r="S894" t="s">
        <v>29</v>
      </c>
      <c r="T894" t="s">
        <v>46</v>
      </c>
      <c r="U894">
        <v>2025</v>
      </c>
      <c r="V894">
        <v>0</v>
      </c>
      <c r="W894">
        <v>0</v>
      </c>
    </row>
    <row r="895" spans="17:23">
      <c r="Q895" t="s">
        <v>211</v>
      </c>
      <c r="R895" t="s">
        <v>162</v>
      </c>
      <c r="S895" t="s">
        <v>29</v>
      </c>
      <c r="T895" t="s">
        <v>46</v>
      </c>
      <c r="U895">
        <v>2026</v>
      </c>
      <c r="V895">
        <v>0</v>
      </c>
      <c r="W895">
        <v>0</v>
      </c>
    </row>
    <row r="896" spans="17:23">
      <c r="Q896" t="s">
        <v>211</v>
      </c>
      <c r="R896" t="s">
        <v>162</v>
      </c>
      <c r="S896" t="s">
        <v>29</v>
      </c>
      <c r="T896" t="s">
        <v>46</v>
      </c>
      <c r="U896">
        <v>2027</v>
      </c>
      <c r="V896">
        <v>0</v>
      </c>
      <c r="W896">
        <v>0</v>
      </c>
    </row>
    <row r="897" spans="17:23">
      <c r="Q897" t="s">
        <v>211</v>
      </c>
      <c r="R897" t="s">
        <v>162</v>
      </c>
      <c r="S897" t="s">
        <v>29</v>
      </c>
      <c r="T897" t="s">
        <v>46</v>
      </c>
      <c r="U897">
        <v>2028</v>
      </c>
      <c r="V897">
        <v>0</v>
      </c>
      <c r="W897">
        <v>0</v>
      </c>
    </row>
    <row r="898" spans="17:23">
      <c r="Q898" t="s">
        <v>211</v>
      </c>
      <c r="R898" t="s">
        <v>162</v>
      </c>
      <c r="S898" t="s">
        <v>29</v>
      </c>
      <c r="T898" t="s">
        <v>46</v>
      </c>
      <c r="U898">
        <v>2029</v>
      </c>
      <c r="V898">
        <v>0</v>
      </c>
      <c r="W898">
        <v>0</v>
      </c>
    </row>
    <row r="899" spans="17:23">
      <c r="Q899" t="s">
        <v>211</v>
      </c>
      <c r="R899" t="s">
        <v>162</v>
      </c>
      <c r="S899" t="s">
        <v>29</v>
      </c>
      <c r="T899" t="s">
        <v>46</v>
      </c>
      <c r="U899">
        <v>2030</v>
      </c>
      <c r="V899">
        <v>0</v>
      </c>
      <c r="W899">
        <v>0</v>
      </c>
    </row>
    <row r="900" spans="17:23">
      <c r="Q900" t="s">
        <v>211</v>
      </c>
      <c r="R900" t="s">
        <v>162</v>
      </c>
      <c r="S900" t="s">
        <v>29</v>
      </c>
      <c r="T900" t="s">
        <v>46</v>
      </c>
      <c r="U900">
        <v>2031</v>
      </c>
      <c r="V900">
        <v>0</v>
      </c>
      <c r="W900">
        <v>0</v>
      </c>
    </row>
    <row r="901" spans="17:23">
      <c r="Q901" t="s">
        <v>211</v>
      </c>
      <c r="R901" t="s">
        <v>162</v>
      </c>
      <c r="S901" t="s">
        <v>29</v>
      </c>
      <c r="T901" t="s">
        <v>46</v>
      </c>
      <c r="U901">
        <v>2032</v>
      </c>
      <c r="V901">
        <v>0</v>
      </c>
      <c r="W901">
        <v>0</v>
      </c>
    </row>
    <row r="902" spans="17:23">
      <c r="Q902" t="s">
        <v>211</v>
      </c>
      <c r="R902" t="s">
        <v>162</v>
      </c>
      <c r="S902" t="s">
        <v>29</v>
      </c>
      <c r="T902" t="s">
        <v>46</v>
      </c>
      <c r="U902">
        <v>2033</v>
      </c>
      <c r="V902">
        <v>0</v>
      </c>
      <c r="W902">
        <v>0</v>
      </c>
    </row>
    <row r="903" spans="17:23">
      <c r="Q903" t="s">
        <v>211</v>
      </c>
      <c r="R903" t="s">
        <v>162</v>
      </c>
      <c r="S903" t="s">
        <v>29</v>
      </c>
      <c r="T903" t="s">
        <v>46</v>
      </c>
      <c r="U903">
        <v>2034</v>
      </c>
      <c r="V903">
        <v>0</v>
      </c>
      <c r="W903">
        <v>0</v>
      </c>
    </row>
    <row r="904" spans="17:23">
      <c r="Q904" t="s">
        <v>211</v>
      </c>
      <c r="R904" t="s">
        <v>162</v>
      </c>
      <c r="S904" t="s">
        <v>29</v>
      </c>
      <c r="T904" t="s">
        <v>46</v>
      </c>
      <c r="U904">
        <v>2035</v>
      </c>
      <c r="V904">
        <v>0</v>
      </c>
      <c r="W904">
        <v>0</v>
      </c>
    </row>
    <row r="905" spans="17:23">
      <c r="Q905" t="s">
        <v>211</v>
      </c>
      <c r="R905" t="s">
        <v>162</v>
      </c>
      <c r="S905" t="s">
        <v>29</v>
      </c>
      <c r="T905" t="s">
        <v>46</v>
      </c>
      <c r="U905">
        <v>2036</v>
      </c>
      <c r="V905">
        <v>0</v>
      </c>
      <c r="W905">
        <v>0</v>
      </c>
    </row>
    <row r="906" spans="17:23">
      <c r="Q906" t="s">
        <v>211</v>
      </c>
      <c r="R906" t="s">
        <v>162</v>
      </c>
      <c r="S906" t="s">
        <v>29</v>
      </c>
      <c r="T906" t="s">
        <v>46</v>
      </c>
      <c r="U906">
        <v>2037</v>
      </c>
      <c r="V906">
        <v>1E-3</v>
      </c>
      <c r="W906">
        <v>31.579218000000001</v>
      </c>
    </row>
    <row r="907" spans="17:23">
      <c r="Q907" t="s">
        <v>211</v>
      </c>
      <c r="R907" t="s">
        <v>162</v>
      </c>
      <c r="S907" t="s">
        <v>29</v>
      </c>
      <c r="T907" t="s">
        <v>46</v>
      </c>
      <c r="U907">
        <v>2038</v>
      </c>
      <c r="V907">
        <v>1E-3</v>
      </c>
      <c r="W907">
        <v>32.324869</v>
      </c>
    </row>
    <row r="908" spans="17:23">
      <c r="Q908" t="s">
        <v>211</v>
      </c>
      <c r="R908" t="s">
        <v>162</v>
      </c>
      <c r="S908" t="s">
        <v>29</v>
      </c>
      <c r="T908" t="s">
        <v>46</v>
      </c>
      <c r="U908">
        <v>2039</v>
      </c>
      <c r="V908">
        <v>1E-3</v>
      </c>
      <c r="W908">
        <v>33.077454000000003</v>
      </c>
    </row>
    <row r="909" spans="17:23">
      <c r="Q909" t="s">
        <v>211</v>
      </c>
      <c r="R909" t="s">
        <v>162</v>
      </c>
      <c r="S909" t="s">
        <v>29</v>
      </c>
      <c r="T909" t="s">
        <v>46</v>
      </c>
      <c r="U909">
        <v>2040</v>
      </c>
      <c r="V909">
        <v>1E-3</v>
      </c>
      <c r="W909">
        <v>33.836706999999997</v>
      </c>
    </row>
    <row r="910" spans="17:23">
      <c r="Q910" t="s">
        <v>211</v>
      </c>
      <c r="R910" t="s">
        <v>162</v>
      </c>
      <c r="S910" t="s">
        <v>29</v>
      </c>
      <c r="T910" t="s">
        <v>46</v>
      </c>
      <c r="U910">
        <v>2041</v>
      </c>
      <c r="V910">
        <v>1E-3</v>
      </c>
      <c r="W910">
        <v>34.6023</v>
      </c>
    </row>
    <row r="911" spans="17:23">
      <c r="Q911" t="s">
        <v>211</v>
      </c>
      <c r="R911" t="s">
        <v>162</v>
      </c>
      <c r="S911" t="s">
        <v>29</v>
      </c>
      <c r="T911" t="s">
        <v>46</v>
      </c>
      <c r="U911">
        <v>2042</v>
      </c>
      <c r="V911">
        <v>1E-3</v>
      </c>
      <c r="W911">
        <v>35.373854999999999</v>
      </c>
    </row>
    <row r="912" spans="17:23">
      <c r="Q912" t="s">
        <v>211</v>
      </c>
      <c r="R912" t="s">
        <v>162</v>
      </c>
      <c r="S912" t="s">
        <v>29</v>
      </c>
      <c r="T912" t="s">
        <v>46</v>
      </c>
      <c r="U912">
        <v>2043</v>
      </c>
      <c r="V912">
        <v>1E-3</v>
      </c>
      <c r="W912">
        <v>36.150880000000001</v>
      </c>
    </row>
    <row r="913" spans="17:23">
      <c r="Q913" t="s">
        <v>211</v>
      </c>
      <c r="R913" t="s">
        <v>162</v>
      </c>
      <c r="S913" t="s">
        <v>29</v>
      </c>
      <c r="T913" t="s">
        <v>46</v>
      </c>
      <c r="U913">
        <v>2044</v>
      </c>
      <c r="V913">
        <v>1E-3</v>
      </c>
      <c r="W913">
        <v>36.932805000000002</v>
      </c>
    </row>
    <row r="914" spans="17:23">
      <c r="Q914" t="s">
        <v>211</v>
      </c>
      <c r="R914" t="s">
        <v>162</v>
      </c>
      <c r="S914" t="s">
        <v>29</v>
      </c>
      <c r="T914" t="s">
        <v>46</v>
      </c>
      <c r="U914">
        <v>2045</v>
      </c>
      <c r="V914">
        <v>1E-3</v>
      </c>
      <c r="W914">
        <v>37.719155000000001</v>
      </c>
    </row>
    <row r="915" spans="17:23">
      <c r="Q915" t="s">
        <v>211</v>
      </c>
      <c r="R915" t="s">
        <v>162</v>
      </c>
      <c r="S915" t="s">
        <v>29</v>
      </c>
      <c r="T915" t="s">
        <v>46</v>
      </c>
      <c r="U915">
        <v>2046</v>
      </c>
      <c r="V915">
        <v>1E-3</v>
      </c>
      <c r="W915">
        <v>38.509466000000003</v>
      </c>
    </row>
    <row r="916" spans="17:23">
      <c r="Q916" t="s">
        <v>211</v>
      </c>
      <c r="R916" t="s">
        <v>162</v>
      </c>
      <c r="S916" t="s">
        <v>29</v>
      </c>
      <c r="T916" t="s">
        <v>46</v>
      </c>
      <c r="U916">
        <v>2047</v>
      </c>
      <c r="V916">
        <v>1E-3</v>
      </c>
      <c r="W916">
        <v>39.303412000000002</v>
      </c>
    </row>
    <row r="917" spans="17:23">
      <c r="Q917" t="s">
        <v>211</v>
      </c>
      <c r="R917" t="s">
        <v>162</v>
      </c>
      <c r="S917" t="s">
        <v>29</v>
      </c>
      <c r="T917" t="s">
        <v>46</v>
      </c>
      <c r="U917">
        <v>2048</v>
      </c>
      <c r="V917">
        <v>1E-3</v>
      </c>
      <c r="W917">
        <v>40.100768000000002</v>
      </c>
    </row>
    <row r="918" spans="17:23">
      <c r="Q918" t="s">
        <v>211</v>
      </c>
      <c r="R918" t="s">
        <v>162</v>
      </c>
      <c r="S918" t="s">
        <v>29</v>
      </c>
      <c r="T918" t="s">
        <v>46</v>
      </c>
      <c r="U918">
        <v>2049</v>
      </c>
      <c r="V918">
        <v>1E-3</v>
      </c>
      <c r="W918">
        <v>40.901375000000002</v>
      </c>
    </row>
    <row r="919" spans="17:23">
      <c r="Q919" t="s">
        <v>211</v>
      </c>
      <c r="R919" t="s">
        <v>162</v>
      </c>
      <c r="S919" t="s">
        <v>29</v>
      </c>
      <c r="T919" t="s">
        <v>46</v>
      </c>
      <c r="U919">
        <v>2050</v>
      </c>
      <c r="V919">
        <v>1E-3</v>
      </c>
      <c r="W919">
        <v>41.705002</v>
      </c>
    </row>
    <row r="920" spans="17:23">
      <c r="Q920" t="s">
        <v>211</v>
      </c>
      <c r="R920" t="s">
        <v>162</v>
      </c>
      <c r="S920" t="s">
        <v>25</v>
      </c>
      <c r="T920" t="s">
        <v>212</v>
      </c>
      <c r="U920">
        <v>2000</v>
      </c>
      <c r="V920">
        <v>0.878</v>
      </c>
      <c r="W920">
        <v>1459.2799</v>
      </c>
    </row>
    <row r="921" spans="17:23">
      <c r="Q921" t="s">
        <v>211</v>
      </c>
      <c r="R921" t="s">
        <v>162</v>
      </c>
      <c r="S921" t="s">
        <v>25</v>
      </c>
      <c r="T921" t="s">
        <v>212</v>
      </c>
      <c r="U921">
        <v>2001</v>
      </c>
      <c r="V921">
        <v>0.88</v>
      </c>
      <c r="W921">
        <v>1512.7446399999999</v>
      </c>
    </row>
    <row r="922" spans="17:23">
      <c r="Q922" t="s">
        <v>211</v>
      </c>
      <c r="R922" t="s">
        <v>162</v>
      </c>
      <c r="S922" t="s">
        <v>25</v>
      </c>
      <c r="T922" t="s">
        <v>212</v>
      </c>
      <c r="U922">
        <v>2002</v>
      </c>
      <c r="V922">
        <v>0.88100000000000001</v>
      </c>
      <c r="W922">
        <v>1564.9740409999999</v>
      </c>
    </row>
    <row r="923" spans="17:23">
      <c r="Q923" t="s">
        <v>211</v>
      </c>
      <c r="R923" t="s">
        <v>162</v>
      </c>
      <c r="S923" t="s">
        <v>25</v>
      </c>
      <c r="T923" t="s">
        <v>212</v>
      </c>
      <c r="U923">
        <v>2003</v>
      </c>
      <c r="V923">
        <v>0.88400000000000001</v>
      </c>
      <c r="W923">
        <v>1622.204532</v>
      </c>
    </row>
    <row r="924" spans="17:23">
      <c r="Q924" t="s">
        <v>211</v>
      </c>
      <c r="R924" t="s">
        <v>162</v>
      </c>
      <c r="S924" t="s">
        <v>25</v>
      </c>
      <c r="T924" t="s">
        <v>212</v>
      </c>
      <c r="U924">
        <v>2004</v>
      </c>
      <c r="V924">
        <v>0.88300000000000001</v>
      </c>
      <c r="W924">
        <v>1674.945923</v>
      </c>
    </row>
    <row r="925" spans="17:23">
      <c r="Q925" t="s">
        <v>211</v>
      </c>
      <c r="R925" t="s">
        <v>162</v>
      </c>
      <c r="S925" t="s">
        <v>25</v>
      </c>
      <c r="T925" t="s">
        <v>212</v>
      </c>
      <c r="U925">
        <v>2005</v>
      </c>
      <c r="V925">
        <v>0.88100000000000001</v>
      </c>
      <c r="W925">
        <v>1729.387142</v>
      </c>
    </row>
    <row r="926" spans="17:23">
      <c r="Q926" t="s">
        <v>211</v>
      </c>
      <c r="R926" t="s">
        <v>162</v>
      </c>
      <c r="S926" t="s">
        <v>25</v>
      </c>
      <c r="T926" t="s">
        <v>212</v>
      </c>
      <c r="U926">
        <v>2006</v>
      </c>
      <c r="V926">
        <v>0.88300000000000001</v>
      </c>
      <c r="W926">
        <v>1795.7818239999999</v>
      </c>
    </row>
    <row r="927" spans="17:23">
      <c r="Q927" t="s">
        <v>211</v>
      </c>
      <c r="R927" t="s">
        <v>162</v>
      </c>
      <c r="S927" t="s">
        <v>25</v>
      </c>
      <c r="T927" t="s">
        <v>212</v>
      </c>
      <c r="U927">
        <v>2007</v>
      </c>
      <c r="V927">
        <v>0.88100000000000001</v>
      </c>
      <c r="W927">
        <v>1857.688934</v>
      </c>
    </row>
    <row r="928" spans="17:23">
      <c r="Q928" t="s">
        <v>211</v>
      </c>
      <c r="R928" t="s">
        <v>162</v>
      </c>
      <c r="S928" t="s">
        <v>25</v>
      </c>
      <c r="T928" t="s">
        <v>212</v>
      </c>
      <c r="U928">
        <v>2008</v>
      </c>
      <c r="V928">
        <v>0.88300000000000001</v>
      </c>
      <c r="W928">
        <v>1931.2719930000001</v>
      </c>
    </row>
    <row r="929" spans="17:23">
      <c r="Q929" t="s">
        <v>211</v>
      </c>
      <c r="R929" t="s">
        <v>162</v>
      </c>
      <c r="S929" t="s">
        <v>25</v>
      </c>
      <c r="T929" t="s">
        <v>212</v>
      </c>
      <c r="U929">
        <v>2009</v>
      </c>
      <c r="V929">
        <v>0.88200000000000001</v>
      </c>
      <c r="W929">
        <v>2002.3799039999999</v>
      </c>
    </row>
    <row r="930" spans="17:23">
      <c r="Q930" t="s">
        <v>211</v>
      </c>
      <c r="R930" t="s">
        <v>162</v>
      </c>
      <c r="S930" t="s">
        <v>25</v>
      </c>
      <c r="T930" t="s">
        <v>212</v>
      </c>
      <c r="U930">
        <v>2010</v>
      </c>
      <c r="V930">
        <v>0.88300000000000001</v>
      </c>
      <c r="W930">
        <v>2081.7440230000002</v>
      </c>
    </row>
    <row r="931" spans="17:23">
      <c r="Q931" t="s">
        <v>211</v>
      </c>
      <c r="R931" t="s">
        <v>162</v>
      </c>
      <c r="S931" t="s">
        <v>25</v>
      </c>
      <c r="T931" t="s">
        <v>212</v>
      </c>
      <c r="U931">
        <v>2011</v>
      </c>
      <c r="V931">
        <v>0.88600000000000001</v>
      </c>
      <c r="W931">
        <v>2169.9362679999999</v>
      </c>
    </row>
    <row r="932" spans="17:23">
      <c r="Q932" t="s">
        <v>211</v>
      </c>
      <c r="R932" t="s">
        <v>162</v>
      </c>
      <c r="S932" t="s">
        <v>25</v>
      </c>
      <c r="T932" t="s">
        <v>212</v>
      </c>
      <c r="U932">
        <v>2012</v>
      </c>
      <c r="V932">
        <v>0.89100000000000001</v>
      </c>
      <c r="W932">
        <v>2267.9184329999998</v>
      </c>
    </row>
    <row r="933" spans="17:23">
      <c r="Q933" t="s">
        <v>211</v>
      </c>
      <c r="R933" t="s">
        <v>162</v>
      </c>
      <c r="S933" t="s">
        <v>25</v>
      </c>
      <c r="T933" t="s">
        <v>212</v>
      </c>
      <c r="U933">
        <v>2013</v>
      </c>
      <c r="V933">
        <v>0.89600000000000002</v>
      </c>
      <c r="W933">
        <v>2371.4172159999998</v>
      </c>
    </row>
    <row r="934" spans="17:23">
      <c r="Q934" t="s">
        <v>211</v>
      </c>
      <c r="R934" t="s">
        <v>162</v>
      </c>
      <c r="S934" t="s">
        <v>25</v>
      </c>
      <c r="T934" t="s">
        <v>212</v>
      </c>
      <c r="U934">
        <v>2014</v>
      </c>
      <c r="V934">
        <v>0.90400000000000003</v>
      </c>
      <c r="W934">
        <v>2489.2679600000001</v>
      </c>
    </row>
    <row r="935" spans="17:23">
      <c r="Q935" t="s">
        <v>211</v>
      </c>
      <c r="R935" t="s">
        <v>162</v>
      </c>
      <c r="S935" t="s">
        <v>25</v>
      </c>
      <c r="T935" t="s">
        <v>212</v>
      </c>
      <c r="U935">
        <v>2015</v>
      </c>
      <c r="V935">
        <v>0.91500000000000004</v>
      </c>
      <c r="W935">
        <v>2623.0304999999998</v>
      </c>
    </row>
    <row r="936" spans="17:23">
      <c r="Q936" t="s">
        <v>211</v>
      </c>
      <c r="R936" t="s">
        <v>162</v>
      </c>
      <c r="S936" t="s">
        <v>25</v>
      </c>
      <c r="T936" t="s">
        <v>212</v>
      </c>
      <c r="U936">
        <v>2016</v>
      </c>
      <c r="V936">
        <v>0.92300000000000004</v>
      </c>
      <c r="W936">
        <v>2756.3327479999998</v>
      </c>
    </row>
    <row r="937" spans="17:23">
      <c r="Q937" t="s">
        <v>211</v>
      </c>
      <c r="R937" t="s">
        <v>162</v>
      </c>
      <c r="S937" t="s">
        <v>25</v>
      </c>
      <c r="T937" t="s">
        <v>212</v>
      </c>
      <c r="U937">
        <v>2017</v>
      </c>
      <c r="V937">
        <v>0.93200000000000005</v>
      </c>
      <c r="W937">
        <v>2900.93388</v>
      </c>
    </row>
    <row r="938" spans="17:23">
      <c r="Q938" t="s">
        <v>211</v>
      </c>
      <c r="R938" t="s">
        <v>162</v>
      </c>
      <c r="S938" t="s">
        <v>25</v>
      </c>
      <c r="T938" t="s">
        <v>212</v>
      </c>
      <c r="U938">
        <v>2018</v>
      </c>
      <c r="V938">
        <v>0.94</v>
      </c>
      <c r="W938">
        <v>3051.1770200000001</v>
      </c>
    </row>
    <row r="939" spans="17:23">
      <c r="Q939" t="s">
        <v>211</v>
      </c>
      <c r="R939" t="s">
        <v>162</v>
      </c>
      <c r="S939" t="s">
        <v>25</v>
      </c>
      <c r="T939" t="s">
        <v>212</v>
      </c>
      <c r="U939">
        <v>2019</v>
      </c>
      <c r="V939">
        <v>0.94899999999999995</v>
      </c>
      <c r="W939">
        <v>3213.8577770000002</v>
      </c>
    </row>
    <row r="940" spans="17:23">
      <c r="Q940" t="s">
        <v>211</v>
      </c>
      <c r="R940" t="s">
        <v>162</v>
      </c>
      <c r="S940" t="s">
        <v>25</v>
      </c>
      <c r="T940" t="s">
        <v>212</v>
      </c>
      <c r="U940">
        <v>2020</v>
      </c>
      <c r="V940">
        <v>0.95650000000000002</v>
      </c>
      <c r="W940">
        <v>3381.0706340000002</v>
      </c>
    </row>
    <row r="941" spans="17:23">
      <c r="Q941" t="s">
        <v>211</v>
      </c>
      <c r="R941" t="s">
        <v>162</v>
      </c>
      <c r="S941" t="s">
        <v>25</v>
      </c>
      <c r="T941" t="s">
        <v>212</v>
      </c>
      <c r="U941">
        <v>2021</v>
      </c>
      <c r="V941">
        <v>0.96199999999999997</v>
      </c>
      <c r="W941">
        <v>3550.8199220000001</v>
      </c>
    </row>
    <row r="942" spans="17:23">
      <c r="Q942" t="s">
        <v>211</v>
      </c>
      <c r="R942" t="s">
        <v>162</v>
      </c>
      <c r="S942" t="s">
        <v>25</v>
      </c>
      <c r="T942" t="s">
        <v>212</v>
      </c>
      <c r="U942">
        <v>2022</v>
      </c>
      <c r="V942">
        <v>0.96750000000000003</v>
      </c>
      <c r="W942">
        <v>3730.4806950000002</v>
      </c>
    </row>
    <row r="943" spans="17:23">
      <c r="Q943" t="s">
        <v>211</v>
      </c>
      <c r="R943" t="s">
        <v>162</v>
      </c>
      <c r="S943" t="s">
        <v>25</v>
      </c>
      <c r="T943" t="s">
        <v>212</v>
      </c>
      <c r="U943">
        <v>2023</v>
      </c>
      <c r="V943">
        <v>0.97299999999999998</v>
      </c>
      <c r="W943">
        <v>3920.7793940000001</v>
      </c>
    </row>
    <row r="944" spans="17:23">
      <c r="Q944" t="s">
        <v>211</v>
      </c>
      <c r="R944" t="s">
        <v>162</v>
      </c>
      <c r="S944" t="s">
        <v>25</v>
      </c>
      <c r="T944" t="s">
        <v>212</v>
      </c>
      <c r="U944">
        <v>2024</v>
      </c>
      <c r="V944">
        <v>0.97699999999999998</v>
      </c>
      <c r="W944">
        <v>4116.2328950000001</v>
      </c>
    </row>
    <row r="945" spans="17:23">
      <c r="Q945" t="s">
        <v>211</v>
      </c>
      <c r="R945" t="s">
        <v>162</v>
      </c>
      <c r="S945" t="s">
        <v>25</v>
      </c>
      <c r="T945" t="s">
        <v>212</v>
      </c>
      <c r="U945">
        <v>2025</v>
      </c>
      <c r="V945">
        <v>0.98099999999999998</v>
      </c>
      <c r="W945">
        <v>4323.3886439999997</v>
      </c>
    </row>
    <row r="946" spans="17:23">
      <c r="Q946" t="s">
        <v>211</v>
      </c>
      <c r="R946" t="s">
        <v>162</v>
      </c>
      <c r="S946" t="s">
        <v>25</v>
      </c>
      <c r="T946" t="s">
        <v>212</v>
      </c>
      <c r="U946">
        <v>2026</v>
      </c>
      <c r="V946">
        <v>0.98399999999999999</v>
      </c>
      <c r="W946">
        <v>4538.3506799999996</v>
      </c>
    </row>
    <row r="947" spans="17:23">
      <c r="Q947" t="s">
        <v>211</v>
      </c>
      <c r="R947" t="s">
        <v>162</v>
      </c>
      <c r="S947" t="s">
        <v>25</v>
      </c>
      <c r="T947" t="s">
        <v>212</v>
      </c>
      <c r="U947">
        <v>2027</v>
      </c>
      <c r="V947">
        <v>0.98699999999999999</v>
      </c>
      <c r="W947">
        <v>4765.9091340000004</v>
      </c>
    </row>
    <row r="948" spans="17:23">
      <c r="Q948" t="s">
        <v>211</v>
      </c>
      <c r="R948" t="s">
        <v>162</v>
      </c>
      <c r="S948" t="s">
        <v>25</v>
      </c>
      <c r="T948" t="s">
        <v>212</v>
      </c>
      <c r="U948">
        <v>2028</v>
      </c>
      <c r="V948">
        <v>0.98899999999999999</v>
      </c>
      <c r="W948">
        <v>5001.5025589999996</v>
      </c>
    </row>
    <row r="949" spans="17:23">
      <c r="Q949" t="s">
        <v>211</v>
      </c>
      <c r="R949" t="s">
        <v>162</v>
      </c>
      <c r="S949" t="s">
        <v>25</v>
      </c>
      <c r="T949" t="s">
        <v>212</v>
      </c>
      <c r="U949">
        <v>2029</v>
      </c>
      <c r="V949">
        <v>0.99199999999999999</v>
      </c>
      <c r="W949">
        <v>5255.4374399999997</v>
      </c>
    </row>
    <row r="950" spans="17:23">
      <c r="Q950" t="s">
        <v>211</v>
      </c>
      <c r="R950" t="s">
        <v>162</v>
      </c>
      <c r="S950" t="s">
        <v>25</v>
      </c>
      <c r="T950" t="s">
        <v>212</v>
      </c>
      <c r="U950">
        <v>2030</v>
      </c>
      <c r="V950">
        <v>0.99399999999999999</v>
      </c>
      <c r="W950">
        <v>5517.8172560000003</v>
      </c>
    </row>
    <row r="951" spans="17:23">
      <c r="Q951" t="s">
        <v>211</v>
      </c>
      <c r="R951" t="s">
        <v>162</v>
      </c>
      <c r="S951" t="s">
        <v>25</v>
      </c>
      <c r="T951" t="s">
        <v>212</v>
      </c>
      <c r="U951">
        <v>2031</v>
      </c>
      <c r="V951">
        <v>0.99399999999999999</v>
      </c>
      <c r="W951">
        <v>5782.6397299999999</v>
      </c>
    </row>
    <row r="952" spans="17:23">
      <c r="Q952" t="s">
        <v>211</v>
      </c>
      <c r="R952" t="s">
        <v>162</v>
      </c>
      <c r="S952" t="s">
        <v>25</v>
      </c>
      <c r="T952" t="s">
        <v>212</v>
      </c>
      <c r="U952">
        <v>2032</v>
      </c>
      <c r="V952">
        <v>0.996</v>
      </c>
      <c r="W952">
        <v>6073.2693600000002</v>
      </c>
    </row>
    <row r="953" spans="17:23">
      <c r="Q953" t="s">
        <v>211</v>
      </c>
      <c r="R953" t="s">
        <v>162</v>
      </c>
      <c r="S953" t="s">
        <v>25</v>
      </c>
      <c r="T953" t="s">
        <v>212</v>
      </c>
      <c r="U953">
        <v>2033</v>
      </c>
      <c r="V953">
        <v>0.997</v>
      </c>
      <c r="W953">
        <v>6372.8030630000003</v>
      </c>
    </row>
    <row r="954" spans="17:23">
      <c r="Q954" t="s">
        <v>211</v>
      </c>
      <c r="R954" t="s">
        <v>162</v>
      </c>
      <c r="S954" t="s">
        <v>25</v>
      </c>
      <c r="T954" t="s">
        <v>212</v>
      </c>
      <c r="U954">
        <v>2034</v>
      </c>
      <c r="V954">
        <v>0.998</v>
      </c>
      <c r="W954">
        <v>6687.4203559999996</v>
      </c>
    </row>
    <row r="955" spans="17:23">
      <c r="Q955" t="s">
        <v>211</v>
      </c>
      <c r="R955" t="s">
        <v>162</v>
      </c>
      <c r="S955" t="s">
        <v>25</v>
      </c>
      <c r="T955" t="s">
        <v>212</v>
      </c>
      <c r="U955">
        <v>2035</v>
      </c>
      <c r="V955">
        <v>0.998</v>
      </c>
      <c r="W955">
        <v>7007.6865399999997</v>
      </c>
    </row>
    <row r="956" spans="17:23">
      <c r="Q956" t="s">
        <v>211</v>
      </c>
      <c r="R956" t="s">
        <v>162</v>
      </c>
      <c r="S956" t="s">
        <v>25</v>
      </c>
      <c r="T956" t="s">
        <v>212</v>
      </c>
      <c r="U956">
        <v>2036</v>
      </c>
      <c r="V956">
        <v>0.999</v>
      </c>
      <c r="W956">
        <v>7347.1774679999999</v>
      </c>
    </row>
    <row r="957" spans="17:23">
      <c r="Q957" t="s">
        <v>211</v>
      </c>
      <c r="R957" t="s">
        <v>162</v>
      </c>
      <c r="S957" t="s">
        <v>25</v>
      </c>
      <c r="T957" t="s">
        <v>212</v>
      </c>
      <c r="U957">
        <v>2037</v>
      </c>
      <c r="V957">
        <v>0.999</v>
      </c>
      <c r="W957">
        <v>7691.7135870000002</v>
      </c>
    </row>
    <row r="958" spans="17:23">
      <c r="Q958" t="s">
        <v>211</v>
      </c>
      <c r="R958" t="s">
        <v>162</v>
      </c>
      <c r="S958" t="s">
        <v>25</v>
      </c>
      <c r="T958" t="s">
        <v>212</v>
      </c>
      <c r="U958">
        <v>2038</v>
      </c>
      <c r="V958">
        <v>1</v>
      </c>
      <c r="W958">
        <v>8056.5929999999998</v>
      </c>
    </row>
    <row r="959" spans="17:23">
      <c r="Q959" t="s">
        <v>211</v>
      </c>
      <c r="R959" t="s">
        <v>162</v>
      </c>
      <c r="S959" t="s">
        <v>25</v>
      </c>
      <c r="T959" t="s">
        <v>212</v>
      </c>
      <c r="U959">
        <v>2039</v>
      </c>
      <c r="V959">
        <v>1</v>
      </c>
      <c r="W959">
        <v>8426.2790000000005</v>
      </c>
    </row>
    <row r="960" spans="17:23">
      <c r="Q960" t="s">
        <v>211</v>
      </c>
      <c r="R960" t="s">
        <v>162</v>
      </c>
      <c r="S960" t="s">
        <v>25</v>
      </c>
      <c r="T960" t="s">
        <v>212</v>
      </c>
      <c r="U960">
        <v>2040</v>
      </c>
      <c r="V960">
        <v>1</v>
      </c>
      <c r="W960">
        <v>8808.6749999999993</v>
      </c>
    </row>
    <row r="961" spans="17:23">
      <c r="Q961" t="s">
        <v>211</v>
      </c>
      <c r="R961" t="s">
        <v>162</v>
      </c>
      <c r="S961" t="s">
        <v>25</v>
      </c>
      <c r="T961" t="s">
        <v>212</v>
      </c>
      <c r="U961">
        <v>2041</v>
      </c>
      <c r="V961">
        <v>1</v>
      </c>
      <c r="W961">
        <v>9203.9629999999997</v>
      </c>
    </row>
    <row r="962" spans="17:23">
      <c r="Q962" t="s">
        <v>211</v>
      </c>
      <c r="R962" t="s">
        <v>162</v>
      </c>
      <c r="S962" t="s">
        <v>25</v>
      </c>
      <c r="T962" t="s">
        <v>212</v>
      </c>
      <c r="U962">
        <v>2042</v>
      </c>
      <c r="V962">
        <v>1</v>
      </c>
      <c r="W962">
        <v>9612.2999999999993</v>
      </c>
    </row>
    <row r="963" spans="17:23">
      <c r="Q963" t="s">
        <v>211</v>
      </c>
      <c r="R963" t="s">
        <v>162</v>
      </c>
      <c r="S963" t="s">
        <v>25</v>
      </c>
      <c r="T963" t="s">
        <v>212</v>
      </c>
      <c r="U963">
        <v>2043</v>
      </c>
      <c r="V963">
        <v>1</v>
      </c>
      <c r="W963">
        <v>10033.802</v>
      </c>
    </row>
    <row r="964" spans="17:23">
      <c r="Q964" t="s">
        <v>211</v>
      </c>
      <c r="R964" t="s">
        <v>162</v>
      </c>
      <c r="S964" t="s">
        <v>25</v>
      </c>
      <c r="T964" t="s">
        <v>212</v>
      </c>
      <c r="U964">
        <v>2044</v>
      </c>
      <c r="V964">
        <v>1</v>
      </c>
      <c r="W964">
        <v>10468.546</v>
      </c>
    </row>
    <row r="965" spans="17:23">
      <c r="Q965" t="s">
        <v>211</v>
      </c>
      <c r="R965" t="s">
        <v>162</v>
      </c>
      <c r="S965" t="s">
        <v>25</v>
      </c>
      <c r="T965" t="s">
        <v>212</v>
      </c>
      <c r="U965">
        <v>2045</v>
      </c>
      <c r="V965">
        <v>1</v>
      </c>
      <c r="W965">
        <v>10916.62</v>
      </c>
    </row>
    <row r="966" spans="17:23">
      <c r="Q966" t="s">
        <v>211</v>
      </c>
      <c r="R966" t="s">
        <v>162</v>
      </c>
      <c r="S966" t="s">
        <v>25</v>
      </c>
      <c r="T966" t="s">
        <v>212</v>
      </c>
      <c r="U966">
        <v>2046</v>
      </c>
      <c r="V966">
        <v>1</v>
      </c>
      <c r="W966">
        <v>11378.098</v>
      </c>
    </row>
    <row r="967" spans="17:23">
      <c r="Q967" t="s">
        <v>211</v>
      </c>
      <c r="R967" t="s">
        <v>162</v>
      </c>
      <c r="S967" t="s">
        <v>25</v>
      </c>
      <c r="T967" t="s">
        <v>212</v>
      </c>
      <c r="U967">
        <v>2047</v>
      </c>
      <c r="V967">
        <v>1</v>
      </c>
      <c r="W967">
        <v>11853.081</v>
      </c>
    </row>
    <row r="968" spans="17:23">
      <c r="Q968" t="s">
        <v>211</v>
      </c>
      <c r="R968" t="s">
        <v>162</v>
      </c>
      <c r="S968" t="s">
        <v>25</v>
      </c>
      <c r="T968" t="s">
        <v>212</v>
      </c>
      <c r="U968">
        <v>2048</v>
      </c>
      <c r="V968">
        <v>1</v>
      </c>
      <c r="W968">
        <v>12341.686</v>
      </c>
    </row>
    <row r="969" spans="17:23">
      <c r="Q969" t="s">
        <v>211</v>
      </c>
      <c r="R969" t="s">
        <v>162</v>
      </c>
      <c r="S969" t="s">
        <v>25</v>
      </c>
      <c r="T969" t="s">
        <v>212</v>
      </c>
      <c r="U969">
        <v>2049</v>
      </c>
      <c r="V969">
        <v>1</v>
      </c>
      <c r="W969">
        <v>12844.036</v>
      </c>
    </row>
    <row r="970" spans="17:23">
      <c r="Q970" t="s">
        <v>211</v>
      </c>
      <c r="R970" t="s">
        <v>162</v>
      </c>
      <c r="S970" t="s">
        <v>25</v>
      </c>
      <c r="T970" t="s">
        <v>212</v>
      </c>
      <c r="U970">
        <v>2050</v>
      </c>
      <c r="V970">
        <v>1</v>
      </c>
      <c r="W970">
        <v>13360.225</v>
      </c>
    </row>
    <row r="971" spans="17:23">
      <c r="Q971" t="s">
        <v>211</v>
      </c>
      <c r="R971" t="s">
        <v>162</v>
      </c>
      <c r="S971" t="s">
        <v>26</v>
      </c>
      <c r="T971" t="s">
        <v>212</v>
      </c>
      <c r="U971">
        <v>2000</v>
      </c>
      <c r="V971">
        <v>0.996</v>
      </c>
      <c r="W971">
        <v>9675.2655119999999</v>
      </c>
    </row>
    <row r="972" spans="17:23">
      <c r="Q972" t="s">
        <v>211</v>
      </c>
      <c r="R972" t="s">
        <v>162</v>
      </c>
      <c r="S972" t="s">
        <v>26</v>
      </c>
      <c r="T972" t="s">
        <v>212</v>
      </c>
      <c r="U972">
        <v>2001</v>
      </c>
      <c r="V972">
        <v>0.995</v>
      </c>
      <c r="W972">
        <v>9926.9508249999999</v>
      </c>
    </row>
    <row r="973" spans="17:23">
      <c r="Q973" t="s">
        <v>211</v>
      </c>
      <c r="R973" t="s">
        <v>162</v>
      </c>
      <c r="S973" t="s">
        <v>26</v>
      </c>
      <c r="T973" t="s">
        <v>212</v>
      </c>
      <c r="U973">
        <v>2002</v>
      </c>
      <c r="V973">
        <v>0.995</v>
      </c>
      <c r="W973">
        <v>10186.16325</v>
      </c>
    </row>
    <row r="974" spans="17:23">
      <c r="Q974" t="s">
        <v>211</v>
      </c>
      <c r="R974" t="s">
        <v>162</v>
      </c>
      <c r="S974" t="s">
        <v>26</v>
      </c>
      <c r="T974" t="s">
        <v>212</v>
      </c>
      <c r="U974">
        <v>2003</v>
      </c>
      <c r="V974">
        <v>0.99399999999999999</v>
      </c>
      <c r="W974">
        <v>10438.604316000001</v>
      </c>
    </row>
    <row r="975" spans="17:23">
      <c r="Q975" t="s">
        <v>211</v>
      </c>
      <c r="R975" t="s">
        <v>162</v>
      </c>
      <c r="S975" t="s">
        <v>26</v>
      </c>
      <c r="T975" t="s">
        <v>212</v>
      </c>
      <c r="U975">
        <v>2004</v>
      </c>
      <c r="V975">
        <v>0.99399999999999999</v>
      </c>
      <c r="W975">
        <v>10714.482058</v>
      </c>
    </row>
    <row r="976" spans="17:23">
      <c r="Q976" t="s">
        <v>211</v>
      </c>
      <c r="R976" t="s">
        <v>162</v>
      </c>
      <c r="S976" t="s">
        <v>26</v>
      </c>
      <c r="T976" t="s">
        <v>212</v>
      </c>
      <c r="U976">
        <v>2005</v>
      </c>
      <c r="V976">
        <v>0.99399999999999999</v>
      </c>
      <c r="W976">
        <v>11010.268625999999</v>
      </c>
    </row>
    <row r="977" spans="17:23">
      <c r="Q977" t="s">
        <v>211</v>
      </c>
      <c r="R977" t="s">
        <v>162</v>
      </c>
      <c r="S977" t="s">
        <v>26</v>
      </c>
      <c r="T977" t="s">
        <v>212</v>
      </c>
      <c r="U977">
        <v>2006</v>
      </c>
      <c r="V977">
        <v>0.99299999999999999</v>
      </c>
      <c r="W977">
        <v>11315.765262000001</v>
      </c>
    </row>
    <row r="978" spans="17:23">
      <c r="Q978" t="s">
        <v>211</v>
      </c>
      <c r="R978" t="s">
        <v>162</v>
      </c>
      <c r="S978" t="s">
        <v>26</v>
      </c>
      <c r="T978" t="s">
        <v>212</v>
      </c>
      <c r="U978">
        <v>2007</v>
      </c>
      <c r="V978">
        <v>0.99299999999999999</v>
      </c>
      <c r="W978">
        <v>11650.228515000001</v>
      </c>
    </row>
    <row r="979" spans="17:23">
      <c r="Q979" t="s">
        <v>211</v>
      </c>
      <c r="R979" t="s">
        <v>162</v>
      </c>
      <c r="S979" t="s">
        <v>26</v>
      </c>
      <c r="T979" t="s">
        <v>212</v>
      </c>
      <c r="U979">
        <v>2008</v>
      </c>
      <c r="V979">
        <v>0.99350000000000005</v>
      </c>
      <c r="W979">
        <v>12005.516590499999</v>
      </c>
    </row>
    <row r="980" spans="17:23">
      <c r="Q980" t="s">
        <v>211</v>
      </c>
      <c r="R980" t="s">
        <v>162</v>
      </c>
      <c r="S980" t="s">
        <v>26</v>
      </c>
      <c r="T980" t="s">
        <v>212</v>
      </c>
      <c r="U980">
        <v>2009</v>
      </c>
      <c r="V980">
        <v>0.99399999999999999</v>
      </c>
      <c r="W980">
        <v>12369.66402</v>
      </c>
    </row>
    <row r="981" spans="17:23">
      <c r="Q981" t="s">
        <v>211</v>
      </c>
      <c r="R981" t="s">
        <v>162</v>
      </c>
      <c r="S981" t="s">
        <v>26</v>
      </c>
      <c r="T981" t="s">
        <v>212</v>
      </c>
      <c r="U981">
        <v>2010</v>
      </c>
      <c r="V981">
        <v>0.99399999999999999</v>
      </c>
      <c r="W981">
        <v>12732.656916</v>
      </c>
    </row>
    <row r="982" spans="17:23">
      <c r="Q982" t="s">
        <v>211</v>
      </c>
      <c r="R982" t="s">
        <v>162</v>
      </c>
      <c r="S982" t="s">
        <v>26</v>
      </c>
      <c r="T982" t="s">
        <v>212</v>
      </c>
      <c r="U982">
        <v>2011</v>
      </c>
      <c r="V982">
        <v>0.99299999999999999</v>
      </c>
      <c r="W982">
        <v>13086.23064</v>
      </c>
    </row>
    <row r="983" spans="17:23">
      <c r="Q983" t="s">
        <v>211</v>
      </c>
      <c r="R983" t="s">
        <v>162</v>
      </c>
      <c r="S983" t="s">
        <v>26</v>
      </c>
      <c r="T983" t="s">
        <v>212</v>
      </c>
      <c r="U983">
        <v>2012</v>
      </c>
      <c r="V983">
        <v>0.99399999999999999</v>
      </c>
      <c r="W983">
        <v>13470.630348000001</v>
      </c>
    </row>
    <row r="984" spans="17:23">
      <c r="Q984" t="s">
        <v>211</v>
      </c>
      <c r="R984" t="s">
        <v>162</v>
      </c>
      <c r="S984" t="s">
        <v>26</v>
      </c>
      <c r="T984" t="s">
        <v>212</v>
      </c>
      <c r="U984">
        <v>2013</v>
      </c>
      <c r="V984">
        <v>0.99399999999999999</v>
      </c>
      <c r="W984">
        <v>13846.893144</v>
      </c>
    </row>
    <row r="985" spans="17:23">
      <c r="Q985" t="s">
        <v>211</v>
      </c>
      <c r="R985" t="s">
        <v>162</v>
      </c>
      <c r="S985" t="s">
        <v>26</v>
      </c>
      <c r="T985" t="s">
        <v>212</v>
      </c>
      <c r="U985">
        <v>2014</v>
      </c>
      <c r="V985">
        <v>0.995</v>
      </c>
      <c r="W985">
        <v>14243.646885</v>
      </c>
    </row>
    <row r="986" spans="17:23">
      <c r="Q986" t="s">
        <v>211</v>
      </c>
      <c r="R986" t="s">
        <v>162</v>
      </c>
      <c r="S986" t="s">
        <v>26</v>
      </c>
      <c r="T986" t="s">
        <v>212</v>
      </c>
      <c r="U986">
        <v>2015</v>
      </c>
      <c r="V986">
        <v>0.995</v>
      </c>
      <c r="W986">
        <v>14633.372465</v>
      </c>
    </row>
    <row r="987" spans="17:23">
      <c r="Q987" t="s">
        <v>211</v>
      </c>
      <c r="R987" t="s">
        <v>162</v>
      </c>
      <c r="S987" t="s">
        <v>26</v>
      </c>
      <c r="T987" t="s">
        <v>212</v>
      </c>
      <c r="U987">
        <v>2016</v>
      </c>
      <c r="V987">
        <v>0.996</v>
      </c>
      <c r="W987">
        <v>15044.877804</v>
      </c>
    </row>
    <row r="988" spans="17:23">
      <c r="Q988" t="s">
        <v>211</v>
      </c>
      <c r="R988" t="s">
        <v>162</v>
      </c>
      <c r="S988" t="s">
        <v>26</v>
      </c>
      <c r="T988" t="s">
        <v>212</v>
      </c>
      <c r="U988">
        <v>2017</v>
      </c>
      <c r="V988">
        <v>0.996</v>
      </c>
      <c r="W988">
        <v>15447.475944</v>
      </c>
    </row>
    <row r="989" spans="17:23">
      <c r="Q989" t="s">
        <v>211</v>
      </c>
      <c r="R989" t="s">
        <v>162</v>
      </c>
      <c r="S989" t="s">
        <v>26</v>
      </c>
      <c r="T989" t="s">
        <v>212</v>
      </c>
      <c r="U989">
        <v>2018</v>
      </c>
      <c r="V989">
        <v>0.996</v>
      </c>
      <c r="W989">
        <v>15855.11982</v>
      </c>
    </row>
    <row r="990" spans="17:23">
      <c r="Q990" t="s">
        <v>211</v>
      </c>
      <c r="R990" t="s">
        <v>162</v>
      </c>
      <c r="S990" t="s">
        <v>26</v>
      </c>
      <c r="T990" t="s">
        <v>212</v>
      </c>
      <c r="U990">
        <v>2019</v>
      </c>
      <c r="V990">
        <v>0.997</v>
      </c>
      <c r="W990">
        <v>16283.173489999999</v>
      </c>
    </row>
    <row r="991" spans="17:23">
      <c r="Q991" t="s">
        <v>211</v>
      </c>
      <c r="R991" t="s">
        <v>162</v>
      </c>
      <c r="S991" t="s">
        <v>26</v>
      </c>
      <c r="T991" t="s">
        <v>212</v>
      </c>
      <c r="U991">
        <v>2020</v>
      </c>
      <c r="V991">
        <v>0.997</v>
      </c>
      <c r="W991">
        <v>16698.608434999998</v>
      </c>
    </row>
    <row r="992" spans="17:23">
      <c r="Q992" t="s">
        <v>211</v>
      </c>
      <c r="R992" t="s">
        <v>162</v>
      </c>
      <c r="S992" t="s">
        <v>26</v>
      </c>
      <c r="T992" t="s">
        <v>212</v>
      </c>
      <c r="U992">
        <v>2021</v>
      </c>
      <c r="V992">
        <v>0.998</v>
      </c>
      <c r="W992">
        <v>17133.77378</v>
      </c>
    </row>
    <row r="993" spans="17:23">
      <c r="Q993" t="s">
        <v>211</v>
      </c>
      <c r="R993" t="s">
        <v>162</v>
      </c>
      <c r="S993" t="s">
        <v>26</v>
      </c>
      <c r="T993" t="s">
        <v>212</v>
      </c>
      <c r="U993">
        <v>2022</v>
      </c>
      <c r="V993">
        <v>0.998</v>
      </c>
      <c r="W993">
        <v>17554.494652000001</v>
      </c>
    </row>
    <row r="994" spans="17:23">
      <c r="Q994" t="s">
        <v>211</v>
      </c>
      <c r="R994" t="s">
        <v>162</v>
      </c>
      <c r="S994" t="s">
        <v>26</v>
      </c>
      <c r="T994" t="s">
        <v>212</v>
      </c>
      <c r="U994">
        <v>2023</v>
      </c>
      <c r="V994">
        <v>0.998</v>
      </c>
      <c r="W994">
        <v>17977.65264</v>
      </c>
    </row>
    <row r="995" spans="17:23">
      <c r="Q995" t="s">
        <v>211</v>
      </c>
      <c r="R995" t="s">
        <v>162</v>
      </c>
      <c r="S995" t="s">
        <v>26</v>
      </c>
      <c r="T995" t="s">
        <v>212</v>
      </c>
      <c r="U995">
        <v>2024</v>
      </c>
      <c r="V995">
        <v>0.999</v>
      </c>
      <c r="W995">
        <v>18422.049510000001</v>
      </c>
    </row>
    <row r="996" spans="17:23">
      <c r="Q996" t="s">
        <v>211</v>
      </c>
      <c r="R996" t="s">
        <v>162</v>
      </c>
      <c r="S996" t="s">
        <v>26</v>
      </c>
      <c r="T996" t="s">
        <v>212</v>
      </c>
      <c r="U996">
        <v>2025</v>
      </c>
      <c r="V996">
        <v>0.999</v>
      </c>
      <c r="W996">
        <v>18851.229899999998</v>
      </c>
    </row>
    <row r="997" spans="17:23">
      <c r="Q997" t="s">
        <v>211</v>
      </c>
      <c r="R997" t="s">
        <v>162</v>
      </c>
      <c r="S997" t="s">
        <v>26</v>
      </c>
      <c r="T997" t="s">
        <v>212</v>
      </c>
      <c r="U997">
        <v>2026</v>
      </c>
      <c r="V997">
        <v>0.999</v>
      </c>
      <c r="W997">
        <v>19282.769928000002</v>
      </c>
    </row>
    <row r="998" spans="17:23">
      <c r="Q998" t="s">
        <v>211</v>
      </c>
      <c r="R998" t="s">
        <v>162</v>
      </c>
      <c r="S998" t="s">
        <v>26</v>
      </c>
      <c r="T998" t="s">
        <v>212</v>
      </c>
      <c r="U998">
        <v>2027</v>
      </c>
      <c r="V998">
        <v>0.999</v>
      </c>
      <c r="W998">
        <v>19715.603661000001</v>
      </c>
    </row>
    <row r="999" spans="17:23">
      <c r="Q999" t="s">
        <v>211</v>
      </c>
      <c r="R999" t="s">
        <v>162</v>
      </c>
      <c r="S999" t="s">
        <v>26</v>
      </c>
      <c r="T999" t="s">
        <v>212</v>
      </c>
      <c r="U999">
        <v>2028</v>
      </c>
      <c r="V999">
        <v>0.999</v>
      </c>
      <c r="W999">
        <v>20148.245586000001</v>
      </c>
    </row>
    <row r="1000" spans="17:23">
      <c r="Q1000" t="s">
        <v>211</v>
      </c>
      <c r="R1000" t="s">
        <v>162</v>
      </c>
      <c r="S1000" t="s">
        <v>26</v>
      </c>
      <c r="T1000" t="s">
        <v>212</v>
      </c>
      <c r="U1000">
        <v>2029</v>
      </c>
      <c r="V1000">
        <v>0.999</v>
      </c>
      <c r="W1000">
        <v>20578.927473</v>
      </c>
    </row>
    <row r="1001" spans="17:23">
      <c r="Q1001" t="s">
        <v>211</v>
      </c>
      <c r="R1001" t="s">
        <v>162</v>
      </c>
      <c r="S1001" t="s">
        <v>26</v>
      </c>
      <c r="T1001" t="s">
        <v>212</v>
      </c>
      <c r="U1001">
        <v>2030</v>
      </c>
      <c r="V1001">
        <v>0.999</v>
      </c>
      <c r="W1001">
        <v>21006.095877</v>
      </c>
    </row>
    <row r="1002" spans="17:23">
      <c r="Q1002" t="s">
        <v>211</v>
      </c>
      <c r="R1002" t="s">
        <v>162</v>
      </c>
      <c r="S1002" t="s">
        <v>26</v>
      </c>
      <c r="T1002" t="s">
        <v>212</v>
      </c>
      <c r="U1002">
        <v>2031</v>
      </c>
      <c r="V1002">
        <v>0.999</v>
      </c>
      <c r="W1002">
        <v>21428.734815</v>
      </c>
    </row>
    <row r="1003" spans="17:23">
      <c r="Q1003" t="s">
        <v>211</v>
      </c>
      <c r="R1003" t="s">
        <v>162</v>
      </c>
      <c r="S1003" t="s">
        <v>26</v>
      </c>
      <c r="T1003" t="s">
        <v>212</v>
      </c>
      <c r="U1003">
        <v>2032</v>
      </c>
      <c r="V1003">
        <v>0.999</v>
      </c>
      <c r="W1003">
        <v>21846.201929999999</v>
      </c>
    </row>
    <row r="1004" spans="17:23">
      <c r="Q1004" t="s">
        <v>211</v>
      </c>
      <c r="R1004" t="s">
        <v>162</v>
      </c>
      <c r="S1004" t="s">
        <v>26</v>
      </c>
      <c r="T1004" t="s">
        <v>212</v>
      </c>
      <c r="U1004">
        <v>2033</v>
      </c>
      <c r="V1004">
        <v>0.999</v>
      </c>
      <c r="W1004">
        <v>22257.848870999998</v>
      </c>
    </row>
    <row r="1005" spans="17:23">
      <c r="Q1005" t="s">
        <v>211</v>
      </c>
      <c r="R1005" t="s">
        <v>162</v>
      </c>
      <c r="S1005" t="s">
        <v>26</v>
      </c>
      <c r="T1005" t="s">
        <v>212</v>
      </c>
      <c r="U1005">
        <v>2034</v>
      </c>
      <c r="V1005">
        <v>0.999</v>
      </c>
      <c r="W1005">
        <v>22663.333979999999</v>
      </c>
    </row>
    <row r="1006" spans="17:23">
      <c r="Q1006" t="s">
        <v>211</v>
      </c>
      <c r="R1006" t="s">
        <v>162</v>
      </c>
      <c r="S1006" t="s">
        <v>26</v>
      </c>
      <c r="T1006" t="s">
        <v>212</v>
      </c>
      <c r="U1006">
        <v>2035</v>
      </c>
      <c r="V1006">
        <v>0.999</v>
      </c>
      <c r="W1006">
        <v>23065.038873000001</v>
      </c>
    </row>
    <row r="1007" spans="17:23">
      <c r="Q1007" t="s">
        <v>211</v>
      </c>
      <c r="R1007" t="s">
        <v>162</v>
      </c>
      <c r="S1007" t="s">
        <v>26</v>
      </c>
      <c r="T1007" t="s">
        <v>212</v>
      </c>
      <c r="U1007">
        <v>2036</v>
      </c>
      <c r="V1007">
        <v>0.999</v>
      </c>
      <c r="W1007">
        <v>23462.774739</v>
      </c>
    </row>
    <row r="1008" spans="17:23">
      <c r="Q1008" t="s">
        <v>211</v>
      </c>
      <c r="R1008" t="s">
        <v>162</v>
      </c>
      <c r="S1008" t="s">
        <v>26</v>
      </c>
      <c r="T1008" t="s">
        <v>212</v>
      </c>
      <c r="U1008">
        <v>2037</v>
      </c>
      <c r="V1008">
        <v>0.999</v>
      </c>
      <c r="W1008">
        <v>23855.925195</v>
      </c>
    </row>
    <row r="1009" spans="17:23">
      <c r="Q1009" t="s">
        <v>211</v>
      </c>
      <c r="R1009" t="s">
        <v>162</v>
      </c>
      <c r="S1009" t="s">
        <v>26</v>
      </c>
      <c r="T1009" t="s">
        <v>212</v>
      </c>
      <c r="U1009">
        <v>2038</v>
      </c>
      <c r="V1009">
        <v>0.999</v>
      </c>
      <c r="W1009">
        <v>24244.007723999999</v>
      </c>
    </row>
    <row r="1010" spans="17:23">
      <c r="Q1010" t="s">
        <v>211</v>
      </c>
      <c r="R1010" t="s">
        <v>162</v>
      </c>
      <c r="S1010" t="s">
        <v>26</v>
      </c>
      <c r="T1010" t="s">
        <v>212</v>
      </c>
      <c r="U1010">
        <v>2039</v>
      </c>
      <c r="V1010">
        <v>0.999</v>
      </c>
      <c r="W1010">
        <v>24626.523825</v>
      </c>
    </row>
    <row r="1011" spans="17:23">
      <c r="Q1011" t="s">
        <v>211</v>
      </c>
      <c r="R1011" t="s">
        <v>162</v>
      </c>
      <c r="S1011" t="s">
        <v>26</v>
      </c>
      <c r="T1011" t="s">
        <v>212</v>
      </c>
      <c r="U1011">
        <v>2040</v>
      </c>
      <c r="V1011">
        <v>0.999</v>
      </c>
      <c r="W1011">
        <v>25003.003968000001</v>
      </c>
    </row>
    <row r="1012" spans="17:23">
      <c r="Q1012" t="s">
        <v>211</v>
      </c>
      <c r="R1012" t="s">
        <v>162</v>
      </c>
      <c r="S1012" t="s">
        <v>26</v>
      </c>
      <c r="T1012" t="s">
        <v>212</v>
      </c>
      <c r="U1012">
        <v>2041</v>
      </c>
      <c r="V1012">
        <v>1</v>
      </c>
      <c r="W1012">
        <v>25398.337</v>
      </c>
    </row>
    <row r="1013" spans="17:23">
      <c r="Q1013" t="s">
        <v>211</v>
      </c>
      <c r="R1013" t="s">
        <v>162</v>
      </c>
      <c r="S1013" t="s">
        <v>26</v>
      </c>
      <c r="T1013" t="s">
        <v>212</v>
      </c>
      <c r="U1013">
        <v>2042</v>
      </c>
      <c r="V1013">
        <v>1</v>
      </c>
      <c r="W1013">
        <v>25761.555</v>
      </c>
    </row>
    <row r="1014" spans="17:23">
      <c r="Q1014" t="s">
        <v>211</v>
      </c>
      <c r="R1014" t="s">
        <v>162</v>
      </c>
      <c r="S1014" t="s">
        <v>26</v>
      </c>
      <c r="T1014" t="s">
        <v>212</v>
      </c>
      <c r="U1014">
        <v>2043</v>
      </c>
      <c r="V1014">
        <v>0.999</v>
      </c>
      <c r="W1014">
        <v>26090.960921999998</v>
      </c>
    </row>
    <row r="1015" spans="17:23">
      <c r="Q1015" t="s">
        <v>211</v>
      </c>
      <c r="R1015" t="s">
        <v>162</v>
      </c>
      <c r="S1015" t="s">
        <v>26</v>
      </c>
      <c r="T1015" t="s">
        <v>212</v>
      </c>
      <c r="U1015">
        <v>2044</v>
      </c>
      <c r="V1015">
        <v>1</v>
      </c>
      <c r="W1015">
        <v>26464.258999999998</v>
      </c>
    </row>
    <row r="1016" spans="17:23">
      <c r="Q1016" t="s">
        <v>211</v>
      </c>
      <c r="R1016" t="s">
        <v>162</v>
      </c>
      <c r="S1016" t="s">
        <v>26</v>
      </c>
      <c r="T1016" t="s">
        <v>212</v>
      </c>
      <c r="U1016">
        <v>2045</v>
      </c>
      <c r="V1016">
        <v>1</v>
      </c>
      <c r="W1016">
        <v>26802.535</v>
      </c>
    </row>
    <row r="1017" spans="17:23">
      <c r="Q1017" t="s">
        <v>211</v>
      </c>
      <c r="R1017" t="s">
        <v>162</v>
      </c>
      <c r="S1017" t="s">
        <v>26</v>
      </c>
      <c r="T1017" t="s">
        <v>212</v>
      </c>
      <c r="U1017">
        <v>2046</v>
      </c>
      <c r="V1017">
        <v>1</v>
      </c>
      <c r="W1017">
        <v>27131.367999999999</v>
      </c>
    </row>
    <row r="1018" spans="17:23">
      <c r="Q1018" t="s">
        <v>211</v>
      </c>
      <c r="R1018" t="s">
        <v>162</v>
      </c>
      <c r="S1018" t="s">
        <v>26</v>
      </c>
      <c r="T1018" t="s">
        <v>212</v>
      </c>
      <c r="U1018">
        <v>2047</v>
      </c>
      <c r="V1018">
        <v>0.99950000000000006</v>
      </c>
      <c r="W1018">
        <v>27436.605834499998</v>
      </c>
    </row>
    <row r="1019" spans="17:23">
      <c r="Q1019" t="s">
        <v>211</v>
      </c>
      <c r="R1019" t="s">
        <v>162</v>
      </c>
      <c r="S1019" t="s">
        <v>26</v>
      </c>
      <c r="T1019" t="s">
        <v>212</v>
      </c>
      <c r="U1019">
        <v>2048</v>
      </c>
      <c r="V1019">
        <v>0.999</v>
      </c>
      <c r="W1019">
        <v>27731.322918000002</v>
      </c>
    </row>
    <row r="1020" spans="17:23">
      <c r="Q1020" t="s">
        <v>211</v>
      </c>
      <c r="R1020" t="s">
        <v>162</v>
      </c>
      <c r="S1020" t="s">
        <v>26</v>
      </c>
      <c r="T1020" t="s">
        <v>212</v>
      </c>
      <c r="U1020">
        <v>2049</v>
      </c>
      <c r="V1020">
        <v>1</v>
      </c>
      <c r="W1020">
        <v>28057.339</v>
      </c>
    </row>
    <row r="1021" spans="17:23">
      <c r="Q1021" t="s">
        <v>211</v>
      </c>
      <c r="R1021" t="s">
        <v>162</v>
      </c>
      <c r="S1021" t="s">
        <v>26</v>
      </c>
      <c r="T1021" t="s">
        <v>212</v>
      </c>
      <c r="U1021">
        <v>2050</v>
      </c>
      <c r="V1021">
        <v>1</v>
      </c>
      <c r="W1021">
        <v>28344.776999999998</v>
      </c>
    </row>
    <row r="1022" spans="17:23">
      <c r="Q1022" t="s">
        <v>211</v>
      </c>
      <c r="R1022" t="s">
        <v>162</v>
      </c>
      <c r="S1022" t="s">
        <v>29</v>
      </c>
      <c r="T1022" t="s">
        <v>212</v>
      </c>
      <c r="U1022">
        <v>2000</v>
      </c>
      <c r="V1022">
        <v>0.97899999999999998</v>
      </c>
      <c r="W1022">
        <v>11137.272387999999</v>
      </c>
    </row>
    <row r="1023" spans="17:23">
      <c r="Q1023" t="s">
        <v>211</v>
      </c>
      <c r="R1023" t="s">
        <v>162</v>
      </c>
      <c r="S1023" t="s">
        <v>29</v>
      </c>
      <c r="T1023" t="s">
        <v>212</v>
      </c>
      <c r="U1023">
        <v>2001</v>
      </c>
      <c r="V1023">
        <v>0.97899999999999998</v>
      </c>
      <c r="W1023">
        <v>11450.249877</v>
      </c>
    </row>
    <row r="1024" spans="17:23">
      <c r="Q1024" t="s">
        <v>211</v>
      </c>
      <c r="R1024" t="s">
        <v>162</v>
      </c>
      <c r="S1024" t="s">
        <v>29</v>
      </c>
      <c r="T1024" t="s">
        <v>212</v>
      </c>
      <c r="U1024">
        <v>2002</v>
      </c>
      <c r="V1024">
        <v>0.97799999999999998</v>
      </c>
      <c r="W1024">
        <v>11749.409358000001</v>
      </c>
    </row>
    <row r="1025" spans="17:23">
      <c r="Q1025" t="s">
        <v>211</v>
      </c>
      <c r="R1025" t="s">
        <v>162</v>
      </c>
      <c r="S1025" t="s">
        <v>29</v>
      </c>
      <c r="T1025" t="s">
        <v>212</v>
      </c>
      <c r="U1025">
        <v>2003</v>
      </c>
      <c r="V1025">
        <v>0.97799999999999998</v>
      </c>
      <c r="W1025">
        <v>12065.279886</v>
      </c>
    </row>
    <row r="1026" spans="17:23">
      <c r="Q1026" t="s">
        <v>211</v>
      </c>
      <c r="R1026" t="s">
        <v>162</v>
      </c>
      <c r="S1026" t="s">
        <v>29</v>
      </c>
      <c r="T1026" t="s">
        <v>212</v>
      </c>
      <c r="U1026">
        <v>2004</v>
      </c>
      <c r="V1026">
        <v>0.97699999999999998</v>
      </c>
      <c r="W1026">
        <v>12384.489126</v>
      </c>
    </row>
    <row r="1027" spans="17:23">
      <c r="Q1027" t="s">
        <v>211</v>
      </c>
      <c r="R1027" t="s">
        <v>162</v>
      </c>
      <c r="S1027" t="s">
        <v>29</v>
      </c>
      <c r="T1027" t="s">
        <v>212</v>
      </c>
      <c r="U1027">
        <v>2005</v>
      </c>
      <c r="V1027">
        <v>0.97699999999999998</v>
      </c>
      <c r="W1027">
        <v>12739.797646999999</v>
      </c>
    </row>
    <row r="1028" spans="17:23">
      <c r="Q1028" t="s">
        <v>211</v>
      </c>
      <c r="R1028" t="s">
        <v>162</v>
      </c>
      <c r="S1028" t="s">
        <v>29</v>
      </c>
      <c r="T1028" t="s">
        <v>212</v>
      </c>
      <c r="U1028">
        <v>2006</v>
      </c>
      <c r="V1028">
        <v>0.97699999999999998</v>
      </c>
      <c r="W1028">
        <v>13120.388974</v>
      </c>
    </row>
    <row r="1029" spans="17:23">
      <c r="Q1029" t="s">
        <v>211</v>
      </c>
      <c r="R1029" t="s">
        <v>162</v>
      </c>
      <c r="S1029" t="s">
        <v>29</v>
      </c>
      <c r="T1029" t="s">
        <v>212</v>
      </c>
      <c r="U1029">
        <v>2007</v>
      </c>
      <c r="V1029">
        <v>0.97599999999999998</v>
      </c>
      <c r="W1029">
        <v>13508.785744000001</v>
      </c>
    </row>
    <row r="1030" spans="17:23">
      <c r="Q1030" t="s">
        <v>211</v>
      </c>
      <c r="R1030" t="s">
        <v>162</v>
      </c>
      <c r="S1030" t="s">
        <v>29</v>
      </c>
      <c r="T1030" t="s">
        <v>212</v>
      </c>
      <c r="U1030">
        <v>2008</v>
      </c>
      <c r="V1030">
        <v>0.97599999999999998</v>
      </c>
      <c r="W1030">
        <v>13928.724383999999</v>
      </c>
    </row>
    <row r="1031" spans="17:23">
      <c r="Q1031" t="s">
        <v>211</v>
      </c>
      <c r="R1031" t="s">
        <v>162</v>
      </c>
      <c r="S1031" t="s">
        <v>29</v>
      </c>
      <c r="T1031" t="s">
        <v>212</v>
      </c>
      <c r="U1031">
        <v>2009</v>
      </c>
      <c r="V1031">
        <v>0.97599999999999998</v>
      </c>
      <c r="W1031">
        <v>14361.451552</v>
      </c>
    </row>
    <row r="1032" spans="17:23">
      <c r="Q1032" t="s">
        <v>211</v>
      </c>
      <c r="R1032" t="s">
        <v>162</v>
      </c>
      <c r="S1032" t="s">
        <v>29</v>
      </c>
      <c r="T1032" t="s">
        <v>212</v>
      </c>
      <c r="U1032">
        <v>2010</v>
      </c>
      <c r="V1032">
        <v>0.97599999999999998</v>
      </c>
      <c r="W1032">
        <v>14803.084720000001</v>
      </c>
    </row>
    <row r="1033" spans="17:23">
      <c r="Q1033" t="s">
        <v>211</v>
      </c>
      <c r="R1033" t="s">
        <v>162</v>
      </c>
      <c r="S1033" t="s">
        <v>29</v>
      </c>
      <c r="T1033" t="s">
        <v>212</v>
      </c>
      <c r="U1033">
        <v>2011</v>
      </c>
      <c r="V1033">
        <v>0.97699999999999998</v>
      </c>
      <c r="W1033">
        <v>15268.182785999999</v>
      </c>
    </row>
    <row r="1034" spans="17:23">
      <c r="Q1034" t="s">
        <v>211</v>
      </c>
      <c r="R1034" t="s">
        <v>162</v>
      </c>
      <c r="S1034" t="s">
        <v>29</v>
      </c>
      <c r="T1034" t="s">
        <v>212</v>
      </c>
      <c r="U1034">
        <v>2012</v>
      </c>
      <c r="V1034">
        <v>0.97699999999999998</v>
      </c>
      <c r="W1034">
        <v>15727.066984999999</v>
      </c>
    </row>
    <row r="1035" spans="17:23">
      <c r="Q1035" t="s">
        <v>211</v>
      </c>
      <c r="R1035" t="s">
        <v>162</v>
      </c>
      <c r="S1035" t="s">
        <v>29</v>
      </c>
      <c r="T1035" t="s">
        <v>212</v>
      </c>
      <c r="U1035">
        <v>2013</v>
      </c>
      <c r="V1035">
        <v>0.97799999999999998</v>
      </c>
      <c r="W1035">
        <v>16212.449766</v>
      </c>
    </row>
    <row r="1036" spans="17:23">
      <c r="Q1036" t="s">
        <v>211</v>
      </c>
      <c r="R1036" t="s">
        <v>162</v>
      </c>
      <c r="S1036" t="s">
        <v>29</v>
      </c>
      <c r="T1036" t="s">
        <v>212</v>
      </c>
      <c r="U1036">
        <v>2014</v>
      </c>
      <c r="V1036">
        <v>0.97899999999999998</v>
      </c>
      <c r="W1036">
        <v>16710.392402000001</v>
      </c>
    </row>
    <row r="1037" spans="17:23">
      <c r="Q1037" t="s">
        <v>211</v>
      </c>
      <c r="R1037" t="s">
        <v>162</v>
      </c>
      <c r="S1037" t="s">
        <v>29</v>
      </c>
      <c r="T1037" t="s">
        <v>212</v>
      </c>
      <c r="U1037">
        <v>2015</v>
      </c>
      <c r="V1037">
        <v>0.98099999999999998</v>
      </c>
      <c r="W1037">
        <v>17239.708467</v>
      </c>
    </row>
    <row r="1038" spans="17:23">
      <c r="Q1038" t="s">
        <v>211</v>
      </c>
      <c r="R1038" t="s">
        <v>162</v>
      </c>
      <c r="S1038" t="s">
        <v>29</v>
      </c>
      <c r="T1038" t="s">
        <v>212</v>
      </c>
      <c r="U1038">
        <v>2016</v>
      </c>
      <c r="V1038">
        <v>0.98199999999999998</v>
      </c>
      <c r="W1038">
        <v>17765.926650000001</v>
      </c>
    </row>
    <row r="1039" spans="17:23">
      <c r="Q1039" t="s">
        <v>211</v>
      </c>
      <c r="R1039" t="s">
        <v>162</v>
      </c>
      <c r="S1039" t="s">
        <v>29</v>
      </c>
      <c r="T1039" t="s">
        <v>212</v>
      </c>
      <c r="U1039">
        <v>2017</v>
      </c>
      <c r="V1039">
        <v>0.98399999999999999</v>
      </c>
      <c r="W1039">
        <v>18324.150335999999</v>
      </c>
    </row>
    <row r="1040" spans="17:23">
      <c r="Q1040" t="s">
        <v>211</v>
      </c>
      <c r="R1040" t="s">
        <v>162</v>
      </c>
      <c r="S1040" t="s">
        <v>29</v>
      </c>
      <c r="T1040" t="s">
        <v>212</v>
      </c>
      <c r="U1040">
        <v>2018</v>
      </c>
      <c r="V1040">
        <v>0.98599999999999999</v>
      </c>
      <c r="W1040">
        <v>18896.421807999999</v>
      </c>
    </row>
    <row r="1041" spans="17:23">
      <c r="Q1041" t="s">
        <v>211</v>
      </c>
      <c r="R1041" t="s">
        <v>162</v>
      </c>
      <c r="S1041" t="s">
        <v>29</v>
      </c>
      <c r="T1041" t="s">
        <v>212</v>
      </c>
      <c r="U1041">
        <v>2019</v>
      </c>
      <c r="V1041">
        <v>0.98799999999999999</v>
      </c>
      <c r="W1041">
        <v>19482.118084000002</v>
      </c>
    </row>
    <row r="1042" spans="17:23">
      <c r="Q1042" t="s">
        <v>211</v>
      </c>
      <c r="R1042" t="s">
        <v>162</v>
      </c>
      <c r="S1042" t="s">
        <v>29</v>
      </c>
      <c r="T1042" t="s">
        <v>212</v>
      </c>
      <c r="U1042">
        <v>2020</v>
      </c>
      <c r="V1042">
        <v>0.98899999999999999</v>
      </c>
      <c r="W1042">
        <v>20060.570399</v>
      </c>
    </row>
    <row r="1043" spans="17:23">
      <c r="Q1043" t="s">
        <v>211</v>
      </c>
      <c r="R1043" t="s">
        <v>162</v>
      </c>
      <c r="S1043" t="s">
        <v>29</v>
      </c>
      <c r="T1043" t="s">
        <v>212</v>
      </c>
      <c r="U1043">
        <v>2021</v>
      </c>
      <c r="V1043">
        <v>0.99</v>
      </c>
      <c r="W1043">
        <v>20650.59909</v>
      </c>
    </row>
    <row r="1044" spans="17:23">
      <c r="Q1044" t="s">
        <v>211</v>
      </c>
      <c r="R1044" t="s">
        <v>162</v>
      </c>
      <c r="S1044" t="s">
        <v>29</v>
      </c>
      <c r="T1044" t="s">
        <v>212</v>
      </c>
      <c r="U1044">
        <v>2022</v>
      </c>
      <c r="V1044">
        <v>0.99099999999999999</v>
      </c>
      <c r="W1044">
        <v>21252.458788</v>
      </c>
    </row>
    <row r="1045" spans="17:23">
      <c r="Q1045" t="s">
        <v>211</v>
      </c>
      <c r="R1045" t="s">
        <v>162</v>
      </c>
      <c r="S1045" t="s">
        <v>29</v>
      </c>
      <c r="T1045" t="s">
        <v>212</v>
      </c>
      <c r="U1045">
        <v>2023</v>
      </c>
      <c r="V1045">
        <v>0.99299999999999999</v>
      </c>
      <c r="W1045">
        <v>21888.955193999998</v>
      </c>
    </row>
    <row r="1046" spans="17:23">
      <c r="Q1046" t="s">
        <v>211</v>
      </c>
      <c r="R1046" t="s">
        <v>162</v>
      </c>
      <c r="S1046" t="s">
        <v>29</v>
      </c>
      <c r="T1046" t="s">
        <v>212</v>
      </c>
      <c r="U1046">
        <v>2024</v>
      </c>
      <c r="V1046">
        <v>0.99299999999999999</v>
      </c>
      <c r="W1046">
        <v>22495.049625</v>
      </c>
    </row>
    <row r="1047" spans="17:23">
      <c r="Q1047" t="s">
        <v>211</v>
      </c>
      <c r="R1047" t="s">
        <v>162</v>
      </c>
      <c r="S1047" t="s">
        <v>29</v>
      </c>
      <c r="T1047" t="s">
        <v>212</v>
      </c>
      <c r="U1047">
        <v>2025</v>
      </c>
      <c r="V1047">
        <v>0.99399999999999999</v>
      </c>
      <c r="W1047">
        <v>23137.560656000001</v>
      </c>
    </row>
    <row r="1048" spans="17:23">
      <c r="Q1048" t="s">
        <v>211</v>
      </c>
      <c r="R1048" t="s">
        <v>162</v>
      </c>
      <c r="S1048" t="s">
        <v>29</v>
      </c>
      <c r="T1048" t="s">
        <v>212</v>
      </c>
      <c r="U1048">
        <v>2026</v>
      </c>
      <c r="V1048">
        <v>0.995</v>
      </c>
      <c r="W1048">
        <v>23794.645915000001</v>
      </c>
    </row>
    <row r="1049" spans="17:23">
      <c r="Q1049" t="s">
        <v>211</v>
      </c>
      <c r="R1049" t="s">
        <v>162</v>
      </c>
      <c r="S1049" t="s">
        <v>29</v>
      </c>
      <c r="T1049" t="s">
        <v>212</v>
      </c>
      <c r="U1049">
        <v>2027</v>
      </c>
      <c r="V1049">
        <v>0.996</v>
      </c>
      <c r="W1049">
        <v>24465.764916</v>
      </c>
    </row>
    <row r="1050" spans="17:23">
      <c r="Q1050" t="s">
        <v>211</v>
      </c>
      <c r="R1050" t="s">
        <v>162</v>
      </c>
      <c r="S1050" t="s">
        <v>29</v>
      </c>
      <c r="T1050" t="s">
        <v>212</v>
      </c>
      <c r="U1050">
        <v>2028</v>
      </c>
      <c r="V1050">
        <v>0.996</v>
      </c>
      <c r="W1050">
        <v>25124.642820000001</v>
      </c>
    </row>
    <row r="1051" spans="17:23">
      <c r="Q1051" t="s">
        <v>211</v>
      </c>
      <c r="R1051" t="s">
        <v>162</v>
      </c>
      <c r="S1051" t="s">
        <v>29</v>
      </c>
      <c r="T1051" t="s">
        <v>212</v>
      </c>
      <c r="U1051">
        <v>2029</v>
      </c>
      <c r="V1051">
        <v>0.997</v>
      </c>
      <c r="W1051">
        <v>25819.654959</v>
      </c>
    </row>
    <row r="1052" spans="17:23">
      <c r="Q1052" t="s">
        <v>211</v>
      </c>
      <c r="R1052" t="s">
        <v>162</v>
      </c>
      <c r="S1052" t="s">
        <v>29</v>
      </c>
      <c r="T1052" t="s">
        <v>212</v>
      </c>
      <c r="U1052">
        <v>2030</v>
      </c>
      <c r="V1052">
        <v>0.997</v>
      </c>
      <c r="W1052">
        <v>26498.512258999999</v>
      </c>
    </row>
    <row r="1053" spans="17:23">
      <c r="Q1053" t="s">
        <v>211</v>
      </c>
      <c r="R1053" t="s">
        <v>162</v>
      </c>
      <c r="S1053" t="s">
        <v>29</v>
      </c>
      <c r="T1053" t="s">
        <v>212</v>
      </c>
      <c r="U1053">
        <v>2031</v>
      </c>
      <c r="V1053">
        <v>0.997</v>
      </c>
      <c r="W1053">
        <v>27185.926810000001</v>
      </c>
    </row>
    <row r="1054" spans="17:23">
      <c r="Q1054" t="s">
        <v>211</v>
      </c>
      <c r="R1054" t="s">
        <v>162</v>
      </c>
      <c r="S1054" t="s">
        <v>29</v>
      </c>
      <c r="T1054" t="s">
        <v>212</v>
      </c>
      <c r="U1054">
        <v>2032</v>
      </c>
      <c r="V1054">
        <v>0.998</v>
      </c>
      <c r="W1054">
        <v>27909.79854</v>
      </c>
    </row>
    <row r="1055" spans="17:23">
      <c r="Q1055" t="s">
        <v>211</v>
      </c>
      <c r="R1055" t="s">
        <v>162</v>
      </c>
      <c r="S1055" t="s">
        <v>29</v>
      </c>
      <c r="T1055" t="s">
        <v>212</v>
      </c>
      <c r="U1055">
        <v>2033</v>
      </c>
      <c r="V1055">
        <v>0.998</v>
      </c>
      <c r="W1055">
        <v>28614.763783999999</v>
      </c>
    </row>
    <row r="1056" spans="17:23">
      <c r="Q1056" t="s">
        <v>211</v>
      </c>
      <c r="R1056" t="s">
        <v>162</v>
      </c>
      <c r="S1056" t="s">
        <v>29</v>
      </c>
      <c r="T1056" t="s">
        <v>212</v>
      </c>
      <c r="U1056">
        <v>2034</v>
      </c>
      <c r="V1056">
        <v>0.998</v>
      </c>
      <c r="W1056">
        <v>29328.068316000001</v>
      </c>
    </row>
    <row r="1057" spans="17:23">
      <c r="Q1057" t="s">
        <v>211</v>
      </c>
      <c r="R1057" t="s">
        <v>162</v>
      </c>
      <c r="S1057" t="s">
        <v>29</v>
      </c>
      <c r="T1057" t="s">
        <v>212</v>
      </c>
      <c r="U1057">
        <v>2035</v>
      </c>
      <c r="V1057">
        <v>0.999</v>
      </c>
      <c r="W1057">
        <v>30079.747143000001</v>
      </c>
    </row>
    <row r="1058" spans="17:23">
      <c r="Q1058" t="s">
        <v>211</v>
      </c>
      <c r="R1058" t="s">
        <v>162</v>
      </c>
      <c r="S1058" t="s">
        <v>29</v>
      </c>
      <c r="T1058" t="s">
        <v>212</v>
      </c>
      <c r="U1058">
        <v>2036</v>
      </c>
      <c r="V1058">
        <v>0.998</v>
      </c>
      <c r="W1058">
        <v>30779.111413999999</v>
      </c>
    </row>
    <row r="1059" spans="17:23">
      <c r="Q1059" t="s">
        <v>211</v>
      </c>
      <c r="R1059" t="s">
        <v>162</v>
      </c>
      <c r="S1059" t="s">
        <v>29</v>
      </c>
      <c r="T1059" t="s">
        <v>212</v>
      </c>
      <c r="U1059">
        <v>2037</v>
      </c>
      <c r="V1059">
        <v>0.999</v>
      </c>
      <c r="W1059">
        <v>31547.638782000002</v>
      </c>
    </row>
    <row r="1060" spans="17:23">
      <c r="Q1060" t="s">
        <v>211</v>
      </c>
      <c r="R1060" t="s">
        <v>162</v>
      </c>
      <c r="S1060" t="s">
        <v>29</v>
      </c>
      <c r="T1060" t="s">
        <v>212</v>
      </c>
      <c r="U1060">
        <v>2038</v>
      </c>
      <c r="V1060">
        <v>0.999</v>
      </c>
      <c r="W1060">
        <v>32292.544130999999</v>
      </c>
    </row>
    <row r="1061" spans="17:23">
      <c r="Q1061" t="s">
        <v>211</v>
      </c>
      <c r="R1061" t="s">
        <v>162</v>
      </c>
      <c r="S1061" t="s">
        <v>29</v>
      </c>
      <c r="T1061" t="s">
        <v>212</v>
      </c>
      <c r="U1061">
        <v>2039</v>
      </c>
      <c r="V1061">
        <v>0.999</v>
      </c>
      <c r="W1061">
        <v>33044.376546</v>
      </c>
    </row>
    <row r="1062" spans="17:23">
      <c r="Q1062" t="s">
        <v>211</v>
      </c>
      <c r="R1062" t="s">
        <v>162</v>
      </c>
      <c r="S1062" t="s">
        <v>29</v>
      </c>
      <c r="T1062" t="s">
        <v>212</v>
      </c>
      <c r="U1062">
        <v>2040</v>
      </c>
      <c r="V1062">
        <v>0.999</v>
      </c>
      <c r="W1062">
        <v>33802.870293</v>
      </c>
    </row>
    <row r="1063" spans="17:23">
      <c r="Q1063" t="s">
        <v>211</v>
      </c>
      <c r="R1063" t="s">
        <v>162</v>
      </c>
      <c r="S1063" t="s">
        <v>29</v>
      </c>
      <c r="T1063" t="s">
        <v>212</v>
      </c>
      <c r="U1063">
        <v>2041</v>
      </c>
      <c r="V1063">
        <v>0.999</v>
      </c>
      <c r="W1063">
        <v>34567.697699999997</v>
      </c>
    </row>
    <row r="1064" spans="17:23">
      <c r="Q1064" t="s">
        <v>211</v>
      </c>
      <c r="R1064" t="s">
        <v>162</v>
      </c>
      <c r="S1064" t="s">
        <v>29</v>
      </c>
      <c r="T1064" t="s">
        <v>212</v>
      </c>
      <c r="U1064">
        <v>2042</v>
      </c>
      <c r="V1064">
        <v>0.999</v>
      </c>
      <c r="W1064">
        <v>35338.481144999998</v>
      </c>
    </row>
    <row r="1065" spans="17:23">
      <c r="Q1065" t="s">
        <v>211</v>
      </c>
      <c r="R1065" t="s">
        <v>162</v>
      </c>
      <c r="S1065" t="s">
        <v>29</v>
      </c>
      <c r="T1065" t="s">
        <v>212</v>
      </c>
      <c r="U1065">
        <v>2043</v>
      </c>
      <c r="V1065">
        <v>0.999</v>
      </c>
      <c r="W1065">
        <v>36114.729120000004</v>
      </c>
    </row>
    <row r="1066" spans="17:23">
      <c r="Q1066" t="s">
        <v>211</v>
      </c>
      <c r="R1066" t="s">
        <v>162</v>
      </c>
      <c r="S1066" t="s">
        <v>29</v>
      </c>
      <c r="T1066" t="s">
        <v>212</v>
      </c>
      <c r="U1066">
        <v>2044</v>
      </c>
      <c r="V1066">
        <v>0.999</v>
      </c>
      <c r="W1066">
        <v>36895.872195000004</v>
      </c>
    </row>
    <row r="1067" spans="17:23">
      <c r="Q1067" t="s">
        <v>211</v>
      </c>
      <c r="R1067" t="s">
        <v>162</v>
      </c>
      <c r="S1067" t="s">
        <v>29</v>
      </c>
      <c r="T1067" t="s">
        <v>212</v>
      </c>
      <c r="U1067">
        <v>2045</v>
      </c>
      <c r="V1067">
        <v>0.999</v>
      </c>
      <c r="W1067">
        <v>37681.435845</v>
      </c>
    </row>
    <row r="1068" spans="17:23">
      <c r="Q1068" t="s">
        <v>211</v>
      </c>
      <c r="R1068" t="s">
        <v>162</v>
      </c>
      <c r="S1068" t="s">
        <v>29</v>
      </c>
      <c r="T1068" t="s">
        <v>212</v>
      </c>
      <c r="U1068">
        <v>2046</v>
      </c>
      <c r="V1068">
        <v>0.999</v>
      </c>
      <c r="W1068">
        <v>38470.956533999997</v>
      </c>
    </row>
    <row r="1069" spans="17:23">
      <c r="Q1069" t="s">
        <v>211</v>
      </c>
      <c r="R1069" t="s">
        <v>162</v>
      </c>
      <c r="S1069" t="s">
        <v>29</v>
      </c>
      <c r="T1069" t="s">
        <v>212</v>
      </c>
      <c r="U1069">
        <v>2047</v>
      </c>
      <c r="V1069">
        <v>0.999</v>
      </c>
      <c r="W1069">
        <v>39264.108588000003</v>
      </c>
    </row>
    <row r="1070" spans="17:23">
      <c r="Q1070" t="s">
        <v>211</v>
      </c>
      <c r="R1070" t="s">
        <v>162</v>
      </c>
      <c r="S1070" t="s">
        <v>29</v>
      </c>
      <c r="T1070" t="s">
        <v>212</v>
      </c>
      <c r="U1070">
        <v>2048</v>
      </c>
      <c r="V1070">
        <v>0.999</v>
      </c>
      <c r="W1070">
        <v>40060.667232</v>
      </c>
    </row>
    <row r="1071" spans="17:23">
      <c r="Q1071" t="s">
        <v>211</v>
      </c>
      <c r="R1071" t="s">
        <v>162</v>
      </c>
      <c r="S1071" t="s">
        <v>29</v>
      </c>
      <c r="T1071" t="s">
        <v>212</v>
      </c>
      <c r="U1071">
        <v>2049</v>
      </c>
      <c r="V1071">
        <v>0.999</v>
      </c>
      <c r="W1071">
        <v>40860.473624999999</v>
      </c>
    </row>
    <row r="1072" spans="17:23">
      <c r="Q1072" t="s">
        <v>211</v>
      </c>
      <c r="R1072" t="s">
        <v>162</v>
      </c>
      <c r="S1072" t="s">
        <v>29</v>
      </c>
      <c r="T1072" t="s">
        <v>212</v>
      </c>
      <c r="U1072">
        <v>2050</v>
      </c>
      <c r="V1072">
        <v>0.999</v>
      </c>
      <c r="W1072">
        <v>41663.296997999998</v>
      </c>
    </row>
    <row r="1073" spans="17:23">
      <c r="Q1073" t="s">
        <v>211</v>
      </c>
      <c r="R1073" t="s">
        <v>162</v>
      </c>
      <c r="S1073" t="s">
        <v>25</v>
      </c>
      <c r="T1073" t="s">
        <v>213</v>
      </c>
      <c r="U1073">
        <v>2000</v>
      </c>
      <c r="V1073">
        <v>0.122</v>
      </c>
      <c r="W1073">
        <v>202.77010000000001</v>
      </c>
    </row>
    <row r="1074" spans="17:23">
      <c r="Q1074" t="s">
        <v>211</v>
      </c>
      <c r="R1074" t="s">
        <v>162</v>
      </c>
      <c r="S1074" t="s">
        <v>25</v>
      </c>
      <c r="T1074" t="s">
        <v>213</v>
      </c>
      <c r="U1074">
        <v>2001</v>
      </c>
      <c r="V1074">
        <v>0.12</v>
      </c>
      <c r="W1074">
        <v>206.28335999999999</v>
      </c>
    </row>
    <row r="1075" spans="17:23">
      <c r="Q1075" t="s">
        <v>211</v>
      </c>
      <c r="R1075" t="s">
        <v>162</v>
      </c>
      <c r="S1075" t="s">
        <v>25</v>
      </c>
      <c r="T1075" t="s">
        <v>213</v>
      </c>
      <c r="U1075">
        <v>2002</v>
      </c>
      <c r="V1075">
        <v>0.11899999999999999</v>
      </c>
      <c r="W1075">
        <v>211.38695899999999</v>
      </c>
    </row>
    <row r="1076" spans="17:23">
      <c r="Q1076" t="s">
        <v>211</v>
      </c>
      <c r="R1076" t="s">
        <v>162</v>
      </c>
      <c r="S1076" t="s">
        <v>25</v>
      </c>
      <c r="T1076" t="s">
        <v>213</v>
      </c>
      <c r="U1076">
        <v>2003</v>
      </c>
      <c r="V1076">
        <v>0.11600000000000001</v>
      </c>
      <c r="W1076">
        <v>212.86846800000001</v>
      </c>
    </row>
    <row r="1077" spans="17:23">
      <c r="Q1077" t="s">
        <v>211</v>
      </c>
      <c r="R1077" t="s">
        <v>162</v>
      </c>
      <c r="S1077" t="s">
        <v>25</v>
      </c>
      <c r="T1077" t="s">
        <v>213</v>
      </c>
      <c r="U1077">
        <v>2004</v>
      </c>
      <c r="V1077">
        <v>0.11700000000000001</v>
      </c>
      <c r="W1077">
        <v>221.93507700000001</v>
      </c>
    </row>
    <row r="1078" spans="17:23">
      <c r="Q1078" t="s">
        <v>211</v>
      </c>
      <c r="R1078" t="s">
        <v>162</v>
      </c>
      <c r="S1078" t="s">
        <v>25</v>
      </c>
      <c r="T1078" t="s">
        <v>213</v>
      </c>
      <c r="U1078">
        <v>2005</v>
      </c>
      <c r="V1078">
        <v>0.11899999999999999</v>
      </c>
      <c r="W1078">
        <v>233.59485799999999</v>
      </c>
    </row>
    <row r="1079" spans="17:23">
      <c r="Q1079" t="s">
        <v>211</v>
      </c>
      <c r="R1079" t="s">
        <v>162</v>
      </c>
      <c r="S1079" t="s">
        <v>25</v>
      </c>
      <c r="T1079" t="s">
        <v>213</v>
      </c>
      <c r="U1079">
        <v>2006</v>
      </c>
      <c r="V1079">
        <v>0.11700000000000001</v>
      </c>
      <c r="W1079">
        <v>237.94617600000001</v>
      </c>
    </row>
    <row r="1080" spans="17:23">
      <c r="Q1080" t="s">
        <v>211</v>
      </c>
      <c r="R1080" t="s">
        <v>162</v>
      </c>
      <c r="S1080" t="s">
        <v>25</v>
      </c>
      <c r="T1080" t="s">
        <v>213</v>
      </c>
      <c r="U1080">
        <v>2007</v>
      </c>
      <c r="V1080">
        <v>0.11899999999999999</v>
      </c>
      <c r="W1080">
        <v>250.92506599999999</v>
      </c>
    </row>
    <row r="1081" spans="17:23">
      <c r="Q1081" t="s">
        <v>211</v>
      </c>
      <c r="R1081" t="s">
        <v>162</v>
      </c>
      <c r="S1081" t="s">
        <v>25</v>
      </c>
      <c r="T1081" t="s">
        <v>213</v>
      </c>
      <c r="U1081">
        <v>2008</v>
      </c>
      <c r="V1081">
        <v>0.11700000000000001</v>
      </c>
      <c r="W1081">
        <v>255.89900700000001</v>
      </c>
    </row>
    <row r="1082" spans="17:23">
      <c r="Q1082" t="s">
        <v>211</v>
      </c>
      <c r="R1082" t="s">
        <v>162</v>
      </c>
      <c r="S1082" t="s">
        <v>25</v>
      </c>
      <c r="T1082" t="s">
        <v>213</v>
      </c>
      <c r="U1082">
        <v>2009</v>
      </c>
      <c r="V1082">
        <v>0.11799999999999999</v>
      </c>
      <c r="W1082">
        <v>267.89209599999998</v>
      </c>
    </row>
    <row r="1083" spans="17:23">
      <c r="Q1083" t="s">
        <v>211</v>
      </c>
      <c r="R1083" t="s">
        <v>162</v>
      </c>
      <c r="S1083" t="s">
        <v>25</v>
      </c>
      <c r="T1083" t="s">
        <v>213</v>
      </c>
      <c r="U1083">
        <v>2010</v>
      </c>
      <c r="V1083">
        <v>0.11700000000000001</v>
      </c>
      <c r="W1083">
        <v>275.83697699999999</v>
      </c>
    </row>
    <row r="1084" spans="17:23">
      <c r="Q1084" t="s">
        <v>211</v>
      </c>
      <c r="R1084" t="s">
        <v>162</v>
      </c>
      <c r="S1084" t="s">
        <v>25</v>
      </c>
      <c r="T1084" t="s">
        <v>213</v>
      </c>
      <c r="U1084">
        <v>2011</v>
      </c>
      <c r="V1084">
        <v>0.114</v>
      </c>
      <c r="W1084">
        <v>279.20173199999999</v>
      </c>
    </row>
    <row r="1085" spans="17:23">
      <c r="Q1085" t="s">
        <v>211</v>
      </c>
      <c r="R1085" t="s">
        <v>162</v>
      </c>
      <c r="S1085" t="s">
        <v>25</v>
      </c>
      <c r="T1085" t="s">
        <v>213</v>
      </c>
      <c r="U1085">
        <v>2012</v>
      </c>
      <c r="V1085">
        <v>0.109</v>
      </c>
      <c r="W1085">
        <v>277.44456700000001</v>
      </c>
    </row>
    <row r="1086" spans="17:23">
      <c r="Q1086" t="s">
        <v>211</v>
      </c>
      <c r="R1086" t="s">
        <v>162</v>
      </c>
      <c r="S1086" t="s">
        <v>25</v>
      </c>
      <c r="T1086" t="s">
        <v>213</v>
      </c>
      <c r="U1086">
        <v>2013</v>
      </c>
      <c r="V1086">
        <v>0.104</v>
      </c>
      <c r="W1086">
        <v>275.253784</v>
      </c>
    </row>
    <row r="1087" spans="17:23">
      <c r="Q1087" t="s">
        <v>211</v>
      </c>
      <c r="R1087" t="s">
        <v>162</v>
      </c>
      <c r="S1087" t="s">
        <v>25</v>
      </c>
      <c r="T1087" t="s">
        <v>213</v>
      </c>
      <c r="U1087">
        <v>2014</v>
      </c>
      <c r="V1087">
        <v>9.6000000000000002E-2</v>
      </c>
      <c r="W1087">
        <v>264.34703999999999</v>
      </c>
    </row>
    <row r="1088" spans="17:23">
      <c r="Q1088" t="s">
        <v>211</v>
      </c>
      <c r="R1088" t="s">
        <v>162</v>
      </c>
      <c r="S1088" t="s">
        <v>25</v>
      </c>
      <c r="T1088" t="s">
        <v>213</v>
      </c>
      <c r="U1088">
        <v>2015</v>
      </c>
      <c r="V1088">
        <v>8.5000000000000006E-2</v>
      </c>
      <c r="W1088">
        <v>243.6695</v>
      </c>
    </row>
    <row r="1089" spans="17:23">
      <c r="Q1089" t="s">
        <v>211</v>
      </c>
      <c r="R1089" t="s">
        <v>162</v>
      </c>
      <c r="S1089" t="s">
        <v>25</v>
      </c>
      <c r="T1089" t="s">
        <v>213</v>
      </c>
      <c r="U1089">
        <v>2016</v>
      </c>
      <c r="V1089">
        <v>7.6999999999999999E-2</v>
      </c>
      <c r="W1089">
        <v>229.943252</v>
      </c>
    </row>
    <row r="1090" spans="17:23">
      <c r="Q1090" t="s">
        <v>211</v>
      </c>
      <c r="R1090" t="s">
        <v>162</v>
      </c>
      <c r="S1090" t="s">
        <v>25</v>
      </c>
      <c r="T1090" t="s">
        <v>213</v>
      </c>
      <c r="U1090">
        <v>2017</v>
      </c>
      <c r="V1090">
        <v>6.8000000000000005E-2</v>
      </c>
      <c r="W1090">
        <v>211.65611999999999</v>
      </c>
    </row>
    <row r="1091" spans="17:23">
      <c r="Q1091" t="s">
        <v>211</v>
      </c>
      <c r="R1091" t="s">
        <v>162</v>
      </c>
      <c r="S1091" t="s">
        <v>25</v>
      </c>
      <c r="T1091" t="s">
        <v>213</v>
      </c>
      <c r="U1091">
        <v>2018</v>
      </c>
      <c r="V1091">
        <v>0.06</v>
      </c>
      <c r="W1091">
        <v>194.75597999999999</v>
      </c>
    </row>
    <row r="1092" spans="17:23">
      <c r="Q1092" t="s">
        <v>211</v>
      </c>
      <c r="R1092" t="s">
        <v>162</v>
      </c>
      <c r="S1092" t="s">
        <v>25</v>
      </c>
      <c r="T1092" t="s">
        <v>213</v>
      </c>
      <c r="U1092">
        <v>2019</v>
      </c>
      <c r="V1092">
        <v>5.0999999999999997E-2</v>
      </c>
      <c r="W1092">
        <v>172.71522300000001</v>
      </c>
    </row>
    <row r="1093" spans="17:23">
      <c r="Q1093" t="s">
        <v>211</v>
      </c>
      <c r="R1093" t="s">
        <v>162</v>
      </c>
      <c r="S1093" t="s">
        <v>25</v>
      </c>
      <c r="T1093" t="s">
        <v>213</v>
      </c>
      <c r="U1093">
        <v>2020</v>
      </c>
      <c r="V1093">
        <v>4.3499999999999997E-2</v>
      </c>
      <c r="W1093">
        <v>153.765366</v>
      </c>
    </row>
    <row r="1094" spans="17:23">
      <c r="Q1094" t="s">
        <v>211</v>
      </c>
      <c r="R1094" t="s">
        <v>162</v>
      </c>
      <c r="S1094" t="s">
        <v>25</v>
      </c>
      <c r="T1094" t="s">
        <v>213</v>
      </c>
      <c r="U1094">
        <v>2021</v>
      </c>
      <c r="V1094">
        <v>3.7999999999999999E-2</v>
      </c>
      <c r="W1094">
        <v>140.261078</v>
      </c>
    </row>
    <row r="1095" spans="17:23">
      <c r="Q1095" t="s">
        <v>211</v>
      </c>
      <c r="R1095" t="s">
        <v>162</v>
      </c>
      <c r="S1095" t="s">
        <v>25</v>
      </c>
      <c r="T1095" t="s">
        <v>213</v>
      </c>
      <c r="U1095">
        <v>2022</v>
      </c>
      <c r="V1095">
        <v>3.2500000000000001E-2</v>
      </c>
      <c r="W1095">
        <v>125.313305</v>
      </c>
    </row>
    <row r="1096" spans="17:23">
      <c r="Q1096" t="s">
        <v>211</v>
      </c>
      <c r="R1096" t="s">
        <v>162</v>
      </c>
      <c r="S1096" t="s">
        <v>25</v>
      </c>
      <c r="T1096" t="s">
        <v>213</v>
      </c>
      <c r="U1096">
        <v>2023</v>
      </c>
      <c r="V1096">
        <v>2.7E-2</v>
      </c>
      <c r="W1096">
        <v>108.79860600000001</v>
      </c>
    </row>
    <row r="1097" spans="17:23">
      <c r="Q1097" t="s">
        <v>211</v>
      </c>
      <c r="R1097" t="s">
        <v>162</v>
      </c>
      <c r="S1097" t="s">
        <v>25</v>
      </c>
      <c r="T1097" t="s">
        <v>213</v>
      </c>
      <c r="U1097">
        <v>2024</v>
      </c>
      <c r="V1097">
        <v>2.3E-2</v>
      </c>
      <c r="W1097">
        <v>96.902105000000105</v>
      </c>
    </row>
    <row r="1098" spans="17:23">
      <c r="Q1098" t="s">
        <v>211</v>
      </c>
      <c r="R1098" t="s">
        <v>162</v>
      </c>
      <c r="S1098" t="s">
        <v>25</v>
      </c>
      <c r="T1098" t="s">
        <v>213</v>
      </c>
      <c r="U1098">
        <v>2025</v>
      </c>
      <c r="V1098">
        <v>1.9E-2</v>
      </c>
      <c r="W1098">
        <v>83.735356000000095</v>
      </c>
    </row>
    <row r="1099" spans="17:23">
      <c r="Q1099" t="s">
        <v>211</v>
      </c>
      <c r="R1099" t="s">
        <v>162</v>
      </c>
      <c r="S1099" t="s">
        <v>25</v>
      </c>
      <c r="T1099" t="s">
        <v>213</v>
      </c>
      <c r="U1099">
        <v>2026</v>
      </c>
      <c r="V1099">
        <v>1.6E-2</v>
      </c>
      <c r="W1099">
        <v>73.794320000000099</v>
      </c>
    </row>
    <row r="1100" spans="17:23">
      <c r="Q1100" t="s">
        <v>211</v>
      </c>
      <c r="R1100" t="s">
        <v>162</v>
      </c>
      <c r="S1100" t="s">
        <v>25</v>
      </c>
      <c r="T1100" t="s">
        <v>213</v>
      </c>
      <c r="U1100">
        <v>2027</v>
      </c>
      <c r="V1100">
        <v>1.2999999999999999E-2</v>
      </c>
      <c r="W1100">
        <v>62.772866</v>
      </c>
    </row>
    <row r="1101" spans="17:23">
      <c r="Q1101" t="s">
        <v>211</v>
      </c>
      <c r="R1101" t="s">
        <v>162</v>
      </c>
      <c r="S1101" t="s">
        <v>25</v>
      </c>
      <c r="T1101" t="s">
        <v>213</v>
      </c>
      <c r="U1101">
        <v>2028</v>
      </c>
      <c r="V1101">
        <v>1.0999999999999999E-2</v>
      </c>
      <c r="W1101">
        <v>55.628441000000002</v>
      </c>
    </row>
    <row r="1102" spans="17:23">
      <c r="Q1102" t="s">
        <v>211</v>
      </c>
      <c r="R1102" t="s">
        <v>162</v>
      </c>
      <c r="S1102" t="s">
        <v>25</v>
      </c>
      <c r="T1102" t="s">
        <v>213</v>
      </c>
      <c r="U1102">
        <v>2029</v>
      </c>
      <c r="V1102">
        <v>8.0000000000000106E-3</v>
      </c>
      <c r="W1102">
        <v>42.382559999999998</v>
      </c>
    </row>
    <row r="1103" spans="17:23">
      <c r="Q1103" t="s">
        <v>211</v>
      </c>
      <c r="R1103" t="s">
        <v>162</v>
      </c>
      <c r="S1103" t="s">
        <v>25</v>
      </c>
      <c r="T1103" t="s">
        <v>213</v>
      </c>
      <c r="U1103">
        <v>2030</v>
      </c>
      <c r="V1103">
        <v>6.0000000000000001E-3</v>
      </c>
      <c r="W1103">
        <v>33.306744000000002</v>
      </c>
    </row>
    <row r="1104" spans="17:23">
      <c r="Q1104" t="s">
        <v>211</v>
      </c>
      <c r="R1104" t="s">
        <v>162</v>
      </c>
      <c r="S1104" t="s">
        <v>25</v>
      </c>
      <c r="T1104" t="s">
        <v>213</v>
      </c>
      <c r="U1104">
        <v>2031</v>
      </c>
      <c r="V1104">
        <v>6.0000000000000001E-3</v>
      </c>
      <c r="W1104">
        <v>34.905270000000002</v>
      </c>
    </row>
    <row r="1105" spans="17:23">
      <c r="Q1105" t="s">
        <v>211</v>
      </c>
      <c r="R1105" t="s">
        <v>162</v>
      </c>
      <c r="S1105" t="s">
        <v>25</v>
      </c>
      <c r="T1105" t="s">
        <v>213</v>
      </c>
      <c r="U1105">
        <v>2032</v>
      </c>
      <c r="V1105">
        <v>4.0000000000000001E-3</v>
      </c>
      <c r="W1105">
        <v>24.390640000000001</v>
      </c>
    </row>
    <row r="1106" spans="17:23">
      <c r="Q1106" t="s">
        <v>211</v>
      </c>
      <c r="R1106" t="s">
        <v>162</v>
      </c>
      <c r="S1106" t="s">
        <v>25</v>
      </c>
      <c r="T1106" t="s">
        <v>213</v>
      </c>
      <c r="U1106">
        <v>2033</v>
      </c>
      <c r="V1106">
        <v>3.0000000000000001E-3</v>
      </c>
      <c r="W1106">
        <v>19.175937000000001</v>
      </c>
    </row>
    <row r="1107" spans="17:23">
      <c r="Q1107" t="s">
        <v>211</v>
      </c>
      <c r="R1107" t="s">
        <v>162</v>
      </c>
      <c r="S1107" t="s">
        <v>25</v>
      </c>
      <c r="T1107" t="s">
        <v>213</v>
      </c>
      <c r="U1107">
        <v>2034</v>
      </c>
      <c r="V1107">
        <v>2E-3</v>
      </c>
      <c r="W1107">
        <v>13.401643999999999</v>
      </c>
    </row>
    <row r="1108" spans="17:23">
      <c r="Q1108" t="s">
        <v>211</v>
      </c>
      <c r="R1108" t="s">
        <v>162</v>
      </c>
      <c r="S1108" t="s">
        <v>25</v>
      </c>
      <c r="T1108" t="s">
        <v>213</v>
      </c>
      <c r="U1108">
        <v>2035</v>
      </c>
      <c r="V1108">
        <v>2E-3</v>
      </c>
      <c r="W1108">
        <v>14.04346</v>
      </c>
    </row>
    <row r="1109" spans="17:23">
      <c r="Q1109" t="s">
        <v>211</v>
      </c>
      <c r="R1109" t="s">
        <v>162</v>
      </c>
      <c r="S1109" t="s">
        <v>25</v>
      </c>
      <c r="T1109" t="s">
        <v>213</v>
      </c>
      <c r="U1109">
        <v>2036</v>
      </c>
      <c r="V1109">
        <v>1E-3</v>
      </c>
      <c r="W1109">
        <v>7.3545320000000096</v>
      </c>
    </row>
    <row r="1110" spans="17:23">
      <c r="Q1110" t="s">
        <v>211</v>
      </c>
      <c r="R1110" t="s">
        <v>162</v>
      </c>
      <c r="S1110" t="s">
        <v>25</v>
      </c>
      <c r="T1110" t="s">
        <v>213</v>
      </c>
      <c r="U1110">
        <v>2037</v>
      </c>
      <c r="V1110">
        <v>1E-3</v>
      </c>
      <c r="W1110">
        <v>7.6994130000000096</v>
      </c>
    </row>
    <row r="1111" spans="17:23">
      <c r="Q1111" t="s">
        <v>211</v>
      </c>
      <c r="R1111" t="s">
        <v>162</v>
      </c>
      <c r="S1111" t="s">
        <v>25</v>
      </c>
      <c r="T1111" t="s">
        <v>213</v>
      </c>
      <c r="U1111">
        <v>2038</v>
      </c>
      <c r="V1111">
        <v>0</v>
      </c>
      <c r="W1111">
        <v>0</v>
      </c>
    </row>
    <row r="1112" spans="17:23">
      <c r="Q1112" t="s">
        <v>211</v>
      </c>
      <c r="R1112" t="s">
        <v>162</v>
      </c>
      <c r="S1112" t="s">
        <v>25</v>
      </c>
      <c r="T1112" t="s">
        <v>213</v>
      </c>
      <c r="U1112">
        <v>2039</v>
      </c>
      <c r="V1112">
        <v>0</v>
      </c>
      <c r="W1112">
        <v>0</v>
      </c>
    </row>
    <row r="1113" spans="17:23">
      <c r="Q1113" t="s">
        <v>211</v>
      </c>
      <c r="R1113" t="s">
        <v>162</v>
      </c>
      <c r="S1113" t="s">
        <v>25</v>
      </c>
      <c r="T1113" t="s">
        <v>213</v>
      </c>
      <c r="U1113">
        <v>2040</v>
      </c>
      <c r="V1113">
        <v>0</v>
      </c>
      <c r="W1113">
        <v>0</v>
      </c>
    </row>
    <row r="1114" spans="17:23">
      <c r="Q1114" t="s">
        <v>211</v>
      </c>
      <c r="R1114" t="s">
        <v>162</v>
      </c>
      <c r="S1114" t="s">
        <v>25</v>
      </c>
      <c r="T1114" t="s">
        <v>213</v>
      </c>
      <c r="U1114">
        <v>2041</v>
      </c>
      <c r="V1114">
        <v>0</v>
      </c>
      <c r="W1114">
        <v>0</v>
      </c>
    </row>
    <row r="1115" spans="17:23">
      <c r="Q1115" t="s">
        <v>211</v>
      </c>
      <c r="R1115" t="s">
        <v>162</v>
      </c>
      <c r="S1115" t="s">
        <v>25</v>
      </c>
      <c r="T1115" t="s">
        <v>213</v>
      </c>
      <c r="U1115">
        <v>2042</v>
      </c>
      <c r="V1115">
        <v>0</v>
      </c>
      <c r="W1115">
        <v>0</v>
      </c>
    </row>
    <row r="1116" spans="17:23">
      <c r="Q1116" t="s">
        <v>211</v>
      </c>
      <c r="R1116" t="s">
        <v>162</v>
      </c>
      <c r="S1116" t="s">
        <v>25</v>
      </c>
      <c r="T1116" t="s">
        <v>213</v>
      </c>
      <c r="U1116">
        <v>2043</v>
      </c>
      <c r="V1116">
        <v>0</v>
      </c>
      <c r="W1116">
        <v>0</v>
      </c>
    </row>
    <row r="1117" spans="17:23">
      <c r="Q1117" t="s">
        <v>211</v>
      </c>
      <c r="R1117" t="s">
        <v>162</v>
      </c>
      <c r="S1117" t="s">
        <v>25</v>
      </c>
      <c r="T1117" t="s">
        <v>213</v>
      </c>
      <c r="U1117">
        <v>2044</v>
      </c>
      <c r="V1117">
        <v>0</v>
      </c>
      <c r="W1117">
        <v>0</v>
      </c>
    </row>
    <row r="1118" spans="17:23">
      <c r="Q1118" t="s">
        <v>211</v>
      </c>
      <c r="R1118" t="s">
        <v>162</v>
      </c>
      <c r="S1118" t="s">
        <v>25</v>
      </c>
      <c r="T1118" t="s">
        <v>213</v>
      </c>
      <c r="U1118">
        <v>2045</v>
      </c>
      <c r="V1118">
        <v>0</v>
      </c>
      <c r="W1118">
        <v>0</v>
      </c>
    </row>
    <row r="1119" spans="17:23">
      <c r="Q1119" t="s">
        <v>211</v>
      </c>
      <c r="R1119" t="s">
        <v>162</v>
      </c>
      <c r="S1119" t="s">
        <v>25</v>
      </c>
      <c r="T1119" t="s">
        <v>213</v>
      </c>
      <c r="U1119">
        <v>2046</v>
      </c>
      <c r="V1119">
        <v>0</v>
      </c>
      <c r="W1119">
        <v>0</v>
      </c>
    </row>
    <row r="1120" spans="17:23">
      <c r="Q1120" t="s">
        <v>211</v>
      </c>
      <c r="R1120" t="s">
        <v>162</v>
      </c>
      <c r="S1120" t="s">
        <v>25</v>
      </c>
      <c r="T1120" t="s">
        <v>213</v>
      </c>
      <c r="U1120">
        <v>2047</v>
      </c>
      <c r="V1120">
        <v>0</v>
      </c>
      <c r="W1120">
        <v>0</v>
      </c>
    </row>
    <row r="1121" spans="17:23">
      <c r="Q1121" t="s">
        <v>211</v>
      </c>
      <c r="R1121" t="s">
        <v>162</v>
      </c>
      <c r="S1121" t="s">
        <v>25</v>
      </c>
      <c r="T1121" t="s">
        <v>213</v>
      </c>
      <c r="U1121">
        <v>2048</v>
      </c>
      <c r="V1121">
        <v>0</v>
      </c>
      <c r="W1121">
        <v>0</v>
      </c>
    </row>
    <row r="1122" spans="17:23">
      <c r="Q1122" t="s">
        <v>211</v>
      </c>
      <c r="R1122" t="s">
        <v>162</v>
      </c>
      <c r="S1122" t="s">
        <v>25</v>
      </c>
      <c r="T1122" t="s">
        <v>213</v>
      </c>
      <c r="U1122">
        <v>2049</v>
      </c>
      <c r="V1122">
        <v>0</v>
      </c>
      <c r="W1122">
        <v>0</v>
      </c>
    </row>
    <row r="1123" spans="17:23">
      <c r="Q1123" t="s">
        <v>211</v>
      </c>
      <c r="R1123" t="s">
        <v>162</v>
      </c>
      <c r="S1123" t="s">
        <v>25</v>
      </c>
      <c r="T1123" t="s">
        <v>213</v>
      </c>
      <c r="U1123">
        <v>2050</v>
      </c>
      <c r="V1123">
        <v>0</v>
      </c>
      <c r="W1123">
        <v>0</v>
      </c>
    </row>
    <row r="1124" spans="17:23">
      <c r="Q1124" t="s">
        <v>211</v>
      </c>
      <c r="R1124" t="s">
        <v>162</v>
      </c>
      <c r="S1124" t="s">
        <v>26</v>
      </c>
      <c r="T1124" t="s">
        <v>213</v>
      </c>
      <c r="U1124">
        <v>2000</v>
      </c>
      <c r="V1124">
        <v>4.0000000000000001E-3</v>
      </c>
      <c r="W1124">
        <v>38.856487999999999</v>
      </c>
    </row>
    <row r="1125" spans="17:23">
      <c r="Q1125" t="s">
        <v>211</v>
      </c>
      <c r="R1125" t="s">
        <v>162</v>
      </c>
      <c r="S1125" t="s">
        <v>26</v>
      </c>
      <c r="T1125" t="s">
        <v>213</v>
      </c>
      <c r="U1125">
        <v>2001</v>
      </c>
      <c r="V1125">
        <v>5.0000000000000001E-3</v>
      </c>
      <c r="W1125">
        <v>49.884174999999999</v>
      </c>
    </row>
    <row r="1126" spans="17:23">
      <c r="Q1126" t="s">
        <v>211</v>
      </c>
      <c r="R1126" t="s">
        <v>162</v>
      </c>
      <c r="S1126" t="s">
        <v>26</v>
      </c>
      <c r="T1126" t="s">
        <v>213</v>
      </c>
      <c r="U1126">
        <v>2002</v>
      </c>
      <c r="V1126">
        <v>5.0000000000000001E-3</v>
      </c>
      <c r="W1126">
        <v>51.186750000000004</v>
      </c>
    </row>
    <row r="1127" spans="17:23">
      <c r="Q1127" t="s">
        <v>211</v>
      </c>
      <c r="R1127" t="s">
        <v>162</v>
      </c>
      <c r="S1127" t="s">
        <v>26</v>
      </c>
      <c r="T1127" t="s">
        <v>213</v>
      </c>
      <c r="U1127">
        <v>2003</v>
      </c>
      <c r="V1127">
        <v>6.0000000000000001E-3</v>
      </c>
      <c r="W1127">
        <v>63.0096840000001</v>
      </c>
    </row>
    <row r="1128" spans="17:23">
      <c r="Q1128" t="s">
        <v>211</v>
      </c>
      <c r="R1128" t="s">
        <v>162</v>
      </c>
      <c r="S1128" t="s">
        <v>26</v>
      </c>
      <c r="T1128" t="s">
        <v>213</v>
      </c>
      <c r="U1128">
        <v>2004</v>
      </c>
      <c r="V1128">
        <v>6.0000000000000001E-3</v>
      </c>
      <c r="W1128">
        <v>64.674942000000101</v>
      </c>
    </row>
    <row r="1129" spans="17:23">
      <c r="Q1129" t="s">
        <v>211</v>
      </c>
      <c r="R1129" t="s">
        <v>162</v>
      </c>
      <c r="S1129" t="s">
        <v>26</v>
      </c>
      <c r="T1129" t="s">
        <v>213</v>
      </c>
      <c r="U1129">
        <v>2005</v>
      </c>
      <c r="V1129">
        <v>6.0000000000000001E-3</v>
      </c>
      <c r="W1129">
        <v>66.460374000000101</v>
      </c>
    </row>
    <row r="1130" spans="17:23">
      <c r="Q1130" t="s">
        <v>211</v>
      </c>
      <c r="R1130" t="s">
        <v>162</v>
      </c>
      <c r="S1130" t="s">
        <v>26</v>
      </c>
      <c r="T1130" t="s">
        <v>213</v>
      </c>
      <c r="U1130">
        <v>2006</v>
      </c>
      <c r="V1130">
        <v>7.0000000000000097E-3</v>
      </c>
      <c r="W1130">
        <v>79.768738000000099</v>
      </c>
    </row>
    <row r="1131" spans="17:23">
      <c r="Q1131" t="s">
        <v>211</v>
      </c>
      <c r="R1131" t="s">
        <v>162</v>
      </c>
      <c r="S1131" t="s">
        <v>26</v>
      </c>
      <c r="T1131" t="s">
        <v>213</v>
      </c>
      <c r="U1131">
        <v>2007</v>
      </c>
      <c r="V1131">
        <v>7.0000000000000097E-3</v>
      </c>
      <c r="W1131">
        <v>82.126485000000102</v>
      </c>
    </row>
    <row r="1132" spans="17:23">
      <c r="Q1132" t="s">
        <v>211</v>
      </c>
      <c r="R1132" t="s">
        <v>162</v>
      </c>
      <c r="S1132" t="s">
        <v>26</v>
      </c>
      <c r="T1132" t="s">
        <v>213</v>
      </c>
      <c r="U1132">
        <v>2008</v>
      </c>
      <c r="V1132">
        <v>6.5000000000000101E-3</v>
      </c>
      <c r="W1132">
        <v>78.546409500000095</v>
      </c>
    </row>
    <row r="1133" spans="17:23">
      <c r="Q1133" t="s">
        <v>211</v>
      </c>
      <c r="R1133" t="s">
        <v>162</v>
      </c>
      <c r="S1133" t="s">
        <v>26</v>
      </c>
      <c r="T1133" t="s">
        <v>213</v>
      </c>
      <c r="U1133">
        <v>2009</v>
      </c>
      <c r="V1133">
        <v>6.0000000000000001E-3</v>
      </c>
      <c r="W1133">
        <v>74.665980000000104</v>
      </c>
    </row>
    <row r="1134" spans="17:23">
      <c r="Q1134" t="s">
        <v>211</v>
      </c>
      <c r="R1134" t="s">
        <v>162</v>
      </c>
      <c r="S1134" t="s">
        <v>26</v>
      </c>
      <c r="T1134" t="s">
        <v>213</v>
      </c>
      <c r="U1134">
        <v>2010</v>
      </c>
      <c r="V1134">
        <v>6.0000000000000001E-3</v>
      </c>
      <c r="W1134">
        <v>76.8570840000001</v>
      </c>
    </row>
    <row r="1135" spans="17:23">
      <c r="Q1135" t="s">
        <v>211</v>
      </c>
      <c r="R1135" t="s">
        <v>162</v>
      </c>
      <c r="S1135" t="s">
        <v>26</v>
      </c>
      <c r="T1135" t="s">
        <v>213</v>
      </c>
      <c r="U1135">
        <v>2011</v>
      </c>
      <c r="V1135">
        <v>7.0000000000000097E-3</v>
      </c>
      <c r="W1135">
        <v>92.249360000000095</v>
      </c>
    </row>
    <row r="1136" spans="17:23">
      <c r="Q1136" t="s">
        <v>211</v>
      </c>
      <c r="R1136" t="s">
        <v>162</v>
      </c>
      <c r="S1136" t="s">
        <v>26</v>
      </c>
      <c r="T1136" t="s">
        <v>213</v>
      </c>
      <c r="U1136">
        <v>2012</v>
      </c>
      <c r="V1136">
        <v>6.0000000000000001E-3</v>
      </c>
      <c r="W1136">
        <v>81.311652000000095</v>
      </c>
    </row>
    <row r="1137" spans="17:23">
      <c r="Q1137" t="s">
        <v>211</v>
      </c>
      <c r="R1137" t="s">
        <v>162</v>
      </c>
      <c r="S1137" t="s">
        <v>26</v>
      </c>
      <c r="T1137" t="s">
        <v>213</v>
      </c>
      <c r="U1137">
        <v>2013</v>
      </c>
      <c r="V1137">
        <v>6.0000000000000001E-3</v>
      </c>
      <c r="W1137">
        <v>83.582856000000106</v>
      </c>
    </row>
    <row r="1138" spans="17:23">
      <c r="Q1138" t="s">
        <v>211</v>
      </c>
      <c r="R1138" t="s">
        <v>162</v>
      </c>
      <c r="S1138" t="s">
        <v>26</v>
      </c>
      <c r="T1138" t="s">
        <v>213</v>
      </c>
      <c r="U1138">
        <v>2014</v>
      </c>
      <c r="V1138">
        <v>5.0000000000000001E-3</v>
      </c>
      <c r="W1138">
        <v>71.576115000000101</v>
      </c>
    </row>
    <row r="1139" spans="17:23">
      <c r="Q1139" t="s">
        <v>211</v>
      </c>
      <c r="R1139" t="s">
        <v>162</v>
      </c>
      <c r="S1139" t="s">
        <v>26</v>
      </c>
      <c r="T1139" t="s">
        <v>213</v>
      </c>
      <c r="U1139">
        <v>2015</v>
      </c>
      <c r="V1139">
        <v>5.0000000000000001E-3</v>
      </c>
      <c r="W1139">
        <v>73.534535000000105</v>
      </c>
    </row>
    <row r="1140" spans="17:23">
      <c r="Q1140" t="s">
        <v>211</v>
      </c>
      <c r="R1140" t="s">
        <v>162</v>
      </c>
      <c r="S1140" t="s">
        <v>26</v>
      </c>
      <c r="T1140" t="s">
        <v>213</v>
      </c>
      <c r="U1140">
        <v>2016</v>
      </c>
      <c r="V1140">
        <v>4.0000000000000001E-3</v>
      </c>
      <c r="W1140">
        <v>60.421196000000101</v>
      </c>
    </row>
    <row r="1141" spans="17:23">
      <c r="Q1141" t="s">
        <v>211</v>
      </c>
      <c r="R1141" t="s">
        <v>162</v>
      </c>
      <c r="S1141" t="s">
        <v>26</v>
      </c>
      <c r="T1141" t="s">
        <v>213</v>
      </c>
      <c r="U1141">
        <v>2017</v>
      </c>
      <c r="V1141">
        <v>4.0000000000000001E-3</v>
      </c>
      <c r="W1141">
        <v>62.038055999999997</v>
      </c>
    </row>
    <row r="1142" spans="17:23">
      <c r="Q1142" t="s">
        <v>211</v>
      </c>
      <c r="R1142" t="s">
        <v>162</v>
      </c>
      <c r="S1142" t="s">
        <v>26</v>
      </c>
      <c r="T1142" t="s">
        <v>213</v>
      </c>
      <c r="U1142">
        <v>2018</v>
      </c>
      <c r="V1142">
        <v>4.0000000000000001E-3</v>
      </c>
      <c r="W1142">
        <v>63.675179999999997</v>
      </c>
    </row>
    <row r="1143" spans="17:23">
      <c r="Q1143" t="s">
        <v>211</v>
      </c>
      <c r="R1143" t="s">
        <v>162</v>
      </c>
      <c r="S1143" t="s">
        <v>26</v>
      </c>
      <c r="T1143" t="s">
        <v>213</v>
      </c>
      <c r="U1143">
        <v>2019</v>
      </c>
      <c r="V1143">
        <v>3.0000000000000001E-3</v>
      </c>
      <c r="W1143">
        <v>48.996510000000001</v>
      </c>
    </row>
    <row r="1144" spans="17:23">
      <c r="Q1144" t="s">
        <v>211</v>
      </c>
      <c r="R1144" t="s">
        <v>162</v>
      </c>
      <c r="S1144" t="s">
        <v>26</v>
      </c>
      <c r="T1144" t="s">
        <v>213</v>
      </c>
      <c r="U1144">
        <v>2020</v>
      </c>
      <c r="V1144">
        <v>3.0000000000000001E-3</v>
      </c>
      <c r="W1144">
        <v>50.246564999999997</v>
      </c>
    </row>
    <row r="1145" spans="17:23">
      <c r="Q1145" t="s">
        <v>211</v>
      </c>
      <c r="R1145" t="s">
        <v>162</v>
      </c>
      <c r="S1145" t="s">
        <v>26</v>
      </c>
      <c r="T1145" t="s">
        <v>213</v>
      </c>
      <c r="U1145">
        <v>2021</v>
      </c>
      <c r="V1145">
        <v>2E-3</v>
      </c>
      <c r="W1145">
        <v>34.336219999999997</v>
      </c>
    </row>
    <row r="1146" spans="17:23">
      <c r="Q1146" t="s">
        <v>211</v>
      </c>
      <c r="R1146" t="s">
        <v>162</v>
      </c>
      <c r="S1146" t="s">
        <v>26</v>
      </c>
      <c r="T1146" t="s">
        <v>213</v>
      </c>
      <c r="U1146">
        <v>2022</v>
      </c>
      <c r="V1146">
        <v>2E-3</v>
      </c>
      <c r="W1146">
        <v>35.179347999999997</v>
      </c>
    </row>
    <row r="1147" spans="17:23">
      <c r="Q1147" t="s">
        <v>211</v>
      </c>
      <c r="R1147" t="s">
        <v>162</v>
      </c>
      <c r="S1147" t="s">
        <v>26</v>
      </c>
      <c r="T1147" t="s">
        <v>213</v>
      </c>
      <c r="U1147">
        <v>2023</v>
      </c>
      <c r="V1147">
        <v>2E-3</v>
      </c>
      <c r="W1147">
        <v>36.027360000000002</v>
      </c>
    </row>
    <row r="1148" spans="17:23">
      <c r="Q1148" t="s">
        <v>211</v>
      </c>
      <c r="R1148" t="s">
        <v>162</v>
      </c>
      <c r="S1148" t="s">
        <v>26</v>
      </c>
      <c r="T1148" t="s">
        <v>213</v>
      </c>
      <c r="U1148">
        <v>2024</v>
      </c>
      <c r="V1148">
        <v>1E-3</v>
      </c>
      <c r="W1148">
        <v>18.44049</v>
      </c>
    </row>
    <row r="1149" spans="17:23">
      <c r="Q1149" t="s">
        <v>211</v>
      </c>
      <c r="R1149" t="s">
        <v>162</v>
      </c>
      <c r="S1149" t="s">
        <v>26</v>
      </c>
      <c r="T1149" t="s">
        <v>213</v>
      </c>
      <c r="U1149">
        <v>2025</v>
      </c>
      <c r="V1149">
        <v>1E-3</v>
      </c>
      <c r="W1149">
        <v>18.870100000000001</v>
      </c>
    </row>
    <row r="1150" spans="17:23">
      <c r="Q1150" t="s">
        <v>211</v>
      </c>
      <c r="R1150" t="s">
        <v>162</v>
      </c>
      <c r="S1150" t="s">
        <v>26</v>
      </c>
      <c r="T1150" t="s">
        <v>213</v>
      </c>
      <c r="U1150">
        <v>2026</v>
      </c>
      <c r="V1150">
        <v>1E-3</v>
      </c>
      <c r="W1150">
        <v>19.302071999999999</v>
      </c>
    </row>
    <row r="1151" spans="17:23">
      <c r="Q1151" t="s">
        <v>211</v>
      </c>
      <c r="R1151" t="s">
        <v>162</v>
      </c>
      <c r="S1151" t="s">
        <v>26</v>
      </c>
      <c r="T1151" t="s">
        <v>213</v>
      </c>
      <c r="U1151">
        <v>2027</v>
      </c>
      <c r="V1151">
        <v>1E-3</v>
      </c>
      <c r="W1151">
        <v>19.735339</v>
      </c>
    </row>
    <row r="1152" spans="17:23">
      <c r="Q1152" t="s">
        <v>211</v>
      </c>
      <c r="R1152" t="s">
        <v>162</v>
      </c>
      <c r="S1152" t="s">
        <v>26</v>
      </c>
      <c r="T1152" t="s">
        <v>213</v>
      </c>
      <c r="U1152">
        <v>2028</v>
      </c>
      <c r="V1152">
        <v>1E-3</v>
      </c>
      <c r="W1152">
        <v>20.168413999999999</v>
      </c>
    </row>
    <row r="1153" spans="17:23">
      <c r="Q1153" t="s">
        <v>211</v>
      </c>
      <c r="R1153" t="s">
        <v>162</v>
      </c>
      <c r="S1153" t="s">
        <v>26</v>
      </c>
      <c r="T1153" t="s">
        <v>213</v>
      </c>
      <c r="U1153">
        <v>2029</v>
      </c>
      <c r="V1153">
        <v>1E-3</v>
      </c>
      <c r="W1153">
        <v>20.599526999999998</v>
      </c>
    </row>
    <row r="1154" spans="17:23">
      <c r="Q1154" t="s">
        <v>211</v>
      </c>
      <c r="R1154" t="s">
        <v>162</v>
      </c>
      <c r="S1154" t="s">
        <v>26</v>
      </c>
      <c r="T1154" t="s">
        <v>213</v>
      </c>
      <c r="U1154">
        <v>2030</v>
      </c>
      <c r="V1154">
        <v>1E-3</v>
      </c>
      <c r="W1154">
        <v>21.027123</v>
      </c>
    </row>
    <row r="1155" spans="17:23">
      <c r="Q1155" t="s">
        <v>211</v>
      </c>
      <c r="R1155" t="s">
        <v>162</v>
      </c>
      <c r="S1155" t="s">
        <v>26</v>
      </c>
      <c r="T1155" t="s">
        <v>213</v>
      </c>
      <c r="U1155">
        <v>2031</v>
      </c>
      <c r="V1155">
        <v>1E-3</v>
      </c>
      <c r="W1155">
        <v>21.450185000000001</v>
      </c>
    </row>
    <row r="1156" spans="17:23">
      <c r="Q1156" t="s">
        <v>211</v>
      </c>
      <c r="R1156" t="s">
        <v>162</v>
      </c>
      <c r="S1156" t="s">
        <v>26</v>
      </c>
      <c r="T1156" t="s">
        <v>213</v>
      </c>
      <c r="U1156">
        <v>2032</v>
      </c>
      <c r="V1156">
        <v>1E-3</v>
      </c>
      <c r="W1156">
        <v>21.868069999999999</v>
      </c>
    </row>
    <row r="1157" spans="17:23">
      <c r="Q1157" t="s">
        <v>211</v>
      </c>
      <c r="R1157" t="s">
        <v>162</v>
      </c>
      <c r="S1157" t="s">
        <v>26</v>
      </c>
      <c r="T1157" t="s">
        <v>213</v>
      </c>
      <c r="U1157">
        <v>2033</v>
      </c>
      <c r="V1157">
        <v>1E-3</v>
      </c>
      <c r="W1157">
        <v>22.280128999999999</v>
      </c>
    </row>
    <row r="1158" spans="17:23">
      <c r="Q1158" t="s">
        <v>211</v>
      </c>
      <c r="R1158" t="s">
        <v>162</v>
      </c>
      <c r="S1158" t="s">
        <v>26</v>
      </c>
      <c r="T1158" t="s">
        <v>213</v>
      </c>
      <c r="U1158">
        <v>2034</v>
      </c>
      <c r="V1158">
        <v>1E-3</v>
      </c>
      <c r="W1158">
        <v>22.686019999999999</v>
      </c>
    </row>
    <row r="1159" spans="17:23">
      <c r="Q1159" t="s">
        <v>211</v>
      </c>
      <c r="R1159" t="s">
        <v>162</v>
      </c>
      <c r="S1159" t="s">
        <v>26</v>
      </c>
      <c r="T1159" t="s">
        <v>213</v>
      </c>
      <c r="U1159">
        <v>2035</v>
      </c>
      <c r="V1159">
        <v>1E-3</v>
      </c>
      <c r="W1159">
        <v>23.088127</v>
      </c>
    </row>
    <row r="1160" spans="17:23">
      <c r="Q1160" t="s">
        <v>211</v>
      </c>
      <c r="R1160" t="s">
        <v>162</v>
      </c>
      <c r="S1160" t="s">
        <v>26</v>
      </c>
      <c r="T1160" t="s">
        <v>213</v>
      </c>
      <c r="U1160">
        <v>2036</v>
      </c>
      <c r="V1160">
        <v>1E-3</v>
      </c>
      <c r="W1160">
        <v>23.486260999999999</v>
      </c>
    </row>
    <row r="1161" spans="17:23">
      <c r="Q1161" t="s">
        <v>211</v>
      </c>
      <c r="R1161" t="s">
        <v>162</v>
      </c>
      <c r="S1161" t="s">
        <v>26</v>
      </c>
      <c r="T1161" t="s">
        <v>213</v>
      </c>
      <c r="U1161">
        <v>2037</v>
      </c>
      <c r="V1161">
        <v>1E-3</v>
      </c>
      <c r="W1161">
        <v>23.879805000000001</v>
      </c>
    </row>
    <row r="1162" spans="17:23">
      <c r="Q1162" t="s">
        <v>211</v>
      </c>
      <c r="R1162" t="s">
        <v>162</v>
      </c>
      <c r="S1162" t="s">
        <v>26</v>
      </c>
      <c r="T1162" t="s">
        <v>213</v>
      </c>
      <c r="U1162">
        <v>2038</v>
      </c>
      <c r="V1162">
        <v>1E-3</v>
      </c>
      <c r="W1162">
        <v>24.268276</v>
      </c>
    </row>
    <row r="1163" spans="17:23">
      <c r="Q1163" t="s">
        <v>211</v>
      </c>
      <c r="R1163" t="s">
        <v>162</v>
      </c>
      <c r="S1163" t="s">
        <v>26</v>
      </c>
      <c r="T1163" t="s">
        <v>213</v>
      </c>
      <c r="U1163">
        <v>2039</v>
      </c>
      <c r="V1163">
        <v>1E-3</v>
      </c>
      <c r="W1163">
        <v>24.651174999999999</v>
      </c>
    </row>
    <row r="1164" spans="17:23">
      <c r="Q1164" t="s">
        <v>211</v>
      </c>
      <c r="R1164" t="s">
        <v>162</v>
      </c>
      <c r="S1164" t="s">
        <v>26</v>
      </c>
      <c r="T1164" t="s">
        <v>213</v>
      </c>
      <c r="U1164">
        <v>2040</v>
      </c>
      <c r="V1164">
        <v>1E-3</v>
      </c>
      <c r="W1164">
        <v>25.028032</v>
      </c>
    </row>
    <row r="1165" spans="17:23">
      <c r="Q1165" t="s">
        <v>211</v>
      </c>
      <c r="R1165" t="s">
        <v>162</v>
      </c>
      <c r="S1165" t="s">
        <v>26</v>
      </c>
      <c r="T1165" t="s">
        <v>213</v>
      </c>
      <c r="U1165">
        <v>2041</v>
      </c>
      <c r="V1165">
        <v>0</v>
      </c>
      <c r="W1165">
        <v>0</v>
      </c>
    </row>
    <row r="1166" spans="17:23">
      <c r="Q1166" t="s">
        <v>211</v>
      </c>
      <c r="R1166" t="s">
        <v>162</v>
      </c>
      <c r="S1166" t="s">
        <v>26</v>
      </c>
      <c r="T1166" t="s">
        <v>213</v>
      </c>
      <c r="U1166">
        <v>2042</v>
      </c>
      <c r="V1166">
        <v>0</v>
      </c>
      <c r="W1166">
        <v>0</v>
      </c>
    </row>
    <row r="1167" spans="17:23">
      <c r="Q1167" t="s">
        <v>211</v>
      </c>
      <c r="R1167" t="s">
        <v>162</v>
      </c>
      <c r="S1167" t="s">
        <v>26</v>
      </c>
      <c r="T1167" t="s">
        <v>213</v>
      </c>
      <c r="U1167">
        <v>2043</v>
      </c>
      <c r="V1167">
        <v>1E-3</v>
      </c>
      <c r="W1167">
        <v>26.117077999999999</v>
      </c>
    </row>
    <row r="1168" spans="17:23">
      <c r="Q1168" t="s">
        <v>211</v>
      </c>
      <c r="R1168" t="s">
        <v>162</v>
      </c>
      <c r="S1168" t="s">
        <v>26</v>
      </c>
      <c r="T1168" t="s">
        <v>213</v>
      </c>
      <c r="U1168">
        <v>2044</v>
      </c>
      <c r="V1168">
        <v>0</v>
      </c>
      <c r="W1168">
        <v>0</v>
      </c>
    </row>
    <row r="1169" spans="17:23">
      <c r="Q1169" t="s">
        <v>211</v>
      </c>
      <c r="R1169" t="s">
        <v>162</v>
      </c>
      <c r="S1169" t="s">
        <v>26</v>
      </c>
      <c r="T1169" t="s">
        <v>213</v>
      </c>
      <c r="U1169">
        <v>2045</v>
      </c>
      <c r="V1169">
        <v>0</v>
      </c>
      <c r="W1169">
        <v>0</v>
      </c>
    </row>
    <row r="1170" spans="17:23">
      <c r="Q1170" t="s">
        <v>211</v>
      </c>
      <c r="R1170" t="s">
        <v>162</v>
      </c>
      <c r="S1170" t="s">
        <v>26</v>
      </c>
      <c r="T1170" t="s">
        <v>213</v>
      </c>
      <c r="U1170">
        <v>2046</v>
      </c>
      <c r="V1170">
        <v>0</v>
      </c>
      <c r="W1170">
        <v>0</v>
      </c>
    </row>
    <row r="1171" spans="17:23">
      <c r="Q1171" t="s">
        <v>211</v>
      </c>
      <c r="R1171" t="s">
        <v>162</v>
      </c>
      <c r="S1171" t="s">
        <v>26</v>
      </c>
      <c r="T1171" t="s">
        <v>213</v>
      </c>
      <c r="U1171">
        <v>2047</v>
      </c>
      <c r="V1171">
        <v>5.0000000000000001E-4</v>
      </c>
      <c r="W1171">
        <v>13.725165499999999</v>
      </c>
    </row>
    <row r="1172" spans="17:23">
      <c r="Q1172" t="s">
        <v>211</v>
      </c>
      <c r="R1172" t="s">
        <v>162</v>
      </c>
      <c r="S1172" t="s">
        <v>26</v>
      </c>
      <c r="T1172" t="s">
        <v>213</v>
      </c>
      <c r="U1172">
        <v>2048</v>
      </c>
      <c r="V1172">
        <v>1E-3</v>
      </c>
      <c r="W1172">
        <v>27.759081999999999</v>
      </c>
    </row>
    <row r="1173" spans="17:23">
      <c r="Q1173" t="s">
        <v>211</v>
      </c>
      <c r="R1173" t="s">
        <v>162</v>
      </c>
      <c r="S1173" t="s">
        <v>26</v>
      </c>
      <c r="T1173" t="s">
        <v>213</v>
      </c>
      <c r="U1173">
        <v>2049</v>
      </c>
      <c r="V1173">
        <v>0</v>
      </c>
      <c r="W1173">
        <v>0</v>
      </c>
    </row>
    <row r="1174" spans="17:23">
      <c r="Q1174" t="s">
        <v>211</v>
      </c>
      <c r="R1174" t="s">
        <v>162</v>
      </c>
      <c r="S1174" t="s">
        <v>26</v>
      </c>
      <c r="T1174" t="s">
        <v>213</v>
      </c>
      <c r="U1174">
        <v>2050</v>
      </c>
      <c r="V1174">
        <v>0</v>
      </c>
      <c r="W1174">
        <v>0</v>
      </c>
    </row>
    <row r="1175" spans="17:23">
      <c r="Q1175" t="s">
        <v>211</v>
      </c>
      <c r="R1175" t="s">
        <v>162</v>
      </c>
      <c r="S1175" t="s">
        <v>29</v>
      </c>
      <c r="T1175" t="s">
        <v>213</v>
      </c>
      <c r="U1175">
        <v>2000</v>
      </c>
      <c r="V1175">
        <v>2.1000000000000001E-2</v>
      </c>
      <c r="W1175">
        <v>238.89961199999999</v>
      </c>
    </row>
    <row r="1176" spans="17:23">
      <c r="Q1176" t="s">
        <v>211</v>
      </c>
      <c r="R1176" t="s">
        <v>162</v>
      </c>
      <c r="S1176" t="s">
        <v>29</v>
      </c>
      <c r="T1176" t="s">
        <v>213</v>
      </c>
      <c r="U1176">
        <v>2001</v>
      </c>
      <c r="V1176">
        <v>2.1000000000000001E-2</v>
      </c>
      <c r="W1176">
        <v>245.613123</v>
      </c>
    </row>
    <row r="1177" spans="17:23">
      <c r="Q1177" t="s">
        <v>211</v>
      </c>
      <c r="R1177" t="s">
        <v>162</v>
      </c>
      <c r="S1177" t="s">
        <v>29</v>
      </c>
      <c r="T1177" t="s">
        <v>213</v>
      </c>
      <c r="U1177">
        <v>2002</v>
      </c>
      <c r="V1177">
        <v>2.1999999999999999E-2</v>
      </c>
      <c r="W1177">
        <v>264.30164200000002</v>
      </c>
    </row>
    <row r="1178" spans="17:23">
      <c r="Q1178" t="s">
        <v>211</v>
      </c>
      <c r="R1178" t="s">
        <v>162</v>
      </c>
      <c r="S1178" t="s">
        <v>29</v>
      </c>
      <c r="T1178" t="s">
        <v>213</v>
      </c>
      <c r="U1178">
        <v>2003</v>
      </c>
      <c r="V1178">
        <v>2.1999999999999999E-2</v>
      </c>
      <c r="W1178">
        <v>271.40711399999998</v>
      </c>
    </row>
    <row r="1179" spans="17:23">
      <c r="Q1179" t="s">
        <v>211</v>
      </c>
      <c r="R1179" t="s">
        <v>162</v>
      </c>
      <c r="S1179" t="s">
        <v>29</v>
      </c>
      <c r="T1179" t="s">
        <v>213</v>
      </c>
      <c r="U1179">
        <v>2004</v>
      </c>
      <c r="V1179">
        <v>2.3E-2</v>
      </c>
      <c r="W1179">
        <v>291.54887400000001</v>
      </c>
    </row>
    <row r="1180" spans="17:23">
      <c r="Q1180" t="s">
        <v>211</v>
      </c>
      <c r="R1180" t="s">
        <v>162</v>
      </c>
      <c r="S1180" t="s">
        <v>29</v>
      </c>
      <c r="T1180" t="s">
        <v>213</v>
      </c>
      <c r="U1180">
        <v>2005</v>
      </c>
      <c r="V1180">
        <v>2.3E-2</v>
      </c>
      <c r="W1180">
        <v>299.91335299999997</v>
      </c>
    </row>
    <row r="1181" spans="17:23">
      <c r="Q1181" t="s">
        <v>211</v>
      </c>
      <c r="R1181" t="s">
        <v>162</v>
      </c>
      <c r="S1181" t="s">
        <v>29</v>
      </c>
      <c r="T1181" t="s">
        <v>213</v>
      </c>
      <c r="U1181">
        <v>2006</v>
      </c>
      <c r="V1181">
        <v>2.3E-2</v>
      </c>
      <c r="W1181">
        <v>308.87302599999998</v>
      </c>
    </row>
    <row r="1182" spans="17:23">
      <c r="Q1182" t="s">
        <v>211</v>
      </c>
      <c r="R1182" t="s">
        <v>162</v>
      </c>
      <c r="S1182" t="s">
        <v>29</v>
      </c>
      <c r="T1182" t="s">
        <v>213</v>
      </c>
      <c r="U1182">
        <v>2007</v>
      </c>
      <c r="V1182">
        <v>2.4E-2</v>
      </c>
      <c r="W1182">
        <v>332.18325599999997</v>
      </c>
    </row>
    <row r="1183" spans="17:23">
      <c r="Q1183" t="s">
        <v>211</v>
      </c>
      <c r="R1183" t="s">
        <v>162</v>
      </c>
      <c r="S1183" t="s">
        <v>29</v>
      </c>
      <c r="T1183" t="s">
        <v>213</v>
      </c>
      <c r="U1183">
        <v>2008</v>
      </c>
      <c r="V1183">
        <v>2.4E-2</v>
      </c>
      <c r="W1183">
        <v>342.50961599999999</v>
      </c>
    </row>
    <row r="1184" spans="17:23">
      <c r="Q1184" t="s">
        <v>211</v>
      </c>
      <c r="R1184" t="s">
        <v>162</v>
      </c>
      <c r="S1184" t="s">
        <v>29</v>
      </c>
      <c r="T1184" t="s">
        <v>213</v>
      </c>
      <c r="U1184">
        <v>2009</v>
      </c>
      <c r="V1184">
        <v>2.4E-2</v>
      </c>
      <c r="W1184">
        <v>353.15044799999998</v>
      </c>
    </row>
    <row r="1185" spans="17:23">
      <c r="Q1185" t="s">
        <v>211</v>
      </c>
      <c r="R1185" t="s">
        <v>162</v>
      </c>
      <c r="S1185" t="s">
        <v>29</v>
      </c>
      <c r="T1185" t="s">
        <v>213</v>
      </c>
      <c r="U1185">
        <v>2010</v>
      </c>
      <c r="V1185">
        <v>2.4E-2</v>
      </c>
      <c r="W1185">
        <v>364.01028000000002</v>
      </c>
    </row>
    <row r="1186" spans="17:23">
      <c r="Q1186" t="s">
        <v>211</v>
      </c>
      <c r="R1186" t="s">
        <v>162</v>
      </c>
      <c r="S1186" t="s">
        <v>29</v>
      </c>
      <c r="T1186" t="s">
        <v>213</v>
      </c>
      <c r="U1186">
        <v>2011</v>
      </c>
      <c r="V1186">
        <v>2.3E-2</v>
      </c>
      <c r="W1186">
        <v>359.43521399999997</v>
      </c>
    </row>
    <row r="1187" spans="17:23">
      <c r="Q1187" t="s">
        <v>211</v>
      </c>
      <c r="R1187" t="s">
        <v>162</v>
      </c>
      <c r="S1187" t="s">
        <v>29</v>
      </c>
      <c r="T1187" t="s">
        <v>213</v>
      </c>
      <c r="U1187">
        <v>2012</v>
      </c>
      <c r="V1187">
        <v>2.3E-2</v>
      </c>
      <c r="W1187">
        <v>370.23801500000002</v>
      </c>
    </row>
    <row r="1188" spans="17:23">
      <c r="Q1188" t="s">
        <v>211</v>
      </c>
      <c r="R1188" t="s">
        <v>162</v>
      </c>
      <c r="S1188" t="s">
        <v>29</v>
      </c>
      <c r="T1188" t="s">
        <v>213</v>
      </c>
      <c r="U1188">
        <v>2013</v>
      </c>
      <c r="V1188">
        <v>2.1999999999999999E-2</v>
      </c>
      <c r="W1188">
        <v>364.69723399999998</v>
      </c>
    </row>
    <row r="1189" spans="17:23">
      <c r="Q1189" t="s">
        <v>211</v>
      </c>
      <c r="R1189" t="s">
        <v>162</v>
      </c>
      <c r="S1189" t="s">
        <v>29</v>
      </c>
      <c r="T1189" t="s">
        <v>213</v>
      </c>
      <c r="U1189">
        <v>2014</v>
      </c>
      <c r="V1189">
        <v>2.1000000000000001E-2</v>
      </c>
      <c r="W1189">
        <v>358.44559800000002</v>
      </c>
    </row>
    <row r="1190" spans="17:23">
      <c r="Q1190" t="s">
        <v>211</v>
      </c>
      <c r="R1190" t="s">
        <v>162</v>
      </c>
      <c r="S1190" t="s">
        <v>29</v>
      </c>
      <c r="T1190" t="s">
        <v>213</v>
      </c>
      <c r="U1190">
        <v>2015</v>
      </c>
      <c r="V1190">
        <v>1.9E-2</v>
      </c>
      <c r="W1190">
        <v>333.89853299999999</v>
      </c>
    </row>
    <row r="1191" spans="17:23">
      <c r="Q1191" t="s">
        <v>211</v>
      </c>
      <c r="R1191" t="s">
        <v>162</v>
      </c>
      <c r="S1191" t="s">
        <v>29</v>
      </c>
      <c r="T1191" t="s">
        <v>213</v>
      </c>
      <c r="U1191">
        <v>2016</v>
      </c>
      <c r="V1191">
        <v>1.7999999999999999E-2</v>
      </c>
      <c r="W1191">
        <v>325.64834999999999</v>
      </c>
    </row>
    <row r="1192" spans="17:23">
      <c r="Q1192" t="s">
        <v>211</v>
      </c>
      <c r="R1192" t="s">
        <v>162</v>
      </c>
      <c r="S1192" t="s">
        <v>29</v>
      </c>
      <c r="T1192" t="s">
        <v>213</v>
      </c>
      <c r="U1192">
        <v>2017</v>
      </c>
      <c r="V1192">
        <v>1.6E-2</v>
      </c>
      <c r="W1192">
        <v>297.953664</v>
      </c>
    </row>
    <row r="1193" spans="17:23">
      <c r="Q1193" t="s">
        <v>211</v>
      </c>
      <c r="R1193" t="s">
        <v>162</v>
      </c>
      <c r="S1193" t="s">
        <v>29</v>
      </c>
      <c r="T1193" t="s">
        <v>213</v>
      </c>
      <c r="U1193">
        <v>2018</v>
      </c>
      <c r="V1193">
        <v>1.4E-2</v>
      </c>
      <c r="W1193">
        <v>268.30619200000001</v>
      </c>
    </row>
    <row r="1194" spans="17:23">
      <c r="Q1194" t="s">
        <v>211</v>
      </c>
      <c r="R1194" t="s">
        <v>162</v>
      </c>
      <c r="S1194" t="s">
        <v>29</v>
      </c>
      <c r="T1194" t="s">
        <v>213</v>
      </c>
      <c r="U1194">
        <v>2019</v>
      </c>
      <c r="V1194">
        <v>1.2E-2</v>
      </c>
      <c r="W1194">
        <v>236.62491600000001</v>
      </c>
    </row>
    <row r="1195" spans="17:23">
      <c r="Q1195" t="s">
        <v>211</v>
      </c>
      <c r="R1195" t="s">
        <v>162</v>
      </c>
      <c r="S1195" t="s">
        <v>29</v>
      </c>
      <c r="T1195" t="s">
        <v>213</v>
      </c>
      <c r="U1195">
        <v>2020</v>
      </c>
      <c r="V1195">
        <v>1.0999999999999999E-2</v>
      </c>
      <c r="W1195">
        <v>223.12060099999999</v>
      </c>
    </row>
    <row r="1196" spans="17:23">
      <c r="Q1196" t="s">
        <v>211</v>
      </c>
      <c r="R1196" t="s">
        <v>162</v>
      </c>
      <c r="S1196" t="s">
        <v>29</v>
      </c>
      <c r="T1196" t="s">
        <v>213</v>
      </c>
      <c r="U1196">
        <v>2021</v>
      </c>
      <c r="V1196">
        <v>0.01</v>
      </c>
      <c r="W1196">
        <v>208.59191000000001</v>
      </c>
    </row>
    <row r="1197" spans="17:23">
      <c r="Q1197" t="s">
        <v>211</v>
      </c>
      <c r="R1197" t="s">
        <v>162</v>
      </c>
      <c r="S1197" t="s">
        <v>29</v>
      </c>
      <c r="T1197" t="s">
        <v>213</v>
      </c>
      <c r="U1197">
        <v>2022</v>
      </c>
      <c r="V1197">
        <v>9.0000000000000097E-3</v>
      </c>
      <c r="W1197">
        <v>193.00921199999999</v>
      </c>
    </row>
    <row r="1198" spans="17:23">
      <c r="Q1198" t="s">
        <v>211</v>
      </c>
      <c r="R1198" t="s">
        <v>162</v>
      </c>
      <c r="S1198" t="s">
        <v>29</v>
      </c>
      <c r="T1198" t="s">
        <v>213</v>
      </c>
      <c r="U1198">
        <v>2023</v>
      </c>
      <c r="V1198">
        <v>7.0000000000000097E-3</v>
      </c>
      <c r="W1198">
        <v>154.302806</v>
      </c>
    </row>
    <row r="1199" spans="17:23">
      <c r="Q1199" t="s">
        <v>211</v>
      </c>
      <c r="R1199" t="s">
        <v>162</v>
      </c>
      <c r="S1199" t="s">
        <v>29</v>
      </c>
      <c r="T1199" t="s">
        <v>213</v>
      </c>
      <c r="U1199">
        <v>2024</v>
      </c>
      <c r="V1199">
        <v>7.0000000000000097E-3</v>
      </c>
      <c r="W1199">
        <v>158.57537500000001</v>
      </c>
    </row>
    <row r="1200" spans="17:23">
      <c r="Q1200" t="s">
        <v>211</v>
      </c>
      <c r="R1200" t="s">
        <v>162</v>
      </c>
      <c r="S1200" t="s">
        <v>29</v>
      </c>
      <c r="T1200" t="s">
        <v>213</v>
      </c>
      <c r="U1200">
        <v>2025</v>
      </c>
      <c r="V1200">
        <v>6.0000000000000001E-3</v>
      </c>
      <c r="W1200">
        <v>139.663344</v>
      </c>
    </row>
    <row r="1201" spans="17:23">
      <c r="Q1201" t="s">
        <v>211</v>
      </c>
      <c r="R1201" t="s">
        <v>162</v>
      </c>
      <c r="S1201" t="s">
        <v>29</v>
      </c>
      <c r="T1201" t="s">
        <v>213</v>
      </c>
      <c r="U1201">
        <v>2026</v>
      </c>
      <c r="V1201">
        <v>5.0000000000000001E-3</v>
      </c>
      <c r="W1201">
        <v>119.571085</v>
      </c>
    </row>
    <row r="1202" spans="17:23">
      <c r="Q1202" t="s">
        <v>211</v>
      </c>
      <c r="R1202" t="s">
        <v>162</v>
      </c>
      <c r="S1202" t="s">
        <v>29</v>
      </c>
      <c r="T1202" t="s">
        <v>213</v>
      </c>
      <c r="U1202">
        <v>2027</v>
      </c>
      <c r="V1202">
        <v>4.0000000000000001E-3</v>
      </c>
      <c r="W1202">
        <v>98.256084000000101</v>
      </c>
    </row>
    <row r="1203" spans="17:23">
      <c r="Q1203" t="s">
        <v>211</v>
      </c>
      <c r="R1203" t="s">
        <v>162</v>
      </c>
      <c r="S1203" t="s">
        <v>29</v>
      </c>
      <c r="T1203" t="s">
        <v>213</v>
      </c>
      <c r="U1203">
        <v>2028</v>
      </c>
      <c r="V1203">
        <v>4.0000000000000001E-3</v>
      </c>
      <c r="W1203">
        <v>100.90218</v>
      </c>
    </row>
    <row r="1204" spans="17:23">
      <c r="Q1204" t="s">
        <v>211</v>
      </c>
      <c r="R1204" t="s">
        <v>162</v>
      </c>
      <c r="S1204" t="s">
        <v>29</v>
      </c>
      <c r="T1204" t="s">
        <v>213</v>
      </c>
      <c r="U1204">
        <v>2029</v>
      </c>
      <c r="V1204">
        <v>3.0000000000000001E-3</v>
      </c>
      <c r="W1204">
        <v>77.692041000000103</v>
      </c>
    </row>
    <row r="1205" spans="17:23">
      <c r="Q1205" t="s">
        <v>211</v>
      </c>
      <c r="R1205" t="s">
        <v>162</v>
      </c>
      <c r="S1205" t="s">
        <v>29</v>
      </c>
      <c r="T1205" t="s">
        <v>213</v>
      </c>
      <c r="U1205">
        <v>2030</v>
      </c>
      <c r="V1205">
        <v>3.0000000000000001E-3</v>
      </c>
      <c r="W1205">
        <v>79.734741000000099</v>
      </c>
    </row>
    <row r="1206" spans="17:23">
      <c r="Q1206" t="s">
        <v>211</v>
      </c>
      <c r="R1206" t="s">
        <v>162</v>
      </c>
      <c r="S1206" t="s">
        <v>29</v>
      </c>
      <c r="T1206" t="s">
        <v>213</v>
      </c>
      <c r="U1206">
        <v>2031</v>
      </c>
      <c r="V1206">
        <v>3.0000000000000001E-3</v>
      </c>
      <c r="W1206">
        <v>81.8031900000001</v>
      </c>
    </row>
    <row r="1207" spans="17:23">
      <c r="Q1207" t="s">
        <v>211</v>
      </c>
      <c r="R1207" t="s">
        <v>162</v>
      </c>
      <c r="S1207" t="s">
        <v>29</v>
      </c>
      <c r="T1207" t="s">
        <v>213</v>
      </c>
      <c r="U1207">
        <v>2032</v>
      </c>
      <c r="V1207">
        <v>2E-3</v>
      </c>
      <c r="W1207">
        <v>55.931460000000001</v>
      </c>
    </row>
    <row r="1208" spans="17:23">
      <c r="Q1208" t="s">
        <v>211</v>
      </c>
      <c r="R1208" t="s">
        <v>162</v>
      </c>
      <c r="S1208" t="s">
        <v>29</v>
      </c>
      <c r="T1208" t="s">
        <v>213</v>
      </c>
      <c r="U1208">
        <v>2033</v>
      </c>
      <c r="V1208">
        <v>2E-3</v>
      </c>
      <c r="W1208">
        <v>57.344216000000003</v>
      </c>
    </row>
    <row r="1209" spans="17:23">
      <c r="Q1209" t="s">
        <v>211</v>
      </c>
      <c r="R1209" t="s">
        <v>162</v>
      </c>
      <c r="S1209" t="s">
        <v>29</v>
      </c>
      <c r="T1209" t="s">
        <v>213</v>
      </c>
      <c r="U1209">
        <v>2034</v>
      </c>
      <c r="V1209">
        <v>2E-3</v>
      </c>
      <c r="W1209">
        <v>58.773684000000003</v>
      </c>
    </row>
    <row r="1210" spans="17:23">
      <c r="Q1210" t="s">
        <v>211</v>
      </c>
      <c r="R1210" t="s">
        <v>162</v>
      </c>
      <c r="S1210" t="s">
        <v>29</v>
      </c>
      <c r="T1210" t="s">
        <v>213</v>
      </c>
      <c r="U1210">
        <v>2035</v>
      </c>
      <c r="V1210">
        <v>1E-3</v>
      </c>
      <c r="W1210">
        <v>30.109857000000002</v>
      </c>
    </row>
    <row r="1211" spans="17:23">
      <c r="Q1211" t="s">
        <v>211</v>
      </c>
      <c r="R1211" t="s">
        <v>162</v>
      </c>
      <c r="S1211" t="s">
        <v>29</v>
      </c>
      <c r="T1211" t="s">
        <v>213</v>
      </c>
      <c r="U1211">
        <v>2036</v>
      </c>
      <c r="V1211">
        <v>2E-3</v>
      </c>
      <c r="W1211">
        <v>61.681586000000102</v>
      </c>
    </row>
    <row r="1212" spans="17:23">
      <c r="Q1212" t="s">
        <v>211</v>
      </c>
      <c r="R1212" t="s">
        <v>162</v>
      </c>
      <c r="S1212" t="s">
        <v>29</v>
      </c>
      <c r="T1212" t="s">
        <v>213</v>
      </c>
      <c r="U1212">
        <v>2037</v>
      </c>
      <c r="V1212">
        <v>1E-3</v>
      </c>
      <c r="W1212">
        <v>31.579218000000001</v>
      </c>
    </row>
    <row r="1213" spans="17:23">
      <c r="Q1213" t="s">
        <v>211</v>
      </c>
      <c r="R1213" t="s">
        <v>162</v>
      </c>
      <c r="S1213" t="s">
        <v>29</v>
      </c>
      <c r="T1213" t="s">
        <v>213</v>
      </c>
      <c r="U1213">
        <v>2038</v>
      </c>
      <c r="V1213">
        <v>1E-3</v>
      </c>
      <c r="W1213">
        <v>32.324869</v>
      </c>
    </row>
    <row r="1214" spans="17:23">
      <c r="Q1214" t="s">
        <v>211</v>
      </c>
      <c r="R1214" t="s">
        <v>162</v>
      </c>
      <c r="S1214" t="s">
        <v>29</v>
      </c>
      <c r="T1214" t="s">
        <v>213</v>
      </c>
      <c r="U1214">
        <v>2039</v>
      </c>
      <c r="V1214">
        <v>1E-3</v>
      </c>
      <c r="W1214">
        <v>33.077454000000003</v>
      </c>
    </row>
    <row r="1215" spans="17:23">
      <c r="Q1215" t="s">
        <v>211</v>
      </c>
      <c r="R1215" t="s">
        <v>162</v>
      </c>
      <c r="S1215" t="s">
        <v>29</v>
      </c>
      <c r="T1215" t="s">
        <v>213</v>
      </c>
      <c r="U1215">
        <v>2040</v>
      </c>
      <c r="V1215">
        <v>1E-3</v>
      </c>
      <c r="W1215">
        <v>33.836706999999997</v>
      </c>
    </row>
    <row r="1216" spans="17:23">
      <c r="Q1216" t="s">
        <v>211</v>
      </c>
      <c r="R1216" t="s">
        <v>162</v>
      </c>
      <c r="S1216" t="s">
        <v>29</v>
      </c>
      <c r="T1216" t="s">
        <v>213</v>
      </c>
      <c r="U1216">
        <v>2041</v>
      </c>
      <c r="V1216">
        <v>1E-3</v>
      </c>
      <c r="W1216">
        <v>34.6023</v>
      </c>
    </row>
    <row r="1217" spans="17:23">
      <c r="Q1217" t="s">
        <v>211</v>
      </c>
      <c r="R1217" t="s">
        <v>162</v>
      </c>
      <c r="S1217" t="s">
        <v>29</v>
      </c>
      <c r="T1217" t="s">
        <v>213</v>
      </c>
      <c r="U1217">
        <v>2042</v>
      </c>
      <c r="V1217">
        <v>1E-3</v>
      </c>
      <c r="W1217">
        <v>35.373854999999999</v>
      </c>
    </row>
    <row r="1218" spans="17:23">
      <c r="Q1218" t="s">
        <v>211</v>
      </c>
      <c r="R1218" t="s">
        <v>162</v>
      </c>
      <c r="S1218" t="s">
        <v>29</v>
      </c>
      <c r="T1218" t="s">
        <v>213</v>
      </c>
      <c r="U1218">
        <v>2043</v>
      </c>
      <c r="V1218">
        <v>1E-3</v>
      </c>
      <c r="W1218">
        <v>36.150880000000001</v>
      </c>
    </row>
    <row r="1219" spans="17:23">
      <c r="Q1219" t="s">
        <v>211</v>
      </c>
      <c r="R1219" t="s">
        <v>162</v>
      </c>
      <c r="S1219" t="s">
        <v>29</v>
      </c>
      <c r="T1219" t="s">
        <v>213</v>
      </c>
      <c r="U1219">
        <v>2044</v>
      </c>
      <c r="V1219">
        <v>1E-3</v>
      </c>
      <c r="W1219">
        <v>36.932805000000002</v>
      </c>
    </row>
    <row r="1220" spans="17:23">
      <c r="Q1220" t="s">
        <v>211</v>
      </c>
      <c r="R1220" t="s">
        <v>162</v>
      </c>
      <c r="S1220" t="s">
        <v>29</v>
      </c>
      <c r="T1220" t="s">
        <v>213</v>
      </c>
      <c r="U1220">
        <v>2045</v>
      </c>
      <c r="V1220">
        <v>1E-3</v>
      </c>
      <c r="W1220">
        <v>37.719155000000001</v>
      </c>
    </row>
    <row r="1221" spans="17:23">
      <c r="Q1221" t="s">
        <v>211</v>
      </c>
      <c r="R1221" t="s">
        <v>162</v>
      </c>
      <c r="S1221" t="s">
        <v>29</v>
      </c>
      <c r="T1221" t="s">
        <v>213</v>
      </c>
      <c r="U1221">
        <v>2046</v>
      </c>
      <c r="V1221">
        <v>1E-3</v>
      </c>
      <c r="W1221">
        <v>38.509466000000003</v>
      </c>
    </row>
    <row r="1222" spans="17:23">
      <c r="Q1222" t="s">
        <v>211</v>
      </c>
      <c r="R1222" t="s">
        <v>162</v>
      </c>
      <c r="S1222" t="s">
        <v>29</v>
      </c>
      <c r="T1222" t="s">
        <v>213</v>
      </c>
      <c r="U1222">
        <v>2047</v>
      </c>
      <c r="V1222">
        <v>1E-3</v>
      </c>
      <c r="W1222">
        <v>39.303412000000002</v>
      </c>
    </row>
    <row r="1223" spans="17:23">
      <c r="Q1223" t="s">
        <v>211</v>
      </c>
      <c r="R1223" t="s">
        <v>162</v>
      </c>
      <c r="S1223" t="s">
        <v>29</v>
      </c>
      <c r="T1223" t="s">
        <v>213</v>
      </c>
      <c r="U1223">
        <v>2048</v>
      </c>
      <c r="V1223">
        <v>1E-3</v>
      </c>
      <c r="W1223">
        <v>40.100768000000002</v>
      </c>
    </row>
    <row r="1224" spans="17:23">
      <c r="Q1224" t="s">
        <v>211</v>
      </c>
      <c r="R1224" t="s">
        <v>162</v>
      </c>
      <c r="S1224" t="s">
        <v>29</v>
      </c>
      <c r="T1224" t="s">
        <v>213</v>
      </c>
      <c r="U1224">
        <v>2049</v>
      </c>
      <c r="V1224">
        <v>1E-3</v>
      </c>
      <c r="W1224">
        <v>40.901375000000002</v>
      </c>
    </row>
    <row r="1225" spans="17:23">
      <c r="Q1225" t="s">
        <v>211</v>
      </c>
      <c r="R1225" t="s">
        <v>162</v>
      </c>
      <c r="S1225" t="s">
        <v>29</v>
      </c>
      <c r="T1225" t="s">
        <v>213</v>
      </c>
      <c r="U1225">
        <v>2050</v>
      </c>
      <c r="V1225">
        <v>1E-3</v>
      </c>
      <c r="W1225">
        <v>41.705002</v>
      </c>
    </row>
    <row r="1232" spans="17:23">
      <c r="W1232">
        <v>11527.736748000001</v>
      </c>
    </row>
    <row r="1233" spans="23:23">
      <c r="W1233">
        <v>35164.802163</v>
      </c>
    </row>
    <row r="1234" spans="23:23">
      <c r="W1234">
        <v>46857.389079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F4BF-92FC-6347-ADE9-31C5DA852F3E}">
  <dimension ref="A1:BO314"/>
  <sheetViews>
    <sheetView topLeftCell="D1" zoomScale="120" zoomScaleNormal="120" workbookViewId="0">
      <selection activeCell="P13" sqref="P13"/>
    </sheetView>
  </sheetViews>
  <sheetFormatPr baseColWidth="10" defaultRowHeight="16"/>
  <cols>
    <col min="1" max="30" width="10.83203125" style="144"/>
    <col min="43" max="48" width="10.83203125" style="144"/>
    <col min="49" max="50" width="15.6640625" style="144" customWidth="1"/>
    <col min="51" max="51" width="40.6640625" style="144" bestFit="1" customWidth="1"/>
    <col min="52" max="53" width="15.6640625" style="144" customWidth="1"/>
    <col min="54" max="55" width="10.83203125" style="144"/>
    <col min="56" max="56" width="22.83203125" style="144" customWidth="1"/>
    <col min="57" max="16384" width="10.83203125" style="144"/>
  </cols>
  <sheetData>
    <row r="1" spans="1:67" ht="18" customHeight="1">
      <c r="B1" s="144" t="s">
        <v>48</v>
      </c>
      <c r="L1" s="144" t="s">
        <v>262</v>
      </c>
      <c r="O1" s="145" t="s">
        <v>56</v>
      </c>
      <c r="R1" s="150"/>
      <c r="W1" s="145"/>
      <c r="X1" s="145"/>
      <c r="Y1" s="145"/>
      <c r="Z1" s="145"/>
      <c r="AA1" s="145"/>
      <c r="AB1" s="145"/>
      <c r="AC1" s="145"/>
      <c r="AV1" s="147" t="s">
        <v>251</v>
      </c>
      <c r="AW1" s="144" t="s">
        <v>231</v>
      </c>
      <c r="AX1" s="144" t="s">
        <v>179</v>
      </c>
      <c r="AY1" s="144" t="s">
        <v>178</v>
      </c>
      <c r="AZ1" s="144" t="s">
        <v>177</v>
      </c>
      <c r="BA1" s="144" t="s">
        <v>176</v>
      </c>
      <c r="BB1" s="144" t="s">
        <v>180</v>
      </c>
      <c r="BC1" s="158" t="s">
        <v>252</v>
      </c>
      <c r="BD1" s="145" t="s">
        <v>249</v>
      </c>
    </row>
    <row r="2" spans="1:67">
      <c r="C2" s="144">
        <v>2004</v>
      </c>
      <c r="D2" s="144">
        <v>2010</v>
      </c>
      <c r="E2" s="144">
        <v>2012</v>
      </c>
      <c r="F2" s="144">
        <v>2014</v>
      </c>
      <c r="G2" s="144">
        <v>2015</v>
      </c>
      <c r="H2" s="144">
        <v>2017</v>
      </c>
      <c r="I2" s="144">
        <v>2020</v>
      </c>
      <c r="J2" s="144">
        <v>2024</v>
      </c>
      <c r="K2" s="144">
        <v>2050</v>
      </c>
      <c r="L2" s="144" t="s">
        <v>257</v>
      </c>
      <c r="M2" s="144" t="s">
        <v>258</v>
      </c>
      <c r="O2" s="144" t="s">
        <v>40</v>
      </c>
      <c r="P2" s="154">
        <f>$P$7*($P$21*$R$21)/(P16*R16)</f>
        <v>4.1471760797342196E-2</v>
      </c>
      <c r="Q2" s="144" t="s">
        <v>54</v>
      </c>
      <c r="R2" s="150"/>
      <c r="AW2" s="144" t="s">
        <v>162</v>
      </c>
      <c r="AX2" s="144">
        <v>2000</v>
      </c>
      <c r="AY2" s="144" t="s">
        <v>175</v>
      </c>
      <c r="AZ2" s="144" t="s">
        <v>29</v>
      </c>
      <c r="BA2" s="144">
        <v>2.1</v>
      </c>
      <c r="BB2" s="148" t="s">
        <v>13</v>
      </c>
      <c r="BE2" s="144" t="s">
        <v>198</v>
      </c>
      <c r="BG2" s="144" t="s">
        <v>199</v>
      </c>
      <c r="BI2" s="144" t="s">
        <v>200</v>
      </c>
      <c r="BK2" s="144" t="s">
        <v>201</v>
      </c>
      <c r="BM2" s="144" t="s">
        <v>202</v>
      </c>
    </row>
    <row r="3" spans="1:67" ht="17" customHeight="1">
      <c r="A3" s="144" t="s">
        <v>29</v>
      </c>
      <c r="B3" s="149" t="s">
        <v>36</v>
      </c>
      <c r="C3" s="150" cm="1">
        <f t="array" ref="C3">_xlfn.XLOOKUP(1,($AX:$AX=C$2)*($AZ:$AZ=$A$3)*($BB:$BB=$B3),$BA:$BA,"")</f>
        <v>89.2</v>
      </c>
      <c r="D3" s="150" cm="1">
        <f t="array" ref="D3">_xlfn.XLOOKUP(1,($AX:$AX=D$2)*($AZ:$AZ=$A$3)*($BB:$BB=$B3),$BA:$BA,"")</f>
        <v>84.6</v>
      </c>
      <c r="E3" s="150" cm="1">
        <f t="array" ref="E3">_xlfn.XLOOKUP(1,($AX:$AX=E$2)*($AZ:$AZ=$A$3)*($BB:$BB=$B3),$BA:$BA,"")</f>
        <v>87.1</v>
      </c>
      <c r="F3" s="150" cm="1">
        <f t="array" ref="F3">_xlfn.XLOOKUP(1,($AX:$AX=F$2)*($AZ:$AZ=$A$3)*($BB:$BB=$B3),$BA:$BA,"")</f>
        <v>80.2</v>
      </c>
      <c r="G3" s="150" cm="1">
        <f t="array" ref="G3">_xlfn.XLOOKUP(1,($AX:$AX=G$2)*($AZ:$AZ=$A$3)*($BB:$BB=$B3),$BA:$BA,"")</f>
        <v>80.900000000000006</v>
      </c>
      <c r="H3" s="150" cm="1">
        <f t="array" ref="H3">_xlfn.XLOOKUP(1,($AX:$AX=H$2)*($AZ:$AZ=$A$3)*($BB:$BB=$B3),$BA:$BA,"")</f>
        <v>79.5</v>
      </c>
      <c r="I3" s="150" cm="1">
        <f t="array" ref="I3">_xlfn.XLOOKUP(1,($BF:$BF=I$2)*($BD:$BD=$A$3)*($BE:$BE=$B3),$BG:$BG,"")</f>
        <v>79.222468737665963</v>
      </c>
      <c r="J3" s="150" cm="1">
        <f t="array" ref="J3">_xlfn.XLOOKUP(1,($BF:$BF=J$2)*($BD:$BD=$A$3)*($BE:$BE=$B3),$BG:$BG,"")</f>
        <v>66.904225078750628</v>
      </c>
      <c r="K3" s="150" cm="1">
        <f t="array" ref="K3">_xlfn.XLOOKUP(1,(Population!$U:$U=K$2)*(Population!$S:$S=$A$3)*(Population!$T:$T="biomass"),100*Population!$V:$V,0)</f>
        <v>16.100000000000001</v>
      </c>
      <c r="L3" s="154"/>
      <c r="M3" s="150"/>
      <c r="N3" s="150"/>
      <c r="O3" s="144" t="s">
        <v>11</v>
      </c>
      <c r="P3" s="154">
        <f>$P$7*($P$21*$R$21)/(P17*R17)</f>
        <v>3.962857142857143E-2</v>
      </c>
      <c r="Q3" s="144" t="s">
        <v>54</v>
      </c>
      <c r="R3" s="150">
        <f>P3*Population!M4</f>
        <v>0.17436571428571432</v>
      </c>
      <c r="S3" s="144" t="s">
        <v>74</v>
      </c>
      <c r="T3" s="150">
        <f>1000*R3/13</f>
        <v>13.412747252747256</v>
      </c>
      <c r="U3" s="144" t="s">
        <v>75</v>
      </c>
      <c r="W3" s="151"/>
      <c r="X3" s="151"/>
      <c r="Y3" s="151"/>
      <c r="Z3" s="151"/>
      <c r="AA3" s="151"/>
      <c r="AB3" s="151"/>
      <c r="AW3" s="144" t="s">
        <v>162</v>
      </c>
      <c r="AX3" s="144">
        <v>2000</v>
      </c>
      <c r="AY3" s="144" t="s">
        <v>175</v>
      </c>
      <c r="AZ3" s="144" t="s">
        <v>25</v>
      </c>
      <c r="BA3" s="144">
        <v>14.3</v>
      </c>
      <c r="BB3" s="148" t="s">
        <v>13</v>
      </c>
      <c r="BE3" s="144" t="s">
        <v>203</v>
      </c>
      <c r="BF3" s="144" t="s">
        <v>204</v>
      </c>
      <c r="BG3" s="144" t="s">
        <v>203</v>
      </c>
      <c r="BH3" s="144" t="s">
        <v>204</v>
      </c>
      <c r="BI3" s="144" t="s">
        <v>203</v>
      </c>
      <c r="BJ3" s="144" t="s">
        <v>204</v>
      </c>
      <c r="BK3" s="144" t="s">
        <v>203</v>
      </c>
      <c r="BL3" s="144" t="s">
        <v>204</v>
      </c>
      <c r="BM3" s="144" t="s">
        <v>203</v>
      </c>
      <c r="BN3" s="144" t="s">
        <v>204</v>
      </c>
    </row>
    <row r="4" spans="1:67">
      <c r="A4" s="144" t="s">
        <v>29</v>
      </c>
      <c r="B4" s="149" t="s">
        <v>8</v>
      </c>
      <c r="C4" s="150" cm="1">
        <f t="array" ref="C4">_xlfn.XLOOKUP(1,($AX:$AX=C$2)*($AZ:$AZ=$A$3)*($BB:$BB=$B4),$BA:$BA,"")</f>
        <v>8.5</v>
      </c>
      <c r="D4" s="150" cm="1">
        <f t="array" ref="D4">_xlfn.XLOOKUP(1,($AX:$AX=D$2)*($AZ:$AZ=$A$3)*($BB:$BB=$B4),$BA:$BA,"")</f>
        <v>11.8</v>
      </c>
      <c r="E4" s="150" cm="1">
        <f t="array" ref="E4">_xlfn.XLOOKUP(1,($AX:$AX=E$2)*($AZ:$AZ=$A$3)*($BB:$BB=$B4),$BA:$BA,"")</f>
        <v>10.199999999999999</v>
      </c>
      <c r="F4" s="150" cm="1">
        <f t="array" ref="F4">_xlfn.XLOOKUP(1,($AX:$AX=F$2)*($AZ:$AZ=$A$3)*($BB:$BB=$B4),$BA:$BA,"")</f>
        <v>16.399999999999999</v>
      </c>
      <c r="G4" s="150" cm="1">
        <f t="array" ref="G4">_xlfn.XLOOKUP(1,($AX:$AX=G$2)*($AZ:$AZ=$A$3)*($BB:$BB=$B4),$BA:$BA,"")</f>
        <v>15.7</v>
      </c>
      <c r="H4" s="150" cm="1">
        <f t="array" ref="H4">_xlfn.XLOOKUP(1,($AX:$AX=H$2)*($AZ:$AZ=$A$3)*($BB:$BB=$B4),$BA:$BA,"")</f>
        <v>18.3</v>
      </c>
      <c r="I4" s="150" cm="1">
        <f t="array" ref="I4">_xlfn.XLOOKUP(1,($BF:$BF=I$2)*($BD:$BD=$A$3)*($BE:$BE=$B4),$BG:$BG,"")</f>
        <v>18.364736406671867</v>
      </c>
      <c r="J4" s="150" cm="1">
        <f t="array" ref="J4">_xlfn.XLOOKUP(1,($BF:$BF=J$2)*($BD:$BD=$A$3)*($BE:$BE=$B4),$BG:$BG,"")</f>
        <v>31.078381357899705</v>
      </c>
      <c r="K4" s="150" cm="1">
        <f t="array" ref="K4">_xlfn.XLOOKUP(1,(Population!$U:$U=K$2)*(Population!$S:$S=$A$3)*(Population!$T:$T=$B4),100*Population!$V:$V,0)</f>
        <v>82.699999999999989</v>
      </c>
      <c r="L4" s="154"/>
      <c r="M4" s="150"/>
      <c r="N4" s="150"/>
      <c r="O4" s="144" t="s">
        <v>16</v>
      </c>
      <c r="P4" s="154">
        <f>$P$7*($P$21*$R$21)/(P18*R18)</f>
        <v>9.5385049833887028E-2</v>
      </c>
      <c r="Q4" s="144" t="s">
        <v>54</v>
      </c>
      <c r="R4" s="150"/>
      <c r="W4" s="151"/>
      <c r="X4" s="151"/>
      <c r="Y4" s="151"/>
      <c r="Z4" s="151"/>
      <c r="AA4" s="151"/>
      <c r="AB4" s="151"/>
      <c r="AW4" s="144" t="s">
        <v>162</v>
      </c>
      <c r="AX4" s="144">
        <v>2000</v>
      </c>
      <c r="AY4" s="144" t="s">
        <v>175</v>
      </c>
      <c r="AZ4" s="144" t="s">
        <v>26</v>
      </c>
      <c r="BA4" s="144">
        <v>0.2</v>
      </c>
      <c r="BB4" s="148" t="s">
        <v>13</v>
      </c>
      <c r="BD4" s="144" t="s">
        <v>182</v>
      </c>
      <c r="BE4" s="152">
        <v>78.400000000000006</v>
      </c>
      <c r="BF4" s="152">
        <v>76.8</v>
      </c>
      <c r="BG4" s="152">
        <v>94.7</v>
      </c>
      <c r="BH4" s="152">
        <v>91.3</v>
      </c>
      <c r="BI4" s="152">
        <v>91.3</v>
      </c>
      <c r="BJ4" s="152">
        <v>84.4</v>
      </c>
      <c r="BK4" s="152">
        <v>78.7</v>
      </c>
      <c r="BL4" s="152">
        <v>74.8</v>
      </c>
      <c r="BM4" s="152">
        <v>85.8</v>
      </c>
      <c r="BN4" s="152">
        <v>81.8</v>
      </c>
      <c r="BO4" s="144" t="s">
        <v>8</v>
      </c>
    </row>
    <row r="5" spans="1:67">
      <c r="A5" s="144" t="s">
        <v>29</v>
      </c>
      <c r="B5" s="149" t="s">
        <v>37</v>
      </c>
      <c r="C5" s="150" t="str" cm="1">
        <f t="array" ref="C5">_xlfn.XLOOKUP(1,($AX:$AX=C$2)*($AZ:$AZ=$A$3)*($BB:$BB=$B5),$BA:$BA,"")</f>
        <v/>
      </c>
      <c r="D5" s="150" t="str" cm="1">
        <f t="array" ref="D5">_xlfn.XLOOKUP(1,($AX:$AX=D$2)*($AZ:$AZ=$A$3)*($BB:$BB=$B5),$BA:$BA,"")</f>
        <v/>
      </c>
      <c r="E5" s="150" t="str" cm="1">
        <f t="array" ref="E5">_xlfn.XLOOKUP(1,($AX:$AX=E$2)*($AZ:$AZ=$A$3)*($BB:$BB=$B5),$BA:$BA,"")</f>
        <v/>
      </c>
      <c r="F5" s="150" t="str" cm="1">
        <f t="array" ref="F5">_xlfn.XLOOKUP(1,($AX:$AX=F$2)*($AZ:$AZ=$A$3)*($BB:$BB=$B5),$BA:$BA,"")</f>
        <v/>
      </c>
      <c r="G5" s="150" t="str" cm="1">
        <f t="array" ref="G5">_xlfn.XLOOKUP(1,($AX:$AX=G$2)*($AZ:$AZ=$A$3)*($BB:$BB=$B5),$BA:$BA,"")</f>
        <v/>
      </c>
      <c r="H5" s="150" t="str" cm="1">
        <f t="array" ref="H5">_xlfn.XLOOKUP(1,($AX:$AX=H$2)*($AZ:$AZ=$A$3)*($BB:$BB=$B5),$BA:$BA,"")</f>
        <v/>
      </c>
      <c r="I5" s="150" t="str" cm="1">
        <f t="array" ref="I5">_xlfn.XLOOKUP(1,($BF:$BF=I$2)*($BD:$BD=$A$3)*($BE:$BE=$B5),$BG:$BG,"")</f>
        <v/>
      </c>
      <c r="J5" s="150" t="str" cm="1">
        <f t="array" ref="J5">_xlfn.XLOOKUP(1,($BF:$BF=J$2)*($BD:$BD=$A$3)*($BE:$BE=$B5),$BG:$BG,"")</f>
        <v/>
      </c>
      <c r="K5" s="150" cm="1">
        <f t="array" ref="K5">_xlfn.XLOOKUP(1,(Population!$U:$U=K$2)*(Population!$S:$S=$A$3)*(Population!$T:$T=$B5),100*Population!$V:$V,0)</f>
        <v>0</v>
      </c>
      <c r="L5" s="150"/>
      <c r="M5" s="150"/>
      <c r="N5" s="150"/>
      <c r="O5" s="144" t="s">
        <v>13</v>
      </c>
      <c r="P5" s="154">
        <f>$P$7*($P$21*$R$21)/(P19*R19)</f>
        <v>0.35382653061224489</v>
      </c>
      <c r="Q5" s="144" t="s">
        <v>55</v>
      </c>
      <c r="R5" s="150"/>
      <c r="W5" s="151"/>
      <c r="X5" s="151"/>
      <c r="Y5" s="151"/>
      <c r="Z5" s="151"/>
      <c r="AA5" s="151"/>
      <c r="AB5" s="151"/>
      <c r="AW5" s="144" t="s">
        <v>162</v>
      </c>
      <c r="AX5" s="144">
        <v>2000</v>
      </c>
      <c r="AY5" s="144" t="s">
        <v>174</v>
      </c>
      <c r="AZ5" s="144" t="s">
        <v>29</v>
      </c>
      <c r="BA5" s="144" t="s">
        <v>160</v>
      </c>
      <c r="BB5" s="148" t="s">
        <v>11</v>
      </c>
      <c r="BD5" s="144" t="s">
        <v>183</v>
      </c>
      <c r="BE5" s="152">
        <v>33.1</v>
      </c>
      <c r="BF5" s="152">
        <v>32.799999999999997</v>
      </c>
      <c r="BG5" s="152">
        <v>18</v>
      </c>
      <c r="BH5" s="152">
        <v>20.8</v>
      </c>
      <c r="BI5" s="152">
        <v>35</v>
      </c>
      <c r="BJ5" s="152">
        <v>43.6</v>
      </c>
      <c r="BK5" s="152">
        <v>58.9</v>
      </c>
      <c r="BL5" s="152">
        <v>54.8</v>
      </c>
      <c r="BM5" s="152">
        <v>36.299999999999997</v>
      </c>
      <c r="BN5" s="152">
        <v>38</v>
      </c>
      <c r="BO5" s="144" t="s">
        <v>36</v>
      </c>
    </row>
    <row r="6" spans="1:67">
      <c r="A6" s="144" t="s">
        <v>29</v>
      </c>
      <c r="B6" s="149" t="s">
        <v>10</v>
      </c>
      <c r="C6" s="150" t="str" cm="1">
        <f t="array" ref="C6">_xlfn.XLOOKUP(1,($AX:$AX=C$2)*($AZ:$AZ=$A$3)*($BB:$BB=$B6),$BA:$BA,"")</f>
        <v/>
      </c>
      <c r="D6" s="150" t="str" cm="1">
        <f t="array" ref="D6">_xlfn.XLOOKUP(1,($AX:$AX=D$2)*($AZ:$AZ=$A$3)*($BB:$BB=$B6),$BA:$BA,"")</f>
        <v/>
      </c>
      <c r="E6" s="150" t="str" cm="1">
        <f t="array" ref="E6">_xlfn.XLOOKUP(1,($AX:$AX=E$2)*($AZ:$AZ=$A$3)*($BB:$BB=$B6),$BA:$BA,"")</f>
        <v/>
      </c>
      <c r="F6" s="150" t="str" cm="1">
        <f t="array" ref="F6">_xlfn.XLOOKUP(1,($AX:$AX=F$2)*($AZ:$AZ=$A$3)*($BB:$BB=$B6),$BA:$BA,"")</f>
        <v/>
      </c>
      <c r="G6" s="150" t="str" cm="1">
        <f t="array" ref="G6">_xlfn.XLOOKUP(1,($AX:$AX=G$2)*($AZ:$AZ=$A$3)*($BB:$BB=$B6),$BA:$BA,"")</f>
        <v/>
      </c>
      <c r="H6" s="150" t="str" cm="1">
        <f t="array" ref="H6">_xlfn.XLOOKUP(1,($AX:$AX=H$2)*($AZ:$AZ=$A$3)*($BB:$BB=$B6),$BA:$BA,"")</f>
        <v/>
      </c>
      <c r="I6" s="150" t="str" cm="1">
        <f t="array" ref="I6">_xlfn.XLOOKUP(1,($BF:$BF=I$2)*($BD:$BD=$A$3)*($BE:$BE=$B6),$BG:$BG,"")</f>
        <v/>
      </c>
      <c r="J6" s="150" t="str" cm="1">
        <f t="array" ref="J6">_xlfn.XLOOKUP(1,($BF:$BF=J$2)*($BD:$BD=$A$3)*($BE:$BE=$B6),$BG:$BG,"")</f>
        <v/>
      </c>
      <c r="K6" s="150" cm="1">
        <f t="array" ref="K6">_xlfn.XLOOKUP(1,(Population!$U:$U=K$2)*(Population!$S:$S=$A$3)*(Population!$T:$T=$B6),100*Population!$V:$V,0)</f>
        <v>0</v>
      </c>
      <c r="L6" s="150"/>
      <c r="M6" s="150"/>
      <c r="N6" s="150"/>
      <c r="O6" s="144" t="s">
        <v>36</v>
      </c>
      <c r="P6" s="154">
        <v>0.55859459459459504</v>
      </c>
      <c r="Q6" s="144" t="s">
        <v>54</v>
      </c>
      <c r="R6" s="150" t="s">
        <v>263</v>
      </c>
      <c r="W6" s="151"/>
      <c r="X6" s="151"/>
      <c r="Y6" s="151"/>
      <c r="Z6" s="151"/>
      <c r="AA6" s="151"/>
      <c r="AB6" s="151"/>
      <c r="AW6" s="144" t="s">
        <v>162</v>
      </c>
      <c r="AX6" s="144">
        <v>2000</v>
      </c>
      <c r="AY6" s="144" t="s">
        <v>174</v>
      </c>
      <c r="AZ6" s="144" t="s">
        <v>25</v>
      </c>
      <c r="BA6" s="144" t="s">
        <v>160</v>
      </c>
      <c r="BB6" s="148" t="s">
        <v>11</v>
      </c>
      <c r="BD6" s="144" t="s">
        <v>184</v>
      </c>
      <c r="BE6" s="152">
        <v>39.9</v>
      </c>
      <c r="BF6" s="152">
        <v>41.7</v>
      </c>
      <c r="BG6" s="152">
        <v>20.5</v>
      </c>
      <c r="BH6" s="152">
        <v>25.7</v>
      </c>
      <c r="BI6" s="152">
        <v>30.9</v>
      </c>
      <c r="BJ6" s="152">
        <v>31.7</v>
      </c>
      <c r="BK6" s="152">
        <v>28.3</v>
      </c>
      <c r="BL6" s="152">
        <v>21.7</v>
      </c>
      <c r="BM6" s="152">
        <v>29.9</v>
      </c>
      <c r="BN6" s="152">
        <v>30.2</v>
      </c>
      <c r="BO6" s="148" t="s">
        <v>13</v>
      </c>
    </row>
    <row r="7" spans="1:67">
      <c r="A7" s="144" t="s">
        <v>29</v>
      </c>
      <c r="B7" s="149" t="s">
        <v>11</v>
      </c>
      <c r="C7" s="150" cm="1">
        <f t="array" ref="C7">_xlfn.XLOOKUP(1,($AX:$AX=C$2)*($AZ:$AZ=$A$3)*($BB:$BB=$B7),$BA:$BA,"")</f>
        <v>0</v>
      </c>
      <c r="D7" s="150" cm="1">
        <f t="array" ref="D7">_xlfn.XLOOKUP(1,($AX:$AX=D$2)*($AZ:$AZ=$A$3)*($BB:$BB=$B7),$BA:$BA,"")</f>
        <v>0</v>
      </c>
      <c r="E7" s="150" cm="1">
        <f t="array" ref="E7">_xlfn.XLOOKUP(1,($AX:$AX=E$2)*($AZ:$AZ=$A$3)*($BB:$BB=$B7),$BA:$BA,"")</f>
        <v>0</v>
      </c>
      <c r="F7" s="150" cm="1">
        <f t="array" ref="F7">_xlfn.XLOOKUP(1,($AX:$AX=F$2)*($AZ:$AZ=$A$3)*($BB:$BB=$B7),$BA:$BA,"")</f>
        <v>0.1</v>
      </c>
      <c r="G7" s="150" cm="1">
        <f t="array" ref="G7">_xlfn.XLOOKUP(1,($AX:$AX=G$2)*($AZ:$AZ=$A$3)*($BB:$BB=$B7),$BA:$BA,"")</f>
        <v>0.1</v>
      </c>
      <c r="H7" s="150" cm="1">
        <f t="array" ref="H7">_xlfn.XLOOKUP(1,($AX:$AX=H$2)*($AZ:$AZ=$A$3)*($BB:$BB=$B7),$BA:$BA,"")</f>
        <v>0</v>
      </c>
      <c r="I7" s="150" cm="1">
        <f t="array" ref="I7">_xlfn.XLOOKUP(1,($BF:$BF=I$2)*($BD:$BD=$A$3)*($BE:$BE=$B7),$BG:$BG,"")</f>
        <v>3.0896476109872398E-2</v>
      </c>
      <c r="J7" s="150" cm="1">
        <f t="array" ref="J7">_xlfn.XLOOKUP(1,($BF:$BF=J$2)*($BD:$BD=$A$3)*($BE:$BE=$B7),$BG:$BG,"")</f>
        <v>0.15532663004256714</v>
      </c>
      <c r="K7" s="150" cm="1">
        <f t="array" ref="K7">_xlfn.XLOOKUP(1,(Population!$U:$U=K$2)*(Population!$S:$S=$A$3)*(Population!$T:$T=$B7),100*Population!$V:$V,0)</f>
        <v>0</v>
      </c>
      <c r="L7" s="154"/>
      <c r="M7" s="152"/>
      <c r="N7" s="150"/>
      <c r="O7" s="144" t="s">
        <v>30</v>
      </c>
      <c r="P7" s="154">
        <v>0.16511904761904761</v>
      </c>
      <c r="Q7" s="144" t="s">
        <v>54</v>
      </c>
      <c r="R7" s="150" t="s">
        <v>263</v>
      </c>
      <c r="W7" s="151"/>
      <c r="X7" s="151"/>
      <c r="Y7" s="151"/>
      <c r="Z7" s="151"/>
      <c r="AA7" s="151"/>
      <c r="AB7" s="151"/>
      <c r="AW7" s="144" t="s">
        <v>162</v>
      </c>
      <c r="AX7" s="144">
        <v>2000</v>
      </c>
      <c r="AY7" s="144" t="s">
        <v>174</v>
      </c>
      <c r="AZ7" s="144" t="s">
        <v>26</v>
      </c>
      <c r="BA7" s="144" t="s">
        <v>160</v>
      </c>
      <c r="BB7" s="148" t="s">
        <v>11</v>
      </c>
      <c r="BD7" s="144" t="s">
        <v>185</v>
      </c>
      <c r="BE7" s="152">
        <v>8.1</v>
      </c>
      <c r="BF7" s="152">
        <v>13.6</v>
      </c>
      <c r="BG7" s="152">
        <v>1</v>
      </c>
      <c r="BH7" s="152">
        <v>5</v>
      </c>
      <c r="BI7" s="152">
        <v>0.3</v>
      </c>
      <c r="BJ7" s="152">
        <v>5.5</v>
      </c>
      <c r="BK7" s="152">
        <v>2.1</v>
      </c>
      <c r="BL7" s="152">
        <v>2.7</v>
      </c>
      <c r="BM7" s="152">
        <v>2.9</v>
      </c>
      <c r="BN7" s="152">
        <v>6.7</v>
      </c>
      <c r="BO7" s="148" t="s">
        <v>11</v>
      </c>
    </row>
    <row r="8" spans="1:67">
      <c r="A8" s="144" t="s">
        <v>29</v>
      </c>
      <c r="B8" s="149" t="s">
        <v>12</v>
      </c>
      <c r="C8" s="150" cm="1">
        <f t="array" ref="C8">_xlfn.XLOOKUP(1,($AX:$AX=C$2)*($AZ:$AZ=$A$3)*($BB:$BB=$B8),$BA:$BA,"")</f>
        <v>0.1</v>
      </c>
      <c r="D8" s="150" cm="1">
        <f t="array" ref="D8">_xlfn.XLOOKUP(1,($AX:$AX=D$2)*($AZ:$AZ=$A$3)*($BB:$BB=$B8),$BA:$BA,"")</f>
        <v>0</v>
      </c>
      <c r="E8" s="150" t="str" cm="1">
        <f t="array" ref="E8">_xlfn.XLOOKUP(1,($AX:$AX=E$2)*($AZ:$AZ=$A$3)*($BB:$BB=$B8),$BA:$BA,"")</f>
        <v/>
      </c>
      <c r="F8" s="150" t="str" cm="1">
        <f t="array" ref="F8">_xlfn.XLOOKUP(1,($AX:$AX=F$2)*($AZ:$AZ=$A$3)*($BB:$BB=$B8),$BA:$BA,"")</f>
        <v/>
      </c>
      <c r="G8" s="150" t="str" cm="1">
        <f t="array" ref="G8">_xlfn.XLOOKUP(1,($AX:$AX=G$2)*($AZ:$AZ=$A$3)*($BB:$BB=$B8),$BA:$BA,"")</f>
        <v/>
      </c>
      <c r="H8" s="150" t="str" cm="1">
        <f t="array" ref="H8">_xlfn.XLOOKUP(1,($AX:$AX=H$2)*($AZ:$AZ=$A$3)*($BB:$BB=$B8),$BA:$BA,"")</f>
        <v/>
      </c>
      <c r="I8" s="150" cm="1">
        <f t="array" ref="I8">_xlfn.XLOOKUP(1,($BF:$BF=I$2)*($BD:$BD=$A$3)*($BE:$BE=$B8),$BG:$BG,"")</f>
        <v>0</v>
      </c>
      <c r="J8" s="150" cm="1">
        <f t="array" ref="J8">_xlfn.XLOOKUP(1,($BF:$BF=J$2)*($BD:$BD=$A$3)*($BE:$BE=$B8),$BG:$BG,"")</f>
        <v>0</v>
      </c>
      <c r="K8" s="150" cm="1">
        <f t="array" ref="K8">_xlfn.XLOOKUP(1,(Population!$U:$U=K$2)*(Population!$S:$S=$A$3)*(Population!$T:$T=$B8),100*Population!$V:$V,0)</f>
        <v>0</v>
      </c>
      <c r="L8" s="154"/>
      <c r="M8" s="152"/>
      <c r="N8" s="150"/>
      <c r="O8" s="144" t="s">
        <v>14</v>
      </c>
      <c r="P8" s="154">
        <f>$P$7*($P$21*$R$21)/(P22*R22)</f>
        <v>9.691770186335405E-2</v>
      </c>
      <c r="Q8" s="144" t="s">
        <v>54</v>
      </c>
      <c r="R8" s="150"/>
      <c r="X8" s="151"/>
      <c r="Y8" s="151"/>
      <c r="Z8" s="151"/>
      <c r="AA8" s="151"/>
      <c r="AB8" s="151"/>
      <c r="AW8" s="144" t="s">
        <v>162</v>
      </c>
      <c r="AX8" s="144">
        <v>2000</v>
      </c>
      <c r="AY8" s="144" t="s">
        <v>173</v>
      </c>
      <c r="AZ8" s="144" t="s">
        <v>29</v>
      </c>
      <c r="BA8" s="144">
        <v>0.5</v>
      </c>
      <c r="BB8" s="148" t="s">
        <v>12</v>
      </c>
      <c r="BD8" s="144" t="s">
        <v>186</v>
      </c>
      <c r="BE8" s="152">
        <v>4.8</v>
      </c>
      <c r="BF8" s="152">
        <v>3.5</v>
      </c>
      <c r="BG8" s="152">
        <v>1.3</v>
      </c>
      <c r="BH8" s="152">
        <v>1</v>
      </c>
      <c r="BI8" s="152">
        <v>0.5</v>
      </c>
      <c r="BJ8" s="152">
        <v>1.2</v>
      </c>
      <c r="BK8" s="152">
        <v>0.3</v>
      </c>
      <c r="BL8" s="152">
        <v>0.7</v>
      </c>
      <c r="BM8" s="152">
        <v>1.7</v>
      </c>
      <c r="BN8" s="152">
        <v>1.6</v>
      </c>
      <c r="BO8" s="148" t="s">
        <v>17</v>
      </c>
    </row>
    <row r="9" spans="1:67">
      <c r="A9" s="144" t="s">
        <v>29</v>
      </c>
      <c r="B9" s="149" t="s">
        <v>13</v>
      </c>
      <c r="C9" s="150" cm="1">
        <f t="array" ref="C9">_xlfn.XLOOKUP(1,($AX:$AX=C$2)*($AZ:$AZ=$A$3)*($BB:$BB=$B9),$BA:$BA,"")</f>
        <v>2</v>
      </c>
      <c r="D9" s="150" cm="1">
        <f t="array" ref="D9">_xlfn.XLOOKUP(1,($AX:$AX=D$2)*($AZ:$AZ=$A$3)*($BB:$BB=$B9),$BA:$BA,"")</f>
        <v>1.7</v>
      </c>
      <c r="E9" s="150" cm="1">
        <f t="array" ref="E9">_xlfn.XLOOKUP(1,($AX:$AX=E$2)*($AZ:$AZ=$A$3)*($BB:$BB=$B9),$BA:$BA,"")</f>
        <v>2.1</v>
      </c>
      <c r="F9" s="150" cm="1">
        <f t="array" ref="F9">_xlfn.XLOOKUP(1,($AX:$AX=F$2)*($AZ:$AZ=$A$3)*($BB:$BB=$B9),$BA:$BA,"")</f>
        <v>2.8</v>
      </c>
      <c r="G9" s="150" cm="1">
        <f t="array" ref="G9">_xlfn.XLOOKUP(1,($AX:$AX=G$2)*($AZ:$AZ=$A$3)*($BB:$BB=$B9),$BA:$BA,"")</f>
        <v>2.1</v>
      </c>
      <c r="H9" s="150" cm="1">
        <f t="array" ref="H9">_xlfn.XLOOKUP(1,($AX:$AX=H$2)*($AZ:$AZ=$A$3)*($BB:$BB=$B9),$BA:$BA,"")</f>
        <v>1.7</v>
      </c>
      <c r="I9" s="150" cm="1">
        <f t="array" ref="I9">_xlfn.XLOOKUP(1,($BF:$BF=I$2)*($BD:$BD=$A$3)*($BE:$BE=$B9),$BG:$BG,"")</f>
        <v>1.1961816790220225</v>
      </c>
      <c r="J9" s="150" cm="1">
        <f t="array" ref="J9">_xlfn.XLOOKUP(1,($BF:$BF=J$2)*($BD:$BD=$A$3)*($BE:$BE=$B9),$BG:$BG,"")</f>
        <v>1.2261577293890615</v>
      </c>
      <c r="K9" s="150" cm="1">
        <f t="array" ref="K9">_xlfn.XLOOKUP(1,(Population!$U:$U=K$2)*(Population!$S:$S=$A$3)*(Population!$T:$T=$B9),100*Population!$V:$V,0)</f>
        <v>0</v>
      </c>
      <c r="L9" s="154"/>
      <c r="M9" s="152"/>
      <c r="N9" s="150"/>
      <c r="O9" s="144" t="s">
        <v>15</v>
      </c>
      <c r="P9" s="154">
        <f>$P$7*($P$21*$R$21)/(P23*R23)</f>
        <v>6.1492610837438427E-2</v>
      </c>
      <c r="Q9" s="144" t="s">
        <v>54</v>
      </c>
      <c r="R9" s="150"/>
      <c r="Y9" s="151"/>
      <c r="Z9" s="151"/>
      <c r="AA9" s="151"/>
      <c r="AB9" s="151"/>
      <c r="AW9" s="144" t="s">
        <v>162</v>
      </c>
      <c r="AX9" s="144">
        <v>2000</v>
      </c>
      <c r="AY9" s="144" t="s">
        <v>173</v>
      </c>
      <c r="AZ9" s="144" t="s">
        <v>25</v>
      </c>
      <c r="BA9" s="144">
        <v>2.7</v>
      </c>
      <c r="BB9" s="148" t="s">
        <v>12</v>
      </c>
      <c r="BD9" s="144" t="s">
        <v>187</v>
      </c>
      <c r="BE9" s="152">
        <v>0.5</v>
      </c>
      <c r="BF9" s="152">
        <v>0.7</v>
      </c>
      <c r="BG9" s="152" t="s">
        <v>197</v>
      </c>
      <c r="BH9" s="152" t="s">
        <v>197</v>
      </c>
      <c r="BI9" s="152">
        <v>0.8</v>
      </c>
      <c r="BJ9" s="152">
        <v>1.2</v>
      </c>
      <c r="BK9" s="152">
        <v>0.8</v>
      </c>
      <c r="BL9" s="152" t="s">
        <v>197</v>
      </c>
      <c r="BM9" s="152">
        <v>0.5</v>
      </c>
      <c r="BN9" s="152">
        <v>0.5</v>
      </c>
      <c r="BO9" s="149" t="s">
        <v>10</v>
      </c>
    </row>
    <row r="10" spans="1:67">
      <c r="A10" s="144" t="s">
        <v>29</v>
      </c>
      <c r="B10" s="149" t="s">
        <v>14</v>
      </c>
      <c r="C10" s="150" t="str" cm="1">
        <f t="array" ref="C10">_xlfn.XLOOKUP(1,($AX:$AX=C$2)*($AZ:$AZ=$A$3)*($BB:$BB=$B10),$BA:$BA,"")</f>
        <v/>
      </c>
      <c r="D10" s="150" t="str" cm="1">
        <f t="array" ref="D10">_xlfn.XLOOKUP(1,($AX:$AX=D$2)*($AZ:$AZ=$A$3)*($BB:$BB=$B10),$BA:$BA,"")</f>
        <v/>
      </c>
      <c r="E10" s="150" t="str" cm="1">
        <f t="array" ref="E10">_xlfn.XLOOKUP(1,($AX:$AX=E$2)*($AZ:$AZ=$A$3)*($BB:$BB=$B10),$BA:$BA,"")</f>
        <v/>
      </c>
      <c r="F10" s="150" t="str" cm="1">
        <f t="array" ref="F10">_xlfn.XLOOKUP(1,($AX:$AX=F$2)*($AZ:$AZ=$A$3)*($BB:$BB=$B10),$BA:$BA,"")</f>
        <v/>
      </c>
      <c r="G10" s="150" t="str" cm="1">
        <f t="array" ref="G10">_xlfn.XLOOKUP(1,($AX:$AX=G$2)*($AZ:$AZ=$A$3)*($BB:$BB=$B10),$BA:$BA,"")</f>
        <v/>
      </c>
      <c r="H10" s="150" t="str" cm="1">
        <f t="array" ref="H10">_xlfn.XLOOKUP(1,($AX:$AX=H$2)*($AZ:$AZ=$A$3)*($BB:$BB=$B10),$BA:$BA,"")</f>
        <v/>
      </c>
      <c r="I10" s="150" t="str" cm="1">
        <f t="array" ref="I10">_xlfn.XLOOKUP(1,($BF:$BF=I$2)*($BD:$BD=$A$3)*($BE:$BE=$B10),$BG:$BG,"")</f>
        <v/>
      </c>
      <c r="J10" s="150" t="str" cm="1">
        <f t="array" ref="J10">_xlfn.XLOOKUP(1,($BF:$BF=J$2)*($BD:$BD=$A$3)*($BE:$BE=$B10),$BG:$BG,"")</f>
        <v/>
      </c>
      <c r="K10" s="150" cm="1">
        <f t="array" ref="K10">_xlfn.XLOOKUP(1,(Population!$U:$U=K$2)*(Population!$S:$S=$A$3)*(Population!$T:$T=$B10),100*Population!$V:$V,0)</f>
        <v>0</v>
      </c>
      <c r="L10" s="150"/>
      <c r="M10" s="150"/>
      <c r="N10" s="150"/>
      <c r="O10" s="144" t="s">
        <v>46</v>
      </c>
      <c r="P10" s="154">
        <f>$P$7*($P$21*$R$21)/(P24*R24)</f>
        <v>0.20264610389610388</v>
      </c>
      <c r="Q10" s="144" t="s">
        <v>54</v>
      </c>
      <c r="W10" s="151"/>
      <c r="X10" s="151"/>
      <c r="Y10" s="151"/>
      <c r="Z10" s="151"/>
      <c r="AA10" s="151"/>
      <c r="AB10" s="151"/>
      <c r="AW10" s="144" t="s">
        <v>162</v>
      </c>
      <c r="AX10" s="144">
        <v>2000</v>
      </c>
      <c r="AY10" s="144" t="s">
        <v>173</v>
      </c>
      <c r="AZ10" s="144" t="s">
        <v>26</v>
      </c>
      <c r="BA10" s="144">
        <v>0.2</v>
      </c>
      <c r="BB10" s="148" t="s">
        <v>12</v>
      </c>
      <c r="BD10" s="144" t="s">
        <v>188</v>
      </c>
      <c r="BE10" s="152">
        <v>1.8</v>
      </c>
      <c r="BF10" s="152">
        <v>2</v>
      </c>
      <c r="BG10" s="152" t="s">
        <v>197</v>
      </c>
      <c r="BH10" s="152" t="s">
        <v>197</v>
      </c>
      <c r="BI10" s="152" t="s">
        <v>197</v>
      </c>
      <c r="BJ10" s="152" t="s">
        <v>197</v>
      </c>
      <c r="BK10" s="152">
        <v>0.3</v>
      </c>
      <c r="BL10" s="152">
        <v>0.5</v>
      </c>
      <c r="BM10" s="152">
        <v>0.5</v>
      </c>
      <c r="BN10" s="152">
        <v>0.6</v>
      </c>
      <c r="BO10" s="148" t="s">
        <v>17</v>
      </c>
    </row>
    <row r="11" spans="1:67">
      <c r="A11" s="144" t="s">
        <v>29</v>
      </c>
      <c r="B11" s="149" t="s">
        <v>15</v>
      </c>
      <c r="C11" s="150" t="str" cm="1">
        <f t="array" ref="C11">_xlfn.XLOOKUP(1,($AX:$AX=C$2)*($AZ:$AZ=$A$3)*($BB:$BB=$B11),$BA:$BA,"")</f>
        <v/>
      </c>
      <c r="D11" s="150" t="str" cm="1">
        <f t="array" ref="D11">_xlfn.XLOOKUP(1,($AX:$AX=D$2)*($AZ:$AZ=$A$3)*($BB:$BB=$B11),$BA:$BA,"")</f>
        <v/>
      </c>
      <c r="E11" s="150" t="str" cm="1">
        <f t="array" ref="E11">_xlfn.XLOOKUP(1,($AX:$AX=E$2)*($AZ:$AZ=$A$3)*($BB:$BB=$B11),$BA:$BA,"")</f>
        <v/>
      </c>
      <c r="F11" s="150" t="str" cm="1">
        <f t="array" ref="F11">_xlfn.XLOOKUP(1,($AX:$AX=F$2)*($AZ:$AZ=$A$3)*($BB:$BB=$B11),$BA:$BA,"")</f>
        <v/>
      </c>
      <c r="G11" s="150" t="str" cm="1">
        <f t="array" ref="G11">_xlfn.XLOOKUP(1,($AX:$AX=G$2)*($AZ:$AZ=$A$3)*($BB:$BB=$B11),$BA:$BA,"")</f>
        <v/>
      </c>
      <c r="H11" s="150" t="str" cm="1">
        <f t="array" ref="H11">_xlfn.XLOOKUP(1,($AX:$AX=H$2)*($AZ:$AZ=$A$3)*($BB:$BB=$B11),$BA:$BA,"")</f>
        <v/>
      </c>
      <c r="I11" s="150" t="str" cm="1">
        <f t="array" ref="I11">_xlfn.XLOOKUP(1,($BF:$BF=I$2)*($BD:$BD=$A$3)*($BE:$BE=$B11),$BG:$BG,"")</f>
        <v/>
      </c>
      <c r="J11" s="150" t="str" cm="1">
        <f t="array" ref="J11">_xlfn.XLOOKUP(1,($BF:$BF=J$2)*($BD:$BD=$A$3)*($BE:$BE=$B11),$BG:$BG,"")</f>
        <v/>
      </c>
      <c r="K11" s="150" cm="1">
        <f t="array" ref="K11">_xlfn.XLOOKUP(1,(Population!$U:$U=K$2)*(Population!$S:$S=$A$3)*(Population!$T:$T=$B11),100*Population!$V:$V,0)</f>
        <v>0</v>
      </c>
      <c r="L11" s="150"/>
      <c r="M11" s="150"/>
      <c r="N11" s="150"/>
      <c r="O11" s="144" t="s">
        <v>37</v>
      </c>
      <c r="P11" s="154">
        <f>$P$7*($P$21*$R$21)/(P25*R25)</f>
        <v>0.33023809523809527</v>
      </c>
      <c r="Q11" s="144" t="s">
        <v>54</v>
      </c>
      <c r="W11" s="151"/>
      <c r="X11" s="151"/>
      <c r="Y11" s="151"/>
      <c r="Z11" s="151"/>
      <c r="AA11" s="151"/>
      <c r="AB11" s="151"/>
      <c r="AW11" s="144" t="s">
        <v>162</v>
      </c>
      <c r="AX11" s="144">
        <v>2000</v>
      </c>
      <c r="AY11" s="144" t="s">
        <v>172</v>
      </c>
      <c r="AZ11" s="144" t="s">
        <v>29</v>
      </c>
      <c r="BA11" s="144" t="s">
        <v>160</v>
      </c>
      <c r="BB11" s="148" t="s">
        <v>181</v>
      </c>
      <c r="BD11" s="144" t="s">
        <v>189</v>
      </c>
      <c r="BE11" s="152" t="s">
        <v>197</v>
      </c>
      <c r="BF11" s="152">
        <v>0.3</v>
      </c>
      <c r="BG11" s="152">
        <v>1.3</v>
      </c>
      <c r="BH11" s="152">
        <v>1.5</v>
      </c>
      <c r="BI11" s="152">
        <v>0.3</v>
      </c>
      <c r="BJ11" s="152">
        <v>0.3</v>
      </c>
      <c r="BK11" s="152" t="s">
        <v>197</v>
      </c>
      <c r="BL11" s="152" t="s">
        <v>197</v>
      </c>
      <c r="BM11" s="152">
        <v>0.4</v>
      </c>
      <c r="BN11" s="152">
        <v>0.5</v>
      </c>
      <c r="BO11" s="148" t="s">
        <v>17</v>
      </c>
    </row>
    <row r="12" spans="1:67" ht="17" customHeight="1">
      <c r="A12" s="144" t="s">
        <v>29</v>
      </c>
      <c r="B12" s="149" t="s">
        <v>16</v>
      </c>
      <c r="C12" s="150" t="str" cm="1">
        <f t="array" ref="C12">_xlfn.XLOOKUP(1,($AX:$AX=C$2)*($AZ:$AZ=$A$3)*($BB:$BB=$B12),$BA:$BA,"")</f>
        <v/>
      </c>
      <c r="D12" s="150" t="str" cm="1">
        <f t="array" ref="D12">_xlfn.XLOOKUP(1,($AX:$AX=D$2)*($AZ:$AZ=$A$3)*($BB:$BB=$B12),$BA:$BA,"")</f>
        <v/>
      </c>
      <c r="E12" s="150" t="str" cm="1">
        <f t="array" ref="E12">_xlfn.XLOOKUP(1,($AX:$AX=E$2)*($AZ:$AZ=$A$3)*($BB:$BB=$B12),$BA:$BA,"")</f>
        <v/>
      </c>
      <c r="F12" s="150" t="str" cm="1">
        <f t="array" ref="F12">_xlfn.XLOOKUP(1,($AX:$AX=F$2)*($AZ:$AZ=$A$3)*($BB:$BB=$B12),$BA:$BA,"")</f>
        <v/>
      </c>
      <c r="G12" s="150" t="str" cm="1">
        <f t="array" ref="G12">_xlfn.XLOOKUP(1,($AX:$AX=G$2)*($AZ:$AZ=$A$3)*($BB:$BB=$B12),$BA:$BA,"")</f>
        <v/>
      </c>
      <c r="H12" s="150" t="str" cm="1">
        <f t="array" ref="H12">_xlfn.XLOOKUP(1,($AX:$AX=H$2)*($AZ:$AZ=$A$3)*($BB:$BB=$B12),$BA:$BA,"")</f>
        <v/>
      </c>
      <c r="I12" s="150" t="str" cm="1">
        <f t="array" ref="I12">_xlfn.XLOOKUP(1,($BF:$BF=I$2)*($BD:$BD=$A$3)*($BE:$BE=$B12),$BG:$BG,"")</f>
        <v/>
      </c>
      <c r="J12" s="150" t="str" cm="1">
        <f t="array" ref="J12">_xlfn.XLOOKUP(1,($BF:$BF=J$2)*($BD:$BD=$A$3)*($BE:$BE=$B12),$BG:$BG,"")</f>
        <v/>
      </c>
      <c r="K12" s="150" cm="1">
        <f t="array" ref="K12">_xlfn.XLOOKUP(1,(Population!$U:$U=K$2)*(Population!$S:$S=$A$3)*(Population!$T:$T=$B12),100*Population!$V:$V,0)</f>
        <v>0</v>
      </c>
      <c r="L12" s="150"/>
      <c r="M12" s="150"/>
      <c r="N12" s="150"/>
      <c r="O12" s="144" t="s">
        <v>10</v>
      </c>
      <c r="P12" s="154">
        <f>$P$7*($P$21*$R$21)/(P26*R26)</f>
        <v>0.11007936507936508</v>
      </c>
      <c r="Q12" s="144" t="s">
        <v>54</v>
      </c>
      <c r="AW12" s="144" t="s">
        <v>162</v>
      </c>
      <c r="AX12" s="144">
        <v>2000</v>
      </c>
      <c r="AY12" s="144" t="s">
        <v>172</v>
      </c>
      <c r="AZ12" s="144" t="s">
        <v>25</v>
      </c>
      <c r="BA12" s="144" t="s">
        <v>160</v>
      </c>
      <c r="BB12" s="148" t="s">
        <v>181</v>
      </c>
      <c r="BD12" s="144" t="s">
        <v>190</v>
      </c>
      <c r="BE12" s="152" t="s">
        <v>197</v>
      </c>
      <c r="BF12" s="152">
        <v>0.3</v>
      </c>
      <c r="BG12" s="152" t="s">
        <v>197</v>
      </c>
      <c r="BH12" s="152" t="s">
        <v>197</v>
      </c>
      <c r="BI12" s="152" t="s">
        <v>197</v>
      </c>
      <c r="BJ12" s="152" t="s">
        <v>197</v>
      </c>
      <c r="BK12" s="152">
        <v>0.3</v>
      </c>
      <c r="BL12" s="152" t="s">
        <v>197</v>
      </c>
      <c r="BM12" s="152">
        <v>0.1</v>
      </c>
      <c r="BN12" s="152">
        <v>0.1</v>
      </c>
      <c r="BO12" s="148" t="s">
        <v>14</v>
      </c>
    </row>
    <row r="13" spans="1:67" ht="17" thickBot="1">
      <c r="A13" s="144" t="s">
        <v>29</v>
      </c>
      <c r="B13" s="153" t="s">
        <v>17</v>
      </c>
      <c r="C13" s="150" t="str" cm="1">
        <f t="array" ref="C13">_xlfn.XLOOKUP(1,($AX:$AX=C$2)*($AZ:$AZ=$A$3)*($BB:$BB=$B13),$BA:$BA,"")</f>
        <v/>
      </c>
      <c r="D13" s="150" cm="1">
        <f t="array" ref="D13">_xlfn.XLOOKUP(1,($AX:$AX=D$2)*($AZ:$AZ=$A$3)*($BB:$BB=$B13),$BA:$BA,"")</f>
        <v>1.7</v>
      </c>
      <c r="E13" s="150" cm="1">
        <f t="array" ref="E13">_xlfn.XLOOKUP(1,($AX:$AX=E$2)*($AZ:$AZ=$A$3)*($BB:$BB=$B13),$BA:$BA,"")</f>
        <v>0.2</v>
      </c>
      <c r="F13" s="150" cm="1">
        <f t="array" ref="F13">_xlfn.XLOOKUP(1,($AX:$AX=F$2)*($AZ:$AZ=$A$3)*($BB:$BB=$B13),$BA:$BA,"")</f>
        <v>0.5</v>
      </c>
      <c r="G13" s="150" cm="1">
        <f t="array" ref="G13">_xlfn.XLOOKUP(1,($AX:$AX=G$2)*($AZ:$AZ=$A$3)*($BB:$BB=$B13),$BA:$BA,"")</f>
        <v>0.9</v>
      </c>
      <c r="H13" s="150" cm="1">
        <f t="array" ref="H13">_xlfn.XLOOKUP(1,($AX:$AX=H$2)*($AZ:$AZ=$A$3)*($BB:$BB=$B13),$BA:$BA,"")</f>
        <v>0.2</v>
      </c>
      <c r="I13" s="150" cm="1">
        <f t="array" ref="I13">_xlfn.XLOOKUP(1,($BF:$BF=I$2)*($BD:$BD=$A$3)*($BE:$BE=$B13),$BG:$BG,"")</f>
        <v>1.1857167005307365</v>
      </c>
      <c r="J13" s="150" cm="1">
        <f t="array" ref="J13">_xlfn.XLOOKUP(1,($BF:$BF=J$2)*($BD:$BD=$A$3)*($BE:$BE=$B13),$BG:$BG,"")</f>
        <v>0.58925960141774558</v>
      </c>
      <c r="K13" s="150" cm="1">
        <f t="array" ref="K13">_xlfn.XLOOKUP(1,(Population!$U:$U=K$2)*(Population!$S:$S=$A$3)*(Population!$T:$T=$B13),100*Population!$V:$V,0)</f>
        <v>0</v>
      </c>
      <c r="L13" s="154"/>
      <c r="M13" s="152"/>
      <c r="N13" s="150"/>
      <c r="O13" s="213" t="s">
        <v>273</v>
      </c>
      <c r="P13" s="144">
        <v>6.3</v>
      </c>
      <c r="Q13" s="144" t="s">
        <v>274</v>
      </c>
      <c r="AW13" s="144" t="s">
        <v>162</v>
      </c>
      <c r="AX13" s="144">
        <v>2000</v>
      </c>
      <c r="AY13" s="144" t="s">
        <v>172</v>
      </c>
      <c r="AZ13" s="144" t="s">
        <v>26</v>
      </c>
      <c r="BA13" s="144" t="s">
        <v>160</v>
      </c>
      <c r="BB13" s="148" t="s">
        <v>181</v>
      </c>
      <c r="BD13" s="144" t="s">
        <v>191</v>
      </c>
      <c r="BE13" s="152" t="s">
        <v>197</v>
      </c>
      <c r="BF13" s="152">
        <v>0.25</v>
      </c>
      <c r="BG13" s="152" t="s">
        <v>197</v>
      </c>
      <c r="BH13" s="152" t="s">
        <v>197</v>
      </c>
      <c r="BI13" s="152">
        <v>0.3</v>
      </c>
      <c r="BJ13" s="152" t="s">
        <v>197</v>
      </c>
      <c r="BK13" s="152">
        <v>0.3</v>
      </c>
      <c r="BL13" s="152" t="s">
        <v>197</v>
      </c>
      <c r="BM13" s="152">
        <v>0.2</v>
      </c>
      <c r="BN13" s="152">
        <v>0.1</v>
      </c>
      <c r="BO13" s="148" t="s">
        <v>17</v>
      </c>
    </row>
    <row r="14" spans="1:67">
      <c r="A14" s="144" t="s">
        <v>26</v>
      </c>
      <c r="B14" s="149" t="s">
        <v>36</v>
      </c>
      <c r="C14" s="155" cm="1">
        <f t="array" ref="C14">0.01*(_xlfn.XLOOKUP(1,($AX:$AX=C$2)*($AZ:$AZ=$A$14)*($BB:$BB=$B14),$BA:$BA,0))</f>
        <v>0.97499999999999998</v>
      </c>
      <c r="D14" s="155" cm="1">
        <f t="array" ref="D14">0.01*(_xlfn.XLOOKUP(1,($AX:$AX=D$2)*($AZ:$AZ=$A$14)*($BB:$BB=$B14),$BA:$BA,0))</f>
        <v>0.94099999999999995</v>
      </c>
      <c r="E14" s="155" cm="1">
        <f t="array" ref="E14">0.01*(_xlfn.XLOOKUP(1,($AX:$AX=E$2)*($AZ:$AZ=$A$14)*($BB:$BB=$B14),$BA:$BA,0))</f>
        <v>0.96099999999999997</v>
      </c>
      <c r="F14" s="155" cm="1">
        <f t="array" ref="F14">0.01*(_xlfn.XLOOKUP(1,($AX:$AX=F$2)*($AZ:$AZ=$A$14)*($BB:$BB=$B14),$BA:$BA,0))</f>
        <v>0.92200000000000004</v>
      </c>
      <c r="G14" s="155" cm="1">
        <f t="array" ref="G14">0.01*(_xlfn.XLOOKUP(1,($AX:$AX=G$2)*($AZ:$AZ=$A$14)*($BB:$BB=$B14),$BA:$BA,0))</f>
        <v>0.91400000000000003</v>
      </c>
      <c r="H14" s="155" cm="1">
        <f t="array" ref="H14">0.01*(_xlfn.XLOOKUP(1,($AX:$AX=H$2)*($AZ:$AZ=$A$14)*($BB:$BB=$B14),$BA:$BA,0))</f>
        <v>0.92500000000000004</v>
      </c>
      <c r="I14" s="155" cm="1">
        <f t="array" ref="I14">0.01*_xlfn.XLOOKUP(1,($BF:$BF=I$2)*($BD:$BD=$A$14)*($BE:$BE=$B14),$BG:$BG,0)</f>
        <v>0.9093952843680283</v>
      </c>
      <c r="J14" s="155" cm="1">
        <f t="array" ref="J14">0.01*_xlfn.XLOOKUP(1,($BF:$BF=J$2)*($BD:$BD=$A$14)*($BE:$BE=$B14),$BG:$BG,0)</f>
        <v>0.76004607889734932</v>
      </c>
      <c r="K14" s="155" cm="1">
        <f t="array" ref="K14">_xlfn.XLOOKUP(1,(Population!$U:$U=K$2)*(Population!$S:$S=$A$14)*(Population!$T:$T="biomass"),100*Population!$V:$V,0)/100</f>
        <v>0.26400000000000001</v>
      </c>
      <c r="L14" s="175">
        <f t="shared" ref="L14:L24" si="0">(COUNT($D$2:$J$2)*SUMPRODUCT($D$2:$J$2,D14:J14)-SUM($D$2:$J$2)*SUM(D14:J14))/(COUNT($D$2:$J$2)*SUMSQ($D$2:$J$2)-SUM($D$2:$J$2)^2)</f>
        <v>-1.1630798777904966E-2</v>
      </c>
      <c r="M14" s="152">
        <f t="shared" ref="M14:M24" si="1">AVERAGE(D14:J14)-L14*AVERAGE($D$2:$J$2)</f>
        <v>24.352324816722895</v>
      </c>
      <c r="U14" s="145"/>
      <c r="V14" s="145"/>
      <c r="AW14" s="144" t="s">
        <v>162</v>
      </c>
      <c r="AX14" s="144">
        <v>2000</v>
      </c>
      <c r="AY14" s="144" t="s">
        <v>171</v>
      </c>
      <c r="AZ14" s="144" t="s">
        <v>29</v>
      </c>
      <c r="BA14" s="144">
        <v>4.2</v>
      </c>
      <c r="BB14" s="148" t="s">
        <v>8</v>
      </c>
      <c r="BD14" s="144" t="s">
        <v>192</v>
      </c>
      <c r="BE14" s="152">
        <v>0.3</v>
      </c>
      <c r="BF14" s="152">
        <v>0</v>
      </c>
      <c r="BG14" s="152" t="s">
        <v>197</v>
      </c>
      <c r="BH14" s="152" t="s">
        <v>197</v>
      </c>
      <c r="BI14" s="152" t="s">
        <v>197</v>
      </c>
      <c r="BJ14" s="152" t="s">
        <v>197</v>
      </c>
      <c r="BK14" s="152" t="s">
        <v>197</v>
      </c>
      <c r="BL14" s="152" t="s">
        <v>197</v>
      </c>
      <c r="BM14" s="152">
        <v>0.1</v>
      </c>
      <c r="BN14" s="152" t="s">
        <v>197</v>
      </c>
      <c r="BO14" s="152" t="s">
        <v>17</v>
      </c>
    </row>
    <row r="15" spans="1:67">
      <c r="A15" s="144" t="s">
        <v>26</v>
      </c>
      <c r="B15" s="149" t="s">
        <v>8</v>
      </c>
      <c r="C15" s="155" cm="1">
        <f t="array" ref="C15">0.01*(_xlfn.XLOOKUP(1,($AX:$AX=C$2)*($AZ:$AZ=$A$14)*($BB:$BB=$B15),$BA:$BA,0))</f>
        <v>0.02</v>
      </c>
      <c r="D15" s="155" cm="1">
        <f t="array" ref="D15">0.01*(_xlfn.XLOOKUP(1,($AX:$AX=D$2)*($AZ:$AZ=$A$14)*($BB:$BB=$B15),$BA:$BA,0))</f>
        <v>3.7000000000000005E-2</v>
      </c>
      <c r="E15" s="155" cm="1">
        <f t="array" ref="E15">0.01*(_xlfn.XLOOKUP(1,($AX:$AX=E$2)*($AZ:$AZ=$A$14)*($BB:$BB=$B15),$BA:$BA,0))</f>
        <v>2.7000000000000003E-2</v>
      </c>
      <c r="F15" s="155" cm="1">
        <f t="array" ref="F15">0.01*(_xlfn.XLOOKUP(1,($AX:$AX=F$2)*($AZ:$AZ=$A$14)*($BB:$BB=$B15),$BA:$BA,0))</f>
        <v>6.0999999999999999E-2</v>
      </c>
      <c r="G15" s="155" cm="1">
        <f t="array" ref="G15">0.01*(_xlfn.XLOOKUP(1,($AX:$AX=G$2)*($AZ:$AZ=$A$14)*($BB:$BB=$B15),$BA:$BA,0))</f>
        <v>6.9000000000000006E-2</v>
      </c>
      <c r="H15" s="155" cm="1">
        <f t="array" ref="H15">0.01*(_xlfn.XLOOKUP(1,($AX:$AX=H$2)*($AZ:$AZ=$A$14)*($BB:$BB=$B15),$BA:$BA,0))</f>
        <v>7.0000000000000007E-2</v>
      </c>
      <c r="I15" s="155" cm="1">
        <f t="array" ref="I15">0.01*_xlfn.XLOOKUP(1,($BF:$BF=I$2)*($BD:$BD=$A$14)*($BE:$BE=$B15),$BG:$BG,0)</f>
        <v>7.4571708025895564E-2</v>
      </c>
      <c r="J15" s="155" cm="1">
        <f t="array" ref="J15">0.01*_xlfn.XLOOKUP(1,($BF:$BF=J$2)*($BD:$BD=$A$14)*($BE:$BE=$B15),$BG:$BG,0)</f>
        <v>0.23018685204695924</v>
      </c>
      <c r="K15" s="155" cm="1">
        <f t="array" ref="K15">_xlfn.XLOOKUP(1,(Population!$U:$U=K$2)*(Population!$S:$S=$A$14)*(Population!$T:$T=$B15),100*Population!$V:$V,0)/100</f>
        <v>0.72599999999999998</v>
      </c>
      <c r="L15" s="175">
        <f t="shared" si="0"/>
        <v>1.2237548177386249E-2</v>
      </c>
      <c r="M15" s="152">
        <f t="shared" si="1"/>
        <v>-24.589645902743129</v>
      </c>
      <c r="P15" s="145" t="s">
        <v>59</v>
      </c>
      <c r="R15" s="145" t="s">
        <v>264</v>
      </c>
      <c r="U15" s="155"/>
      <c r="V15" s="155"/>
      <c r="AW15" s="144" t="s">
        <v>162</v>
      </c>
      <c r="AX15" s="144">
        <v>2000</v>
      </c>
      <c r="AY15" s="144" t="s">
        <v>171</v>
      </c>
      <c r="AZ15" s="144" t="s">
        <v>25</v>
      </c>
      <c r="BA15" s="144">
        <v>24.8</v>
      </c>
      <c r="BB15" s="148" t="s">
        <v>8</v>
      </c>
      <c r="BD15" s="144" t="s">
        <v>193</v>
      </c>
      <c r="BE15" s="152">
        <v>0.5</v>
      </c>
      <c r="BF15" s="152">
        <v>0.74</v>
      </c>
      <c r="BG15" s="152" t="s">
        <v>197</v>
      </c>
      <c r="BH15" s="152" t="s">
        <v>197</v>
      </c>
      <c r="BI15" s="152" t="s">
        <v>197</v>
      </c>
      <c r="BJ15" s="152">
        <v>0.3</v>
      </c>
      <c r="BK15" s="152" t="s">
        <v>197</v>
      </c>
      <c r="BL15" s="152" t="s">
        <v>197</v>
      </c>
      <c r="BM15" s="152">
        <v>0.1</v>
      </c>
      <c r="BN15" s="152">
        <v>0.3</v>
      </c>
      <c r="BO15" s="148" t="s">
        <v>12</v>
      </c>
    </row>
    <row r="16" spans="1:67" ht="17" customHeight="1">
      <c r="A16" s="144" t="s">
        <v>26</v>
      </c>
      <c r="B16" s="149" t="s">
        <v>37</v>
      </c>
      <c r="C16" s="155" cm="1">
        <f t="array" ref="C16">0.01*(_xlfn.XLOOKUP(1,($AX:$AX=C$2)*($AZ:$AZ=$A$14)*($BB:$BB=$B16),$BA:$BA,0))</f>
        <v>0</v>
      </c>
      <c r="D16" s="155" cm="1">
        <f t="array" ref="D16">0.01*(_xlfn.XLOOKUP(1,($AX:$AX=D$2)*($AZ:$AZ=$A$14)*($BB:$BB=$B16),$BA:$BA,0))</f>
        <v>0</v>
      </c>
      <c r="E16" s="155" cm="1">
        <f t="array" ref="E16">0.01*(_xlfn.XLOOKUP(1,($AX:$AX=E$2)*($AZ:$AZ=$A$14)*($BB:$BB=$B16),$BA:$BA,0))</f>
        <v>0</v>
      </c>
      <c r="F16" s="155" cm="1">
        <f t="array" ref="F16">0.01*(_xlfn.XLOOKUP(1,($AX:$AX=F$2)*($AZ:$AZ=$A$14)*($BB:$BB=$B16),$BA:$BA,0))</f>
        <v>0</v>
      </c>
      <c r="G16" s="155" cm="1">
        <f t="array" ref="G16">0.01*(_xlfn.XLOOKUP(1,($AX:$AX=G$2)*($AZ:$AZ=$A$14)*($BB:$BB=$B16),$BA:$BA,0))</f>
        <v>0</v>
      </c>
      <c r="H16" s="155" cm="1">
        <f t="array" ref="H16">0.01*(_xlfn.XLOOKUP(1,($AX:$AX=H$2)*($AZ:$AZ=$A$14)*($BB:$BB=$B16),$BA:$BA,0))</f>
        <v>0</v>
      </c>
      <c r="I16" s="155" cm="1">
        <f t="array" ref="I16">0.01*_xlfn.XLOOKUP(1,($BF:$BF=I$2)*($BD:$BD=$A$14)*($BE:$BE=$B16),$BG:$BG,0)</f>
        <v>0</v>
      </c>
      <c r="J16" s="155" cm="1">
        <f t="array" ref="J16">0.01*_xlfn.XLOOKUP(1,($BF:$BF=J$2)*($BD:$BD=$A$14)*($BE:$BE=$B16),$BG:$BG,0)</f>
        <v>0</v>
      </c>
      <c r="K16" s="155" cm="1">
        <f t="array" ref="K16">_xlfn.XLOOKUP(1,(Population!$U:$U=K$2)*(Population!$S:$S=$A$14)*(Population!$T:$T=$B16),100*Population!$V:$V,0)/100</f>
        <v>0</v>
      </c>
      <c r="L16" s="175">
        <f t="shared" si="0"/>
        <v>0</v>
      </c>
      <c r="M16" s="152">
        <f t="shared" si="1"/>
        <v>0</v>
      </c>
      <c r="O16" s="144" t="s">
        <v>40</v>
      </c>
      <c r="P16" s="144">
        <v>43</v>
      </c>
      <c r="Q16" s="144" t="s">
        <v>60</v>
      </c>
      <c r="R16" s="144">
        <v>0.5</v>
      </c>
      <c r="U16" s="155"/>
      <c r="V16" s="155"/>
      <c r="AW16" s="144" t="s">
        <v>162</v>
      </c>
      <c r="AX16" s="144">
        <v>2000</v>
      </c>
      <c r="AY16" s="144" t="s">
        <v>171</v>
      </c>
      <c r="AZ16" s="144" t="s">
        <v>26</v>
      </c>
      <c r="BA16" s="144">
        <v>0.9</v>
      </c>
      <c r="BB16" s="148" t="s">
        <v>8</v>
      </c>
      <c r="BD16" s="144" t="s">
        <v>194</v>
      </c>
      <c r="BE16" s="152">
        <v>0.3</v>
      </c>
      <c r="BF16" s="152">
        <v>0.25</v>
      </c>
      <c r="BG16" s="152" t="s">
        <v>197</v>
      </c>
      <c r="BH16" s="152" t="s">
        <v>197</v>
      </c>
      <c r="BI16" s="152" t="s">
        <v>197</v>
      </c>
      <c r="BJ16" s="152" t="s">
        <v>197</v>
      </c>
      <c r="BK16" s="152" t="s">
        <v>197</v>
      </c>
      <c r="BL16" s="152" t="s">
        <v>197</v>
      </c>
      <c r="BM16" s="152">
        <v>0.1</v>
      </c>
      <c r="BN16" s="152">
        <v>0.1</v>
      </c>
      <c r="BO16" s="152" t="s">
        <v>17</v>
      </c>
    </row>
    <row r="17" spans="1:67">
      <c r="A17" s="144" t="s">
        <v>26</v>
      </c>
      <c r="B17" s="149" t="s">
        <v>10</v>
      </c>
      <c r="C17" s="155" cm="1">
        <f t="array" ref="C17">0.01*(_xlfn.XLOOKUP(1,($AX:$AX=C$2)*($AZ:$AZ=$A$14)*($BB:$BB=$B17),$BA:$BA,0))</f>
        <v>0</v>
      </c>
      <c r="D17" s="155" cm="1">
        <f t="array" ref="D17">0.01*(_xlfn.XLOOKUP(1,($AX:$AX=D$2)*($AZ:$AZ=$A$14)*($BB:$BB=$B17),$BA:$BA,0))</f>
        <v>0</v>
      </c>
      <c r="E17" s="155" cm="1">
        <f t="array" ref="E17">0.01*(_xlfn.XLOOKUP(1,($AX:$AX=E$2)*($AZ:$AZ=$A$14)*($BB:$BB=$B17),$BA:$BA,0))</f>
        <v>0</v>
      </c>
      <c r="F17" s="155" cm="1">
        <f t="array" ref="F17">0.01*(_xlfn.XLOOKUP(1,($AX:$AX=F$2)*($AZ:$AZ=$A$14)*($BB:$BB=$B17),$BA:$BA,0))</f>
        <v>0</v>
      </c>
      <c r="G17" s="155" cm="1">
        <f t="array" ref="G17">0.01*(_xlfn.XLOOKUP(1,($AX:$AX=G$2)*($AZ:$AZ=$A$14)*($BB:$BB=$B17),$BA:$BA,0))</f>
        <v>0</v>
      </c>
      <c r="H17" s="155" cm="1">
        <f t="array" ref="H17">0.01*(_xlfn.XLOOKUP(1,($AX:$AX=H$2)*($AZ:$AZ=$A$14)*($BB:$BB=$B17),$BA:$BA,0))</f>
        <v>0</v>
      </c>
      <c r="I17" s="155" cm="1">
        <f t="array" ref="I17">0.01*_xlfn.XLOOKUP(1,($BF:$BF=I$2)*($BD:$BD=$A$14)*($BE:$BE=$B17),$BG:$BG,0)</f>
        <v>0</v>
      </c>
      <c r="J17" s="155" cm="1">
        <f t="array" ref="J17">0.01*_xlfn.XLOOKUP(1,($BF:$BF=J$2)*($BD:$BD=$A$14)*($BE:$BE=$B17),$BG:$BG,0)</f>
        <v>0</v>
      </c>
      <c r="K17" s="155" cm="1">
        <f t="array" ref="K17">_xlfn.XLOOKUP(1,(Population!$U:$U=K$2)*(Population!$S:$S=$A$14)*(Population!$T:$T=$B17),100*Population!$V:$V,0)/100</f>
        <v>0</v>
      </c>
      <c r="L17" s="175">
        <f t="shared" si="0"/>
        <v>0</v>
      </c>
      <c r="M17" s="152">
        <f t="shared" si="1"/>
        <v>0</v>
      </c>
      <c r="O17" s="144" t="s">
        <v>11</v>
      </c>
      <c r="P17" s="144">
        <v>45</v>
      </c>
      <c r="Q17" s="144" t="s">
        <v>60</v>
      </c>
      <c r="R17" s="144">
        <v>0.5</v>
      </c>
      <c r="U17" s="155"/>
      <c r="V17" s="155"/>
      <c r="AW17" s="144" t="s">
        <v>162</v>
      </c>
      <c r="AX17" s="144">
        <v>2000</v>
      </c>
      <c r="AY17" s="144" t="s">
        <v>170</v>
      </c>
      <c r="AZ17" s="144" t="s">
        <v>29</v>
      </c>
      <c r="BA17" s="144">
        <v>93.1</v>
      </c>
      <c r="BB17" s="148" t="s">
        <v>36</v>
      </c>
      <c r="BD17" s="144" t="s">
        <v>195</v>
      </c>
      <c r="BE17" s="152">
        <v>0.3</v>
      </c>
      <c r="BF17" s="152">
        <v>0.25</v>
      </c>
      <c r="BG17" s="152" t="s">
        <v>197</v>
      </c>
      <c r="BH17" s="152" t="s">
        <v>197</v>
      </c>
      <c r="BI17" s="152" t="s">
        <v>197</v>
      </c>
      <c r="BJ17" s="152" t="s">
        <v>197</v>
      </c>
      <c r="BK17" s="152" t="s">
        <v>197</v>
      </c>
      <c r="BL17" s="152">
        <v>0.3</v>
      </c>
      <c r="BM17" s="152">
        <v>0.1</v>
      </c>
      <c r="BN17" s="152">
        <v>0.1</v>
      </c>
      <c r="BO17" s="148" t="s">
        <v>17</v>
      </c>
    </row>
    <row r="18" spans="1:67">
      <c r="A18" s="144" t="s">
        <v>26</v>
      </c>
      <c r="B18" s="149" t="s">
        <v>11</v>
      </c>
      <c r="C18" s="155" cm="1">
        <f t="array" ref="C18">0.01*(_xlfn.XLOOKUP(1,($AX:$AX=C$2)*($AZ:$AZ=$A$14)*($BB:$BB=$B18),$BA:$BA,0))</f>
        <v>0</v>
      </c>
      <c r="D18" s="155" cm="1">
        <f t="array" ref="D18">0.01*(_xlfn.XLOOKUP(1,($AX:$AX=D$2)*($AZ:$AZ=$A$14)*($BB:$BB=$B18),$BA:$BA,0))</f>
        <v>0</v>
      </c>
      <c r="E18" s="155" cm="1">
        <f t="array" ref="E18">0.01*(_xlfn.XLOOKUP(1,($AX:$AX=E$2)*($AZ:$AZ=$A$14)*($BB:$BB=$B18),$BA:$BA,0))</f>
        <v>0</v>
      </c>
      <c r="F18" s="155" cm="1">
        <f t="array" ref="F18">0.01*(_xlfn.XLOOKUP(1,($AX:$AX=F$2)*($AZ:$AZ=$A$14)*($BB:$BB=$B18),$BA:$BA,0))</f>
        <v>1E-3</v>
      </c>
      <c r="G18" s="155" cm="1">
        <f t="array" ref="G18">0.01*(_xlfn.XLOOKUP(1,($AX:$AX=G$2)*($AZ:$AZ=$A$14)*($BB:$BB=$B18),$BA:$BA,0))</f>
        <v>0</v>
      </c>
      <c r="H18" s="155" cm="1">
        <f t="array" ref="H18">0.01*(_xlfn.XLOOKUP(1,($AX:$AX=H$2)*($AZ:$AZ=$A$14)*($BB:$BB=$B18),$BA:$BA,0))</f>
        <v>0</v>
      </c>
      <c r="I18" s="155" cm="1">
        <f t="array" ref="I18">0.01*_xlfn.XLOOKUP(1,($BF:$BF=I$2)*($BD:$BD=$A$14)*($BE:$BE=$B18),$BG:$BG,0)</f>
        <v>0</v>
      </c>
      <c r="J18" s="155" cm="1">
        <f t="array" ref="J18">0.01*_xlfn.XLOOKUP(1,($BF:$BF=J$2)*($BD:$BD=$A$14)*($BE:$BE=$B18),$BG:$BG,0)</f>
        <v>1.5703233961987395E-4</v>
      </c>
      <c r="K18" s="155" cm="1">
        <f t="array" ref="K18">_xlfn.XLOOKUP(1,(Population!$U:$U=K$2)*(Population!$S:$S=$A$14)*(Population!$T:$T=$B18),100*Population!$V:$V,0)/100</f>
        <v>0</v>
      </c>
      <c r="L18" s="175">
        <f t="shared" si="0"/>
        <v>-5.3894295872535046E-6</v>
      </c>
      <c r="M18" s="152">
        <f t="shared" si="1"/>
        <v>1.1030380382134474E-2</v>
      </c>
      <c r="O18" s="144" t="s">
        <v>16</v>
      </c>
      <c r="P18" s="150">
        <v>18.695652173913047</v>
      </c>
      <c r="Q18" s="144" t="s">
        <v>60</v>
      </c>
      <c r="R18" s="144">
        <v>0.5</v>
      </c>
      <c r="U18" s="155"/>
      <c r="V18" s="155"/>
      <c r="AW18" s="144" t="s">
        <v>162</v>
      </c>
      <c r="AX18" s="144">
        <v>2000</v>
      </c>
      <c r="AY18" s="144" t="s">
        <v>170</v>
      </c>
      <c r="AZ18" s="144" t="s">
        <v>25</v>
      </c>
      <c r="BA18" s="144">
        <v>58.2</v>
      </c>
      <c r="BB18" s="148" t="s">
        <v>36</v>
      </c>
      <c r="BD18" s="144" t="s">
        <v>196</v>
      </c>
      <c r="BE18" s="152">
        <v>393</v>
      </c>
      <c r="BF18" s="152">
        <v>405</v>
      </c>
      <c r="BG18" s="152">
        <v>395</v>
      </c>
      <c r="BH18" s="152">
        <v>404</v>
      </c>
      <c r="BI18" s="152">
        <v>391</v>
      </c>
      <c r="BJ18" s="152">
        <v>404</v>
      </c>
      <c r="BK18" s="152">
        <v>389</v>
      </c>
      <c r="BL18" s="152">
        <v>405</v>
      </c>
      <c r="BM18" s="152">
        <v>1568</v>
      </c>
      <c r="BN18" s="152">
        <v>1618</v>
      </c>
    </row>
    <row r="19" spans="1:67" ht="17" customHeight="1">
      <c r="A19" s="144" t="s">
        <v>26</v>
      </c>
      <c r="B19" s="149" t="s">
        <v>12</v>
      </c>
      <c r="C19" s="155" cm="1">
        <f t="array" ref="C19">0.01*(_xlfn.XLOOKUP(1,($AX:$AX=C$2)*($AZ:$AZ=$A$14)*($BB:$BB=$B19),$BA:$BA,0))</f>
        <v>0</v>
      </c>
      <c r="D19" s="155" cm="1">
        <f t="array" ref="D19">0.01*(_xlfn.XLOOKUP(1,($AX:$AX=D$2)*($AZ:$AZ=$A$14)*($BB:$BB=$B19),$BA:$BA,0))</f>
        <v>0</v>
      </c>
      <c r="E19" s="155"/>
      <c r="F19" s="155"/>
      <c r="G19" s="155"/>
      <c r="H19" s="155"/>
      <c r="I19" s="155" cm="1">
        <f t="array" ref="I19">0.01*_xlfn.XLOOKUP(1,($BF:$BF=I$2)*($BD:$BD=$A$14)*($BE:$BE=$B19),$BG:$BG,0)</f>
        <v>0</v>
      </c>
      <c r="J19" s="155" cm="1">
        <f t="array" ref="J19">0.01*_xlfn.XLOOKUP(1,($BF:$BF=J$2)*($BD:$BD=$A$14)*($BE:$BE=$B19),$BG:$BG,0)</f>
        <v>0</v>
      </c>
      <c r="K19" s="155" cm="1">
        <f t="array" ref="K19">_xlfn.XLOOKUP(1,(Population!$U:$U=K$2)*(Population!$S:$S=$A$14)*(Population!$T:$T=$B19),100*Population!$V:$V,0)/100</f>
        <v>0</v>
      </c>
      <c r="L19" s="175">
        <f t="shared" si="0"/>
        <v>0</v>
      </c>
      <c r="M19" s="152">
        <f t="shared" si="1"/>
        <v>0</v>
      </c>
      <c r="O19" s="144" t="s">
        <v>13</v>
      </c>
      <c r="P19" s="144">
        <v>3.6</v>
      </c>
      <c r="Q19" s="144" t="s">
        <v>61</v>
      </c>
      <c r="R19" s="144">
        <v>0.7</v>
      </c>
      <c r="U19" s="155"/>
      <c r="V19" s="155"/>
      <c r="AW19" s="144" t="s">
        <v>162</v>
      </c>
      <c r="AX19" s="144">
        <v>2000</v>
      </c>
      <c r="AY19" s="144" t="s">
        <v>170</v>
      </c>
      <c r="AZ19" s="144" t="s">
        <v>26</v>
      </c>
      <c r="BA19" s="144">
        <v>98.7</v>
      </c>
      <c r="BB19" s="148" t="s">
        <v>36</v>
      </c>
    </row>
    <row r="20" spans="1:67">
      <c r="A20" s="144" t="s">
        <v>26</v>
      </c>
      <c r="B20" s="149" t="s">
        <v>13</v>
      </c>
      <c r="C20" s="155" cm="1">
        <f t="array" ref="C20">0.01*(_xlfn.XLOOKUP(1,($AX:$AX=C$2)*($AZ:$AZ=$A$14)*($BB:$BB=$B20),$BA:$BA,0))</f>
        <v>3.0000000000000001E-3</v>
      </c>
      <c r="D20" s="155" cm="1">
        <f t="array" ref="D20">0.01*(_xlfn.XLOOKUP(1,($AX:$AX=D$2)*($AZ:$AZ=$A$14)*($BB:$BB=$B20),$BA:$BA,0))</f>
        <v>2E-3</v>
      </c>
      <c r="E20" s="155" cm="1">
        <f t="array" ref="E20">0.01*(_xlfn.XLOOKUP(1,($AX:$AX=E$2)*($AZ:$AZ=$A$14)*($BB:$BB=$B20),$BA:$BA,0))</f>
        <v>6.0000000000000001E-3</v>
      </c>
      <c r="F20" s="155" cm="1">
        <f t="array" ref="F20">0.01*(_xlfn.XLOOKUP(1,($AX:$AX=F$2)*($AZ:$AZ=$A$14)*($BB:$BB=$B20),$BA:$BA,0))</f>
        <v>0.01</v>
      </c>
      <c r="G20" s="155" cm="1">
        <f t="array" ref="G20">0.01*(_xlfn.XLOOKUP(1,($AX:$AX=G$2)*($AZ:$AZ=$A$14)*($BB:$BB=$B20),$BA:$BA,0))</f>
        <v>3.0000000000000001E-3</v>
      </c>
      <c r="H20" s="155" cm="1">
        <f t="array" ref="H20">0.01*(_xlfn.XLOOKUP(1,($AX:$AX=H$2)*($AZ:$AZ=$A$14)*($BB:$BB=$B20),$BA:$BA,0))</f>
        <v>1E-3</v>
      </c>
      <c r="I20" s="155" cm="1">
        <f t="array" ref="I20">0.01*_xlfn.XLOOKUP(1,($BF:$BF=I$2)*($BD:$BD=$A$14)*($BE:$BE=$B20),$BG:$BG,0)</f>
        <v>2.4247783748481489E-3</v>
      </c>
      <c r="J20" s="155" cm="1">
        <f t="array" ref="J20">0.01*_xlfn.XLOOKUP(1,($BF:$BF=J$2)*($BD:$BD=$A$14)*($BE:$BE=$B20),$BG:$BG,0)</f>
        <v>1.9693026578878662E-3</v>
      </c>
      <c r="K20" s="155" cm="1">
        <f t="array" ref="K20">_xlfn.XLOOKUP(1,(Population!$U:$U=K$2)*(Population!$S:$S=$A$14)*(Population!$T:$T=$B20),100*Population!$V:$V,0)/100</f>
        <v>0</v>
      </c>
      <c r="L20" s="175">
        <f t="shared" si="0"/>
        <v>-2.3584395099640471E-4</v>
      </c>
      <c r="M20" s="152">
        <f t="shared" si="1"/>
        <v>0.47923198821342849</v>
      </c>
      <c r="O20" s="144" t="s">
        <v>41</v>
      </c>
      <c r="P20" s="144">
        <v>18</v>
      </c>
      <c r="Q20" s="144" t="s">
        <v>60</v>
      </c>
      <c r="R20" s="144">
        <v>0.15</v>
      </c>
      <c r="U20" s="155"/>
      <c r="V20" s="155"/>
      <c r="AW20" s="144" t="s">
        <v>162</v>
      </c>
      <c r="AX20" s="144">
        <v>2000</v>
      </c>
      <c r="AY20" s="144" t="s">
        <v>169</v>
      </c>
      <c r="AZ20" s="144" t="s">
        <v>29</v>
      </c>
      <c r="BA20" s="144" t="s">
        <v>160</v>
      </c>
      <c r="BB20" s="148" t="s">
        <v>17</v>
      </c>
      <c r="BD20" s="145" t="s">
        <v>250</v>
      </c>
    </row>
    <row r="21" spans="1:67">
      <c r="A21" s="144" t="s">
        <v>26</v>
      </c>
      <c r="B21" s="149" t="s">
        <v>14</v>
      </c>
      <c r="C21" s="155" cm="1">
        <f t="array" ref="C21">0.01*(_xlfn.XLOOKUP(1,($AX:$AX=C$2)*($AZ:$AZ=$A$14)*($BB:$BB=$B21),$BA:$BA,0))</f>
        <v>0</v>
      </c>
      <c r="D21" s="155" cm="1">
        <f t="array" ref="D21">0.01*(_xlfn.XLOOKUP(1,($AX:$AX=D$2)*($AZ:$AZ=$A$14)*($BB:$BB=$B21),$BA:$BA,0))</f>
        <v>0</v>
      </c>
      <c r="E21" s="155" cm="1">
        <f t="array" ref="E21">0.01*(_xlfn.XLOOKUP(1,($AX:$AX=E$2)*($AZ:$AZ=$A$14)*($BB:$BB=$B21),$BA:$BA,0))</f>
        <v>0</v>
      </c>
      <c r="F21" s="155" cm="1">
        <f t="array" ref="F21">0.01*(_xlfn.XLOOKUP(1,($AX:$AX=F$2)*($AZ:$AZ=$A$14)*($BB:$BB=$B21),$BA:$BA,0))</f>
        <v>0</v>
      </c>
      <c r="G21" s="155" cm="1">
        <f t="array" ref="G21">0.01*(_xlfn.XLOOKUP(1,($AX:$AX=G$2)*($AZ:$AZ=$A$14)*($BB:$BB=$B21),$BA:$BA,0))</f>
        <v>0</v>
      </c>
      <c r="H21" s="155" cm="1">
        <f t="array" ref="H21">0.01*(_xlfn.XLOOKUP(1,($AX:$AX=H$2)*($AZ:$AZ=$A$14)*($BB:$BB=$B21),$BA:$BA,0))</f>
        <v>0</v>
      </c>
      <c r="I21" s="155" cm="1">
        <f t="array" ref="I21">0.01*_xlfn.XLOOKUP(1,($BF:$BF=I$2)*($BD:$BD=$A$14)*($BE:$BE=$B21),$BG:$BG,0)</f>
        <v>0</v>
      </c>
      <c r="J21" s="155" cm="1">
        <f t="array" ref="J21">0.01*_xlfn.XLOOKUP(1,($BF:$BF=J$2)*($BD:$BD=$A$14)*($BE:$BE=$B21),$BG:$BG,0)</f>
        <v>0</v>
      </c>
      <c r="K21" s="155" cm="1">
        <f t="array" ref="K21">_xlfn.XLOOKUP(1,(Population!$U:$U=K$2)*(Population!$S:$S=$A$14)*(Population!$T:$T=$B21),100*Population!$V:$V,0)/100</f>
        <v>0</v>
      </c>
      <c r="L21" s="175">
        <f t="shared" si="0"/>
        <v>0</v>
      </c>
      <c r="M21" s="152">
        <f t="shared" si="1"/>
        <v>0</v>
      </c>
      <c r="O21" s="144" t="s">
        <v>30</v>
      </c>
      <c r="P21" s="144">
        <v>27</v>
      </c>
      <c r="Q21" s="144" t="s">
        <v>60</v>
      </c>
      <c r="R21" s="144">
        <v>0.2</v>
      </c>
      <c r="U21" s="155"/>
      <c r="V21" s="155"/>
      <c r="AW21" s="144" t="s">
        <v>162</v>
      </c>
      <c r="AX21" s="144">
        <v>2000</v>
      </c>
      <c r="AY21" s="144" t="s">
        <v>169</v>
      </c>
      <c r="AZ21" s="144" t="s">
        <v>25</v>
      </c>
      <c r="BA21" s="144" t="s">
        <v>160</v>
      </c>
      <c r="BB21" s="148" t="s">
        <v>17</v>
      </c>
      <c r="BE21" s="144" t="s">
        <v>229</v>
      </c>
      <c r="BI21" s="144" t="s">
        <v>230</v>
      </c>
    </row>
    <row r="22" spans="1:67">
      <c r="A22" s="144" t="s">
        <v>26</v>
      </c>
      <c r="B22" s="149" t="s">
        <v>15</v>
      </c>
      <c r="C22" s="155" cm="1">
        <f t="array" ref="C22">0.01*(_xlfn.XLOOKUP(1,($AX:$AX=C$2)*($AZ:$AZ=$A$14)*($BB:$BB=$B22),$BA:$BA,0))</f>
        <v>0</v>
      </c>
      <c r="D22" s="155" cm="1">
        <f t="array" ref="D22">0.01*(_xlfn.XLOOKUP(1,($AX:$AX=D$2)*($AZ:$AZ=$A$14)*($BB:$BB=$B22),$BA:$BA,0))</f>
        <v>0</v>
      </c>
      <c r="E22" s="155" cm="1">
        <f t="array" ref="E22">0.01*(_xlfn.XLOOKUP(1,($AX:$AX=E$2)*($AZ:$AZ=$A$14)*($BB:$BB=$B22),$BA:$BA,0))</f>
        <v>0</v>
      </c>
      <c r="F22" s="155" cm="1">
        <f t="array" ref="F22">0.01*(_xlfn.XLOOKUP(1,($AX:$AX=F$2)*($AZ:$AZ=$A$14)*($BB:$BB=$B22),$BA:$BA,0))</f>
        <v>0</v>
      </c>
      <c r="G22" s="155" cm="1">
        <f t="array" ref="G22">0.01*(_xlfn.XLOOKUP(1,($AX:$AX=G$2)*($AZ:$AZ=$A$14)*($BB:$BB=$B22),$BA:$BA,0))</f>
        <v>0</v>
      </c>
      <c r="H22" s="155" cm="1">
        <f t="array" ref="H22">0.01*(_xlfn.XLOOKUP(1,($AX:$AX=H$2)*($AZ:$AZ=$A$14)*($BB:$BB=$B22),$BA:$BA,0))</f>
        <v>0</v>
      </c>
      <c r="I22" s="155" cm="1">
        <f t="array" ref="I22">0.01*_xlfn.XLOOKUP(1,($BF:$BF=I$2)*($BD:$BD=$A$14)*($BE:$BE=$B22),$BG:$BG,0)</f>
        <v>0</v>
      </c>
      <c r="J22" s="155" cm="1">
        <f t="array" ref="J22">0.01*_xlfn.XLOOKUP(1,($BF:$BF=J$2)*($BD:$BD=$A$14)*($BE:$BE=$B22),$BG:$BG,0)</f>
        <v>0</v>
      </c>
      <c r="K22" s="155" cm="1">
        <f t="array" ref="K22">_xlfn.XLOOKUP(1,(Population!$U:$U=K$2)*(Population!$S:$S=$A$14)*(Population!$T:$T=$B22),100*Population!$V:$V,0)/100</f>
        <v>0</v>
      </c>
      <c r="L22" s="175">
        <f t="shared" si="0"/>
        <v>0</v>
      </c>
      <c r="M22" s="152">
        <f t="shared" si="1"/>
        <v>0</v>
      </c>
      <c r="O22" s="144" t="s">
        <v>14</v>
      </c>
      <c r="P22" s="144">
        <v>18.399999999999999</v>
      </c>
      <c r="Q22" s="144" t="s">
        <v>60</v>
      </c>
      <c r="R22" s="144">
        <v>0.5</v>
      </c>
      <c r="U22" s="155"/>
      <c r="V22" s="155"/>
      <c r="AW22" s="144" t="s">
        <v>162</v>
      </c>
      <c r="AX22" s="144">
        <v>2000</v>
      </c>
      <c r="AY22" s="144" t="s">
        <v>169</v>
      </c>
      <c r="AZ22" s="144" t="s">
        <v>26</v>
      </c>
      <c r="BA22" s="144" t="s">
        <v>160</v>
      </c>
      <c r="BB22" s="148" t="s">
        <v>17</v>
      </c>
      <c r="BE22" s="144" t="s">
        <v>29</v>
      </c>
      <c r="BF22" s="144" t="s">
        <v>220</v>
      </c>
      <c r="BG22" s="144" t="s">
        <v>221</v>
      </c>
      <c r="BH22" s="144" t="s">
        <v>222</v>
      </c>
      <c r="BI22" s="144" t="s">
        <v>29</v>
      </c>
      <c r="BJ22" s="144" t="s">
        <v>220</v>
      </c>
      <c r="BK22" s="144" t="s">
        <v>221</v>
      </c>
      <c r="BL22" s="144" t="s">
        <v>222</v>
      </c>
    </row>
    <row r="23" spans="1:67">
      <c r="A23" s="144" t="s">
        <v>26</v>
      </c>
      <c r="B23" s="149" t="s">
        <v>16</v>
      </c>
      <c r="C23" s="155" cm="1">
        <f t="array" ref="C23">0.01*(_xlfn.XLOOKUP(1,($AX:$AX=C$2)*($AZ:$AZ=$A$14)*($BB:$BB=$B23),$BA:$BA,0))</f>
        <v>0</v>
      </c>
      <c r="D23" s="155" cm="1">
        <f t="array" ref="D23">0.01*(_xlfn.XLOOKUP(1,($AX:$AX=D$2)*($AZ:$AZ=$A$14)*($BB:$BB=$B23),$BA:$BA,0))</f>
        <v>0</v>
      </c>
      <c r="E23" s="155" cm="1">
        <f t="array" ref="E23">0.01*(_xlfn.XLOOKUP(1,($AX:$AX=E$2)*($AZ:$AZ=$A$14)*($BB:$BB=$B23),$BA:$BA,0))</f>
        <v>0</v>
      </c>
      <c r="F23" s="155" cm="1">
        <f t="array" ref="F23">0.01*(_xlfn.XLOOKUP(1,($AX:$AX=F$2)*($AZ:$AZ=$A$14)*($BB:$BB=$B23),$BA:$BA,0))</f>
        <v>0</v>
      </c>
      <c r="G23" s="155" cm="1">
        <f t="array" ref="G23">0.01*(_xlfn.XLOOKUP(1,($AX:$AX=G$2)*($AZ:$AZ=$A$14)*($BB:$BB=$B23),$BA:$BA,0))</f>
        <v>0</v>
      </c>
      <c r="H23" s="155" cm="1">
        <f t="array" ref="H23">0.01*(_xlfn.XLOOKUP(1,($AX:$AX=H$2)*($AZ:$AZ=$A$14)*($BB:$BB=$B23),$BA:$BA,0))</f>
        <v>0</v>
      </c>
      <c r="I23" s="155" cm="1">
        <f t="array" ref="I23">0.01*_xlfn.XLOOKUP(1,($BF:$BF=I$2)*($BD:$BD=$A$14)*($BE:$BE=$B23),$BG:$BG,0)</f>
        <v>0</v>
      </c>
      <c r="J23" s="155" cm="1">
        <f t="array" ref="J23">0.01*_xlfn.XLOOKUP(1,($BF:$BF=J$2)*($BD:$BD=$A$14)*($BE:$BE=$B23),$BG:$BG,0)</f>
        <v>0</v>
      </c>
      <c r="K23" s="155" cm="1">
        <f t="array" ref="K23">_xlfn.XLOOKUP(1,(Population!$U:$U=K$2)*(Population!$S:$S=$A$14)*(Population!$T:$T=$B23),100*Population!$V:$V,0)/100</f>
        <v>0</v>
      </c>
      <c r="L23" s="175">
        <f t="shared" si="0"/>
        <v>0</v>
      </c>
      <c r="M23" s="152">
        <f t="shared" si="1"/>
        <v>0</v>
      </c>
      <c r="O23" s="144" t="s">
        <v>15</v>
      </c>
      <c r="P23" s="144">
        <v>29</v>
      </c>
      <c r="Q23" s="144" t="s">
        <v>60</v>
      </c>
      <c r="R23" s="144">
        <v>0.5</v>
      </c>
      <c r="U23" s="155"/>
      <c r="V23" s="155"/>
      <c r="AW23" s="144" t="s">
        <v>162</v>
      </c>
      <c r="AX23" s="144">
        <v>2000</v>
      </c>
      <c r="AY23" s="144" t="s">
        <v>168</v>
      </c>
      <c r="AZ23" s="144" t="s">
        <v>29</v>
      </c>
      <c r="BA23" s="144" t="s">
        <v>160</v>
      </c>
      <c r="BB23" s="148" t="s">
        <v>17</v>
      </c>
      <c r="BD23" s="144" t="s">
        <v>29</v>
      </c>
      <c r="BE23" s="155">
        <f>BI23/BI$23</f>
        <v>1</v>
      </c>
      <c r="BF23" s="155">
        <f t="shared" ref="BF23:BH32" si="2">BJ23/BJ$23</f>
        <v>1</v>
      </c>
      <c r="BG23" s="155">
        <f t="shared" si="2"/>
        <v>1</v>
      </c>
      <c r="BH23" s="155">
        <f t="shared" si="2"/>
        <v>1</v>
      </c>
      <c r="BI23" s="144">
        <v>3984981</v>
      </c>
      <c r="BJ23" s="144">
        <v>472376</v>
      </c>
      <c r="BK23" s="144">
        <v>1713009</v>
      </c>
      <c r="BL23" s="144">
        <v>1799596</v>
      </c>
    </row>
    <row r="24" spans="1:67" ht="17" thickBot="1">
      <c r="A24" s="144" t="s">
        <v>26</v>
      </c>
      <c r="B24" s="153" t="s">
        <v>17</v>
      </c>
      <c r="C24" s="155"/>
      <c r="D24" s="155" cm="1">
        <f t="array" ref="D24">0.01*(_xlfn.XLOOKUP(1,($AX:$AX=D$2)*($AZ:$AZ=$A$14)*($BB:$BB=$B24),$BA:$BA,0))</f>
        <v>1.9E-2</v>
      </c>
      <c r="E24" s="155" cm="1">
        <f t="array" ref="E24">0.01*(_xlfn.XLOOKUP(1,($AX:$AX=E$2)*($AZ:$AZ=$A$14)*($BB:$BB=$B24),$BA:$BA,0))</f>
        <v>3.0000000000000001E-3</v>
      </c>
      <c r="F24" s="155" cm="1">
        <f t="array" ref="F24">0.01*(_xlfn.XLOOKUP(1,($AX:$AX=F$2)*($AZ:$AZ=$A$14)*($BB:$BB=$B24),$BA:$BA,0))</f>
        <v>5.0000000000000001E-3</v>
      </c>
      <c r="G24" s="155" cm="1">
        <f t="array" ref="G24">0.01*(_xlfn.XLOOKUP(1,($AX:$AX=G$2)*($AZ:$AZ=$A$14)*($BB:$BB=$B24),$BA:$BA,0))</f>
        <v>1.1000000000000001E-2</v>
      </c>
      <c r="H24" s="155" cm="1">
        <f t="array" ref="H24">0.01*(_xlfn.XLOOKUP(1,($AX:$AX=H$2)*($AZ:$AZ=$A$14)*($BB:$BB=$B24),$BA:$BA,0))</f>
        <v>2E-3</v>
      </c>
      <c r="I24" s="155" cm="1">
        <f t="array" ref="I24">0.01*_xlfn.XLOOKUP(1,($BF:$BF=I$2)*($BD:$BD=$A$14)*($BE:$BE=$B24),$BG:$BG,0)</f>
        <v>1.3608229231231653E-2</v>
      </c>
      <c r="J24" s="155" cm="1">
        <f t="array" ref="J24">0.01*_xlfn.XLOOKUP(1,($BF:$BF=J$2)*($BD:$BD=$A$14)*($BE:$BE=$B24),$BG:$BG,0)</f>
        <v>7.1692612387864764E-3</v>
      </c>
      <c r="K24" s="155" cm="1">
        <f t="array" ref="K24">_xlfn.XLOOKUP(1,(Population!$U:$U=K$2)*(Population!$S:$S=$A$14)*(Population!$T:$T=$B24),100*Population!$V:$V,0)/100</f>
        <v>0</v>
      </c>
      <c r="L24" s="175">
        <f t="shared" si="0"/>
        <v>-2.4067386351283459E-4</v>
      </c>
      <c r="M24" s="152">
        <f t="shared" si="1"/>
        <v>0.49388100748044855</v>
      </c>
      <c r="O24" s="144" t="s">
        <v>46</v>
      </c>
      <c r="P24" s="144">
        <v>22</v>
      </c>
      <c r="Q24" s="144" t="s">
        <v>60</v>
      </c>
      <c r="R24" s="144">
        <v>0.2</v>
      </c>
      <c r="U24" s="155"/>
      <c r="V24" s="155"/>
      <c r="AW24" s="144" t="s">
        <v>162</v>
      </c>
      <c r="AX24" s="144">
        <v>2000</v>
      </c>
      <c r="AY24" s="144" t="s">
        <v>168</v>
      </c>
      <c r="AZ24" s="144" t="s">
        <v>25</v>
      </c>
      <c r="BA24" s="144" t="s">
        <v>160</v>
      </c>
      <c r="BB24" s="148" t="s">
        <v>17</v>
      </c>
      <c r="BD24" s="144" t="s">
        <v>42</v>
      </c>
      <c r="BE24" s="156">
        <f t="shared" ref="BE24:BE32" si="3">BI24/BI$23</f>
        <v>1.8887668473199747E-2</v>
      </c>
      <c r="BF24" s="156">
        <f t="shared" si="2"/>
        <v>1.5303487052686842E-2</v>
      </c>
      <c r="BG24" s="156">
        <f t="shared" si="2"/>
        <v>1.9500189432746704E-2</v>
      </c>
      <c r="BH24" s="156">
        <f t="shared" si="2"/>
        <v>1.9245430641099445E-2</v>
      </c>
      <c r="BI24" s="144">
        <v>75267</v>
      </c>
      <c r="BJ24" s="144">
        <v>7229</v>
      </c>
      <c r="BK24" s="144">
        <v>33404</v>
      </c>
      <c r="BL24" s="144">
        <v>34634</v>
      </c>
    </row>
    <row r="25" spans="1:67" ht="17" customHeight="1">
      <c r="A25" s="144" t="s">
        <v>47</v>
      </c>
      <c r="B25" s="149" t="s">
        <v>36</v>
      </c>
      <c r="C25" s="155" cm="1">
        <f t="array" ref="C25">0.01*(_xlfn.XLOOKUP(1,($AX:$AX=C$2)*($AZ:$AZ=$A$25)*($BB:$BB=$B25),$BA:$BA,0))</f>
        <v>0.47100000000000003</v>
      </c>
      <c r="D25" s="155" cm="1">
        <f t="array" ref="D25">0.01*(_xlfn.XLOOKUP(1,($AX:$AX=D$2)*($AZ:$AZ=$A$25)*($BB:$BB=$B25),$BA:$BA,0))</f>
        <v>0.36700000000000005</v>
      </c>
      <c r="E25" s="155" cm="1">
        <f t="array" ref="E25">0.01*(_xlfn.XLOOKUP(1,($AX:$AX=E$2)*($AZ:$AZ=$A$25)*($BB:$BB=$B25),$BA:$BA,0))</f>
        <v>0.34600000000000003</v>
      </c>
      <c r="F25" s="155" cm="1">
        <f t="array" ref="F25">0.01*(_xlfn.XLOOKUP(1,($AX:$AX=F$2)*($AZ:$AZ=$A$25)*($BB:$BB=$B25),$BA:$BA,0))</f>
        <v>0.23399999999999999</v>
      </c>
      <c r="G25" s="155" cm="1">
        <f t="array" ref="G25">0.01*(_xlfn.XLOOKUP(1,($AX:$AX=G$2)*($AZ:$AZ=$A$25)*($BB:$BB=$B25),$BA:$BA,0))</f>
        <v>0.23</v>
      </c>
      <c r="H25" s="155" cm="1">
        <f t="array" ref="H25">0.01*(_xlfn.XLOOKUP(1,($AX:$AX=H$2)*($AZ:$AZ=$A$25)*($BB:$BB=$B25),$BA:$BA,0))</f>
        <v>0.17399999999999999</v>
      </c>
      <c r="I25" s="155" cm="1">
        <f t="array" ref="I25">0.01*_xlfn.XLOOKUP(1,($BF:$BF=I$2)*($BD:$BD=$A$25)*($BE:$BE=$B25),$BG:$BG,0)</f>
        <v>0.1884951215033287</v>
      </c>
      <c r="J25" s="155" cm="1">
        <f t="array" ref="J25">0.01*_xlfn.XLOOKUP(1,($BF:$BF=J$2)*($BD:$BD=$A$25)*($BE:$BE=$B25),$BG:$BG,0)</f>
        <v>0.25785095912773393</v>
      </c>
      <c r="K25" s="155">
        <v>0</v>
      </c>
      <c r="L25" s="175">
        <f>(COUNT($D$2:$J$2)*SUMPRODUCT($D$2:$J$2,D25:J25)-SUM($D$2:$J$2)*SUM(D25:J25))/(COUNT($D$2:$J$2)*SUMSQ($D$2:$J$2)-SUM($D$2:$J$2)^2)</f>
        <v>-9.3711002968493579E-3</v>
      </c>
      <c r="M25" s="152">
        <f>AVERAGE(D25:J25)-L25*AVERAGE($D$2:$J$2)</f>
        <v>19.148901924252741</v>
      </c>
      <c r="O25" s="144" t="s">
        <v>37</v>
      </c>
      <c r="P25" s="144">
        <v>18</v>
      </c>
      <c r="Q25" s="154" t="s">
        <v>60</v>
      </c>
      <c r="R25" s="144">
        <v>0.15</v>
      </c>
      <c r="U25" s="155"/>
      <c r="V25" s="155"/>
      <c r="AW25" s="144" t="s">
        <v>162</v>
      </c>
      <c r="AX25" s="144">
        <v>2000</v>
      </c>
      <c r="AY25" s="144" t="s">
        <v>168</v>
      </c>
      <c r="AZ25" s="144" t="s">
        <v>26</v>
      </c>
      <c r="BA25" s="144" t="s">
        <v>160</v>
      </c>
      <c r="BB25" s="148" t="s">
        <v>17</v>
      </c>
      <c r="BD25" s="144" t="s">
        <v>223</v>
      </c>
      <c r="BE25" s="156">
        <f t="shared" si="3"/>
        <v>4.70918180036492E-3</v>
      </c>
      <c r="BF25" s="156">
        <f t="shared" si="2"/>
        <v>1.0017443731264924E-2</v>
      </c>
      <c r="BG25" s="156">
        <f t="shared" si="2"/>
        <v>4.5113598352372929E-3</v>
      </c>
      <c r="BH25" s="156">
        <f t="shared" si="2"/>
        <v>3.504119813558154E-3</v>
      </c>
      <c r="BI25" s="144">
        <v>18766</v>
      </c>
      <c r="BJ25" s="144">
        <v>4732</v>
      </c>
      <c r="BK25" s="144">
        <v>7728</v>
      </c>
      <c r="BL25" s="144">
        <v>6306</v>
      </c>
    </row>
    <row r="26" spans="1:67">
      <c r="A26" s="144" t="s">
        <v>47</v>
      </c>
      <c r="B26" s="149" t="s">
        <v>8</v>
      </c>
      <c r="C26" s="155" cm="1">
        <f t="array" ref="C26">0.01*(_xlfn.XLOOKUP(1,($AX:$AX=C$2)*($AZ:$AZ=$A$25)*($BB:$BB=$B26),$BA:$BA,0))</f>
        <v>0.41399999999999998</v>
      </c>
      <c r="D26" s="155" cm="1">
        <f t="array" ref="D26">0.01*(_xlfn.XLOOKUP(1,($AX:$AX=D$2)*($AZ:$AZ=$A$25)*($BB:$BB=$B26),$BA:$BA,0))</f>
        <v>0.52800000000000002</v>
      </c>
      <c r="E26" s="155" cm="1">
        <f t="array" ref="E26">0.01*(_xlfn.XLOOKUP(1,($AX:$AX=E$2)*($AZ:$AZ=$A$25)*($BB:$BB=$B26),$BA:$BA,0))</f>
        <v>0.54100000000000004</v>
      </c>
      <c r="F26" s="155" cm="1">
        <f t="array" ref="F26">0.01*(_xlfn.XLOOKUP(1,($AX:$AX=F$2)*($AZ:$AZ=$A$25)*($BB:$BB=$B26),$BA:$BA,0))</f>
        <v>0.65300000000000002</v>
      </c>
      <c r="G26" s="155" cm="1">
        <f t="array" ref="G26">0.01*(_xlfn.XLOOKUP(1,($AX:$AX=G$2)*($AZ:$AZ=$A$25)*($BB:$BB=$B26),$BA:$BA,0))</f>
        <v>0.64400000000000002</v>
      </c>
      <c r="H26" s="155" cm="1">
        <f t="array" ref="H26">0.01*(_xlfn.XLOOKUP(1,($AX:$AX=H$2)*($AZ:$AZ=$A$25)*($BB:$BB=$B26),$BA:$BA,0))</f>
        <v>0.72700000000000009</v>
      </c>
      <c r="I26" s="155" cm="1">
        <f t="array" ref="I26">0.01*_xlfn.XLOOKUP(1,($BF:$BF=I$2)*($BD:$BD=$A$25)*($BE:$BE=$B26),$BG:$BG,0)</f>
        <v>0.74566718951597255</v>
      </c>
      <c r="J26" s="155" cm="1">
        <f t="array" ref="J26">0.01*_xlfn.XLOOKUP(1,($BF:$BF=J$2)*($BD:$BD=$A$25)*($BE:$BE=$B26),$BG:$BG,0)</f>
        <v>0.67495276563901774</v>
      </c>
      <c r="K26" s="156" cm="1">
        <f t="array" ref="K26">_xlfn.XLOOKUP(1,(Population!$U:$U=K$2)*(Population!$S:$S=$A26)*(Population!$T:$T=$B26),100*Population!$V:$V,0)/100-K27</f>
        <v>0.91799999999999993</v>
      </c>
      <c r="L26" s="175">
        <f>(COUNT($D$2:$J$2)*SUMPRODUCT($D$2:$J$2,D26:J26)-SUM($D$2:$J$2)*SUM(D26:J26))/(COUNT($D$2:$J$2)*SUMSQ($D$2:$J$2)-SUM($D$2:$J$2)^2)</f>
        <v>1.3241238283895715E-2</v>
      </c>
      <c r="M26" s="152">
        <f>AVERAGE(D26:J26)-L26*AVERAGE($D$2:$J$2)</f>
        <v>-26.049533529597337</v>
      </c>
      <c r="N26" s="145"/>
      <c r="O26" s="144" t="s">
        <v>10</v>
      </c>
      <c r="P26" s="144">
        <v>27</v>
      </c>
      <c r="Q26" s="154" t="s">
        <v>60</v>
      </c>
      <c r="R26" s="144">
        <v>0.3</v>
      </c>
      <c r="W26" s="145"/>
      <c r="X26" s="145"/>
      <c r="AW26" s="144" t="s">
        <v>162</v>
      </c>
      <c r="AX26" s="144">
        <v>2000</v>
      </c>
      <c r="AY26" s="144" t="s">
        <v>167</v>
      </c>
      <c r="AZ26" s="144" t="s">
        <v>29</v>
      </c>
      <c r="BA26" s="144" t="s">
        <v>160</v>
      </c>
      <c r="BB26" s="148" t="s">
        <v>17</v>
      </c>
      <c r="BD26" s="144" t="s">
        <v>224</v>
      </c>
      <c r="BE26" s="156">
        <f t="shared" si="3"/>
        <v>0</v>
      </c>
      <c r="BF26" s="156">
        <f t="shared" si="2"/>
        <v>0</v>
      </c>
      <c r="BG26" s="156">
        <f t="shared" si="2"/>
        <v>0</v>
      </c>
      <c r="BH26" s="156">
        <f t="shared" si="2"/>
        <v>0</v>
      </c>
    </row>
    <row r="27" spans="1:67">
      <c r="A27" s="144" t="s">
        <v>47</v>
      </c>
      <c r="B27" s="149" t="s">
        <v>37</v>
      </c>
      <c r="C27" s="155" cm="1">
        <f t="array" ref="C27">0.01*(_xlfn.XLOOKUP(1,($AX:$AX=C$2)*($AZ:$AZ=$A$25)*($BB:$BB=$B27),$BA:$BA,0))</f>
        <v>0</v>
      </c>
      <c r="D27" s="155" cm="1">
        <f t="array" ref="D27">0.01*(_xlfn.XLOOKUP(1,($AX:$AX=D$2)*($AZ:$AZ=$A$25)*($BB:$BB=$B27),$BA:$BA,0))</f>
        <v>0</v>
      </c>
      <c r="E27" s="155" cm="1">
        <f t="array" ref="E27">0.01*(_xlfn.XLOOKUP(1,($AX:$AX=E$2)*($AZ:$AZ=$A$25)*($BB:$BB=$B27),$BA:$BA,0))</f>
        <v>0</v>
      </c>
      <c r="F27" s="155" cm="1">
        <f t="array" ref="F27">0.01*(_xlfn.XLOOKUP(1,($AX:$AX=F$2)*($AZ:$AZ=$A$25)*($BB:$BB=$B27),$BA:$BA,0))</f>
        <v>0</v>
      </c>
      <c r="G27" s="155" cm="1">
        <f t="array" ref="G27">0.01*(_xlfn.XLOOKUP(1,($AX:$AX=G$2)*($AZ:$AZ=$A$25)*($BB:$BB=$B27),$BA:$BA,0))</f>
        <v>0</v>
      </c>
      <c r="H27" s="155" cm="1">
        <f t="array" ref="H27">0.01*(_xlfn.XLOOKUP(1,($AX:$AX=H$2)*($AZ:$AZ=$A$25)*($BB:$BB=$B27),$BA:$BA,0))</f>
        <v>0</v>
      </c>
      <c r="I27" s="155" cm="1">
        <f t="array" ref="I27">0.01*_xlfn.XLOOKUP(1,($BF:$BF=I$2)*($BD:$BD=$A$25)*($BE:$BE=$B27),$BG:$BG,0)</f>
        <v>0</v>
      </c>
      <c r="J27" s="155">
        <v>0.03</v>
      </c>
      <c r="K27" s="155">
        <f>2*J27</f>
        <v>0.06</v>
      </c>
      <c r="L27" s="175">
        <f t="shared" ref="L27:L35" si="4">(COUNT($D$2:$J$2)*SUMPRODUCT($D$2:$J$2,D27:J27)-SUM($D$2:$J$2)*SUM(D27:J27))/(COUNT($D$2:$J$2)*SUMSQ($D$2:$J$2)-SUM($D$2:$J$2)^2)</f>
        <v>1.7391304347826157E-3</v>
      </c>
      <c r="M27" s="152">
        <f t="shared" ref="M27:M35" si="5">AVERAGE(D27:J27)-L27*AVERAGE($D$2:$J$2)</f>
        <v>-3.5018012422360387</v>
      </c>
      <c r="W27" s="155"/>
      <c r="AW27" s="144" t="s">
        <v>162</v>
      </c>
      <c r="AX27" s="144">
        <v>2000</v>
      </c>
      <c r="AY27" s="144" t="s">
        <v>167</v>
      </c>
      <c r="AZ27" s="144" t="s">
        <v>25</v>
      </c>
      <c r="BA27" s="144" t="s">
        <v>160</v>
      </c>
      <c r="BB27" s="148" t="s">
        <v>17</v>
      </c>
      <c r="BD27" s="144" t="s">
        <v>225</v>
      </c>
      <c r="BE27" s="156">
        <f t="shared" si="3"/>
        <v>1.6190792377680095E-3</v>
      </c>
      <c r="BF27" s="156">
        <f t="shared" si="2"/>
        <v>1.081765373346656E-3</v>
      </c>
      <c r="BG27" s="156">
        <f t="shared" si="2"/>
        <v>1.4582527003652638E-3</v>
      </c>
      <c r="BH27" s="156">
        <f t="shared" si="2"/>
        <v>1.9132071865018594E-3</v>
      </c>
      <c r="BI27" s="144">
        <v>6452</v>
      </c>
      <c r="BJ27" s="144">
        <v>511</v>
      </c>
      <c r="BK27" s="144">
        <v>2498</v>
      </c>
      <c r="BL27" s="144">
        <v>3443</v>
      </c>
    </row>
    <row r="28" spans="1:67">
      <c r="A28" s="144" t="s">
        <v>47</v>
      </c>
      <c r="B28" s="149" t="s">
        <v>10</v>
      </c>
      <c r="C28" s="155" cm="1">
        <f t="array" ref="C28">0.01*(_xlfn.XLOOKUP(1,($AX:$AX=C$2)*($AZ:$AZ=$A$25)*($BB:$BB=$B28),$BA:$BA,0))</f>
        <v>0</v>
      </c>
      <c r="D28" s="155" cm="1">
        <f t="array" ref="D28">0.01*(_xlfn.XLOOKUP(1,($AX:$AX=D$2)*($AZ:$AZ=$A$25)*($BB:$BB=$B28),$BA:$BA,0))</f>
        <v>0</v>
      </c>
      <c r="E28" s="155" cm="1">
        <f t="array" ref="E28">0.01*(_xlfn.XLOOKUP(1,($AX:$AX=E$2)*($AZ:$AZ=$A$25)*($BB:$BB=$B28),$BA:$BA,0))</f>
        <v>0</v>
      </c>
      <c r="F28" s="155" cm="1">
        <f t="array" ref="F28">0.01*(_xlfn.XLOOKUP(1,($AX:$AX=F$2)*($AZ:$AZ=$A$25)*($BB:$BB=$B28),$BA:$BA,0))</f>
        <v>0</v>
      </c>
      <c r="G28" s="155" cm="1">
        <f t="array" ref="G28">0.01*(_xlfn.XLOOKUP(1,($AX:$AX=G$2)*($AZ:$AZ=$A$25)*($BB:$BB=$B28),$BA:$BA,0))</f>
        <v>0</v>
      </c>
      <c r="H28" s="155" cm="1">
        <f t="array" ref="H28">0.01*(_xlfn.XLOOKUP(1,($AX:$AX=H$2)*($AZ:$AZ=$A$25)*($BB:$BB=$B28),$BA:$BA,0))</f>
        <v>0</v>
      </c>
      <c r="I28" s="155" cm="1">
        <f t="array" ref="I28">0.01*_xlfn.XLOOKUP(1,($BF:$BF=I$2)*($BD:$BD=$A$25)*($BE:$BE=$B28),$BG:$BG,0)</f>
        <v>0</v>
      </c>
      <c r="J28" s="155">
        <v>0.01</v>
      </c>
      <c r="K28" s="155">
        <f>2*J28</f>
        <v>0.02</v>
      </c>
      <c r="L28" s="175">
        <f t="shared" si="4"/>
        <v>5.797101449275386E-4</v>
      </c>
      <c r="M28" s="152">
        <f t="shared" si="5"/>
        <v>-1.1672670807453465</v>
      </c>
      <c r="W28" s="155"/>
      <c r="AW28" s="144" t="s">
        <v>162</v>
      </c>
      <c r="AX28" s="144">
        <v>2000</v>
      </c>
      <c r="AY28" s="144" t="s">
        <v>167</v>
      </c>
      <c r="AZ28" s="144" t="s">
        <v>26</v>
      </c>
      <c r="BA28" s="144" t="s">
        <v>160</v>
      </c>
      <c r="BB28" s="148" t="s">
        <v>17</v>
      </c>
      <c r="BD28" s="144" t="s">
        <v>30</v>
      </c>
      <c r="BE28" s="156">
        <f t="shared" si="3"/>
        <v>0.18189898521473502</v>
      </c>
      <c r="BF28" s="156">
        <f t="shared" si="2"/>
        <v>0.16017960268938303</v>
      </c>
      <c r="BG28" s="156">
        <f t="shared" si="2"/>
        <v>0.17543457156383885</v>
      </c>
      <c r="BH28" s="156">
        <f t="shared" si="2"/>
        <v>0.19375348689372504</v>
      </c>
      <c r="BI28" s="144">
        <v>724864</v>
      </c>
      <c r="BJ28" s="144">
        <v>75665</v>
      </c>
      <c r="BK28" s="144">
        <v>300521</v>
      </c>
      <c r="BL28" s="144">
        <v>348678</v>
      </c>
    </row>
    <row r="29" spans="1:67" ht="16" customHeight="1">
      <c r="A29" s="144" t="s">
        <v>47</v>
      </c>
      <c r="B29" s="149" t="s">
        <v>11</v>
      </c>
      <c r="C29" s="155" cm="1">
        <f t="array" ref="C29">0.01*(_xlfn.XLOOKUP(1,($AX:$AX=C$2)*($AZ:$AZ=$A$25)*($BB:$BB=$B29),$BA:$BA,0))</f>
        <v>2E-3</v>
      </c>
      <c r="D29" s="155" cm="1">
        <f t="array" ref="D29">0.01*(_xlfn.XLOOKUP(1,($AX:$AX=D$2)*($AZ:$AZ=$A$25)*($BB:$BB=$B29),$BA:$BA,0))</f>
        <v>0</v>
      </c>
      <c r="E29" s="155" cm="1">
        <f t="array" ref="E29">0.01*(_xlfn.XLOOKUP(1,($AX:$AX=E$2)*($AZ:$AZ=$A$25)*($BB:$BB=$B29),$BA:$BA,0))</f>
        <v>1E-3</v>
      </c>
      <c r="F29" s="155" cm="1">
        <f t="array" ref="F29">0.01*(_xlfn.XLOOKUP(1,($AX:$AX=F$2)*($AZ:$AZ=$A$25)*($BB:$BB=$B29),$BA:$BA,0))</f>
        <v>1E-3</v>
      </c>
      <c r="G29" s="155" cm="1">
        <f t="array" ref="G29">0.01*(_xlfn.XLOOKUP(1,($AX:$AX=G$2)*($AZ:$AZ=$A$25)*($BB:$BB=$B29),$BA:$BA,0))</f>
        <v>2E-3</v>
      </c>
      <c r="H29" s="155" cm="1">
        <f t="array" ref="H29">0.01*(_xlfn.XLOOKUP(1,($AX:$AX=H$2)*($AZ:$AZ=$A$25)*($BB:$BB=$B29),$BA:$BA,0))</f>
        <v>2E-3</v>
      </c>
      <c r="I29" s="155" cm="1">
        <f t="array" ref="I29">0.01*_xlfn.XLOOKUP(1,($BF:$BF=I$2)*($BD:$BD=$A$25)*($BE:$BE=$B29),$BG:$BG,0)</f>
        <v>1.9009269587653432E-3</v>
      </c>
      <c r="J29" s="155" cm="1">
        <f t="array" ref="J29">0.01*_xlfn.XLOOKUP(1,($BF:$BF=J$2)*($BD:$BD=$A$25)*($BE:$BE=$B29),$BG:$BG,0)</f>
        <v>7.8620036110144814E-3</v>
      </c>
      <c r="K29" s="155" cm="1">
        <f t="array" ref="K29">_xlfn.XLOOKUP(1,(Population!$U:$U=K$2)*(Population!$S:$S=$A29)*(Population!$T:$T=$B29),100*Population!$V:$V,0)/100-K30</f>
        <v>0</v>
      </c>
      <c r="L29" s="175">
        <f t="shared" si="4"/>
        <v>4.6738939654473945E-4</v>
      </c>
      <c r="M29" s="152">
        <f t="shared" si="5"/>
        <v>-0.9400051762099404</v>
      </c>
      <c r="W29" s="155"/>
      <c r="X29" s="155"/>
      <c r="AW29" s="144" t="s">
        <v>162</v>
      </c>
      <c r="AX29" s="144">
        <v>2000</v>
      </c>
      <c r="AY29" s="144" t="s">
        <v>166</v>
      </c>
      <c r="AZ29" s="144" t="s">
        <v>29</v>
      </c>
      <c r="BA29" s="144">
        <v>0</v>
      </c>
      <c r="BB29" s="148" t="s">
        <v>17</v>
      </c>
      <c r="BD29" s="144" t="s">
        <v>226</v>
      </c>
      <c r="BE29" s="156">
        <f t="shared" si="3"/>
        <v>0.77382501949193738</v>
      </c>
      <c r="BF29" s="156">
        <f t="shared" si="2"/>
        <v>0.80267414093857437</v>
      </c>
      <c r="BG29" s="156">
        <f t="shared" si="2"/>
        <v>0.77736777798598844</v>
      </c>
      <c r="BH29" s="156">
        <f t="shared" si="2"/>
        <v>0.76288011309204951</v>
      </c>
      <c r="BI29" s="144">
        <v>3083678</v>
      </c>
      <c r="BJ29" s="144">
        <v>379164</v>
      </c>
      <c r="BK29" s="144">
        <v>1331638</v>
      </c>
      <c r="BL29" s="144">
        <v>1372876</v>
      </c>
    </row>
    <row r="30" spans="1:67">
      <c r="A30" s="144" t="s">
        <v>47</v>
      </c>
      <c r="B30" s="149" t="s">
        <v>12</v>
      </c>
      <c r="C30" s="155" cm="1">
        <f t="array" ref="C30">0.01*(_xlfn.XLOOKUP(1,($AX:$AX=C$2)*($AZ:$AZ=$A$25)*($BB:$BB=$B30),$BA:$BA,0))</f>
        <v>2E-3</v>
      </c>
      <c r="D30" s="155" cm="1">
        <f t="array" ref="D30">0.01*(_xlfn.XLOOKUP(1,($AX:$AX=D$2)*($AZ:$AZ=$A$25)*($BB:$BB=$B30),$BA:$BA,0))</f>
        <v>2E-3</v>
      </c>
      <c r="E30" s="155"/>
      <c r="F30" s="155"/>
      <c r="G30" s="155"/>
      <c r="H30" s="155"/>
      <c r="I30" s="155" cm="1">
        <f t="array" ref="I30">0.01*_xlfn.XLOOKUP(1,($BF:$BF=I$2)*($BD:$BD=$A$25)*($BE:$BE=$B30),$BG:$BG,0)</f>
        <v>0</v>
      </c>
      <c r="J30" s="155" cm="1">
        <f t="array" ref="J30">0.01*_xlfn.XLOOKUP(1,($BF:$BF=J$2)*($BD:$BD=$A$25)*($BE:$BE=$B30),$BG:$BG,0)</f>
        <v>0</v>
      </c>
      <c r="K30" s="155" cm="1">
        <f t="array" ref="K30">_xlfn.XLOOKUP(1,(Population!$U:$U=K$2)*(Population!$S:$S=$A30)*(Population!$T:$T=$B30),100*Population!$V:$V,0)/100-K31</f>
        <v>0</v>
      </c>
      <c r="L30" s="175">
        <f t="shared" si="4"/>
        <v>-8.6956521739126375E-5</v>
      </c>
      <c r="M30" s="152">
        <f t="shared" si="5"/>
        <v>0.17597101449274544</v>
      </c>
      <c r="W30" s="155"/>
      <c r="AW30" s="144" t="s">
        <v>162</v>
      </c>
      <c r="AX30" s="144">
        <v>2000</v>
      </c>
      <c r="AY30" s="144" t="s">
        <v>166</v>
      </c>
      <c r="AZ30" s="144" t="s">
        <v>25</v>
      </c>
      <c r="BA30" s="144">
        <v>0</v>
      </c>
      <c r="BB30" s="148" t="s">
        <v>17</v>
      </c>
      <c r="BD30" s="144" t="s">
        <v>227</v>
      </c>
      <c r="BE30" s="156">
        <f t="shared" si="3"/>
        <v>1.0621882513367065E-2</v>
      </c>
      <c r="BF30" s="156">
        <f t="shared" si="2"/>
        <v>1.6681626500922994E-3</v>
      </c>
      <c r="BG30" s="156">
        <f t="shared" si="2"/>
        <v>1.2124863325294846E-2</v>
      </c>
      <c r="BH30" s="156">
        <f t="shared" si="2"/>
        <v>1.1541479309800644E-2</v>
      </c>
      <c r="BI30" s="144">
        <v>42328</v>
      </c>
      <c r="BJ30" s="144">
        <v>788</v>
      </c>
      <c r="BK30" s="144">
        <v>20770</v>
      </c>
      <c r="BL30" s="144">
        <v>20770</v>
      </c>
    </row>
    <row r="31" spans="1:67">
      <c r="A31" s="144" t="s">
        <v>47</v>
      </c>
      <c r="B31" s="149" t="s">
        <v>13</v>
      </c>
      <c r="C31" s="155" cm="1">
        <f t="array" ref="C31">0.01*(_xlfn.XLOOKUP(1,($AX:$AX=C$2)*($AZ:$AZ=$A$25)*($BB:$BB=$B31),$BA:$BA,0))</f>
        <v>0.106</v>
      </c>
      <c r="D31" s="155" cm="1">
        <f t="array" ref="D31">0.01*(_xlfn.XLOOKUP(1,($AX:$AX=D$2)*($AZ:$AZ=$A$25)*($BB:$BB=$B31),$BA:$BA,0))</f>
        <v>9.1999999999999998E-2</v>
      </c>
      <c r="E31" s="155" cm="1">
        <f t="array" ref="E31">0.01*(_xlfn.XLOOKUP(1,($AX:$AX=E$2)*($AZ:$AZ=$A$25)*($BB:$BB=$B31),$BA:$BA,0))</f>
        <v>0.11</v>
      </c>
      <c r="F31" s="155" cm="1">
        <f t="array" ref="F31">0.01*(_xlfn.XLOOKUP(1,($AX:$AX=F$2)*($AZ:$AZ=$A$25)*($BB:$BB=$B31),$BA:$BA,0))</f>
        <v>0.111</v>
      </c>
      <c r="G31" s="155" cm="1">
        <f t="array" ref="G31">0.01*(_xlfn.XLOOKUP(1,($AX:$AX=G$2)*($AZ:$AZ=$A$25)*($BB:$BB=$B31),$BA:$BA,0))</f>
        <v>0.11900000000000001</v>
      </c>
      <c r="H31" s="155" cm="1">
        <f t="array" ref="H31">0.01*(_xlfn.XLOOKUP(1,($AX:$AX=H$2)*($AZ:$AZ=$A$25)*($BB:$BB=$B31),$BA:$BA,0))</f>
        <v>9.5000000000000001E-2</v>
      </c>
      <c r="I31" s="155" cm="1">
        <f t="array" ref="I31">0.01*_xlfn.XLOOKUP(1,($BF:$BF=I$2)*($BD:$BD=$A$25)*($BE:$BE=$B31),$BG:$BG,0)</f>
        <v>6.1102063661659906E-2</v>
      </c>
      <c r="J31" s="155" cm="1">
        <f t="array" ref="J31">0.01*_xlfn.XLOOKUP(1,($BF:$BF=J$2)*($BD:$BD=$A$25)*($BE:$BE=$B31),$BG:$BG,0)</f>
        <v>5.8766145174121924E-2</v>
      </c>
      <c r="K31" s="155" cm="1">
        <f t="array" ref="K31">_xlfn.XLOOKUP(1,(Population!$U:$U=K$2)*(Population!$S:$S=$A31)*(Population!$T:$T=$B31),100*Population!$V:$V,0)/100-K32</f>
        <v>0</v>
      </c>
      <c r="L31" s="175">
        <f t="shared" si="4"/>
        <v>-3.793207130150732E-3</v>
      </c>
      <c r="M31" s="152">
        <f t="shared" si="5"/>
        <v>7.7395153185032726</v>
      </c>
      <c r="W31" s="155"/>
      <c r="X31" s="151"/>
      <c r="AW31" s="144" t="s">
        <v>162</v>
      </c>
      <c r="AX31" s="144">
        <v>2000</v>
      </c>
      <c r="AY31" s="144" t="s">
        <v>166</v>
      </c>
      <c r="AZ31" s="144" t="s">
        <v>26</v>
      </c>
      <c r="BA31" s="144">
        <v>0</v>
      </c>
      <c r="BB31" s="148" t="s">
        <v>17</v>
      </c>
      <c r="BD31" s="144" t="s">
        <v>11</v>
      </c>
      <c r="BE31" s="156">
        <f t="shared" si="3"/>
        <v>4.3086780087533668E-4</v>
      </c>
      <c r="BF31" s="156">
        <f t="shared" si="2"/>
        <v>2.4345013294494217E-4</v>
      </c>
      <c r="BG31" s="156">
        <f t="shared" si="2"/>
        <v>5.5924983464768717E-4</v>
      </c>
      <c r="BH31" s="156">
        <f t="shared" si="2"/>
        <v>3.5785809703955777E-4</v>
      </c>
      <c r="BI31" s="144">
        <v>1717</v>
      </c>
      <c r="BJ31" s="144">
        <v>115</v>
      </c>
      <c r="BK31" s="144">
        <v>958</v>
      </c>
      <c r="BL31" s="144">
        <v>644</v>
      </c>
    </row>
    <row r="32" spans="1:67" ht="17" customHeight="1">
      <c r="A32" s="144" t="s">
        <v>47</v>
      </c>
      <c r="B32" s="149" t="s">
        <v>14</v>
      </c>
      <c r="C32" s="155" cm="1">
        <f t="array" ref="C32">0.01*(_xlfn.XLOOKUP(1,($AX:$AX=C$2)*($AZ:$AZ=$A$25)*($BB:$BB=$B32),$BA:$BA,0))</f>
        <v>0</v>
      </c>
      <c r="D32" s="155" cm="1">
        <f t="array" ref="D32">0.01*(_xlfn.XLOOKUP(1,($AX:$AX=D$2)*($AZ:$AZ=$A$25)*($BB:$BB=$B32),$BA:$BA,0))</f>
        <v>0</v>
      </c>
      <c r="E32" s="155" cm="1">
        <f t="array" ref="E32">0.01*(_xlfn.XLOOKUP(1,($AX:$AX=E$2)*($AZ:$AZ=$A$25)*($BB:$BB=$B32),$BA:$BA,0))</f>
        <v>0</v>
      </c>
      <c r="F32" s="155" cm="1">
        <f t="array" ref="F32">0.01*(_xlfn.XLOOKUP(1,($AX:$AX=F$2)*($AZ:$AZ=$A$25)*($BB:$BB=$B32),$BA:$BA,0))</f>
        <v>0</v>
      </c>
      <c r="G32" s="155" cm="1">
        <f t="array" ref="G32">0.01*(_xlfn.XLOOKUP(1,($AX:$AX=G$2)*($AZ:$AZ=$A$25)*($BB:$BB=$B32),$BA:$BA,0))</f>
        <v>0</v>
      </c>
      <c r="H32" s="155" cm="1">
        <f t="array" ref="H32">0.01*(_xlfn.XLOOKUP(1,($AX:$AX=H$2)*($AZ:$AZ=$A$25)*($BB:$BB=$B32),$BA:$BA,0))</f>
        <v>0</v>
      </c>
      <c r="I32" s="155" cm="1">
        <f t="array" ref="I32">0.01*_xlfn.XLOOKUP(1,($BF:$BF=I$2)*($BD:$BD=$A$25)*($BE:$BE=$B32),$BG:$BG,0)</f>
        <v>0</v>
      </c>
      <c r="J32" s="155" cm="1">
        <f t="array" ref="J32">0.01*_xlfn.XLOOKUP(1,($BF:$BF=J$2)*($BD:$BD=$A$25)*($BE:$BE=$B32),$BG:$BG,0)</f>
        <v>0</v>
      </c>
      <c r="K32" s="155" cm="1">
        <f t="array" ref="K32">_xlfn.XLOOKUP(1,(Population!$U:$U=K$2)*(Population!$S:$S=$A32)*(Population!$T:$T=$B32),100*Population!$V:$V,0)/100-K33</f>
        <v>0</v>
      </c>
      <c r="L32" s="175">
        <f t="shared" si="4"/>
        <v>0</v>
      </c>
      <c r="M32" s="152">
        <f t="shared" si="5"/>
        <v>0</v>
      </c>
      <c r="W32" s="155"/>
      <c r="X32" s="155"/>
      <c r="AW32" s="144" t="s">
        <v>162</v>
      </c>
      <c r="AX32" s="144">
        <v>2000</v>
      </c>
      <c r="AY32" s="144" t="s">
        <v>165</v>
      </c>
      <c r="AZ32" s="144" t="s">
        <v>29</v>
      </c>
      <c r="BA32" s="144" t="s">
        <v>160</v>
      </c>
      <c r="BD32" s="144" t="s">
        <v>228</v>
      </c>
      <c r="BE32" s="156">
        <f t="shared" si="3"/>
        <v>8.0073154677525443E-3</v>
      </c>
      <c r="BF32" s="156">
        <f t="shared" si="2"/>
        <v>8.8319474317069459E-3</v>
      </c>
      <c r="BG32" s="156">
        <f t="shared" si="2"/>
        <v>9.0437353218809705E-3</v>
      </c>
      <c r="BH32" s="156">
        <f t="shared" si="2"/>
        <v>6.8043049662257528E-3</v>
      </c>
      <c r="BI32" s="144">
        <v>31909</v>
      </c>
      <c r="BJ32" s="144">
        <v>4172</v>
      </c>
      <c r="BK32" s="144">
        <v>15492</v>
      </c>
      <c r="BL32" s="144">
        <v>12245</v>
      </c>
    </row>
    <row r="33" spans="1:59">
      <c r="A33" s="144" t="s">
        <v>47</v>
      </c>
      <c r="B33" s="149" t="s">
        <v>15</v>
      </c>
      <c r="C33" s="155" cm="1">
        <f t="array" ref="C33">0.01*(_xlfn.XLOOKUP(1,($AX:$AX=C$2)*($AZ:$AZ=$A$25)*($BB:$BB=$B33),$BA:$BA,0))</f>
        <v>0</v>
      </c>
      <c r="D33" s="155" cm="1">
        <f t="array" ref="D33">0.01*(_xlfn.XLOOKUP(1,($AX:$AX=D$2)*($AZ:$AZ=$A$25)*($BB:$BB=$B33),$BA:$BA,0))</f>
        <v>0</v>
      </c>
      <c r="E33" s="155" cm="1">
        <f t="array" ref="E33">0.01*(_xlfn.XLOOKUP(1,($AX:$AX=E$2)*($AZ:$AZ=$A$25)*($BB:$BB=$B33),$BA:$BA,0))</f>
        <v>0</v>
      </c>
      <c r="F33" s="155" cm="1">
        <f t="array" ref="F33">0.01*(_xlfn.XLOOKUP(1,($AX:$AX=F$2)*($AZ:$AZ=$A$25)*($BB:$BB=$B33),$BA:$BA,0))</f>
        <v>0</v>
      </c>
      <c r="G33" s="155" cm="1">
        <f t="array" ref="G33">0.01*(_xlfn.XLOOKUP(1,($AX:$AX=G$2)*($AZ:$AZ=$A$25)*($BB:$BB=$B33),$BA:$BA,0))</f>
        <v>0</v>
      </c>
      <c r="H33" s="155" cm="1">
        <f t="array" ref="H33">0.01*(_xlfn.XLOOKUP(1,($AX:$AX=H$2)*($AZ:$AZ=$A$25)*($BB:$BB=$B33),$BA:$BA,0))</f>
        <v>0</v>
      </c>
      <c r="I33" s="155" cm="1">
        <f t="array" ref="I33">0.01*_xlfn.XLOOKUP(1,($BF:$BF=I$2)*($BD:$BD=$A$25)*($BE:$BE=$B33),$BG:$BG,0)</f>
        <v>0</v>
      </c>
      <c r="J33" s="155" cm="1">
        <f t="array" ref="J33">0.01*_xlfn.XLOOKUP(1,($BF:$BF=J$2)*($BD:$BD=$A$25)*($BE:$BE=$B33),$BG:$BG,0)</f>
        <v>0</v>
      </c>
      <c r="K33" s="155" cm="1">
        <f t="array" ref="K33">_xlfn.XLOOKUP(1,(Population!$U:$U=K$2)*(Population!$S:$S=$A33)*(Population!$T:$T=$B33),100*Population!$V:$V,0)/100-K34</f>
        <v>0</v>
      </c>
      <c r="L33" s="175">
        <f t="shared" si="4"/>
        <v>0</v>
      </c>
      <c r="M33" s="152">
        <f t="shared" si="5"/>
        <v>0</v>
      </c>
      <c r="W33" s="155"/>
      <c r="AW33" s="144" t="s">
        <v>162</v>
      </c>
      <c r="AX33" s="144">
        <v>2000</v>
      </c>
      <c r="AY33" s="144" t="s">
        <v>165</v>
      </c>
      <c r="AZ33" s="144" t="s">
        <v>25</v>
      </c>
      <c r="BA33" s="144" t="s">
        <v>160</v>
      </c>
    </row>
    <row r="34" spans="1:59">
      <c r="A34" s="144" t="s">
        <v>47</v>
      </c>
      <c r="B34" s="149" t="s">
        <v>16</v>
      </c>
      <c r="C34" s="155" cm="1">
        <f t="array" ref="C34">0.01*(_xlfn.XLOOKUP(1,($AX:$AX=C$2)*($AZ:$AZ=$A$25)*($BB:$BB=$B34),$BA:$BA,0))</f>
        <v>0</v>
      </c>
      <c r="D34" s="155" cm="1">
        <f t="array" ref="D34">0.01*(_xlfn.XLOOKUP(1,($AX:$AX=D$2)*($AZ:$AZ=$A$25)*($BB:$BB=$B34),$BA:$BA,0))</f>
        <v>0</v>
      </c>
      <c r="E34" s="155" cm="1">
        <f t="array" ref="E34">0.01*(_xlfn.XLOOKUP(1,($AX:$AX=E$2)*($AZ:$AZ=$A$25)*($BB:$BB=$B34),$BA:$BA,0))</f>
        <v>0</v>
      </c>
      <c r="F34" s="155" cm="1">
        <f t="array" ref="F34">0.01*(_xlfn.XLOOKUP(1,($AX:$AX=F$2)*($AZ:$AZ=$A$25)*($BB:$BB=$B34),$BA:$BA,0))</f>
        <v>0</v>
      </c>
      <c r="G34" s="155" cm="1">
        <f t="array" ref="G34">0.01*(_xlfn.XLOOKUP(1,($AX:$AX=G$2)*($AZ:$AZ=$A$25)*($BB:$BB=$B34),$BA:$BA,0))</f>
        <v>0</v>
      </c>
      <c r="H34" s="155" cm="1">
        <f t="array" ref="H34">0.01*(_xlfn.XLOOKUP(1,($AX:$AX=H$2)*($AZ:$AZ=$A$25)*($BB:$BB=$B34),$BA:$BA,0))</f>
        <v>0</v>
      </c>
      <c r="I34" s="155" cm="1">
        <f t="array" ref="I34">0.01*_xlfn.XLOOKUP(1,($BF:$BF=I$2)*($BD:$BD=$A$25)*($BE:$BE=$B34),$BG:$BG,0)</f>
        <v>0</v>
      </c>
      <c r="J34" s="155" cm="1">
        <f t="array" ref="J34">0.01*_xlfn.XLOOKUP(1,($BF:$BF=J$2)*($BD:$BD=$A$25)*($BE:$BE=$B34),$BG:$BG,0)</f>
        <v>0</v>
      </c>
      <c r="K34" s="155" cm="1">
        <f t="array" ref="K34">_xlfn.XLOOKUP(1,(Population!$U:$U=K$2)*(Population!$S:$S=$A34)*(Population!$T:$T=$B34),100*Population!$V:$V,0)/100-K35</f>
        <v>0</v>
      </c>
      <c r="L34" s="175">
        <f t="shared" si="4"/>
        <v>0</v>
      </c>
      <c r="M34" s="152">
        <f t="shared" si="5"/>
        <v>0</v>
      </c>
      <c r="W34" s="155"/>
      <c r="AW34" s="144" t="s">
        <v>162</v>
      </c>
      <c r="AX34" s="144">
        <v>2000</v>
      </c>
      <c r="AY34" s="144" t="s">
        <v>165</v>
      </c>
      <c r="AZ34" s="144" t="s">
        <v>26</v>
      </c>
      <c r="BA34" s="144" t="s">
        <v>160</v>
      </c>
      <c r="BD34" s="145" t="s">
        <v>253</v>
      </c>
      <c r="BE34" s="145"/>
      <c r="BF34" s="145"/>
      <c r="BG34" s="145"/>
    </row>
    <row r="35" spans="1:59" ht="17" thickBot="1">
      <c r="A35" s="144" t="s">
        <v>47</v>
      </c>
      <c r="B35" s="153" t="s">
        <v>17</v>
      </c>
      <c r="C35" s="150"/>
      <c r="D35" s="155" cm="1">
        <f t="array" ref="D35">0.01*(_xlfn.XLOOKUP(1,($AX:$AX=D$2)*($AZ:$AZ=$A$25)*($BB:$BB=$B35),$BA:$BA,0))</f>
        <v>6.9999999999999993E-3</v>
      </c>
      <c r="E35" s="155" cm="1">
        <f t="array" ref="E35">0.01*(_xlfn.XLOOKUP(1,($AX:$AX=E$2)*($AZ:$AZ=$A$25)*($BB:$BB=$B35),$BA:$BA,0))</f>
        <v>0</v>
      </c>
      <c r="F35" s="155" cm="1">
        <f t="array" ref="F35">0.01*(_xlfn.XLOOKUP(1,($AX:$AX=F$2)*($AZ:$AZ=$A$25)*($BB:$BB=$B35),$BA:$BA,0))</f>
        <v>1E-3</v>
      </c>
      <c r="G35" s="155" cm="1">
        <f t="array" ref="G35">0.01*(_xlfn.XLOOKUP(1,($AX:$AX=G$2)*($AZ:$AZ=$A$25)*($BB:$BB=$B35),$BA:$BA,0))</f>
        <v>0</v>
      </c>
      <c r="H35" s="155" cm="1">
        <f t="array" ref="H35">0.01*(_xlfn.XLOOKUP(1,($AX:$AX=H$2)*($AZ:$AZ=$A$25)*($BB:$BB=$B35),$BA:$BA,0))</f>
        <v>1E-3</v>
      </c>
      <c r="I35" s="155" cm="1">
        <f t="array" ref="I35">0.01*_xlfn.XLOOKUP(1,($BF:$BF=I$2)*($BD:$BD=$A$25)*($BE:$BE=$B35),$BG:$BG,0)</f>
        <v>2.8346983602738386E-3</v>
      </c>
      <c r="J35" s="155" cm="1">
        <f t="array" ref="J35">0.01*_xlfn.XLOOKUP(1,($BF:$BF=J$2)*($BD:$BD=$A$25)*($BE:$BE=$B35),$BG:$BG,0)</f>
        <v>1.2411754873895039E-4</v>
      </c>
      <c r="K35" s="155" cm="1">
        <f t="array" ref="K35">_xlfn.XLOOKUP(1,(Population!$U:$U=K$2)*(Population!$S:$S=$A35)*(Population!$T:$T=$B35),100*Population!$V:$V,0)/100-K36</f>
        <v>0</v>
      </c>
      <c r="L35" s="175">
        <f t="shared" si="4"/>
        <v>-2.2223381281880999E-4</v>
      </c>
      <c r="M35" s="152">
        <f t="shared" si="5"/>
        <v>0.44973176891543709</v>
      </c>
      <c r="W35" s="155"/>
      <c r="AW35" s="144" t="s">
        <v>162</v>
      </c>
      <c r="AX35" s="144">
        <v>2000</v>
      </c>
      <c r="AY35" s="144" t="s">
        <v>164</v>
      </c>
      <c r="AZ35" s="144" t="s">
        <v>29</v>
      </c>
      <c r="BA35" s="144">
        <v>97.3</v>
      </c>
      <c r="BD35" s="145" t="s">
        <v>254</v>
      </c>
      <c r="BE35" s="145" t="s">
        <v>1</v>
      </c>
      <c r="BF35" s="145" t="s">
        <v>255</v>
      </c>
      <c r="BG35" s="145" t="s">
        <v>35</v>
      </c>
    </row>
    <row r="36" spans="1:59">
      <c r="W36" s="155"/>
      <c r="AW36" s="144" t="s">
        <v>162</v>
      </c>
      <c r="AX36" s="144">
        <v>2000</v>
      </c>
      <c r="AY36" s="144" t="s">
        <v>164</v>
      </c>
      <c r="AZ36" s="144" t="s">
        <v>25</v>
      </c>
      <c r="BA36" s="144">
        <v>82.9</v>
      </c>
      <c r="BD36" s="144" t="s">
        <v>26</v>
      </c>
      <c r="BE36" s="144" t="s">
        <v>41</v>
      </c>
      <c r="BF36" s="144">
        <v>2020</v>
      </c>
      <c r="BG36" s="159">
        <v>90.939528436802831</v>
      </c>
    </row>
    <row r="37" spans="1:59">
      <c r="W37" s="155"/>
      <c r="X37" s="151"/>
      <c r="AW37" s="144" t="s">
        <v>162</v>
      </c>
      <c r="AX37" s="144">
        <v>2000</v>
      </c>
      <c r="AY37" s="144" t="s">
        <v>164</v>
      </c>
      <c r="AZ37" s="144" t="s">
        <v>26</v>
      </c>
      <c r="BA37" s="144">
        <v>99.6</v>
      </c>
      <c r="BD37" s="144" t="s">
        <v>26</v>
      </c>
      <c r="BE37" s="144" t="s">
        <v>8</v>
      </c>
      <c r="BF37" s="144">
        <v>2020</v>
      </c>
      <c r="BG37" s="159">
        <v>7.4571708025895562</v>
      </c>
    </row>
    <row r="38" spans="1:59">
      <c r="AW38" s="144" t="s">
        <v>162</v>
      </c>
      <c r="AX38" s="144">
        <v>2000</v>
      </c>
      <c r="AY38" s="144" t="s">
        <v>163</v>
      </c>
      <c r="AZ38" s="144" t="s">
        <v>29</v>
      </c>
      <c r="BA38" s="144">
        <v>2.1</v>
      </c>
      <c r="BD38" s="144" t="s">
        <v>26</v>
      </c>
      <c r="BE38" s="144" t="s">
        <v>256</v>
      </c>
      <c r="BF38" s="144">
        <v>2020</v>
      </c>
      <c r="BG38" s="159">
        <v>0.24247783748481488</v>
      </c>
    </row>
    <row r="39" spans="1:59">
      <c r="AW39" s="144" t="s">
        <v>162</v>
      </c>
      <c r="AX39" s="144">
        <v>2000</v>
      </c>
      <c r="AY39" s="144" t="s">
        <v>163</v>
      </c>
      <c r="AZ39" s="144" t="s">
        <v>25</v>
      </c>
      <c r="BA39" s="144">
        <v>14.3</v>
      </c>
      <c r="BD39" s="144" t="s">
        <v>26</v>
      </c>
      <c r="BE39" s="144" t="s">
        <v>43</v>
      </c>
      <c r="BF39" s="144">
        <v>2020</v>
      </c>
      <c r="BG39" s="159">
        <v>0</v>
      </c>
    </row>
    <row r="40" spans="1:59">
      <c r="B40" s="157" t="s">
        <v>150</v>
      </c>
      <c r="C40" s="157"/>
      <c r="D40" s="146">
        <v>0.39</v>
      </c>
      <c r="AW40" s="144" t="s">
        <v>162</v>
      </c>
      <c r="AX40" s="144">
        <v>2000</v>
      </c>
      <c r="AY40" s="144" t="s">
        <v>163</v>
      </c>
      <c r="AZ40" s="144" t="s">
        <v>26</v>
      </c>
      <c r="BA40" s="144">
        <v>0.2</v>
      </c>
      <c r="BD40" s="144" t="s">
        <v>26</v>
      </c>
      <c r="BE40" s="144" t="s">
        <v>12</v>
      </c>
      <c r="BF40" s="144">
        <v>2020</v>
      </c>
      <c r="BG40" s="159">
        <v>0</v>
      </c>
    </row>
    <row r="41" spans="1:59">
      <c r="AW41" s="144" t="s">
        <v>162</v>
      </c>
      <c r="AX41" s="144">
        <v>2000</v>
      </c>
      <c r="AY41" s="144" t="s">
        <v>161</v>
      </c>
      <c r="AZ41" s="144" t="s">
        <v>29</v>
      </c>
      <c r="BA41" s="144">
        <v>4.4000000000000004</v>
      </c>
      <c r="BD41" s="144" t="s">
        <v>26</v>
      </c>
      <c r="BE41" s="144" t="s">
        <v>228</v>
      </c>
      <c r="BF41" s="144">
        <v>2020</v>
      </c>
      <c r="BG41" s="159">
        <v>1.3608229231231652</v>
      </c>
    </row>
    <row r="42" spans="1:59">
      <c r="AW42" s="144" t="s">
        <v>162</v>
      </c>
      <c r="AX42" s="144">
        <v>2000</v>
      </c>
      <c r="AY42" s="144" t="s">
        <v>161</v>
      </c>
      <c r="AZ42" s="144" t="s">
        <v>25</v>
      </c>
      <c r="BA42" s="144">
        <v>4.5</v>
      </c>
      <c r="BD42" s="144" t="s">
        <v>25</v>
      </c>
      <c r="BE42" s="144" t="s">
        <v>41</v>
      </c>
      <c r="BF42" s="144">
        <v>2020</v>
      </c>
      <c r="BG42" s="159">
        <v>18.84951215033287</v>
      </c>
    </row>
    <row r="43" spans="1:59">
      <c r="AW43" s="144" t="s">
        <v>162</v>
      </c>
      <c r="AX43" s="144">
        <v>2000</v>
      </c>
      <c r="AY43" s="144" t="s">
        <v>161</v>
      </c>
      <c r="AZ43" s="144" t="s">
        <v>26</v>
      </c>
      <c r="BA43" s="144">
        <v>4.4000000000000004</v>
      </c>
      <c r="BD43" s="144" t="s">
        <v>25</v>
      </c>
      <c r="BE43" s="144" t="s">
        <v>8</v>
      </c>
      <c r="BF43" s="144">
        <v>2020</v>
      </c>
      <c r="BG43" s="159">
        <v>74.566718951597252</v>
      </c>
    </row>
    <row r="44" spans="1:59">
      <c r="AW44" s="144" t="s">
        <v>162</v>
      </c>
      <c r="AX44" s="144">
        <v>2004</v>
      </c>
      <c r="AY44" s="144" t="s">
        <v>175</v>
      </c>
      <c r="AZ44" s="144" t="s">
        <v>29</v>
      </c>
      <c r="BA44" s="144">
        <v>2</v>
      </c>
      <c r="BB44" s="148" t="s">
        <v>13</v>
      </c>
      <c r="BD44" s="144" t="s">
        <v>25</v>
      </c>
      <c r="BE44" s="144" t="s">
        <v>256</v>
      </c>
      <c r="BF44" s="144">
        <v>2020</v>
      </c>
      <c r="BG44" s="159">
        <v>6.1102063661659907</v>
      </c>
    </row>
    <row r="45" spans="1:59">
      <c r="AW45" s="144" t="s">
        <v>162</v>
      </c>
      <c r="AX45" s="144">
        <v>2004</v>
      </c>
      <c r="AY45" s="144" t="s">
        <v>175</v>
      </c>
      <c r="AZ45" s="144" t="s">
        <v>25</v>
      </c>
      <c r="BA45" s="144">
        <v>10.6</v>
      </c>
      <c r="BB45" s="148" t="s">
        <v>13</v>
      </c>
      <c r="BD45" s="144" t="s">
        <v>25</v>
      </c>
      <c r="BE45" s="144" t="s">
        <v>43</v>
      </c>
      <c r="BF45" s="144">
        <v>2020</v>
      </c>
      <c r="BG45" s="159">
        <v>0.19009269587653432</v>
      </c>
    </row>
    <row r="46" spans="1:59">
      <c r="AW46" s="144" t="s">
        <v>162</v>
      </c>
      <c r="AX46" s="144">
        <v>2004</v>
      </c>
      <c r="AY46" s="144" t="s">
        <v>175</v>
      </c>
      <c r="AZ46" s="144" t="s">
        <v>26</v>
      </c>
      <c r="BA46" s="144">
        <v>0.3</v>
      </c>
      <c r="BB46" s="148" t="s">
        <v>13</v>
      </c>
      <c r="BD46" s="144" t="s">
        <v>25</v>
      </c>
      <c r="BE46" s="144" t="s">
        <v>12</v>
      </c>
      <c r="BF46" s="144">
        <v>2020</v>
      </c>
      <c r="BG46" s="159">
        <v>0</v>
      </c>
    </row>
    <row r="47" spans="1:59">
      <c r="AW47" s="144" t="s">
        <v>162</v>
      </c>
      <c r="AX47" s="144">
        <v>2004</v>
      </c>
      <c r="AY47" s="144" t="s">
        <v>174</v>
      </c>
      <c r="AZ47" s="144" t="s">
        <v>29</v>
      </c>
      <c r="BA47" s="144">
        <v>0</v>
      </c>
      <c r="BB47" s="148" t="s">
        <v>11</v>
      </c>
      <c r="BD47" s="144" t="s">
        <v>25</v>
      </c>
      <c r="BE47" s="144" t="s">
        <v>228</v>
      </c>
      <c r="BF47" s="144">
        <v>2020</v>
      </c>
      <c r="BG47" s="159">
        <v>0.28346983602738385</v>
      </c>
    </row>
    <row r="48" spans="1:59">
      <c r="AW48" s="144" t="s">
        <v>162</v>
      </c>
      <c r="AX48" s="144">
        <v>2004</v>
      </c>
      <c r="AY48" s="144" t="s">
        <v>174</v>
      </c>
      <c r="AZ48" s="144" t="s">
        <v>25</v>
      </c>
      <c r="BA48" s="144">
        <v>0.2</v>
      </c>
      <c r="BB48" s="148" t="s">
        <v>11</v>
      </c>
      <c r="BD48" s="144" t="s">
        <v>29</v>
      </c>
      <c r="BE48" s="144" t="s">
        <v>41</v>
      </c>
      <c r="BF48" s="144">
        <v>2020</v>
      </c>
      <c r="BG48" s="159">
        <v>79.222468737665963</v>
      </c>
    </row>
    <row r="49" spans="2:59">
      <c r="AW49" s="144" t="s">
        <v>162</v>
      </c>
      <c r="AX49" s="144">
        <v>2004</v>
      </c>
      <c r="AY49" s="144" t="s">
        <v>174</v>
      </c>
      <c r="AZ49" s="144" t="s">
        <v>26</v>
      </c>
      <c r="BA49" s="144">
        <v>0</v>
      </c>
      <c r="BB49" s="148" t="s">
        <v>11</v>
      </c>
      <c r="BD49" s="144" t="s">
        <v>29</v>
      </c>
      <c r="BE49" s="144" t="s">
        <v>8</v>
      </c>
      <c r="BF49" s="144">
        <v>2020</v>
      </c>
      <c r="BG49" s="159">
        <v>18.364736406671867</v>
      </c>
    </row>
    <row r="50" spans="2:59">
      <c r="AW50" s="144" t="s">
        <v>162</v>
      </c>
      <c r="AX50" s="144">
        <v>2004</v>
      </c>
      <c r="AY50" s="144" t="s">
        <v>173</v>
      </c>
      <c r="AZ50" s="144" t="s">
        <v>29</v>
      </c>
      <c r="BA50" s="144">
        <v>0.1</v>
      </c>
      <c r="BB50" s="148" t="s">
        <v>12</v>
      </c>
      <c r="BD50" s="144" t="s">
        <v>29</v>
      </c>
      <c r="BE50" s="144" t="s">
        <v>256</v>
      </c>
      <c r="BF50" s="144">
        <v>2020</v>
      </c>
      <c r="BG50" s="159">
        <v>1.1961816790220225</v>
      </c>
    </row>
    <row r="51" spans="2:59">
      <c r="AW51" s="144" t="s">
        <v>162</v>
      </c>
      <c r="AX51" s="144">
        <v>2004</v>
      </c>
      <c r="AY51" s="144" t="s">
        <v>173</v>
      </c>
      <c r="AZ51" s="144" t="s">
        <v>25</v>
      </c>
      <c r="BA51" s="144">
        <v>0.2</v>
      </c>
      <c r="BB51" s="148" t="s">
        <v>12</v>
      </c>
      <c r="BD51" s="144" t="s">
        <v>29</v>
      </c>
      <c r="BE51" s="144" t="s">
        <v>43</v>
      </c>
      <c r="BF51" s="144">
        <v>2020</v>
      </c>
      <c r="BG51" s="159">
        <v>3.0896476109872398E-2</v>
      </c>
    </row>
    <row r="52" spans="2:59">
      <c r="AW52" s="144" t="s">
        <v>162</v>
      </c>
      <c r="AX52" s="144">
        <v>2004</v>
      </c>
      <c r="AY52" s="144" t="s">
        <v>173</v>
      </c>
      <c r="AZ52" s="144" t="s">
        <v>26</v>
      </c>
      <c r="BA52" s="144">
        <v>0</v>
      </c>
      <c r="BB52" s="148" t="s">
        <v>12</v>
      </c>
      <c r="BD52" s="144" t="s">
        <v>29</v>
      </c>
      <c r="BE52" s="144" t="s">
        <v>12</v>
      </c>
      <c r="BF52" s="144">
        <v>2020</v>
      </c>
      <c r="BG52" s="159">
        <v>0</v>
      </c>
    </row>
    <row r="53" spans="2:59">
      <c r="AW53" s="144" t="s">
        <v>162</v>
      </c>
      <c r="AX53" s="144">
        <v>2004</v>
      </c>
      <c r="AY53" s="144" t="s">
        <v>172</v>
      </c>
      <c r="AZ53" s="144" t="s">
        <v>29</v>
      </c>
      <c r="BA53" s="144">
        <v>0</v>
      </c>
      <c r="BB53" s="148" t="s">
        <v>181</v>
      </c>
      <c r="BD53" s="144" t="s">
        <v>29</v>
      </c>
      <c r="BE53" s="144" t="s">
        <v>228</v>
      </c>
      <c r="BF53" s="144">
        <v>2020</v>
      </c>
      <c r="BG53" s="159">
        <v>1.1857167005307365</v>
      </c>
    </row>
    <row r="54" spans="2:59">
      <c r="AW54" s="144" t="s">
        <v>162</v>
      </c>
      <c r="AX54" s="144">
        <v>2004</v>
      </c>
      <c r="AY54" s="144" t="s">
        <v>172</v>
      </c>
      <c r="AZ54" s="144" t="s">
        <v>25</v>
      </c>
      <c r="BA54" s="144">
        <v>0</v>
      </c>
      <c r="BB54" s="148" t="s">
        <v>181</v>
      </c>
      <c r="BD54" s="144" t="s">
        <v>26</v>
      </c>
      <c r="BE54" s="144" t="s">
        <v>41</v>
      </c>
      <c r="BF54" s="144">
        <v>2024</v>
      </c>
      <c r="BG54" s="159">
        <v>76.004607889734928</v>
      </c>
    </row>
    <row r="55" spans="2:59">
      <c r="AW55" s="144" t="s">
        <v>162</v>
      </c>
      <c r="AX55" s="144">
        <v>2004</v>
      </c>
      <c r="AY55" s="144" t="s">
        <v>172</v>
      </c>
      <c r="AZ55" s="144" t="s">
        <v>26</v>
      </c>
      <c r="BA55" s="144">
        <v>0</v>
      </c>
      <c r="BB55" s="148" t="s">
        <v>181</v>
      </c>
      <c r="BD55" s="144" t="s">
        <v>26</v>
      </c>
      <c r="BE55" s="144" t="s">
        <v>8</v>
      </c>
      <c r="BF55" s="144">
        <v>2024</v>
      </c>
      <c r="BG55" s="159">
        <v>23.018685204695924</v>
      </c>
    </row>
    <row r="56" spans="2:59">
      <c r="AW56" s="144" t="s">
        <v>162</v>
      </c>
      <c r="AX56" s="144">
        <v>2004</v>
      </c>
      <c r="AY56" s="144" t="s">
        <v>171</v>
      </c>
      <c r="AZ56" s="144" t="s">
        <v>29</v>
      </c>
      <c r="BA56" s="144">
        <v>8.5</v>
      </c>
      <c r="BB56" s="148" t="s">
        <v>8</v>
      </c>
      <c r="BD56" s="144" t="s">
        <v>26</v>
      </c>
      <c r="BE56" s="144" t="s">
        <v>256</v>
      </c>
      <c r="BF56" s="144">
        <v>2024</v>
      </c>
      <c r="BG56" s="159">
        <v>0.19693026578878661</v>
      </c>
    </row>
    <row r="57" spans="2:59">
      <c r="AW57" s="144" t="s">
        <v>162</v>
      </c>
      <c r="AX57" s="144">
        <v>2004</v>
      </c>
      <c r="AY57" s="144" t="s">
        <v>171</v>
      </c>
      <c r="AZ57" s="144" t="s">
        <v>25</v>
      </c>
      <c r="BA57" s="144">
        <v>41.4</v>
      </c>
      <c r="BB57" s="148" t="s">
        <v>8</v>
      </c>
      <c r="BD57" s="144" t="s">
        <v>26</v>
      </c>
      <c r="BE57" s="144" t="s">
        <v>43</v>
      </c>
      <c r="BF57" s="144">
        <v>2024</v>
      </c>
      <c r="BG57" s="159">
        <v>1.5703233961987396E-2</v>
      </c>
    </row>
    <row r="58" spans="2:59">
      <c r="B58" s="144" t="s">
        <v>159</v>
      </c>
      <c r="AW58" s="144" t="s">
        <v>162</v>
      </c>
      <c r="AX58" s="144">
        <v>2004</v>
      </c>
      <c r="AY58" s="144" t="s">
        <v>171</v>
      </c>
      <c r="AZ58" s="144" t="s">
        <v>26</v>
      </c>
      <c r="BA58" s="144">
        <v>2</v>
      </c>
      <c r="BB58" s="148" t="s">
        <v>8</v>
      </c>
      <c r="BD58" s="144" t="s">
        <v>26</v>
      </c>
      <c r="BE58" s="144" t="s">
        <v>12</v>
      </c>
      <c r="BF58" s="144">
        <v>2024</v>
      </c>
      <c r="BG58" s="159">
        <v>0</v>
      </c>
    </row>
    <row r="59" spans="2:59">
      <c r="D59" s="144" t="s">
        <v>26</v>
      </c>
      <c r="G59" s="144" t="s">
        <v>25</v>
      </c>
      <c r="AW59" s="144" t="s">
        <v>162</v>
      </c>
      <c r="AX59" s="144">
        <v>2004</v>
      </c>
      <c r="AY59" s="144" t="s">
        <v>170</v>
      </c>
      <c r="AZ59" s="144" t="s">
        <v>29</v>
      </c>
      <c r="BA59" s="144">
        <v>89.2</v>
      </c>
      <c r="BB59" s="148" t="s">
        <v>36</v>
      </c>
      <c r="BD59" s="144" t="s">
        <v>26</v>
      </c>
      <c r="BE59" s="144" t="s">
        <v>228</v>
      </c>
      <c r="BF59" s="144">
        <v>2024</v>
      </c>
      <c r="BG59" s="159">
        <v>0.71692612387864763</v>
      </c>
    </row>
    <row r="60" spans="2:59">
      <c r="D60" s="144">
        <v>2020</v>
      </c>
      <c r="E60" s="144">
        <v>2021</v>
      </c>
      <c r="F60" s="144">
        <v>2024</v>
      </c>
      <c r="G60" s="144">
        <v>2020</v>
      </c>
      <c r="H60" s="144">
        <v>2021</v>
      </c>
      <c r="I60" s="144">
        <v>2024</v>
      </c>
      <c r="AW60" s="144" t="s">
        <v>162</v>
      </c>
      <c r="AX60" s="144">
        <v>2004</v>
      </c>
      <c r="AY60" s="144" t="s">
        <v>170</v>
      </c>
      <c r="AZ60" s="144" t="s">
        <v>25</v>
      </c>
      <c r="BA60" s="144">
        <v>47.1</v>
      </c>
      <c r="BB60" s="148" t="s">
        <v>36</v>
      </c>
      <c r="BD60" s="144" t="s">
        <v>25</v>
      </c>
      <c r="BE60" s="144" t="s">
        <v>41</v>
      </c>
      <c r="BF60" s="144">
        <v>2024</v>
      </c>
      <c r="BG60" s="159">
        <v>25.785095912773393</v>
      </c>
    </row>
    <row r="61" spans="2:59">
      <c r="B61" s="149" t="s">
        <v>36</v>
      </c>
      <c r="C61" s="149"/>
      <c r="D61" s="150">
        <v>85.6</v>
      </c>
      <c r="E61" s="150">
        <v>80.8</v>
      </c>
      <c r="F61" s="150">
        <f>80-F63</f>
        <v>77</v>
      </c>
      <c r="G61" s="150">
        <v>29.4</v>
      </c>
      <c r="H61" s="150">
        <v>35.200000000000003</v>
      </c>
      <c r="I61" s="150">
        <v>41.2</v>
      </c>
      <c r="AW61" s="144" t="s">
        <v>162</v>
      </c>
      <c r="AX61" s="144">
        <v>2004</v>
      </c>
      <c r="AY61" s="144" t="s">
        <v>170</v>
      </c>
      <c r="AZ61" s="144" t="s">
        <v>26</v>
      </c>
      <c r="BA61" s="144">
        <v>97.5</v>
      </c>
      <c r="BB61" s="148" t="s">
        <v>36</v>
      </c>
      <c r="BD61" s="144" t="s">
        <v>25</v>
      </c>
      <c r="BE61" s="144" t="s">
        <v>8</v>
      </c>
      <c r="BF61" s="144">
        <v>2024</v>
      </c>
      <c r="BG61" s="159">
        <v>67.495276563901768</v>
      </c>
    </row>
    <row r="62" spans="2:59">
      <c r="B62" s="149" t="s">
        <v>8</v>
      </c>
      <c r="C62" s="149"/>
      <c r="D62" s="150">
        <v>9.1999999999999993</v>
      </c>
      <c r="E62" s="150">
        <v>15</v>
      </c>
      <c r="F62" s="150">
        <v>14.7</v>
      </c>
      <c r="G62" s="150">
        <v>55</v>
      </c>
      <c r="H62" s="150">
        <v>54.2</v>
      </c>
      <c r="I62" s="150">
        <v>44.6</v>
      </c>
      <c r="AW62" s="144" t="s">
        <v>162</v>
      </c>
      <c r="AX62" s="144">
        <v>2004</v>
      </c>
      <c r="AY62" s="144" t="s">
        <v>169</v>
      </c>
      <c r="AZ62" s="144" t="s">
        <v>29</v>
      </c>
      <c r="BA62" s="144" t="s">
        <v>160</v>
      </c>
      <c r="BB62" s="148" t="s">
        <v>17</v>
      </c>
      <c r="BD62" s="144" t="s">
        <v>25</v>
      </c>
      <c r="BE62" s="144" t="s">
        <v>256</v>
      </c>
      <c r="BF62" s="144">
        <v>2024</v>
      </c>
      <c r="BG62" s="159">
        <v>5.8766145174121922</v>
      </c>
    </row>
    <row r="63" spans="2:59">
      <c r="B63" s="149" t="s">
        <v>37</v>
      </c>
      <c r="C63" s="149"/>
      <c r="D63" s="150">
        <v>2</v>
      </c>
      <c r="E63" s="150">
        <v>2</v>
      </c>
      <c r="F63" s="150">
        <v>3</v>
      </c>
      <c r="AW63" s="144" t="s">
        <v>162</v>
      </c>
      <c r="AX63" s="144">
        <v>2004</v>
      </c>
      <c r="AY63" s="144" t="s">
        <v>169</v>
      </c>
      <c r="AZ63" s="144" t="s">
        <v>25</v>
      </c>
      <c r="BA63" s="144" t="s">
        <v>160</v>
      </c>
      <c r="BB63" s="148" t="s">
        <v>17</v>
      </c>
      <c r="BD63" s="144" t="s">
        <v>25</v>
      </c>
      <c r="BE63" s="144" t="s">
        <v>43</v>
      </c>
      <c r="BF63" s="144">
        <v>2024</v>
      </c>
      <c r="BG63" s="159">
        <v>0.78620036110144809</v>
      </c>
    </row>
    <row r="64" spans="2:59">
      <c r="B64" s="149" t="s">
        <v>10</v>
      </c>
      <c r="C64" s="149"/>
      <c r="G64" s="150">
        <v>2</v>
      </c>
      <c r="H64" s="150">
        <v>2</v>
      </c>
      <c r="I64" s="150">
        <v>4</v>
      </c>
      <c r="AW64" s="144" t="s">
        <v>162</v>
      </c>
      <c r="AX64" s="144">
        <v>2004</v>
      </c>
      <c r="AY64" s="144" t="s">
        <v>169</v>
      </c>
      <c r="AZ64" s="144" t="s">
        <v>26</v>
      </c>
      <c r="BA64" s="144" t="s">
        <v>160</v>
      </c>
      <c r="BB64" s="148" t="s">
        <v>17</v>
      </c>
      <c r="BD64" s="144" t="s">
        <v>25</v>
      </c>
      <c r="BE64" s="144" t="s">
        <v>12</v>
      </c>
      <c r="BF64" s="144">
        <v>2024</v>
      </c>
      <c r="BG64" s="159">
        <v>0</v>
      </c>
    </row>
    <row r="65" spans="2:59">
      <c r="B65" s="149" t="s">
        <v>11</v>
      </c>
      <c r="C65" s="149"/>
      <c r="D65" s="144">
        <v>0.1</v>
      </c>
      <c r="E65" s="150">
        <v>0.2</v>
      </c>
      <c r="F65" s="150">
        <v>0.3</v>
      </c>
      <c r="G65" s="144">
        <v>4</v>
      </c>
      <c r="H65" s="150">
        <v>4.5</v>
      </c>
      <c r="I65" s="150">
        <v>2.4</v>
      </c>
      <c r="AW65" s="144" t="s">
        <v>162</v>
      </c>
      <c r="AX65" s="144">
        <v>2004</v>
      </c>
      <c r="AY65" s="144" t="s">
        <v>168</v>
      </c>
      <c r="AZ65" s="144" t="s">
        <v>29</v>
      </c>
      <c r="BA65" s="144" t="s">
        <v>160</v>
      </c>
      <c r="BB65" s="148" t="s">
        <v>17</v>
      </c>
      <c r="BD65" s="144" t="s">
        <v>25</v>
      </c>
      <c r="BE65" s="144" t="s">
        <v>228</v>
      </c>
      <c r="BF65" s="144">
        <v>2024</v>
      </c>
      <c r="BG65" s="159">
        <v>1.2411754873895038E-2</v>
      </c>
    </row>
    <row r="66" spans="2:59">
      <c r="B66" s="149" t="s">
        <v>12</v>
      </c>
      <c r="C66" s="149"/>
      <c r="D66" s="150">
        <v>0.2</v>
      </c>
      <c r="F66" s="150">
        <v>0.8</v>
      </c>
      <c r="G66" s="150">
        <v>1.6</v>
      </c>
      <c r="I66" s="150">
        <v>0.9</v>
      </c>
      <c r="AW66" s="144" t="s">
        <v>162</v>
      </c>
      <c r="AX66" s="144">
        <v>2004</v>
      </c>
      <c r="AY66" s="144" t="s">
        <v>168</v>
      </c>
      <c r="AZ66" s="144" t="s">
        <v>25</v>
      </c>
      <c r="BA66" s="144" t="s">
        <v>160</v>
      </c>
      <c r="BB66" s="148" t="s">
        <v>17</v>
      </c>
      <c r="BD66" s="144" t="s">
        <v>29</v>
      </c>
      <c r="BE66" s="144" t="s">
        <v>41</v>
      </c>
      <c r="BF66" s="144">
        <v>2024</v>
      </c>
      <c r="BG66" s="159">
        <v>66.904225078750628</v>
      </c>
    </row>
    <row r="67" spans="2:59">
      <c r="B67" s="149" t="s">
        <v>13</v>
      </c>
      <c r="C67" s="149"/>
      <c r="D67" s="150">
        <v>0.5</v>
      </c>
      <c r="F67" s="150">
        <v>1.3</v>
      </c>
      <c r="G67" s="150">
        <v>4</v>
      </c>
      <c r="I67" s="150">
        <v>2.4</v>
      </c>
      <c r="AW67" s="144" t="s">
        <v>162</v>
      </c>
      <c r="AX67" s="144">
        <v>2004</v>
      </c>
      <c r="AY67" s="144" t="s">
        <v>168</v>
      </c>
      <c r="AZ67" s="144" t="s">
        <v>26</v>
      </c>
      <c r="BA67" s="144" t="s">
        <v>160</v>
      </c>
      <c r="BB67" s="148" t="s">
        <v>17</v>
      </c>
      <c r="BD67" s="144" t="s">
        <v>29</v>
      </c>
      <c r="BE67" s="144" t="s">
        <v>8</v>
      </c>
      <c r="BF67" s="144">
        <v>2024</v>
      </c>
      <c r="BG67" s="159">
        <v>31.078381357899705</v>
      </c>
    </row>
    <row r="68" spans="2:59" ht="17" thickBot="1">
      <c r="B68" s="153" t="s">
        <v>17</v>
      </c>
      <c r="C68" s="160"/>
      <c r="D68" s="150">
        <v>2.4</v>
      </c>
      <c r="E68" s="150">
        <v>0.4</v>
      </c>
      <c r="F68" s="150">
        <v>2.6</v>
      </c>
      <c r="G68" s="150">
        <v>3.9000000000000004</v>
      </c>
      <c r="H68" s="150">
        <v>2.9</v>
      </c>
      <c r="I68" s="150">
        <v>2.5</v>
      </c>
      <c r="AW68" s="144" t="s">
        <v>162</v>
      </c>
      <c r="AX68" s="144">
        <v>2004</v>
      </c>
      <c r="AY68" s="144" t="s">
        <v>167</v>
      </c>
      <c r="AZ68" s="144" t="s">
        <v>29</v>
      </c>
      <c r="BA68" s="144">
        <v>0.1</v>
      </c>
      <c r="BB68" s="148" t="s">
        <v>17</v>
      </c>
      <c r="BD68" s="144" t="s">
        <v>29</v>
      </c>
      <c r="BE68" s="144" t="s">
        <v>256</v>
      </c>
      <c r="BF68" s="144">
        <v>2024</v>
      </c>
      <c r="BG68" s="159">
        <v>1.2261577293890615</v>
      </c>
    </row>
    <row r="69" spans="2:59">
      <c r="AW69" s="144" t="s">
        <v>162</v>
      </c>
      <c r="AX69" s="144">
        <v>2004</v>
      </c>
      <c r="AY69" s="144" t="s">
        <v>167</v>
      </c>
      <c r="AZ69" s="144" t="s">
        <v>25</v>
      </c>
      <c r="BA69" s="144">
        <v>0</v>
      </c>
      <c r="BB69" s="148" t="s">
        <v>17</v>
      </c>
      <c r="BD69" s="144" t="s">
        <v>29</v>
      </c>
      <c r="BE69" s="144" t="s">
        <v>43</v>
      </c>
      <c r="BF69" s="144">
        <v>2024</v>
      </c>
      <c r="BG69" s="159">
        <v>0.15532663004256714</v>
      </c>
    </row>
    <row r="70" spans="2:59">
      <c r="AW70" s="144" t="s">
        <v>162</v>
      </c>
      <c r="AX70" s="144">
        <v>2004</v>
      </c>
      <c r="AY70" s="144" t="s">
        <v>167</v>
      </c>
      <c r="AZ70" s="144" t="s">
        <v>26</v>
      </c>
      <c r="BA70" s="144">
        <v>0.1</v>
      </c>
      <c r="BB70" s="148" t="s">
        <v>17</v>
      </c>
      <c r="BD70" s="144" t="s">
        <v>29</v>
      </c>
      <c r="BE70" s="144" t="s">
        <v>12</v>
      </c>
      <c r="BF70" s="144">
        <v>2024</v>
      </c>
      <c r="BG70" s="159">
        <v>0</v>
      </c>
    </row>
    <row r="71" spans="2:59">
      <c r="AW71" s="144" t="s">
        <v>162</v>
      </c>
      <c r="AX71" s="144">
        <v>2004</v>
      </c>
      <c r="AY71" s="144" t="s">
        <v>166</v>
      </c>
      <c r="AZ71" s="144" t="s">
        <v>29</v>
      </c>
      <c r="BA71" s="144">
        <v>0</v>
      </c>
      <c r="BB71" s="148" t="s">
        <v>17</v>
      </c>
      <c r="BD71" s="144" t="s">
        <v>29</v>
      </c>
      <c r="BE71" s="144" t="s">
        <v>228</v>
      </c>
      <c r="BF71" s="144">
        <v>2024</v>
      </c>
      <c r="BG71" s="159">
        <v>0.58925960141774558</v>
      </c>
    </row>
    <row r="72" spans="2:59">
      <c r="AW72" s="144" t="s">
        <v>162</v>
      </c>
      <c r="AX72" s="144">
        <v>2004</v>
      </c>
      <c r="AY72" s="144" t="s">
        <v>166</v>
      </c>
      <c r="AZ72" s="144" t="s">
        <v>25</v>
      </c>
      <c r="BA72" s="144">
        <v>0.2</v>
      </c>
      <c r="BB72" s="148" t="s">
        <v>17</v>
      </c>
    </row>
    <row r="73" spans="2:59">
      <c r="AW73" s="144" t="s">
        <v>162</v>
      </c>
      <c r="AX73" s="144">
        <v>2004</v>
      </c>
      <c r="AY73" s="144" t="s">
        <v>166</v>
      </c>
      <c r="AZ73" s="144" t="s">
        <v>26</v>
      </c>
      <c r="BA73" s="144">
        <v>0</v>
      </c>
      <c r="BB73" s="148" t="s">
        <v>17</v>
      </c>
    </row>
    <row r="74" spans="2:59">
      <c r="AW74" s="144" t="s">
        <v>162</v>
      </c>
      <c r="AX74" s="144">
        <v>2004</v>
      </c>
      <c r="AY74" s="144" t="s">
        <v>165</v>
      </c>
      <c r="AZ74" s="144" t="s">
        <v>29</v>
      </c>
      <c r="BA74" s="144" t="s">
        <v>160</v>
      </c>
    </row>
    <row r="75" spans="2:59">
      <c r="AW75" s="144" t="s">
        <v>162</v>
      </c>
      <c r="AX75" s="144">
        <v>2004</v>
      </c>
      <c r="AY75" s="144" t="s">
        <v>165</v>
      </c>
      <c r="AZ75" s="144" t="s">
        <v>25</v>
      </c>
      <c r="BA75" s="144" t="s">
        <v>160</v>
      </c>
    </row>
    <row r="76" spans="2:59">
      <c r="AW76" s="144" t="s">
        <v>162</v>
      </c>
      <c r="AX76" s="144">
        <v>2004</v>
      </c>
      <c r="AY76" s="144" t="s">
        <v>165</v>
      </c>
      <c r="AZ76" s="144" t="s">
        <v>26</v>
      </c>
      <c r="BA76" s="144" t="s">
        <v>160</v>
      </c>
    </row>
    <row r="77" spans="2:59">
      <c r="AW77" s="144" t="s">
        <v>162</v>
      </c>
      <c r="AX77" s="144">
        <v>2004</v>
      </c>
      <c r="AY77" s="144" t="s">
        <v>164</v>
      </c>
      <c r="AZ77" s="144" t="s">
        <v>29</v>
      </c>
      <c r="BA77" s="144">
        <v>97.8</v>
      </c>
    </row>
    <row r="78" spans="2:59">
      <c r="AW78" s="144" t="s">
        <v>162</v>
      </c>
      <c r="AX78" s="144">
        <v>2004</v>
      </c>
      <c r="AY78" s="144" t="s">
        <v>164</v>
      </c>
      <c r="AZ78" s="144" t="s">
        <v>25</v>
      </c>
      <c r="BA78" s="144">
        <v>88.6</v>
      </c>
    </row>
    <row r="79" spans="2:59">
      <c r="AW79" s="144" t="s">
        <v>162</v>
      </c>
      <c r="AX79" s="144">
        <v>2004</v>
      </c>
      <c r="AY79" s="144" t="s">
        <v>164</v>
      </c>
      <c r="AZ79" s="144" t="s">
        <v>26</v>
      </c>
      <c r="BA79" s="144">
        <v>99.7</v>
      </c>
    </row>
    <row r="80" spans="2:59">
      <c r="AW80" s="144" t="s">
        <v>162</v>
      </c>
      <c r="AX80" s="144">
        <v>2004</v>
      </c>
      <c r="AY80" s="144" t="s">
        <v>163</v>
      </c>
      <c r="AZ80" s="144" t="s">
        <v>29</v>
      </c>
      <c r="BA80" s="144">
        <v>2</v>
      </c>
    </row>
    <row r="81" spans="49:54">
      <c r="AW81" s="144" t="s">
        <v>162</v>
      </c>
      <c r="AX81" s="144">
        <v>2004</v>
      </c>
      <c r="AY81" s="144" t="s">
        <v>163</v>
      </c>
      <c r="AZ81" s="144" t="s">
        <v>25</v>
      </c>
      <c r="BA81" s="144">
        <v>10.8</v>
      </c>
    </row>
    <row r="82" spans="49:54">
      <c r="AW82" s="144" t="s">
        <v>162</v>
      </c>
      <c r="AX82" s="144">
        <v>2004</v>
      </c>
      <c r="AY82" s="144" t="s">
        <v>163</v>
      </c>
      <c r="AZ82" s="144" t="s">
        <v>26</v>
      </c>
      <c r="BA82" s="144">
        <v>0.3</v>
      </c>
    </row>
    <row r="83" spans="49:54">
      <c r="AW83" s="144" t="s">
        <v>162</v>
      </c>
      <c r="AX83" s="144">
        <v>2004</v>
      </c>
      <c r="AY83" s="144" t="s">
        <v>161</v>
      </c>
      <c r="AZ83" s="144" t="s">
        <v>29</v>
      </c>
      <c r="BA83" s="144">
        <v>4.4000000000000004</v>
      </c>
    </row>
    <row r="84" spans="49:54">
      <c r="AW84" s="144" t="s">
        <v>162</v>
      </c>
      <c r="AX84" s="144">
        <v>2004</v>
      </c>
      <c r="AY84" s="144" t="s">
        <v>161</v>
      </c>
      <c r="AZ84" s="144" t="s">
        <v>25</v>
      </c>
      <c r="BA84" s="144">
        <v>4.2</v>
      </c>
    </row>
    <row r="85" spans="49:54">
      <c r="AW85" s="144" t="s">
        <v>162</v>
      </c>
      <c r="AX85" s="144">
        <v>2004</v>
      </c>
      <c r="AY85" s="144" t="s">
        <v>161</v>
      </c>
      <c r="AZ85" s="144" t="s">
        <v>26</v>
      </c>
      <c r="BA85" s="144">
        <v>4.4000000000000004</v>
      </c>
    </row>
    <row r="86" spans="49:54">
      <c r="AW86" s="144" t="s">
        <v>162</v>
      </c>
      <c r="AX86" s="144">
        <v>2010</v>
      </c>
      <c r="AY86" s="144" t="s">
        <v>175</v>
      </c>
      <c r="AZ86" s="144" t="s">
        <v>29</v>
      </c>
      <c r="BA86" s="144">
        <v>1.7</v>
      </c>
      <c r="BB86" s="148" t="s">
        <v>13</v>
      </c>
    </row>
    <row r="87" spans="49:54">
      <c r="AW87" s="144" t="s">
        <v>162</v>
      </c>
      <c r="AX87" s="144">
        <v>2010</v>
      </c>
      <c r="AY87" s="144" t="s">
        <v>175</v>
      </c>
      <c r="AZ87" s="144" t="s">
        <v>25</v>
      </c>
      <c r="BA87" s="144">
        <v>9.1999999999999993</v>
      </c>
      <c r="BB87" s="148" t="s">
        <v>13</v>
      </c>
    </row>
    <row r="88" spans="49:54">
      <c r="AW88" s="144" t="s">
        <v>162</v>
      </c>
      <c r="AX88" s="144">
        <v>2010</v>
      </c>
      <c r="AY88" s="144" t="s">
        <v>175</v>
      </c>
      <c r="AZ88" s="144" t="s">
        <v>26</v>
      </c>
      <c r="BA88" s="144">
        <v>0.2</v>
      </c>
      <c r="BB88" s="148" t="s">
        <v>13</v>
      </c>
    </row>
    <row r="89" spans="49:54">
      <c r="AW89" s="144" t="s">
        <v>162</v>
      </c>
      <c r="AX89" s="144">
        <v>2010</v>
      </c>
      <c r="AY89" s="144" t="s">
        <v>174</v>
      </c>
      <c r="AZ89" s="144" t="s">
        <v>29</v>
      </c>
      <c r="BA89" s="144">
        <v>0</v>
      </c>
      <c r="BB89" s="148" t="s">
        <v>11</v>
      </c>
    </row>
    <row r="90" spans="49:54">
      <c r="AW90" s="144" t="s">
        <v>162</v>
      </c>
      <c r="AX90" s="144">
        <v>2010</v>
      </c>
      <c r="AY90" s="144" t="s">
        <v>174</v>
      </c>
      <c r="AZ90" s="144" t="s">
        <v>25</v>
      </c>
      <c r="BA90" s="144">
        <v>0</v>
      </c>
      <c r="BB90" s="148" t="s">
        <v>11</v>
      </c>
    </row>
    <row r="91" spans="49:54">
      <c r="AW91" s="144" t="s">
        <v>162</v>
      </c>
      <c r="AX91" s="144">
        <v>2010</v>
      </c>
      <c r="AY91" s="144" t="s">
        <v>174</v>
      </c>
      <c r="AZ91" s="144" t="s">
        <v>26</v>
      </c>
      <c r="BA91" s="144">
        <v>0</v>
      </c>
      <c r="BB91" s="148" t="s">
        <v>11</v>
      </c>
    </row>
    <row r="92" spans="49:54">
      <c r="AW92" s="144" t="s">
        <v>162</v>
      </c>
      <c r="AX92" s="144">
        <v>2010</v>
      </c>
      <c r="AY92" s="144" t="s">
        <v>173</v>
      </c>
      <c r="AZ92" s="144" t="s">
        <v>29</v>
      </c>
      <c r="BA92" s="144">
        <v>0</v>
      </c>
      <c r="BB92" s="148" t="s">
        <v>12</v>
      </c>
    </row>
    <row r="93" spans="49:54">
      <c r="AW93" s="144" t="s">
        <v>162</v>
      </c>
      <c r="AX93" s="144">
        <v>2010</v>
      </c>
      <c r="AY93" s="144" t="s">
        <v>173</v>
      </c>
      <c r="AZ93" s="144" t="s">
        <v>25</v>
      </c>
      <c r="BA93" s="144">
        <v>0.2</v>
      </c>
      <c r="BB93" s="148" t="s">
        <v>12</v>
      </c>
    </row>
    <row r="94" spans="49:54">
      <c r="AW94" s="144" t="s">
        <v>162</v>
      </c>
      <c r="AX94" s="144">
        <v>2010</v>
      </c>
      <c r="AY94" s="144" t="s">
        <v>173</v>
      </c>
      <c r="AZ94" s="144" t="s">
        <v>26</v>
      </c>
      <c r="BA94" s="144">
        <v>0</v>
      </c>
      <c r="BB94" s="148" t="s">
        <v>12</v>
      </c>
    </row>
    <row r="95" spans="49:54">
      <c r="AW95" s="144" t="s">
        <v>162</v>
      </c>
      <c r="AX95" s="144">
        <v>2010</v>
      </c>
      <c r="AY95" s="144" t="s">
        <v>172</v>
      </c>
      <c r="AZ95" s="144" t="s">
        <v>29</v>
      </c>
      <c r="BA95" s="144">
        <v>0</v>
      </c>
      <c r="BB95" s="148" t="s">
        <v>181</v>
      </c>
    </row>
    <row r="96" spans="49:54">
      <c r="AW96" s="144" t="s">
        <v>162</v>
      </c>
      <c r="AX96" s="144">
        <v>2010</v>
      </c>
      <c r="AY96" s="144" t="s">
        <v>172</v>
      </c>
      <c r="AZ96" s="144" t="s">
        <v>25</v>
      </c>
      <c r="BA96" s="144">
        <v>0.2</v>
      </c>
      <c r="BB96" s="148" t="s">
        <v>181</v>
      </c>
    </row>
    <row r="97" spans="49:54">
      <c r="AW97" s="144" t="s">
        <v>162</v>
      </c>
      <c r="AX97" s="144">
        <v>2010</v>
      </c>
      <c r="AY97" s="144" t="s">
        <v>172</v>
      </c>
      <c r="AZ97" s="144" t="s">
        <v>26</v>
      </c>
      <c r="BA97" s="144">
        <v>0</v>
      </c>
      <c r="BB97" s="148" t="s">
        <v>181</v>
      </c>
    </row>
    <row r="98" spans="49:54">
      <c r="AW98" s="144" t="s">
        <v>162</v>
      </c>
      <c r="AX98" s="144">
        <v>2010</v>
      </c>
      <c r="AY98" s="144" t="s">
        <v>171</v>
      </c>
      <c r="AZ98" s="144" t="s">
        <v>29</v>
      </c>
      <c r="BA98" s="144">
        <v>11.8</v>
      </c>
      <c r="BB98" s="148" t="s">
        <v>8</v>
      </c>
    </row>
    <row r="99" spans="49:54">
      <c r="AW99" s="144" t="s">
        <v>162</v>
      </c>
      <c r="AX99" s="144">
        <v>2010</v>
      </c>
      <c r="AY99" s="144" t="s">
        <v>171</v>
      </c>
      <c r="AZ99" s="144" t="s">
        <v>25</v>
      </c>
      <c r="BA99" s="144">
        <v>52.8</v>
      </c>
      <c r="BB99" s="148" t="s">
        <v>8</v>
      </c>
    </row>
    <row r="100" spans="49:54">
      <c r="AW100" s="144" t="s">
        <v>162</v>
      </c>
      <c r="AX100" s="144">
        <v>2010</v>
      </c>
      <c r="AY100" s="144" t="s">
        <v>171</v>
      </c>
      <c r="AZ100" s="144" t="s">
        <v>26</v>
      </c>
      <c r="BA100" s="144">
        <v>3.7</v>
      </c>
      <c r="BB100" s="148" t="s">
        <v>8</v>
      </c>
    </row>
    <row r="101" spans="49:54">
      <c r="AW101" s="144" t="s">
        <v>162</v>
      </c>
      <c r="AX101" s="144">
        <v>2010</v>
      </c>
      <c r="AY101" s="144" t="s">
        <v>170</v>
      </c>
      <c r="AZ101" s="144" t="s">
        <v>29</v>
      </c>
      <c r="BA101" s="144">
        <v>84.6</v>
      </c>
      <c r="BB101" s="148" t="s">
        <v>36</v>
      </c>
    </row>
    <row r="102" spans="49:54">
      <c r="AW102" s="144" t="s">
        <v>162</v>
      </c>
      <c r="AX102" s="144">
        <v>2010</v>
      </c>
      <c r="AY102" s="144" t="s">
        <v>170</v>
      </c>
      <c r="AZ102" s="144" t="s">
        <v>25</v>
      </c>
      <c r="BA102" s="144">
        <v>36.700000000000003</v>
      </c>
      <c r="BB102" s="148" t="s">
        <v>36</v>
      </c>
    </row>
    <row r="103" spans="49:54">
      <c r="AW103" s="144" t="s">
        <v>162</v>
      </c>
      <c r="AX103" s="144">
        <v>2010</v>
      </c>
      <c r="AY103" s="144" t="s">
        <v>170</v>
      </c>
      <c r="AZ103" s="144" t="s">
        <v>26</v>
      </c>
      <c r="BA103" s="144">
        <v>94.1</v>
      </c>
      <c r="BB103" s="148" t="s">
        <v>36</v>
      </c>
    </row>
    <row r="104" spans="49:54">
      <c r="AW104" s="144" t="s">
        <v>162</v>
      </c>
      <c r="AX104" s="144">
        <v>2010</v>
      </c>
      <c r="AY104" s="144" t="s">
        <v>169</v>
      </c>
      <c r="AZ104" s="144" t="s">
        <v>29</v>
      </c>
      <c r="BA104" s="144">
        <v>1.7</v>
      </c>
      <c r="BB104" s="148" t="s">
        <v>17</v>
      </c>
    </row>
    <row r="105" spans="49:54">
      <c r="AW105" s="144" t="s">
        <v>162</v>
      </c>
      <c r="AX105" s="144">
        <v>2010</v>
      </c>
      <c r="AY105" s="144" t="s">
        <v>169</v>
      </c>
      <c r="AZ105" s="144" t="s">
        <v>25</v>
      </c>
      <c r="BA105" s="144">
        <v>0.7</v>
      </c>
      <c r="BB105" s="148" t="s">
        <v>17</v>
      </c>
    </row>
    <row r="106" spans="49:54">
      <c r="AW106" s="144" t="s">
        <v>162</v>
      </c>
      <c r="AX106" s="144">
        <v>2010</v>
      </c>
      <c r="AY106" s="144" t="s">
        <v>169</v>
      </c>
      <c r="AZ106" s="144" t="s">
        <v>26</v>
      </c>
      <c r="BA106" s="144">
        <v>1.9</v>
      </c>
      <c r="BB106" s="148" t="s">
        <v>17</v>
      </c>
    </row>
    <row r="107" spans="49:54">
      <c r="AW107" s="144" t="s">
        <v>162</v>
      </c>
      <c r="AX107" s="144">
        <v>2010</v>
      </c>
      <c r="AY107" s="144" t="s">
        <v>168</v>
      </c>
      <c r="AZ107" s="144" t="s">
        <v>29</v>
      </c>
      <c r="BA107" s="144" t="s">
        <v>160</v>
      </c>
      <c r="BB107" s="148" t="s">
        <v>17</v>
      </c>
    </row>
    <row r="108" spans="49:54">
      <c r="AW108" s="144" t="s">
        <v>162</v>
      </c>
      <c r="AX108" s="144">
        <v>2010</v>
      </c>
      <c r="AY108" s="144" t="s">
        <v>168</v>
      </c>
      <c r="AZ108" s="144" t="s">
        <v>25</v>
      </c>
      <c r="BA108" s="144" t="s">
        <v>160</v>
      </c>
      <c r="BB108" s="148" t="s">
        <v>17</v>
      </c>
    </row>
    <row r="109" spans="49:54">
      <c r="AW109" s="144" t="s">
        <v>162</v>
      </c>
      <c r="AX109" s="144">
        <v>2010</v>
      </c>
      <c r="AY109" s="144" t="s">
        <v>168</v>
      </c>
      <c r="AZ109" s="144" t="s">
        <v>26</v>
      </c>
      <c r="BA109" s="144" t="s">
        <v>160</v>
      </c>
      <c r="BB109" s="148" t="s">
        <v>17</v>
      </c>
    </row>
    <row r="110" spans="49:54">
      <c r="AW110" s="144" t="s">
        <v>162</v>
      </c>
      <c r="AX110" s="144">
        <v>2010</v>
      </c>
      <c r="AY110" s="144" t="s">
        <v>167</v>
      </c>
      <c r="AZ110" s="144" t="s">
        <v>29</v>
      </c>
      <c r="BA110" s="144">
        <v>0</v>
      </c>
      <c r="BB110" s="148" t="s">
        <v>17</v>
      </c>
    </row>
    <row r="111" spans="49:54">
      <c r="AW111" s="144" t="s">
        <v>162</v>
      </c>
      <c r="AX111" s="144">
        <v>2010</v>
      </c>
      <c r="AY111" s="144" t="s">
        <v>167</v>
      </c>
      <c r="AZ111" s="144" t="s">
        <v>25</v>
      </c>
      <c r="BA111" s="144">
        <v>0</v>
      </c>
      <c r="BB111" s="148" t="s">
        <v>17</v>
      </c>
    </row>
    <row r="112" spans="49:54">
      <c r="AW112" s="144" t="s">
        <v>162</v>
      </c>
      <c r="AX112" s="144">
        <v>2010</v>
      </c>
      <c r="AY112" s="144" t="s">
        <v>167</v>
      </c>
      <c r="AZ112" s="144" t="s">
        <v>26</v>
      </c>
      <c r="BA112" s="144">
        <v>0</v>
      </c>
      <c r="BB112" s="148" t="s">
        <v>17</v>
      </c>
    </row>
    <row r="113" spans="49:54">
      <c r="AW113" s="144" t="s">
        <v>162</v>
      </c>
      <c r="AX113" s="144">
        <v>2010</v>
      </c>
      <c r="AY113" s="144" t="s">
        <v>166</v>
      </c>
      <c r="AZ113" s="144" t="s">
        <v>29</v>
      </c>
      <c r="BA113" s="144">
        <v>0</v>
      </c>
      <c r="BB113" s="148" t="s">
        <v>17</v>
      </c>
    </row>
    <row r="114" spans="49:54">
      <c r="AW114" s="144" t="s">
        <v>162</v>
      </c>
      <c r="AX114" s="144">
        <v>2010</v>
      </c>
      <c r="AY114" s="144" t="s">
        <v>166</v>
      </c>
      <c r="AZ114" s="144" t="s">
        <v>25</v>
      </c>
      <c r="BA114" s="144">
        <v>0.1</v>
      </c>
      <c r="BB114" s="148" t="s">
        <v>17</v>
      </c>
    </row>
    <row r="115" spans="49:54">
      <c r="AW115" s="144" t="s">
        <v>162</v>
      </c>
      <c r="AX115" s="144">
        <v>2010</v>
      </c>
      <c r="AY115" s="144" t="s">
        <v>166</v>
      </c>
      <c r="AZ115" s="144" t="s">
        <v>26</v>
      </c>
      <c r="BA115" s="144">
        <v>0</v>
      </c>
      <c r="BB115" s="148" t="s">
        <v>17</v>
      </c>
    </row>
    <row r="116" spans="49:54">
      <c r="AW116" s="144" t="s">
        <v>162</v>
      </c>
      <c r="AX116" s="144">
        <v>2010</v>
      </c>
      <c r="AY116" s="144" t="s">
        <v>165</v>
      </c>
      <c r="AZ116" s="144" t="s">
        <v>29</v>
      </c>
      <c r="BA116" s="144">
        <v>0.1</v>
      </c>
    </row>
    <row r="117" spans="49:54">
      <c r="AW117" s="144" t="s">
        <v>162</v>
      </c>
      <c r="AX117" s="144">
        <v>2010</v>
      </c>
      <c r="AY117" s="144" t="s">
        <v>165</v>
      </c>
      <c r="AZ117" s="144" t="s">
        <v>25</v>
      </c>
      <c r="BA117" s="144">
        <v>0.2</v>
      </c>
    </row>
    <row r="118" spans="49:54">
      <c r="AW118" s="144" t="s">
        <v>162</v>
      </c>
      <c r="AX118" s="144">
        <v>2010</v>
      </c>
      <c r="AY118" s="144" t="s">
        <v>165</v>
      </c>
      <c r="AZ118" s="144" t="s">
        <v>26</v>
      </c>
      <c r="BA118" s="144">
        <v>0.1</v>
      </c>
    </row>
    <row r="119" spans="49:54">
      <c r="AW119" s="144" t="s">
        <v>162</v>
      </c>
      <c r="AX119" s="144">
        <v>2010</v>
      </c>
      <c r="AY119" s="144" t="s">
        <v>164</v>
      </c>
      <c r="AZ119" s="144" t="s">
        <v>29</v>
      </c>
      <c r="BA119" s="144">
        <v>98.1</v>
      </c>
    </row>
    <row r="120" spans="49:54">
      <c r="AW120" s="144" t="s">
        <v>162</v>
      </c>
      <c r="AX120" s="144">
        <v>2010</v>
      </c>
      <c r="AY120" s="144" t="s">
        <v>164</v>
      </c>
      <c r="AZ120" s="144" t="s">
        <v>25</v>
      </c>
      <c r="BA120" s="144">
        <v>90.3</v>
      </c>
    </row>
    <row r="121" spans="49:54">
      <c r="AW121" s="144" t="s">
        <v>162</v>
      </c>
      <c r="AX121" s="144">
        <v>2010</v>
      </c>
      <c r="AY121" s="144" t="s">
        <v>164</v>
      </c>
      <c r="AZ121" s="144" t="s">
        <v>26</v>
      </c>
      <c r="BA121" s="144">
        <v>99.6</v>
      </c>
    </row>
    <row r="122" spans="49:54">
      <c r="AW122" s="144" t="s">
        <v>162</v>
      </c>
      <c r="AX122" s="144">
        <v>2010</v>
      </c>
      <c r="AY122" s="144" t="s">
        <v>163</v>
      </c>
      <c r="AZ122" s="144" t="s">
        <v>29</v>
      </c>
      <c r="BA122" s="144">
        <v>1.7</v>
      </c>
    </row>
    <row r="123" spans="49:54">
      <c r="AW123" s="144" t="s">
        <v>162</v>
      </c>
      <c r="AX123" s="144">
        <v>2010</v>
      </c>
      <c r="AY123" s="144" t="s">
        <v>163</v>
      </c>
      <c r="AZ123" s="144" t="s">
        <v>25</v>
      </c>
      <c r="BA123" s="144">
        <v>9.3000000000000007</v>
      </c>
    </row>
    <row r="124" spans="49:54">
      <c r="AW124" s="144" t="s">
        <v>162</v>
      </c>
      <c r="AX124" s="144">
        <v>2010</v>
      </c>
      <c r="AY124" s="144" t="s">
        <v>163</v>
      </c>
      <c r="AZ124" s="144" t="s">
        <v>26</v>
      </c>
      <c r="BA124" s="144">
        <v>0.2</v>
      </c>
    </row>
    <row r="125" spans="49:54">
      <c r="AW125" s="144" t="s">
        <v>162</v>
      </c>
      <c r="AX125" s="144">
        <v>2010</v>
      </c>
      <c r="AY125" s="144" t="s">
        <v>161</v>
      </c>
      <c r="AZ125" s="144" t="s">
        <v>29</v>
      </c>
      <c r="BA125" s="144">
        <v>4.5999999999999996</v>
      </c>
    </row>
    <row r="126" spans="49:54">
      <c r="AW126" s="144" t="s">
        <v>162</v>
      </c>
      <c r="AX126" s="144">
        <v>2010</v>
      </c>
      <c r="AY126" s="144" t="s">
        <v>161</v>
      </c>
      <c r="AZ126" s="144" t="s">
        <v>25</v>
      </c>
      <c r="BA126" s="144">
        <v>4.4000000000000004</v>
      </c>
    </row>
    <row r="127" spans="49:54">
      <c r="AW127" s="144" t="s">
        <v>162</v>
      </c>
      <c r="AX127" s="144">
        <v>2010</v>
      </c>
      <c r="AY127" s="144" t="s">
        <v>161</v>
      </c>
      <c r="AZ127" s="144" t="s">
        <v>26</v>
      </c>
      <c r="BA127" s="144">
        <v>4.7</v>
      </c>
    </row>
    <row r="128" spans="49:54">
      <c r="AW128" s="144" t="s">
        <v>162</v>
      </c>
      <c r="AX128" s="144">
        <v>2012</v>
      </c>
      <c r="AY128" s="144" t="s">
        <v>175</v>
      </c>
      <c r="AZ128" s="144" t="s">
        <v>29</v>
      </c>
      <c r="BA128" s="144">
        <v>2.1</v>
      </c>
      <c r="BB128" s="148" t="s">
        <v>13</v>
      </c>
    </row>
    <row r="129" spans="49:54">
      <c r="AW129" s="144" t="s">
        <v>162</v>
      </c>
      <c r="AX129" s="144">
        <v>2012</v>
      </c>
      <c r="AY129" s="144" t="s">
        <v>175</v>
      </c>
      <c r="AZ129" s="144" t="s">
        <v>25</v>
      </c>
      <c r="BA129" s="144">
        <v>11</v>
      </c>
      <c r="BB129" s="148" t="s">
        <v>13</v>
      </c>
    </row>
    <row r="130" spans="49:54">
      <c r="AW130" s="144" t="s">
        <v>162</v>
      </c>
      <c r="AX130" s="144">
        <v>2012</v>
      </c>
      <c r="AY130" s="144" t="s">
        <v>175</v>
      </c>
      <c r="AZ130" s="144" t="s">
        <v>26</v>
      </c>
      <c r="BA130" s="144">
        <v>0.6</v>
      </c>
      <c r="BB130" s="148" t="s">
        <v>13</v>
      </c>
    </row>
    <row r="131" spans="49:54">
      <c r="AW131" s="144" t="s">
        <v>162</v>
      </c>
      <c r="AX131" s="144">
        <v>2012</v>
      </c>
      <c r="AY131" s="144" t="s">
        <v>174</v>
      </c>
      <c r="AZ131" s="144" t="s">
        <v>29</v>
      </c>
      <c r="BA131" s="144">
        <v>0</v>
      </c>
      <c r="BB131" s="148" t="s">
        <v>11</v>
      </c>
    </row>
    <row r="132" spans="49:54">
      <c r="AW132" s="144" t="s">
        <v>162</v>
      </c>
      <c r="AX132" s="144">
        <v>2012</v>
      </c>
      <c r="AY132" s="144" t="s">
        <v>174</v>
      </c>
      <c r="AZ132" s="144" t="s">
        <v>25</v>
      </c>
      <c r="BA132" s="144">
        <v>0.1</v>
      </c>
      <c r="BB132" s="148" t="s">
        <v>11</v>
      </c>
    </row>
    <row r="133" spans="49:54">
      <c r="AW133" s="144" t="s">
        <v>162</v>
      </c>
      <c r="AX133" s="144">
        <v>2012</v>
      </c>
      <c r="AY133" s="144" t="s">
        <v>174</v>
      </c>
      <c r="AZ133" s="144" t="s">
        <v>26</v>
      </c>
      <c r="BA133" s="144">
        <v>0</v>
      </c>
      <c r="BB133" s="148" t="s">
        <v>11</v>
      </c>
    </row>
    <row r="134" spans="49:54">
      <c r="AW134" s="144" t="s">
        <v>162</v>
      </c>
      <c r="AX134" s="144">
        <v>2012</v>
      </c>
      <c r="AY134" s="144" t="s">
        <v>173</v>
      </c>
      <c r="AZ134" s="144" t="s">
        <v>29</v>
      </c>
      <c r="BA134" s="144" t="s">
        <v>160</v>
      </c>
      <c r="BB134" s="148" t="s">
        <v>12</v>
      </c>
    </row>
    <row r="135" spans="49:54">
      <c r="AW135" s="144" t="s">
        <v>162</v>
      </c>
      <c r="AX135" s="144">
        <v>2012</v>
      </c>
      <c r="AY135" s="144" t="s">
        <v>173</v>
      </c>
      <c r="AZ135" s="144" t="s">
        <v>25</v>
      </c>
      <c r="BA135" s="144" t="s">
        <v>160</v>
      </c>
      <c r="BB135" s="148" t="s">
        <v>12</v>
      </c>
    </row>
    <row r="136" spans="49:54">
      <c r="AW136" s="144" t="s">
        <v>162</v>
      </c>
      <c r="AX136" s="144">
        <v>2012</v>
      </c>
      <c r="AY136" s="144" t="s">
        <v>173</v>
      </c>
      <c r="AZ136" s="144" t="s">
        <v>26</v>
      </c>
      <c r="BA136" s="144" t="s">
        <v>160</v>
      </c>
      <c r="BB136" s="148" t="s">
        <v>12</v>
      </c>
    </row>
    <row r="137" spans="49:54">
      <c r="AW137" s="144" t="s">
        <v>162</v>
      </c>
      <c r="AX137" s="144">
        <v>2012</v>
      </c>
      <c r="AY137" s="144" t="s">
        <v>172</v>
      </c>
      <c r="AZ137" s="144" t="s">
        <v>29</v>
      </c>
      <c r="BA137" s="144">
        <v>0</v>
      </c>
      <c r="BB137" s="148" t="s">
        <v>181</v>
      </c>
    </row>
    <row r="138" spans="49:54">
      <c r="AW138" s="144" t="s">
        <v>162</v>
      </c>
      <c r="AX138" s="144">
        <v>2012</v>
      </c>
      <c r="AY138" s="144" t="s">
        <v>172</v>
      </c>
      <c r="AZ138" s="144" t="s">
        <v>25</v>
      </c>
      <c r="BA138" s="144">
        <v>0.1</v>
      </c>
      <c r="BB138" s="148" t="s">
        <v>181</v>
      </c>
    </row>
    <row r="139" spans="49:54">
      <c r="AW139" s="144" t="s">
        <v>162</v>
      </c>
      <c r="AX139" s="144">
        <v>2012</v>
      </c>
      <c r="AY139" s="144" t="s">
        <v>172</v>
      </c>
      <c r="AZ139" s="144" t="s">
        <v>26</v>
      </c>
      <c r="BA139" s="144">
        <v>0</v>
      </c>
      <c r="BB139" s="148" t="s">
        <v>181</v>
      </c>
    </row>
    <row r="140" spans="49:54">
      <c r="AW140" s="144" t="s">
        <v>162</v>
      </c>
      <c r="AX140" s="144">
        <v>2012</v>
      </c>
      <c r="AY140" s="144" t="s">
        <v>171</v>
      </c>
      <c r="AZ140" s="144" t="s">
        <v>29</v>
      </c>
      <c r="BA140" s="144">
        <v>10.199999999999999</v>
      </c>
      <c r="BB140" s="148" t="s">
        <v>8</v>
      </c>
    </row>
    <row r="141" spans="49:54">
      <c r="AW141" s="144" t="s">
        <v>162</v>
      </c>
      <c r="AX141" s="144">
        <v>2012</v>
      </c>
      <c r="AY141" s="144" t="s">
        <v>171</v>
      </c>
      <c r="AZ141" s="144" t="s">
        <v>25</v>
      </c>
      <c r="BA141" s="144">
        <v>54.1</v>
      </c>
      <c r="BB141" s="148" t="s">
        <v>8</v>
      </c>
    </row>
    <row r="142" spans="49:54">
      <c r="AW142" s="144" t="s">
        <v>162</v>
      </c>
      <c r="AX142" s="144">
        <v>2012</v>
      </c>
      <c r="AY142" s="144" t="s">
        <v>171</v>
      </c>
      <c r="AZ142" s="144" t="s">
        <v>26</v>
      </c>
      <c r="BA142" s="144">
        <v>2.7</v>
      </c>
      <c r="BB142" s="148" t="s">
        <v>8</v>
      </c>
    </row>
    <row r="143" spans="49:54">
      <c r="AW143" s="144" t="s">
        <v>162</v>
      </c>
      <c r="AX143" s="144">
        <v>2012</v>
      </c>
      <c r="AY143" s="144" t="s">
        <v>170</v>
      </c>
      <c r="AZ143" s="144" t="s">
        <v>29</v>
      </c>
      <c r="BA143" s="144">
        <v>87.1</v>
      </c>
      <c r="BB143" s="148" t="s">
        <v>36</v>
      </c>
    </row>
    <row r="144" spans="49:54">
      <c r="AW144" s="144" t="s">
        <v>162</v>
      </c>
      <c r="AX144" s="144">
        <v>2012</v>
      </c>
      <c r="AY144" s="144" t="s">
        <v>170</v>
      </c>
      <c r="AZ144" s="144" t="s">
        <v>25</v>
      </c>
      <c r="BA144" s="144">
        <v>34.6</v>
      </c>
      <c r="BB144" s="148" t="s">
        <v>36</v>
      </c>
    </row>
    <row r="145" spans="49:54">
      <c r="AW145" s="144" t="s">
        <v>162</v>
      </c>
      <c r="AX145" s="144">
        <v>2012</v>
      </c>
      <c r="AY145" s="144" t="s">
        <v>170</v>
      </c>
      <c r="AZ145" s="144" t="s">
        <v>26</v>
      </c>
      <c r="BA145" s="144">
        <v>96.1</v>
      </c>
      <c r="BB145" s="148" t="s">
        <v>36</v>
      </c>
    </row>
    <row r="146" spans="49:54">
      <c r="AW146" s="144" t="s">
        <v>162</v>
      </c>
      <c r="AX146" s="144">
        <v>2012</v>
      </c>
      <c r="AY146" s="144" t="s">
        <v>169</v>
      </c>
      <c r="AZ146" s="144" t="s">
        <v>29</v>
      </c>
      <c r="BA146" s="144">
        <v>0.2</v>
      </c>
      <c r="BB146" s="148" t="s">
        <v>17</v>
      </c>
    </row>
    <row r="147" spans="49:54">
      <c r="AW147" s="144" t="s">
        <v>162</v>
      </c>
      <c r="AX147" s="144">
        <v>2012</v>
      </c>
      <c r="AY147" s="144" t="s">
        <v>169</v>
      </c>
      <c r="AZ147" s="144" t="s">
        <v>25</v>
      </c>
      <c r="BA147" s="144">
        <v>0</v>
      </c>
      <c r="BB147" s="148" t="s">
        <v>17</v>
      </c>
    </row>
    <row r="148" spans="49:54">
      <c r="AW148" s="144" t="s">
        <v>162</v>
      </c>
      <c r="AX148" s="144">
        <v>2012</v>
      </c>
      <c r="AY148" s="144" t="s">
        <v>169</v>
      </c>
      <c r="AZ148" s="144" t="s">
        <v>26</v>
      </c>
      <c r="BA148" s="144">
        <v>0.3</v>
      </c>
      <c r="BB148" s="148" t="s">
        <v>17</v>
      </c>
    </row>
    <row r="149" spans="49:54">
      <c r="AW149" s="144" t="s">
        <v>162</v>
      </c>
      <c r="AX149" s="144">
        <v>2012</v>
      </c>
      <c r="AY149" s="144" t="s">
        <v>168</v>
      </c>
      <c r="AZ149" s="144" t="s">
        <v>29</v>
      </c>
      <c r="BA149" s="144" t="s">
        <v>160</v>
      </c>
      <c r="BB149" s="148" t="s">
        <v>17</v>
      </c>
    </row>
    <row r="150" spans="49:54">
      <c r="AW150" s="144" t="s">
        <v>162</v>
      </c>
      <c r="AX150" s="144">
        <v>2012</v>
      </c>
      <c r="AY150" s="144" t="s">
        <v>168</v>
      </c>
      <c r="AZ150" s="144" t="s">
        <v>25</v>
      </c>
      <c r="BA150" s="144" t="s">
        <v>160</v>
      </c>
      <c r="BB150" s="148" t="s">
        <v>17</v>
      </c>
    </row>
    <row r="151" spans="49:54">
      <c r="AW151" s="144" t="s">
        <v>162</v>
      </c>
      <c r="AX151" s="144">
        <v>2012</v>
      </c>
      <c r="AY151" s="144" t="s">
        <v>168</v>
      </c>
      <c r="AZ151" s="144" t="s">
        <v>26</v>
      </c>
      <c r="BA151" s="144" t="s">
        <v>160</v>
      </c>
      <c r="BB151" s="148" t="s">
        <v>17</v>
      </c>
    </row>
    <row r="152" spans="49:54">
      <c r="AW152" s="144" t="s">
        <v>162</v>
      </c>
      <c r="AX152" s="144">
        <v>2012</v>
      </c>
      <c r="AY152" s="144" t="s">
        <v>167</v>
      </c>
      <c r="AZ152" s="144" t="s">
        <v>29</v>
      </c>
      <c r="BA152" s="144" t="s">
        <v>160</v>
      </c>
      <c r="BB152" s="148" t="s">
        <v>17</v>
      </c>
    </row>
    <row r="153" spans="49:54">
      <c r="AW153" s="144" t="s">
        <v>162</v>
      </c>
      <c r="AX153" s="144">
        <v>2012</v>
      </c>
      <c r="AY153" s="144" t="s">
        <v>167</v>
      </c>
      <c r="AZ153" s="144" t="s">
        <v>25</v>
      </c>
      <c r="BA153" s="144" t="s">
        <v>160</v>
      </c>
      <c r="BB153" s="148" t="s">
        <v>17</v>
      </c>
    </row>
    <row r="154" spans="49:54">
      <c r="AW154" s="144" t="s">
        <v>162</v>
      </c>
      <c r="AX154" s="144">
        <v>2012</v>
      </c>
      <c r="AY154" s="144" t="s">
        <v>167</v>
      </c>
      <c r="AZ154" s="144" t="s">
        <v>26</v>
      </c>
      <c r="BA154" s="144" t="s">
        <v>160</v>
      </c>
      <c r="BB154" s="148" t="s">
        <v>17</v>
      </c>
    </row>
    <row r="155" spans="49:54">
      <c r="AW155" s="144" t="s">
        <v>162</v>
      </c>
      <c r="AX155" s="144">
        <v>2012</v>
      </c>
      <c r="AY155" s="144" t="s">
        <v>166</v>
      </c>
      <c r="AZ155" s="144" t="s">
        <v>29</v>
      </c>
      <c r="BA155" s="144" t="s">
        <v>160</v>
      </c>
      <c r="BB155" s="148" t="s">
        <v>17</v>
      </c>
    </row>
    <row r="156" spans="49:54">
      <c r="AW156" s="144" t="s">
        <v>162</v>
      </c>
      <c r="AX156" s="144">
        <v>2012</v>
      </c>
      <c r="AY156" s="144" t="s">
        <v>166</v>
      </c>
      <c r="AZ156" s="144" t="s">
        <v>25</v>
      </c>
      <c r="BA156" s="144" t="s">
        <v>160</v>
      </c>
      <c r="BB156" s="148" t="s">
        <v>17</v>
      </c>
    </row>
    <row r="157" spans="49:54">
      <c r="AW157" s="144" t="s">
        <v>162</v>
      </c>
      <c r="AX157" s="144">
        <v>2012</v>
      </c>
      <c r="AY157" s="144" t="s">
        <v>166</v>
      </c>
      <c r="AZ157" s="144" t="s">
        <v>26</v>
      </c>
      <c r="BA157" s="144" t="s">
        <v>160</v>
      </c>
      <c r="BB157" s="148" t="s">
        <v>17</v>
      </c>
    </row>
    <row r="158" spans="49:54">
      <c r="AW158" s="144" t="s">
        <v>162</v>
      </c>
      <c r="AX158" s="144">
        <v>2012</v>
      </c>
      <c r="AY158" s="144" t="s">
        <v>165</v>
      </c>
      <c r="AZ158" s="144" t="s">
        <v>29</v>
      </c>
      <c r="BA158" s="144">
        <v>0.3</v>
      </c>
    </row>
    <row r="159" spans="49:54">
      <c r="AW159" s="144" t="s">
        <v>162</v>
      </c>
      <c r="AX159" s="144">
        <v>2012</v>
      </c>
      <c r="AY159" s="144" t="s">
        <v>165</v>
      </c>
      <c r="AZ159" s="144" t="s">
        <v>25</v>
      </c>
      <c r="BA159" s="144">
        <v>0.3</v>
      </c>
    </row>
    <row r="160" spans="49:54">
      <c r="AW160" s="144" t="s">
        <v>162</v>
      </c>
      <c r="AX160" s="144">
        <v>2012</v>
      </c>
      <c r="AY160" s="144" t="s">
        <v>165</v>
      </c>
      <c r="AZ160" s="144" t="s">
        <v>26</v>
      </c>
      <c r="BA160" s="144">
        <v>0.3</v>
      </c>
    </row>
    <row r="161" spans="49:54">
      <c r="AW161" s="144" t="s">
        <v>162</v>
      </c>
      <c r="AX161" s="144">
        <v>2012</v>
      </c>
      <c r="AY161" s="144" t="s">
        <v>164</v>
      </c>
      <c r="AZ161" s="144" t="s">
        <v>29</v>
      </c>
      <c r="BA161" s="144">
        <v>97.5</v>
      </c>
    </row>
    <row r="162" spans="49:54">
      <c r="AW162" s="144" t="s">
        <v>162</v>
      </c>
      <c r="AX162" s="144">
        <v>2012</v>
      </c>
      <c r="AY162" s="144" t="s">
        <v>164</v>
      </c>
      <c r="AZ162" s="144" t="s">
        <v>25</v>
      </c>
      <c r="BA162" s="144">
        <v>88.7</v>
      </c>
    </row>
    <row r="163" spans="49:54">
      <c r="AW163" s="144" t="s">
        <v>162</v>
      </c>
      <c r="AX163" s="144">
        <v>2012</v>
      </c>
      <c r="AY163" s="144" t="s">
        <v>164</v>
      </c>
      <c r="AZ163" s="144" t="s">
        <v>26</v>
      </c>
      <c r="BA163" s="144">
        <v>99.1</v>
      </c>
    </row>
    <row r="164" spans="49:54">
      <c r="AW164" s="144" t="s">
        <v>162</v>
      </c>
      <c r="AX164" s="144">
        <v>2012</v>
      </c>
      <c r="AY164" s="144" t="s">
        <v>163</v>
      </c>
      <c r="AZ164" s="144" t="s">
        <v>29</v>
      </c>
      <c r="BA164" s="144">
        <v>2.1</v>
      </c>
    </row>
    <row r="165" spans="49:54">
      <c r="AW165" s="144" t="s">
        <v>162</v>
      </c>
      <c r="AX165" s="144">
        <v>2012</v>
      </c>
      <c r="AY165" s="144" t="s">
        <v>163</v>
      </c>
      <c r="AZ165" s="144" t="s">
        <v>25</v>
      </c>
      <c r="BA165" s="144">
        <v>11</v>
      </c>
    </row>
    <row r="166" spans="49:54">
      <c r="AW166" s="144" t="s">
        <v>162</v>
      </c>
      <c r="AX166" s="144">
        <v>2012</v>
      </c>
      <c r="AY166" s="144" t="s">
        <v>163</v>
      </c>
      <c r="AZ166" s="144" t="s">
        <v>26</v>
      </c>
      <c r="BA166" s="144">
        <v>0.6</v>
      </c>
    </row>
    <row r="167" spans="49:54">
      <c r="AW167" s="144" t="s">
        <v>162</v>
      </c>
      <c r="AX167" s="144">
        <v>2012</v>
      </c>
      <c r="AY167" s="144" t="s">
        <v>161</v>
      </c>
      <c r="AZ167" s="144" t="s">
        <v>29</v>
      </c>
      <c r="BA167" s="144">
        <v>4.2</v>
      </c>
    </row>
    <row r="168" spans="49:54">
      <c r="AW168" s="144" t="s">
        <v>162</v>
      </c>
      <c r="AX168" s="144">
        <v>2012</v>
      </c>
      <c r="AY168" s="144" t="s">
        <v>161</v>
      </c>
      <c r="AZ168" s="144" t="s">
        <v>25</v>
      </c>
      <c r="BA168" s="144">
        <v>4.0999999999999996</v>
      </c>
    </row>
    <row r="169" spans="49:54">
      <c r="AW169" s="144" t="s">
        <v>162</v>
      </c>
      <c r="AX169" s="144">
        <v>2012</v>
      </c>
      <c r="AY169" s="144" t="s">
        <v>161</v>
      </c>
      <c r="AZ169" s="144" t="s">
        <v>26</v>
      </c>
      <c r="BA169" s="144">
        <v>4.2</v>
      </c>
    </row>
    <row r="170" spans="49:54">
      <c r="AW170" s="144" t="s">
        <v>162</v>
      </c>
      <c r="AX170" s="144">
        <v>2014</v>
      </c>
      <c r="AY170" s="144" t="s">
        <v>175</v>
      </c>
      <c r="AZ170" s="144" t="s">
        <v>29</v>
      </c>
      <c r="BA170" s="144">
        <v>2.8</v>
      </c>
      <c r="BB170" s="148" t="s">
        <v>13</v>
      </c>
    </row>
    <row r="171" spans="49:54">
      <c r="AW171" s="144" t="s">
        <v>162</v>
      </c>
      <c r="AX171" s="144">
        <v>2014</v>
      </c>
      <c r="AY171" s="144" t="s">
        <v>175</v>
      </c>
      <c r="AZ171" s="144" t="s">
        <v>25</v>
      </c>
      <c r="BA171" s="144">
        <v>11.1</v>
      </c>
      <c r="BB171" s="148" t="s">
        <v>13</v>
      </c>
    </row>
    <row r="172" spans="49:54">
      <c r="AW172" s="144" t="s">
        <v>162</v>
      </c>
      <c r="AX172" s="144">
        <v>2014</v>
      </c>
      <c r="AY172" s="144" t="s">
        <v>175</v>
      </c>
      <c r="AZ172" s="144" t="s">
        <v>26</v>
      </c>
      <c r="BA172" s="144">
        <v>1</v>
      </c>
      <c r="BB172" s="148" t="s">
        <v>13</v>
      </c>
    </row>
    <row r="173" spans="49:54">
      <c r="AW173" s="144" t="s">
        <v>162</v>
      </c>
      <c r="AX173" s="144">
        <v>2014</v>
      </c>
      <c r="AY173" s="144" t="s">
        <v>174</v>
      </c>
      <c r="AZ173" s="144" t="s">
        <v>29</v>
      </c>
      <c r="BA173" s="144">
        <v>0.1</v>
      </c>
      <c r="BB173" s="148" t="s">
        <v>11</v>
      </c>
    </row>
    <row r="174" spans="49:54">
      <c r="AW174" s="144" t="s">
        <v>162</v>
      </c>
      <c r="AX174" s="144">
        <v>2014</v>
      </c>
      <c r="AY174" s="144" t="s">
        <v>174</v>
      </c>
      <c r="AZ174" s="144" t="s">
        <v>25</v>
      </c>
      <c r="BA174" s="144">
        <v>0.1</v>
      </c>
      <c r="BB174" s="148" t="s">
        <v>11</v>
      </c>
    </row>
    <row r="175" spans="49:54">
      <c r="AW175" s="144" t="s">
        <v>162</v>
      </c>
      <c r="AX175" s="144">
        <v>2014</v>
      </c>
      <c r="AY175" s="144" t="s">
        <v>174</v>
      </c>
      <c r="AZ175" s="144" t="s">
        <v>26</v>
      </c>
      <c r="BA175" s="144">
        <v>0.1</v>
      </c>
      <c r="BB175" s="148" t="s">
        <v>11</v>
      </c>
    </row>
    <row r="176" spans="49:54">
      <c r="AW176" s="144" t="s">
        <v>162</v>
      </c>
      <c r="AX176" s="144">
        <v>2014</v>
      </c>
      <c r="AY176" s="144" t="s">
        <v>173</v>
      </c>
      <c r="AZ176" s="144" t="s">
        <v>29</v>
      </c>
      <c r="BA176" s="144" t="s">
        <v>160</v>
      </c>
      <c r="BB176" s="148" t="s">
        <v>12</v>
      </c>
    </row>
    <row r="177" spans="49:54">
      <c r="AW177" s="144" t="s">
        <v>162</v>
      </c>
      <c r="AX177" s="144">
        <v>2014</v>
      </c>
      <c r="AY177" s="144" t="s">
        <v>173</v>
      </c>
      <c r="AZ177" s="144" t="s">
        <v>25</v>
      </c>
      <c r="BA177" s="144" t="s">
        <v>160</v>
      </c>
      <c r="BB177" s="148" t="s">
        <v>12</v>
      </c>
    </row>
    <row r="178" spans="49:54">
      <c r="AW178" s="144" t="s">
        <v>162</v>
      </c>
      <c r="AX178" s="144">
        <v>2014</v>
      </c>
      <c r="AY178" s="144" t="s">
        <v>173</v>
      </c>
      <c r="AZ178" s="144" t="s">
        <v>26</v>
      </c>
      <c r="BA178" s="144" t="s">
        <v>160</v>
      </c>
      <c r="BB178" s="148" t="s">
        <v>12</v>
      </c>
    </row>
    <row r="179" spans="49:54">
      <c r="AW179" s="144" t="s">
        <v>162</v>
      </c>
      <c r="AX179" s="144">
        <v>2014</v>
      </c>
      <c r="AY179" s="144" t="s">
        <v>172</v>
      </c>
      <c r="AZ179" s="144" t="s">
        <v>29</v>
      </c>
      <c r="BA179" s="144">
        <v>0.1</v>
      </c>
      <c r="BB179" s="148" t="s">
        <v>181</v>
      </c>
    </row>
    <row r="180" spans="49:54">
      <c r="AW180" s="144" t="s">
        <v>162</v>
      </c>
      <c r="AX180" s="144">
        <v>2014</v>
      </c>
      <c r="AY180" s="144" t="s">
        <v>172</v>
      </c>
      <c r="AZ180" s="144" t="s">
        <v>25</v>
      </c>
      <c r="BA180" s="144">
        <v>0</v>
      </c>
      <c r="BB180" s="148" t="s">
        <v>181</v>
      </c>
    </row>
    <row r="181" spans="49:54">
      <c r="AW181" s="144" t="s">
        <v>162</v>
      </c>
      <c r="AX181" s="144">
        <v>2014</v>
      </c>
      <c r="AY181" s="144" t="s">
        <v>172</v>
      </c>
      <c r="AZ181" s="144" t="s">
        <v>26</v>
      </c>
      <c r="BA181" s="144">
        <v>0.1</v>
      </c>
      <c r="BB181" s="148" t="s">
        <v>181</v>
      </c>
    </row>
    <row r="182" spans="49:54">
      <c r="AW182" s="144" t="s">
        <v>162</v>
      </c>
      <c r="AX182" s="144">
        <v>2014</v>
      </c>
      <c r="AY182" s="144" t="s">
        <v>171</v>
      </c>
      <c r="AZ182" s="144" t="s">
        <v>29</v>
      </c>
      <c r="BA182" s="144">
        <v>16.399999999999999</v>
      </c>
      <c r="BB182" s="148" t="s">
        <v>8</v>
      </c>
    </row>
    <row r="183" spans="49:54">
      <c r="AW183" s="144" t="s">
        <v>162</v>
      </c>
      <c r="AX183" s="144">
        <v>2014</v>
      </c>
      <c r="AY183" s="144" t="s">
        <v>171</v>
      </c>
      <c r="AZ183" s="144" t="s">
        <v>25</v>
      </c>
      <c r="BA183" s="144">
        <v>65.3</v>
      </c>
      <c r="BB183" s="148" t="s">
        <v>8</v>
      </c>
    </row>
    <row r="184" spans="49:54">
      <c r="AW184" s="144" t="s">
        <v>162</v>
      </c>
      <c r="AX184" s="144">
        <v>2014</v>
      </c>
      <c r="AY184" s="144" t="s">
        <v>171</v>
      </c>
      <c r="AZ184" s="144" t="s">
        <v>26</v>
      </c>
      <c r="BA184" s="144">
        <v>6.1</v>
      </c>
      <c r="BB184" s="148" t="s">
        <v>8</v>
      </c>
    </row>
    <row r="185" spans="49:54">
      <c r="AW185" s="144" t="s">
        <v>162</v>
      </c>
      <c r="AX185" s="144">
        <v>2014</v>
      </c>
      <c r="AY185" s="144" t="s">
        <v>170</v>
      </c>
      <c r="AZ185" s="144" t="s">
        <v>29</v>
      </c>
      <c r="BA185" s="144">
        <v>80.2</v>
      </c>
      <c r="BB185" s="148" t="s">
        <v>36</v>
      </c>
    </row>
    <row r="186" spans="49:54">
      <c r="AW186" s="144" t="s">
        <v>162</v>
      </c>
      <c r="AX186" s="144">
        <v>2014</v>
      </c>
      <c r="AY186" s="144" t="s">
        <v>170</v>
      </c>
      <c r="AZ186" s="144" t="s">
        <v>25</v>
      </c>
      <c r="BA186" s="144">
        <v>23.4</v>
      </c>
      <c r="BB186" s="148" t="s">
        <v>36</v>
      </c>
    </row>
    <row r="187" spans="49:54">
      <c r="AW187" s="144" t="s">
        <v>162</v>
      </c>
      <c r="AX187" s="144">
        <v>2014</v>
      </c>
      <c r="AY187" s="144" t="s">
        <v>170</v>
      </c>
      <c r="AZ187" s="144" t="s">
        <v>26</v>
      </c>
      <c r="BA187" s="144">
        <v>92.2</v>
      </c>
      <c r="BB187" s="148" t="s">
        <v>36</v>
      </c>
    </row>
    <row r="188" spans="49:54">
      <c r="AW188" s="144" t="s">
        <v>162</v>
      </c>
      <c r="AX188" s="144">
        <v>2014</v>
      </c>
      <c r="AY188" s="144" t="s">
        <v>169</v>
      </c>
      <c r="AZ188" s="144" t="s">
        <v>29</v>
      </c>
      <c r="BA188" s="144">
        <v>0.5</v>
      </c>
      <c r="BB188" s="148" t="s">
        <v>17</v>
      </c>
    </row>
    <row r="189" spans="49:54">
      <c r="AW189" s="144" t="s">
        <v>162</v>
      </c>
      <c r="AX189" s="144">
        <v>2014</v>
      </c>
      <c r="AY189" s="144" t="s">
        <v>169</v>
      </c>
      <c r="AZ189" s="144" t="s">
        <v>25</v>
      </c>
      <c r="BA189" s="144">
        <v>0.1</v>
      </c>
      <c r="BB189" s="148" t="s">
        <v>17</v>
      </c>
    </row>
    <row r="190" spans="49:54">
      <c r="AW190" s="144" t="s">
        <v>162</v>
      </c>
      <c r="AX190" s="144">
        <v>2014</v>
      </c>
      <c r="AY190" s="144" t="s">
        <v>169</v>
      </c>
      <c r="AZ190" s="144" t="s">
        <v>26</v>
      </c>
      <c r="BA190" s="144">
        <v>0.5</v>
      </c>
      <c r="BB190" s="148" t="s">
        <v>17</v>
      </c>
    </row>
    <row r="191" spans="49:54">
      <c r="AW191" s="144" t="s">
        <v>162</v>
      </c>
      <c r="AX191" s="144">
        <v>2014</v>
      </c>
      <c r="AY191" s="144" t="s">
        <v>168</v>
      </c>
      <c r="AZ191" s="144" t="s">
        <v>29</v>
      </c>
      <c r="BA191" s="144" t="s">
        <v>160</v>
      </c>
      <c r="BB191" s="148" t="s">
        <v>17</v>
      </c>
    </row>
    <row r="192" spans="49:54">
      <c r="AW192" s="144" t="s">
        <v>162</v>
      </c>
      <c r="AX192" s="144">
        <v>2014</v>
      </c>
      <c r="AY192" s="144" t="s">
        <v>168</v>
      </c>
      <c r="AZ192" s="144" t="s">
        <v>25</v>
      </c>
      <c r="BA192" s="144" t="s">
        <v>160</v>
      </c>
      <c r="BB192" s="148" t="s">
        <v>17</v>
      </c>
    </row>
    <row r="193" spans="49:54">
      <c r="AW193" s="144" t="s">
        <v>162</v>
      </c>
      <c r="AX193" s="144">
        <v>2014</v>
      </c>
      <c r="AY193" s="144" t="s">
        <v>168</v>
      </c>
      <c r="AZ193" s="144" t="s">
        <v>26</v>
      </c>
      <c r="BA193" s="144" t="s">
        <v>160</v>
      </c>
      <c r="BB193" s="148" t="s">
        <v>17</v>
      </c>
    </row>
    <row r="194" spans="49:54">
      <c r="AW194" s="144" t="s">
        <v>162</v>
      </c>
      <c r="AX194" s="144">
        <v>2014</v>
      </c>
      <c r="AY194" s="144" t="s">
        <v>167</v>
      </c>
      <c r="AZ194" s="144" t="s">
        <v>29</v>
      </c>
      <c r="BA194" s="144" t="s">
        <v>160</v>
      </c>
      <c r="BB194" s="148" t="s">
        <v>17</v>
      </c>
    </row>
    <row r="195" spans="49:54">
      <c r="AW195" s="144" t="s">
        <v>162</v>
      </c>
      <c r="AX195" s="144">
        <v>2014</v>
      </c>
      <c r="AY195" s="144" t="s">
        <v>167</v>
      </c>
      <c r="AZ195" s="144" t="s">
        <v>25</v>
      </c>
      <c r="BA195" s="144" t="s">
        <v>160</v>
      </c>
      <c r="BB195" s="148" t="s">
        <v>17</v>
      </c>
    </row>
    <row r="196" spans="49:54">
      <c r="AW196" s="144" t="s">
        <v>162</v>
      </c>
      <c r="AX196" s="144">
        <v>2014</v>
      </c>
      <c r="AY196" s="144" t="s">
        <v>167</v>
      </c>
      <c r="AZ196" s="144" t="s">
        <v>26</v>
      </c>
      <c r="BA196" s="144" t="s">
        <v>160</v>
      </c>
      <c r="BB196" s="148" t="s">
        <v>17</v>
      </c>
    </row>
    <row r="197" spans="49:54">
      <c r="AW197" s="144" t="s">
        <v>162</v>
      </c>
      <c r="AX197" s="144">
        <v>2014</v>
      </c>
      <c r="AY197" s="144" t="s">
        <v>166</v>
      </c>
      <c r="AZ197" s="144" t="s">
        <v>29</v>
      </c>
      <c r="BA197" s="144" t="s">
        <v>160</v>
      </c>
      <c r="BB197" s="148" t="s">
        <v>17</v>
      </c>
    </row>
    <row r="198" spans="49:54">
      <c r="AW198" s="144" t="s">
        <v>162</v>
      </c>
      <c r="AX198" s="144">
        <v>2014</v>
      </c>
      <c r="AY198" s="144" t="s">
        <v>166</v>
      </c>
      <c r="AZ198" s="144" t="s">
        <v>25</v>
      </c>
      <c r="BA198" s="144" t="s">
        <v>160</v>
      </c>
      <c r="BB198" s="148" t="s">
        <v>17</v>
      </c>
    </row>
    <row r="199" spans="49:54">
      <c r="AW199" s="144" t="s">
        <v>162</v>
      </c>
      <c r="AX199" s="144">
        <v>2014</v>
      </c>
      <c r="AY199" s="144" t="s">
        <v>166</v>
      </c>
      <c r="AZ199" s="144" t="s">
        <v>26</v>
      </c>
      <c r="BA199" s="144" t="s">
        <v>160</v>
      </c>
      <c r="BB199" s="148" t="s">
        <v>17</v>
      </c>
    </row>
    <row r="200" spans="49:54">
      <c r="AW200" s="144" t="s">
        <v>162</v>
      </c>
      <c r="AX200" s="144">
        <v>2014</v>
      </c>
      <c r="AY200" s="144" t="s">
        <v>165</v>
      </c>
      <c r="AZ200" s="144" t="s">
        <v>29</v>
      </c>
      <c r="BA200" s="144">
        <v>0.1</v>
      </c>
    </row>
    <row r="201" spans="49:54">
      <c r="AW201" s="144" t="s">
        <v>162</v>
      </c>
      <c r="AX201" s="144">
        <v>2014</v>
      </c>
      <c r="AY201" s="144" t="s">
        <v>165</v>
      </c>
      <c r="AZ201" s="144" t="s">
        <v>25</v>
      </c>
      <c r="BA201" s="144">
        <v>0</v>
      </c>
    </row>
    <row r="202" spans="49:54">
      <c r="AW202" s="144" t="s">
        <v>162</v>
      </c>
      <c r="AX202" s="144">
        <v>2014</v>
      </c>
      <c r="AY202" s="144" t="s">
        <v>165</v>
      </c>
      <c r="AZ202" s="144" t="s">
        <v>26</v>
      </c>
      <c r="BA202" s="144">
        <v>0.1</v>
      </c>
    </row>
    <row r="203" spans="49:54">
      <c r="AW203" s="144" t="s">
        <v>162</v>
      </c>
      <c r="AX203" s="144">
        <v>2014</v>
      </c>
      <c r="AY203" s="144" t="s">
        <v>164</v>
      </c>
      <c r="AZ203" s="144" t="s">
        <v>29</v>
      </c>
      <c r="BA203" s="144">
        <v>97.1</v>
      </c>
    </row>
    <row r="204" spans="49:54">
      <c r="AW204" s="144" t="s">
        <v>162</v>
      </c>
      <c r="AX204" s="144">
        <v>2014</v>
      </c>
      <c r="AY204" s="144" t="s">
        <v>164</v>
      </c>
      <c r="AZ204" s="144" t="s">
        <v>25</v>
      </c>
      <c r="BA204" s="144">
        <v>88.9</v>
      </c>
    </row>
    <row r="205" spans="49:54">
      <c r="AW205" s="144" t="s">
        <v>162</v>
      </c>
      <c r="AX205" s="144">
        <v>2014</v>
      </c>
      <c r="AY205" s="144" t="s">
        <v>164</v>
      </c>
      <c r="AZ205" s="144" t="s">
        <v>26</v>
      </c>
      <c r="BA205" s="144">
        <v>98.8</v>
      </c>
    </row>
    <row r="206" spans="49:54">
      <c r="AW206" s="144" t="s">
        <v>162</v>
      </c>
      <c r="AX206" s="144">
        <v>2014</v>
      </c>
      <c r="AY206" s="144" t="s">
        <v>163</v>
      </c>
      <c r="AZ206" s="144" t="s">
        <v>29</v>
      </c>
      <c r="BA206" s="144">
        <v>2.8</v>
      </c>
    </row>
    <row r="207" spans="49:54">
      <c r="AW207" s="144" t="s">
        <v>162</v>
      </c>
      <c r="AX207" s="144">
        <v>2014</v>
      </c>
      <c r="AY207" s="144" t="s">
        <v>163</v>
      </c>
      <c r="AZ207" s="144" t="s">
        <v>25</v>
      </c>
      <c r="BA207" s="144">
        <v>11.1</v>
      </c>
    </row>
    <row r="208" spans="49:54">
      <c r="AW208" s="144" t="s">
        <v>162</v>
      </c>
      <c r="AX208" s="144">
        <v>2014</v>
      </c>
      <c r="AY208" s="144" t="s">
        <v>163</v>
      </c>
      <c r="AZ208" s="144" t="s">
        <v>26</v>
      </c>
      <c r="BA208" s="144">
        <v>1.1000000000000001</v>
      </c>
    </row>
    <row r="209" spans="49:54">
      <c r="AW209" s="144" t="s">
        <v>162</v>
      </c>
      <c r="AX209" s="144">
        <v>2014</v>
      </c>
      <c r="AY209" s="144" t="s">
        <v>161</v>
      </c>
      <c r="AZ209" s="144" t="s">
        <v>29</v>
      </c>
      <c r="BA209" s="144">
        <v>4.0999999999999996</v>
      </c>
    </row>
    <row r="210" spans="49:54">
      <c r="AW210" s="144" t="s">
        <v>162</v>
      </c>
      <c r="AX210" s="144">
        <v>2014</v>
      </c>
      <c r="AY210" s="144" t="s">
        <v>161</v>
      </c>
      <c r="AZ210" s="144" t="s">
        <v>25</v>
      </c>
      <c r="BA210" s="144">
        <v>4</v>
      </c>
    </row>
    <row r="211" spans="49:54">
      <c r="AW211" s="144" t="s">
        <v>162</v>
      </c>
      <c r="AX211" s="144">
        <v>2014</v>
      </c>
      <c r="AY211" s="144" t="s">
        <v>161</v>
      </c>
      <c r="AZ211" s="144" t="s">
        <v>26</v>
      </c>
      <c r="BA211" s="144">
        <v>4.0999999999999996</v>
      </c>
    </row>
    <row r="212" spans="49:54">
      <c r="AW212" s="144" t="s">
        <v>162</v>
      </c>
      <c r="AX212" s="144">
        <v>2015</v>
      </c>
      <c r="AY212" s="144" t="s">
        <v>175</v>
      </c>
      <c r="AZ212" s="144" t="s">
        <v>29</v>
      </c>
      <c r="BA212" s="144">
        <v>2.1</v>
      </c>
      <c r="BB212" s="148" t="s">
        <v>13</v>
      </c>
    </row>
    <row r="213" spans="49:54">
      <c r="AW213" s="144" t="s">
        <v>162</v>
      </c>
      <c r="AX213" s="144">
        <v>2015</v>
      </c>
      <c r="AY213" s="144" t="s">
        <v>175</v>
      </c>
      <c r="AZ213" s="144" t="s">
        <v>25</v>
      </c>
      <c r="BA213" s="144">
        <v>11.9</v>
      </c>
      <c r="BB213" s="148" t="s">
        <v>13</v>
      </c>
    </row>
    <row r="214" spans="49:54">
      <c r="AW214" s="144" t="s">
        <v>162</v>
      </c>
      <c r="AX214" s="144">
        <v>2015</v>
      </c>
      <c r="AY214" s="144" t="s">
        <v>175</v>
      </c>
      <c r="AZ214" s="144" t="s">
        <v>26</v>
      </c>
      <c r="BA214" s="144">
        <v>0.3</v>
      </c>
      <c r="BB214" s="148" t="s">
        <v>13</v>
      </c>
    </row>
    <row r="215" spans="49:54">
      <c r="AW215" s="144" t="s">
        <v>162</v>
      </c>
      <c r="AX215" s="144">
        <v>2015</v>
      </c>
      <c r="AY215" s="144" t="s">
        <v>174</v>
      </c>
      <c r="AZ215" s="144" t="s">
        <v>29</v>
      </c>
      <c r="BA215" s="144">
        <v>0.1</v>
      </c>
      <c r="BB215" s="148" t="s">
        <v>11</v>
      </c>
    </row>
    <row r="216" spans="49:54">
      <c r="AW216" s="144" t="s">
        <v>162</v>
      </c>
      <c r="AX216" s="144">
        <v>2015</v>
      </c>
      <c r="AY216" s="144" t="s">
        <v>174</v>
      </c>
      <c r="AZ216" s="144" t="s">
        <v>25</v>
      </c>
      <c r="BA216" s="144">
        <v>0.2</v>
      </c>
      <c r="BB216" s="148" t="s">
        <v>11</v>
      </c>
    </row>
    <row r="217" spans="49:54">
      <c r="AW217" s="144" t="s">
        <v>162</v>
      </c>
      <c r="AX217" s="144">
        <v>2015</v>
      </c>
      <c r="AY217" s="144" t="s">
        <v>174</v>
      </c>
      <c r="AZ217" s="144" t="s">
        <v>26</v>
      </c>
      <c r="BA217" s="144">
        <v>0</v>
      </c>
      <c r="BB217" s="148" t="s">
        <v>11</v>
      </c>
    </row>
    <row r="218" spans="49:54">
      <c r="AW218" s="144" t="s">
        <v>162</v>
      </c>
      <c r="AX218" s="144">
        <v>2015</v>
      </c>
      <c r="AY218" s="144" t="s">
        <v>173</v>
      </c>
      <c r="AZ218" s="144" t="s">
        <v>29</v>
      </c>
      <c r="BA218" s="144" t="s">
        <v>160</v>
      </c>
      <c r="BB218" s="148" t="s">
        <v>12</v>
      </c>
    </row>
    <row r="219" spans="49:54">
      <c r="AW219" s="144" t="s">
        <v>162</v>
      </c>
      <c r="AX219" s="144">
        <v>2015</v>
      </c>
      <c r="AY219" s="144" t="s">
        <v>173</v>
      </c>
      <c r="AZ219" s="144" t="s">
        <v>25</v>
      </c>
      <c r="BA219" s="144" t="s">
        <v>160</v>
      </c>
      <c r="BB219" s="148" t="s">
        <v>12</v>
      </c>
    </row>
    <row r="220" spans="49:54">
      <c r="AW220" s="144" t="s">
        <v>162</v>
      </c>
      <c r="AX220" s="144">
        <v>2015</v>
      </c>
      <c r="AY220" s="144" t="s">
        <v>173</v>
      </c>
      <c r="AZ220" s="144" t="s">
        <v>26</v>
      </c>
      <c r="BA220" s="144" t="s">
        <v>160</v>
      </c>
      <c r="BB220" s="148" t="s">
        <v>12</v>
      </c>
    </row>
    <row r="221" spans="49:54">
      <c r="AW221" s="144" t="s">
        <v>162</v>
      </c>
      <c r="AX221" s="144">
        <v>2015</v>
      </c>
      <c r="AY221" s="144" t="s">
        <v>172</v>
      </c>
      <c r="AZ221" s="144" t="s">
        <v>29</v>
      </c>
      <c r="BA221" s="144">
        <v>0</v>
      </c>
      <c r="BB221" s="148" t="s">
        <v>181</v>
      </c>
    </row>
    <row r="222" spans="49:54">
      <c r="AW222" s="144" t="s">
        <v>162</v>
      </c>
      <c r="AX222" s="144">
        <v>2015</v>
      </c>
      <c r="AY222" s="144" t="s">
        <v>172</v>
      </c>
      <c r="AZ222" s="144" t="s">
        <v>25</v>
      </c>
      <c r="BA222" s="144">
        <v>0.1</v>
      </c>
      <c r="BB222" s="148" t="s">
        <v>181</v>
      </c>
    </row>
    <row r="223" spans="49:54">
      <c r="AW223" s="144" t="s">
        <v>162</v>
      </c>
      <c r="AX223" s="144">
        <v>2015</v>
      </c>
      <c r="AY223" s="144" t="s">
        <v>172</v>
      </c>
      <c r="AZ223" s="144" t="s">
        <v>26</v>
      </c>
      <c r="BA223" s="144">
        <v>0</v>
      </c>
      <c r="BB223" s="148" t="s">
        <v>181</v>
      </c>
    </row>
    <row r="224" spans="49:54">
      <c r="AW224" s="144" t="s">
        <v>162</v>
      </c>
      <c r="AX224" s="144">
        <v>2015</v>
      </c>
      <c r="AY224" s="144" t="s">
        <v>171</v>
      </c>
      <c r="AZ224" s="144" t="s">
        <v>29</v>
      </c>
      <c r="BA224" s="144">
        <v>15.7</v>
      </c>
      <c r="BB224" s="148" t="s">
        <v>8</v>
      </c>
    </row>
    <row r="225" spans="49:54">
      <c r="AW225" s="144" t="s">
        <v>162</v>
      </c>
      <c r="AX225" s="144">
        <v>2015</v>
      </c>
      <c r="AY225" s="144" t="s">
        <v>171</v>
      </c>
      <c r="AZ225" s="144" t="s">
        <v>25</v>
      </c>
      <c r="BA225" s="144">
        <v>64.400000000000006</v>
      </c>
      <c r="BB225" s="148" t="s">
        <v>8</v>
      </c>
    </row>
    <row r="226" spans="49:54">
      <c r="AW226" s="144" t="s">
        <v>162</v>
      </c>
      <c r="AX226" s="144">
        <v>2015</v>
      </c>
      <c r="AY226" s="144" t="s">
        <v>171</v>
      </c>
      <c r="AZ226" s="144" t="s">
        <v>26</v>
      </c>
      <c r="BA226" s="144">
        <v>6.9</v>
      </c>
      <c r="BB226" s="148" t="s">
        <v>8</v>
      </c>
    </row>
    <row r="227" spans="49:54">
      <c r="AW227" s="144" t="s">
        <v>162</v>
      </c>
      <c r="AX227" s="144">
        <v>2015</v>
      </c>
      <c r="AY227" s="144" t="s">
        <v>170</v>
      </c>
      <c r="AZ227" s="144" t="s">
        <v>29</v>
      </c>
      <c r="BA227" s="144">
        <v>80.900000000000006</v>
      </c>
      <c r="BB227" s="148" t="s">
        <v>36</v>
      </c>
    </row>
    <row r="228" spans="49:54">
      <c r="AW228" s="144" t="s">
        <v>162</v>
      </c>
      <c r="AX228" s="144">
        <v>2015</v>
      </c>
      <c r="AY228" s="144" t="s">
        <v>170</v>
      </c>
      <c r="AZ228" s="144" t="s">
        <v>25</v>
      </c>
      <c r="BA228" s="144">
        <v>23</v>
      </c>
      <c r="BB228" s="148" t="s">
        <v>36</v>
      </c>
    </row>
    <row r="229" spans="49:54">
      <c r="AW229" s="144" t="s">
        <v>162</v>
      </c>
      <c r="AX229" s="144">
        <v>2015</v>
      </c>
      <c r="AY229" s="144" t="s">
        <v>170</v>
      </c>
      <c r="AZ229" s="144" t="s">
        <v>26</v>
      </c>
      <c r="BA229" s="144">
        <v>91.4</v>
      </c>
      <c r="BB229" s="148" t="s">
        <v>36</v>
      </c>
    </row>
    <row r="230" spans="49:54">
      <c r="AW230" s="144" t="s">
        <v>162</v>
      </c>
      <c r="AX230" s="144">
        <v>2015</v>
      </c>
      <c r="AY230" s="144" t="s">
        <v>169</v>
      </c>
      <c r="AZ230" s="144" t="s">
        <v>29</v>
      </c>
      <c r="BA230" s="144">
        <v>0.9</v>
      </c>
      <c r="BB230" s="148" t="s">
        <v>17</v>
      </c>
    </row>
    <row r="231" spans="49:54">
      <c r="AW231" s="144" t="s">
        <v>162</v>
      </c>
      <c r="AX231" s="144">
        <v>2015</v>
      </c>
      <c r="AY231" s="144" t="s">
        <v>169</v>
      </c>
      <c r="AZ231" s="144" t="s">
        <v>25</v>
      </c>
      <c r="BA231" s="144">
        <v>0</v>
      </c>
      <c r="BB231" s="148" t="s">
        <v>17</v>
      </c>
    </row>
    <row r="232" spans="49:54">
      <c r="AW232" s="144" t="s">
        <v>162</v>
      </c>
      <c r="AX232" s="144">
        <v>2015</v>
      </c>
      <c r="AY232" s="144" t="s">
        <v>169</v>
      </c>
      <c r="AZ232" s="144" t="s">
        <v>26</v>
      </c>
      <c r="BA232" s="144">
        <v>1.1000000000000001</v>
      </c>
      <c r="BB232" s="148" t="s">
        <v>17</v>
      </c>
    </row>
    <row r="233" spans="49:54">
      <c r="AW233" s="144" t="s">
        <v>162</v>
      </c>
      <c r="AX233" s="144">
        <v>2015</v>
      </c>
      <c r="AY233" s="144" t="s">
        <v>168</v>
      </c>
      <c r="AZ233" s="144" t="s">
        <v>29</v>
      </c>
      <c r="BA233" s="144">
        <v>0.1</v>
      </c>
      <c r="BB233" s="148" t="s">
        <v>17</v>
      </c>
    </row>
    <row r="234" spans="49:54">
      <c r="AW234" s="144" t="s">
        <v>162</v>
      </c>
      <c r="AX234" s="144">
        <v>2015</v>
      </c>
      <c r="AY234" s="144" t="s">
        <v>168</v>
      </c>
      <c r="AZ234" s="144" t="s">
        <v>25</v>
      </c>
      <c r="BA234" s="144">
        <v>0.1</v>
      </c>
      <c r="BB234" s="148" t="s">
        <v>17</v>
      </c>
    </row>
    <row r="235" spans="49:54">
      <c r="AW235" s="144" t="s">
        <v>162</v>
      </c>
      <c r="AX235" s="144">
        <v>2015</v>
      </c>
      <c r="AY235" s="144" t="s">
        <v>168</v>
      </c>
      <c r="AZ235" s="144" t="s">
        <v>26</v>
      </c>
      <c r="BA235" s="144">
        <v>0.1</v>
      </c>
      <c r="BB235" s="148" t="s">
        <v>17</v>
      </c>
    </row>
    <row r="236" spans="49:54">
      <c r="AW236" s="144" t="s">
        <v>162</v>
      </c>
      <c r="AX236" s="144">
        <v>2015</v>
      </c>
      <c r="AY236" s="144" t="s">
        <v>167</v>
      </c>
      <c r="AZ236" s="144" t="s">
        <v>29</v>
      </c>
      <c r="BA236" s="144" t="s">
        <v>160</v>
      </c>
      <c r="BB236" s="148" t="s">
        <v>17</v>
      </c>
    </row>
    <row r="237" spans="49:54">
      <c r="AW237" s="144" t="s">
        <v>162</v>
      </c>
      <c r="AX237" s="144">
        <v>2015</v>
      </c>
      <c r="AY237" s="144" t="s">
        <v>167</v>
      </c>
      <c r="AZ237" s="144" t="s">
        <v>25</v>
      </c>
      <c r="BA237" s="144" t="s">
        <v>160</v>
      </c>
      <c r="BB237" s="148" t="s">
        <v>17</v>
      </c>
    </row>
    <row r="238" spans="49:54">
      <c r="AW238" s="144" t="s">
        <v>162</v>
      </c>
      <c r="AX238" s="144">
        <v>2015</v>
      </c>
      <c r="AY238" s="144" t="s">
        <v>167</v>
      </c>
      <c r="AZ238" s="144" t="s">
        <v>26</v>
      </c>
      <c r="BA238" s="144" t="s">
        <v>160</v>
      </c>
      <c r="BB238" s="148" t="s">
        <v>17</v>
      </c>
    </row>
    <row r="239" spans="49:54">
      <c r="AW239" s="144" t="s">
        <v>162</v>
      </c>
      <c r="AX239" s="144">
        <v>2015</v>
      </c>
      <c r="AY239" s="144" t="s">
        <v>166</v>
      </c>
      <c r="AZ239" s="144" t="s">
        <v>29</v>
      </c>
      <c r="BA239" s="144" t="s">
        <v>160</v>
      </c>
      <c r="BB239" s="148" t="s">
        <v>17</v>
      </c>
    </row>
    <row r="240" spans="49:54">
      <c r="AW240" s="144" t="s">
        <v>162</v>
      </c>
      <c r="AX240" s="144">
        <v>2015</v>
      </c>
      <c r="AY240" s="144" t="s">
        <v>166</v>
      </c>
      <c r="AZ240" s="144" t="s">
        <v>25</v>
      </c>
      <c r="BA240" s="144" t="s">
        <v>160</v>
      </c>
      <c r="BB240" s="148" t="s">
        <v>17</v>
      </c>
    </row>
    <row r="241" spans="49:54">
      <c r="AW241" s="144" t="s">
        <v>162</v>
      </c>
      <c r="AX241" s="144">
        <v>2015</v>
      </c>
      <c r="AY241" s="144" t="s">
        <v>166</v>
      </c>
      <c r="AZ241" s="144" t="s">
        <v>26</v>
      </c>
      <c r="BA241" s="144" t="s">
        <v>160</v>
      </c>
      <c r="BB241" s="148" t="s">
        <v>17</v>
      </c>
    </row>
    <row r="242" spans="49:54">
      <c r="AW242" s="144" t="s">
        <v>162</v>
      </c>
      <c r="AX242" s="144">
        <v>2015</v>
      </c>
      <c r="AY242" s="144" t="s">
        <v>165</v>
      </c>
      <c r="AZ242" s="144" t="s">
        <v>29</v>
      </c>
      <c r="BA242" s="144">
        <v>0.2</v>
      </c>
    </row>
    <row r="243" spans="49:54">
      <c r="AW243" s="144" t="s">
        <v>162</v>
      </c>
      <c r="AX243" s="144">
        <v>2015</v>
      </c>
      <c r="AY243" s="144" t="s">
        <v>165</v>
      </c>
      <c r="AZ243" s="144" t="s">
        <v>25</v>
      </c>
      <c r="BA243" s="144">
        <v>0.2</v>
      </c>
    </row>
    <row r="244" spans="49:54">
      <c r="AW244" s="144" t="s">
        <v>162</v>
      </c>
      <c r="AX244" s="144">
        <v>2015</v>
      </c>
      <c r="AY244" s="144" t="s">
        <v>165</v>
      </c>
      <c r="AZ244" s="144" t="s">
        <v>26</v>
      </c>
      <c r="BA244" s="144">
        <v>0.2</v>
      </c>
    </row>
    <row r="245" spans="49:54">
      <c r="AW245" s="144" t="s">
        <v>162</v>
      </c>
      <c r="AX245" s="144">
        <v>2015</v>
      </c>
      <c r="AY245" s="144" t="s">
        <v>164</v>
      </c>
      <c r="AZ245" s="144" t="s">
        <v>29</v>
      </c>
      <c r="BA245" s="144">
        <v>97.6</v>
      </c>
    </row>
    <row r="246" spans="49:54">
      <c r="AW246" s="144" t="s">
        <v>162</v>
      </c>
      <c r="AX246" s="144">
        <v>2015</v>
      </c>
      <c r="AY246" s="144" t="s">
        <v>164</v>
      </c>
      <c r="AZ246" s="144" t="s">
        <v>25</v>
      </c>
      <c r="BA246" s="144">
        <v>87.7</v>
      </c>
    </row>
    <row r="247" spans="49:54">
      <c r="AW247" s="144" t="s">
        <v>162</v>
      </c>
      <c r="AX247" s="144">
        <v>2015</v>
      </c>
      <c r="AY247" s="144" t="s">
        <v>164</v>
      </c>
      <c r="AZ247" s="144" t="s">
        <v>26</v>
      </c>
      <c r="BA247" s="144">
        <v>99.4</v>
      </c>
    </row>
    <row r="248" spans="49:54">
      <c r="AW248" s="144" t="s">
        <v>162</v>
      </c>
      <c r="AX248" s="144">
        <v>2015</v>
      </c>
      <c r="AY248" s="144" t="s">
        <v>163</v>
      </c>
      <c r="AZ248" s="144" t="s">
        <v>29</v>
      </c>
      <c r="BA248" s="144">
        <v>2.2000000000000002</v>
      </c>
    </row>
    <row r="249" spans="49:54">
      <c r="AW249" s="144" t="s">
        <v>162</v>
      </c>
      <c r="AX249" s="144">
        <v>2015</v>
      </c>
      <c r="AY249" s="144" t="s">
        <v>163</v>
      </c>
      <c r="AZ249" s="144" t="s">
        <v>25</v>
      </c>
      <c r="BA249" s="144">
        <v>12.1</v>
      </c>
    </row>
    <row r="250" spans="49:54">
      <c r="AW250" s="144" t="s">
        <v>162</v>
      </c>
      <c r="AX250" s="144">
        <v>2015</v>
      </c>
      <c r="AY250" s="144" t="s">
        <v>163</v>
      </c>
      <c r="AZ250" s="144" t="s">
        <v>26</v>
      </c>
      <c r="BA250" s="144">
        <v>0.4</v>
      </c>
    </row>
    <row r="251" spans="49:54">
      <c r="AW251" s="144" t="s">
        <v>162</v>
      </c>
      <c r="AX251" s="144">
        <v>2015</v>
      </c>
      <c r="AY251" s="144" t="s">
        <v>161</v>
      </c>
      <c r="AZ251" s="144" t="s">
        <v>29</v>
      </c>
      <c r="BA251" s="144">
        <v>4.5</v>
      </c>
    </row>
    <row r="252" spans="49:54">
      <c r="AW252" s="144" t="s">
        <v>162</v>
      </c>
      <c r="AX252" s="144">
        <v>2015</v>
      </c>
      <c r="AY252" s="144" t="s">
        <v>161</v>
      </c>
      <c r="AZ252" s="144" t="s">
        <v>25</v>
      </c>
      <c r="BA252" s="144">
        <v>4.3</v>
      </c>
    </row>
    <row r="253" spans="49:54">
      <c r="AW253" s="144" t="s">
        <v>162</v>
      </c>
      <c r="AX253" s="144">
        <v>2015</v>
      </c>
      <c r="AY253" s="144" t="s">
        <v>161</v>
      </c>
      <c r="AZ253" s="144" t="s">
        <v>26</v>
      </c>
      <c r="BA253" s="144">
        <v>4.5</v>
      </c>
    </row>
    <row r="254" spans="49:54">
      <c r="AW254" s="144" t="s">
        <v>162</v>
      </c>
      <c r="AX254" s="144">
        <v>2017</v>
      </c>
      <c r="AY254" s="144" t="s">
        <v>175</v>
      </c>
      <c r="AZ254" s="144" t="s">
        <v>29</v>
      </c>
      <c r="BA254" s="144">
        <v>1.7</v>
      </c>
      <c r="BB254" s="148" t="s">
        <v>13</v>
      </c>
    </row>
    <row r="255" spans="49:54">
      <c r="AW255" s="144" t="s">
        <v>162</v>
      </c>
      <c r="AX255" s="144">
        <v>2017</v>
      </c>
      <c r="AY255" s="144" t="s">
        <v>175</v>
      </c>
      <c r="AZ255" s="144" t="s">
        <v>25</v>
      </c>
      <c r="BA255" s="144">
        <v>9.5</v>
      </c>
      <c r="BB255" s="148" t="s">
        <v>13</v>
      </c>
    </row>
    <row r="256" spans="49:54">
      <c r="AW256" s="144" t="s">
        <v>162</v>
      </c>
      <c r="AX256" s="144">
        <v>2017</v>
      </c>
      <c r="AY256" s="144" t="s">
        <v>175</v>
      </c>
      <c r="AZ256" s="144" t="s">
        <v>26</v>
      </c>
      <c r="BA256" s="144">
        <v>0.1</v>
      </c>
      <c r="BB256" s="148" t="s">
        <v>13</v>
      </c>
    </row>
    <row r="257" spans="49:54">
      <c r="AW257" s="144" t="s">
        <v>162</v>
      </c>
      <c r="AX257" s="144">
        <v>2017</v>
      </c>
      <c r="AY257" s="144" t="s">
        <v>174</v>
      </c>
      <c r="AZ257" s="144" t="s">
        <v>29</v>
      </c>
      <c r="BA257" s="144">
        <v>0</v>
      </c>
      <c r="BB257" s="148" t="s">
        <v>11</v>
      </c>
    </row>
    <row r="258" spans="49:54">
      <c r="AW258" s="144" t="s">
        <v>162</v>
      </c>
      <c r="AX258" s="144">
        <v>2017</v>
      </c>
      <c r="AY258" s="144" t="s">
        <v>174</v>
      </c>
      <c r="AZ258" s="144" t="s">
        <v>25</v>
      </c>
      <c r="BA258" s="144">
        <v>0.2</v>
      </c>
      <c r="BB258" s="148" t="s">
        <v>11</v>
      </c>
    </row>
    <row r="259" spans="49:54">
      <c r="AW259" s="144" t="s">
        <v>162</v>
      </c>
      <c r="AX259" s="144">
        <v>2017</v>
      </c>
      <c r="AY259" s="144" t="s">
        <v>174</v>
      </c>
      <c r="AZ259" s="144" t="s">
        <v>26</v>
      </c>
      <c r="BA259" s="144">
        <v>0</v>
      </c>
      <c r="BB259" s="148" t="s">
        <v>11</v>
      </c>
    </row>
    <row r="260" spans="49:54">
      <c r="AW260" s="144" t="s">
        <v>162</v>
      </c>
      <c r="AX260" s="144">
        <v>2017</v>
      </c>
      <c r="AY260" s="144" t="s">
        <v>173</v>
      </c>
      <c r="AZ260" s="144" t="s">
        <v>29</v>
      </c>
      <c r="BA260" s="144" t="s">
        <v>160</v>
      </c>
      <c r="BB260" s="148" t="s">
        <v>12</v>
      </c>
    </row>
    <row r="261" spans="49:54">
      <c r="AW261" s="144" t="s">
        <v>162</v>
      </c>
      <c r="AX261" s="144">
        <v>2017</v>
      </c>
      <c r="AY261" s="144" t="s">
        <v>173</v>
      </c>
      <c r="AZ261" s="144" t="s">
        <v>25</v>
      </c>
      <c r="BA261" s="144" t="s">
        <v>160</v>
      </c>
      <c r="BB261" s="148" t="s">
        <v>12</v>
      </c>
    </row>
    <row r="262" spans="49:54">
      <c r="AW262" s="144" t="s">
        <v>162</v>
      </c>
      <c r="AX262" s="144">
        <v>2017</v>
      </c>
      <c r="AY262" s="144" t="s">
        <v>173</v>
      </c>
      <c r="AZ262" s="144" t="s">
        <v>26</v>
      </c>
      <c r="BA262" s="144" t="s">
        <v>160</v>
      </c>
      <c r="BB262" s="148" t="s">
        <v>12</v>
      </c>
    </row>
    <row r="263" spans="49:54">
      <c r="AW263" s="144" t="s">
        <v>162</v>
      </c>
      <c r="AX263" s="144">
        <v>2017</v>
      </c>
      <c r="AY263" s="144" t="s">
        <v>172</v>
      </c>
      <c r="AZ263" s="144" t="s">
        <v>29</v>
      </c>
      <c r="BA263" s="144">
        <v>0.1</v>
      </c>
      <c r="BB263" s="148" t="s">
        <v>181</v>
      </c>
    </row>
    <row r="264" spans="49:54">
      <c r="AW264" s="144" t="s">
        <v>162</v>
      </c>
      <c r="AX264" s="144">
        <v>2017</v>
      </c>
      <c r="AY264" s="144" t="s">
        <v>172</v>
      </c>
      <c r="AZ264" s="144" t="s">
        <v>25</v>
      </c>
      <c r="BA264" s="144">
        <v>0</v>
      </c>
      <c r="BB264" s="148" t="s">
        <v>181</v>
      </c>
    </row>
    <row r="265" spans="49:54">
      <c r="AW265" s="144" t="s">
        <v>162</v>
      </c>
      <c r="AX265" s="144">
        <v>2017</v>
      </c>
      <c r="AY265" s="144" t="s">
        <v>172</v>
      </c>
      <c r="AZ265" s="144" t="s">
        <v>26</v>
      </c>
      <c r="BA265" s="144">
        <v>0.1</v>
      </c>
      <c r="BB265" s="148" t="s">
        <v>181</v>
      </c>
    </row>
    <row r="266" spans="49:54">
      <c r="AW266" s="144" t="s">
        <v>162</v>
      </c>
      <c r="AX266" s="144">
        <v>2017</v>
      </c>
      <c r="AY266" s="144" t="s">
        <v>171</v>
      </c>
      <c r="AZ266" s="144" t="s">
        <v>29</v>
      </c>
      <c r="BA266" s="144">
        <v>18.3</v>
      </c>
      <c r="BB266" s="148" t="s">
        <v>8</v>
      </c>
    </row>
    <row r="267" spans="49:54">
      <c r="AW267" s="144" t="s">
        <v>162</v>
      </c>
      <c r="AX267" s="144">
        <v>2017</v>
      </c>
      <c r="AY267" s="144" t="s">
        <v>171</v>
      </c>
      <c r="AZ267" s="144" t="s">
        <v>25</v>
      </c>
      <c r="BA267" s="144">
        <v>72.7</v>
      </c>
      <c r="BB267" s="148" t="s">
        <v>8</v>
      </c>
    </row>
    <row r="268" spans="49:54">
      <c r="AW268" s="144" t="s">
        <v>162</v>
      </c>
      <c r="AX268" s="144">
        <v>2017</v>
      </c>
      <c r="AY268" s="144" t="s">
        <v>171</v>
      </c>
      <c r="AZ268" s="144" t="s">
        <v>26</v>
      </c>
      <c r="BA268" s="144">
        <v>7</v>
      </c>
      <c r="BB268" s="148" t="s">
        <v>8</v>
      </c>
    </row>
    <row r="269" spans="49:54">
      <c r="AW269" s="144" t="s">
        <v>162</v>
      </c>
      <c r="AX269" s="144">
        <v>2017</v>
      </c>
      <c r="AY269" s="144" t="s">
        <v>170</v>
      </c>
      <c r="AZ269" s="144" t="s">
        <v>29</v>
      </c>
      <c r="BA269" s="144">
        <v>79.5</v>
      </c>
      <c r="BB269" s="148" t="s">
        <v>36</v>
      </c>
    </row>
    <row r="270" spans="49:54">
      <c r="AW270" s="144" t="s">
        <v>162</v>
      </c>
      <c r="AX270" s="144">
        <v>2017</v>
      </c>
      <c r="AY270" s="144" t="s">
        <v>170</v>
      </c>
      <c r="AZ270" s="144" t="s">
        <v>25</v>
      </c>
      <c r="BA270" s="144">
        <v>17.399999999999999</v>
      </c>
      <c r="BB270" s="148" t="s">
        <v>36</v>
      </c>
    </row>
    <row r="271" spans="49:54">
      <c r="AW271" s="144" t="s">
        <v>162</v>
      </c>
      <c r="AX271" s="144">
        <v>2017</v>
      </c>
      <c r="AY271" s="144" t="s">
        <v>170</v>
      </c>
      <c r="AZ271" s="144" t="s">
        <v>26</v>
      </c>
      <c r="BA271" s="144">
        <v>92.5</v>
      </c>
      <c r="BB271" s="148" t="s">
        <v>36</v>
      </c>
    </row>
    <row r="272" spans="49:54">
      <c r="AW272" s="144" t="s">
        <v>162</v>
      </c>
      <c r="AX272" s="144">
        <v>2017</v>
      </c>
      <c r="AY272" s="144" t="s">
        <v>169</v>
      </c>
      <c r="AZ272" s="144" t="s">
        <v>29</v>
      </c>
      <c r="BA272" s="144">
        <v>0.2</v>
      </c>
      <c r="BB272" s="148" t="s">
        <v>17</v>
      </c>
    </row>
    <row r="273" spans="49:54">
      <c r="AW273" s="144" t="s">
        <v>162</v>
      </c>
      <c r="AX273" s="144">
        <v>2017</v>
      </c>
      <c r="AY273" s="144" t="s">
        <v>169</v>
      </c>
      <c r="AZ273" s="144" t="s">
        <v>25</v>
      </c>
      <c r="BA273" s="144">
        <v>0.1</v>
      </c>
      <c r="BB273" s="148" t="s">
        <v>17</v>
      </c>
    </row>
    <row r="274" spans="49:54">
      <c r="AW274" s="144" t="s">
        <v>162</v>
      </c>
      <c r="AX274" s="144">
        <v>2017</v>
      </c>
      <c r="AY274" s="144" t="s">
        <v>169</v>
      </c>
      <c r="AZ274" s="144" t="s">
        <v>26</v>
      </c>
      <c r="BA274" s="144">
        <v>0.2</v>
      </c>
      <c r="BB274" s="148" t="s">
        <v>17</v>
      </c>
    </row>
    <row r="275" spans="49:54">
      <c r="AW275" s="144" t="s">
        <v>162</v>
      </c>
      <c r="AX275" s="144">
        <v>2017</v>
      </c>
      <c r="AY275" s="144" t="s">
        <v>168</v>
      </c>
      <c r="AZ275" s="144" t="s">
        <v>29</v>
      </c>
      <c r="BA275" s="144">
        <v>0.1</v>
      </c>
      <c r="BB275" s="148" t="s">
        <v>17</v>
      </c>
    </row>
    <row r="276" spans="49:54">
      <c r="AW276" s="144" t="s">
        <v>162</v>
      </c>
      <c r="AX276" s="144">
        <v>2017</v>
      </c>
      <c r="AY276" s="144" t="s">
        <v>168</v>
      </c>
      <c r="AZ276" s="144" t="s">
        <v>25</v>
      </c>
      <c r="BA276" s="144">
        <v>0.1</v>
      </c>
      <c r="BB276" s="148" t="s">
        <v>17</v>
      </c>
    </row>
    <row r="277" spans="49:54">
      <c r="AW277" s="144" t="s">
        <v>162</v>
      </c>
      <c r="AX277" s="144">
        <v>2017</v>
      </c>
      <c r="AY277" s="144" t="s">
        <v>168</v>
      </c>
      <c r="AZ277" s="144" t="s">
        <v>26</v>
      </c>
      <c r="BA277" s="144">
        <v>0.1</v>
      </c>
      <c r="BB277" s="148" t="s">
        <v>17</v>
      </c>
    </row>
    <row r="278" spans="49:54">
      <c r="AW278" s="144" t="s">
        <v>162</v>
      </c>
      <c r="AX278" s="144">
        <v>2017</v>
      </c>
      <c r="AY278" s="144" t="s">
        <v>167</v>
      </c>
      <c r="AZ278" s="144" t="s">
        <v>29</v>
      </c>
      <c r="BA278" s="144" t="s">
        <v>160</v>
      </c>
      <c r="BB278" s="148" t="s">
        <v>17</v>
      </c>
    </row>
    <row r="279" spans="49:54">
      <c r="AW279" s="144" t="s">
        <v>162</v>
      </c>
      <c r="AX279" s="144">
        <v>2017</v>
      </c>
      <c r="AY279" s="144" t="s">
        <v>167</v>
      </c>
      <c r="AZ279" s="144" t="s">
        <v>25</v>
      </c>
      <c r="BA279" s="144" t="s">
        <v>160</v>
      </c>
      <c r="BB279" s="148" t="s">
        <v>17</v>
      </c>
    </row>
    <row r="280" spans="49:54">
      <c r="AW280" s="144" t="s">
        <v>162</v>
      </c>
      <c r="AX280" s="144">
        <v>2017</v>
      </c>
      <c r="AY280" s="144" t="s">
        <v>167</v>
      </c>
      <c r="AZ280" s="144" t="s">
        <v>26</v>
      </c>
      <c r="BA280" s="144" t="s">
        <v>160</v>
      </c>
      <c r="BB280" s="148" t="s">
        <v>17</v>
      </c>
    </row>
    <row r="281" spans="49:54">
      <c r="AW281" s="144" t="s">
        <v>162</v>
      </c>
      <c r="AX281" s="144">
        <v>2017</v>
      </c>
      <c r="AY281" s="144" t="s">
        <v>166</v>
      </c>
      <c r="AZ281" s="144" t="s">
        <v>29</v>
      </c>
      <c r="BA281" s="144" t="s">
        <v>160</v>
      </c>
      <c r="BB281" s="148" t="s">
        <v>17</v>
      </c>
    </row>
    <row r="282" spans="49:54">
      <c r="AW282" s="144" t="s">
        <v>162</v>
      </c>
      <c r="AX282" s="144">
        <v>2017</v>
      </c>
      <c r="AY282" s="144" t="s">
        <v>166</v>
      </c>
      <c r="AZ282" s="144" t="s">
        <v>25</v>
      </c>
      <c r="BA282" s="144" t="s">
        <v>160</v>
      </c>
      <c r="BB282" s="148" t="s">
        <v>17</v>
      </c>
    </row>
    <row r="283" spans="49:54">
      <c r="AW283" s="144" t="s">
        <v>162</v>
      </c>
      <c r="AX283" s="144">
        <v>2017</v>
      </c>
      <c r="AY283" s="144" t="s">
        <v>166</v>
      </c>
      <c r="AZ283" s="144" t="s">
        <v>26</v>
      </c>
      <c r="BA283" s="144" t="s">
        <v>160</v>
      </c>
      <c r="BB283" s="148" t="s">
        <v>17</v>
      </c>
    </row>
    <row r="284" spans="49:54">
      <c r="AW284" s="144" t="s">
        <v>162</v>
      </c>
      <c r="AX284" s="144">
        <v>2017</v>
      </c>
      <c r="AY284" s="144" t="s">
        <v>165</v>
      </c>
      <c r="AZ284" s="144" t="s">
        <v>29</v>
      </c>
      <c r="BA284" s="144" t="s">
        <v>160</v>
      </c>
    </row>
    <row r="285" spans="49:54">
      <c r="AW285" s="144" t="s">
        <v>162</v>
      </c>
      <c r="AX285" s="144">
        <v>2017</v>
      </c>
      <c r="AY285" s="144" t="s">
        <v>165</v>
      </c>
      <c r="AZ285" s="144" t="s">
        <v>25</v>
      </c>
      <c r="BA285" s="144" t="s">
        <v>160</v>
      </c>
    </row>
    <row r="286" spans="49:54">
      <c r="AW286" s="144" t="s">
        <v>162</v>
      </c>
      <c r="AX286" s="144">
        <v>2017</v>
      </c>
      <c r="AY286" s="144" t="s">
        <v>165</v>
      </c>
      <c r="AZ286" s="144" t="s">
        <v>26</v>
      </c>
      <c r="BA286" s="144" t="s">
        <v>160</v>
      </c>
    </row>
    <row r="287" spans="49:54">
      <c r="AW287" s="144" t="s">
        <v>162</v>
      </c>
      <c r="AX287" s="144">
        <v>2017</v>
      </c>
      <c r="AY287" s="144" t="s">
        <v>164</v>
      </c>
      <c r="AZ287" s="144" t="s">
        <v>29</v>
      </c>
      <c r="BA287" s="144">
        <v>98.2</v>
      </c>
    </row>
    <row r="288" spans="49:54">
      <c r="AW288" s="144" t="s">
        <v>162</v>
      </c>
      <c r="AX288" s="144">
        <v>2017</v>
      </c>
      <c r="AY288" s="144" t="s">
        <v>164</v>
      </c>
      <c r="AZ288" s="144" t="s">
        <v>25</v>
      </c>
      <c r="BA288" s="144">
        <v>90.3</v>
      </c>
    </row>
    <row r="289" spans="49:53">
      <c r="AW289" s="144" t="s">
        <v>162</v>
      </c>
      <c r="AX289" s="144">
        <v>2017</v>
      </c>
      <c r="AY289" s="144" t="s">
        <v>164</v>
      </c>
      <c r="AZ289" s="144" t="s">
        <v>26</v>
      </c>
      <c r="BA289" s="144">
        <v>99.9</v>
      </c>
    </row>
    <row r="290" spans="49:53">
      <c r="AW290" s="144" t="s">
        <v>162</v>
      </c>
      <c r="AX290" s="144">
        <v>2017</v>
      </c>
      <c r="AY290" s="144" t="s">
        <v>163</v>
      </c>
      <c r="AZ290" s="144" t="s">
        <v>29</v>
      </c>
      <c r="BA290" s="144">
        <v>1.8</v>
      </c>
    </row>
    <row r="291" spans="49:53">
      <c r="AW291" s="144" t="s">
        <v>162</v>
      </c>
      <c r="AX291" s="144">
        <v>2017</v>
      </c>
      <c r="AY291" s="144" t="s">
        <v>163</v>
      </c>
      <c r="AZ291" s="144" t="s">
        <v>25</v>
      </c>
      <c r="BA291" s="144">
        <v>9.6999999999999993</v>
      </c>
    </row>
    <row r="292" spans="49:53">
      <c r="AW292" s="144" t="s">
        <v>162</v>
      </c>
      <c r="AX292" s="144">
        <v>2017</v>
      </c>
      <c r="AY292" s="144" t="s">
        <v>163</v>
      </c>
      <c r="AZ292" s="144" t="s">
        <v>26</v>
      </c>
      <c r="BA292" s="144">
        <v>0.1</v>
      </c>
    </row>
    <row r="293" spans="49:53">
      <c r="AW293" s="144" t="s">
        <v>162</v>
      </c>
      <c r="AX293" s="144">
        <v>2017</v>
      </c>
      <c r="AY293" s="144" t="s">
        <v>161</v>
      </c>
      <c r="AZ293" s="144" t="s">
        <v>29</v>
      </c>
      <c r="BA293" s="144">
        <v>4.5</v>
      </c>
    </row>
    <row r="294" spans="49:53">
      <c r="AW294" s="144" t="s">
        <v>162</v>
      </c>
      <c r="AX294" s="144">
        <v>2017</v>
      </c>
      <c r="AY294" s="144" t="s">
        <v>161</v>
      </c>
      <c r="AZ294" s="144" t="s">
        <v>25</v>
      </c>
      <c r="BA294" s="144">
        <v>4.2</v>
      </c>
    </row>
    <row r="295" spans="49:53">
      <c r="AW295" s="144" t="s">
        <v>162</v>
      </c>
      <c r="AX295" s="144">
        <v>2017</v>
      </c>
      <c r="AY295" s="144" t="s">
        <v>161</v>
      </c>
      <c r="AZ295" s="144" t="s">
        <v>26</v>
      </c>
      <c r="BA295" s="144">
        <v>4.5</v>
      </c>
    </row>
    <row r="297" spans="49:53">
      <c r="AW297" s="144" t="s">
        <v>161</v>
      </c>
    </row>
    <row r="298" spans="49:53">
      <c r="AW298" s="144" t="s">
        <v>232</v>
      </c>
    </row>
    <row r="299" spans="49:53">
      <c r="AW299" s="144" t="s">
        <v>233</v>
      </c>
    </row>
    <row r="300" spans="49:53">
      <c r="AW300" s="144" t="s">
        <v>234</v>
      </c>
    </row>
    <row r="301" spans="49:53">
      <c r="AW301" s="144" t="s">
        <v>235</v>
      </c>
    </row>
    <row r="302" spans="49:53">
      <c r="AW302" s="144" t="s">
        <v>236</v>
      </c>
    </row>
    <row r="303" spans="49:53">
      <c r="AW303" s="144" t="s">
        <v>237</v>
      </c>
    </row>
    <row r="304" spans="49:53">
      <c r="AW304" s="144" t="s">
        <v>238</v>
      </c>
    </row>
    <row r="305" spans="49:49">
      <c r="AW305" s="144" t="s">
        <v>239</v>
      </c>
    </row>
    <row r="306" spans="49:49">
      <c r="AW306" s="144" t="s">
        <v>240</v>
      </c>
    </row>
    <row r="307" spans="49:49">
      <c r="AW307" s="144" t="s">
        <v>241</v>
      </c>
    </row>
    <row r="308" spans="49:49">
      <c r="AW308" s="144" t="s">
        <v>242</v>
      </c>
    </row>
    <row r="309" spans="49:49">
      <c r="AW309" s="144" t="s">
        <v>243</v>
      </c>
    </row>
    <row r="310" spans="49:49">
      <c r="AW310" s="144" t="s">
        <v>244</v>
      </c>
    </row>
    <row r="311" spans="49:49">
      <c r="AW311" s="144" t="s">
        <v>245</v>
      </c>
    </row>
    <row r="312" spans="49:49">
      <c r="AW312" s="144" t="s">
        <v>246</v>
      </c>
    </row>
    <row r="313" spans="49:49">
      <c r="AW313" s="144" t="s">
        <v>247</v>
      </c>
    </row>
    <row r="314" spans="49:49">
      <c r="AW314" s="144" t="s">
        <v>248</v>
      </c>
    </row>
  </sheetData>
  <autoFilter ref="AW1:BB295" xr:uid="{FC2CF4BF-92FC-6347-ADE9-31C5DA852F3E}"/>
  <pageMargins left="0.7" right="0.7" top="0.75" bottom="0.75" header="0.3" footer="0.3"/>
  <pageSetup orientation="portrait" horizontalDpi="0" verticalDpi="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2B2B-1E7C-7948-9E05-51EF40D395B7}">
  <dimension ref="A1:R165"/>
  <sheetViews>
    <sheetView topLeftCell="B1" workbookViewId="0">
      <pane xSplit="2" ySplit="1" topLeftCell="D4" activePane="bottomRight" state="frozen"/>
      <selection activeCell="B1" sqref="B1"/>
      <selection pane="topRight" activeCell="D1" sqref="D1"/>
      <selection pane="bottomLeft" activeCell="B2" sqref="B2"/>
      <selection pane="bottomRight" activeCell="L124" sqref="L124"/>
    </sheetView>
  </sheetViews>
  <sheetFormatPr baseColWidth="10" defaultRowHeight="16"/>
  <cols>
    <col min="1" max="1" width="5.1640625" bestFit="1" customWidth="1"/>
    <col min="7" max="7" width="7.6640625" bestFit="1" customWidth="1"/>
    <col min="8" max="8" width="12.1640625" bestFit="1" customWidth="1"/>
    <col min="13" max="13" width="13.83203125" bestFit="1" customWidth="1"/>
    <col min="14" max="14" width="12.33203125" bestFit="1" customWidth="1"/>
    <col min="15" max="15" width="16.83203125" bestFit="1" customWidth="1"/>
    <col min="17" max="17" width="39.6640625" bestFit="1" customWidth="1"/>
  </cols>
  <sheetData>
    <row r="1" spans="1:18">
      <c r="A1" s="25" t="s">
        <v>255</v>
      </c>
      <c r="B1" s="25" t="s">
        <v>1</v>
      </c>
      <c r="C1" s="25" t="s">
        <v>254</v>
      </c>
      <c r="D1" s="25" t="s">
        <v>295</v>
      </c>
      <c r="E1" s="25"/>
      <c r="F1" s="25" t="s">
        <v>281</v>
      </c>
      <c r="G1" s="25" t="s">
        <v>282</v>
      </c>
      <c r="H1" s="25" t="s">
        <v>296</v>
      </c>
      <c r="I1" s="25"/>
      <c r="J1" s="25" t="s">
        <v>287</v>
      </c>
      <c r="K1" s="25" t="s">
        <v>291</v>
      </c>
      <c r="L1" s="25" t="s">
        <v>29</v>
      </c>
      <c r="M1" s="25" t="s">
        <v>294</v>
      </c>
      <c r="N1" s="25" t="s">
        <v>280</v>
      </c>
      <c r="O1" s="25" t="s">
        <v>277</v>
      </c>
    </row>
    <row r="2" spans="1:18">
      <c r="A2">
        <v>2010</v>
      </c>
      <c r="B2" t="s">
        <v>36</v>
      </c>
      <c r="C2" t="s">
        <v>18</v>
      </c>
      <c r="D2" s="143">
        <f>$P$2*(INDEX(BAU_Fuel_cons!$E$13:$AS$13,1,MATCH($A2,BAU_Fuel_cons!$E$1:$AS$1,0)))</f>
        <v>0.55778294865309164</v>
      </c>
      <c r="F2" s="143">
        <f>$P$4*INDEX(Population!$C$84:$C$124,MATCH($A2,Population!$A$84:$A$124,0))/Population!$C$90</f>
        <v>0.36880181873450085</v>
      </c>
      <c r="G2" s="143">
        <f>$P$5*INDEX(Population!$C$43:$C$83,MATCH($A2,Population!$A$43:$A$83,0))/Population!$C$90</f>
        <v>7.0892876924891851E-2</v>
      </c>
      <c r="H2" s="143">
        <f>10^-6*$P$7*INDEX(Population!$C$43:$C$83,MATCH($A2,Population!$A$43:$A$83,0))</f>
        <v>0.15627607079999997</v>
      </c>
      <c r="K2" s="143">
        <f>$P$9/10^6</f>
        <v>0.34768500000000002</v>
      </c>
      <c r="L2" s="143">
        <f>SUM(D2:K2)</f>
        <v>1.5014387151124844</v>
      </c>
      <c r="M2" s="21">
        <f>L2/(INDEX(BAU_Fuel_cons!$E$2:$AS$2,1,MATCH($A2,BAU_Fuel_cons!$E$1:$AS$1,0)))</f>
        <v>0.18414982058963414</v>
      </c>
      <c r="O2" s="25" t="s">
        <v>275</v>
      </c>
      <c r="P2" s="22">
        <v>0.08</v>
      </c>
      <c r="Q2" t="s">
        <v>278</v>
      </c>
      <c r="R2" t="s">
        <v>289</v>
      </c>
    </row>
    <row r="3" spans="1:18">
      <c r="A3">
        <v>2011</v>
      </c>
      <c r="B3" t="s">
        <v>36</v>
      </c>
      <c r="C3" t="s">
        <v>18</v>
      </c>
      <c r="D3" s="143">
        <f>$P$2*(INDEX(BAU_Fuel_cons!$E$13:$AS$13,1,MATCH($A3,BAU_Fuel_cons!$E$1:$AS$1,0)))</f>
        <v>0.56699981900796315</v>
      </c>
      <c r="F3" s="143">
        <f>$P$4*INDEX(Population!$C$84:$C$124,MATCH($A3,Population!$A$84:$A$124,0))/Population!$C$90</f>
        <v>0.38195482625024735</v>
      </c>
      <c r="G3" s="143">
        <f>$P$5*INDEX(Population!$C$43:$C$83,MATCH($A3,Population!$A$43:$A$83,0))/Population!$C$90</f>
        <v>7.2934879551023457E-2</v>
      </c>
      <c r="H3" s="143">
        <f>10^-6*$P$7*INDEX(Population!$C$43:$C$83,MATCH($A3,Population!$A$43:$A$83,0))</f>
        <v>0.16077745599999999</v>
      </c>
      <c r="K3" s="143">
        <f t="shared" ref="K3:K42" si="0">$P$9/10^6</f>
        <v>0.34768500000000002</v>
      </c>
      <c r="L3" s="143">
        <f t="shared" ref="L3:L66" si="1">SUM(D3:K3)</f>
        <v>1.5303519808092338</v>
      </c>
      <c r="M3" s="21">
        <f>L3/(INDEX(BAU_Fuel_cons!$E$2:$AS$2,1,MATCH($A3,BAU_Fuel_cons!$E$1:$AS$1,0)))</f>
        <v>0.18462516465632656</v>
      </c>
      <c r="O3" s="25" t="s">
        <v>276</v>
      </c>
      <c r="P3" s="214">
        <v>5.5E-2</v>
      </c>
      <c r="Q3" t="s">
        <v>279</v>
      </c>
      <c r="R3" t="s">
        <v>289</v>
      </c>
    </row>
    <row r="4" spans="1:18">
      <c r="A4">
        <v>2012</v>
      </c>
      <c r="B4" t="s">
        <v>36</v>
      </c>
      <c r="C4" t="s">
        <v>18</v>
      </c>
      <c r="D4" s="143">
        <f>$P$2*(INDEX(BAU_Fuel_cons!$E$13:$AS$13,1,MATCH($A4,BAU_Fuel_cons!$E$1:$AS$1,0)))</f>
        <v>0.57602424978489852</v>
      </c>
      <c r="F4" s="143">
        <f>$P$4*INDEX(Population!$C$84:$C$124,MATCH($A4,Population!$A$84:$A$124,0))/Population!$C$90</f>
        <v>0.39542095483249207</v>
      </c>
      <c r="G4" s="143">
        <f>$P$5*INDEX(Population!$C$43:$C$83,MATCH($A4,Population!$A$43:$A$83,0))/Population!$C$90</f>
        <v>7.5001764805383939E-2</v>
      </c>
      <c r="H4" s="143">
        <f>10^-6*$P$7*INDEX(Population!$C$43:$C$83,MATCH($A4,Population!$A$43:$A$83,0))</f>
        <v>0.16533369239999995</v>
      </c>
      <c r="K4" s="143">
        <f t="shared" si="0"/>
        <v>0.34768500000000002</v>
      </c>
      <c r="L4" s="143">
        <f t="shared" si="1"/>
        <v>1.5594656618227745</v>
      </c>
      <c r="M4" s="21">
        <f>L4/(INDEX(BAU_Fuel_cons!$E$2:$AS$2,1,MATCH($A4,BAU_Fuel_cons!$E$1:$AS$1,0)))</f>
        <v>0.18519377002189502</v>
      </c>
      <c r="O4" s="25" t="s">
        <v>281</v>
      </c>
      <c r="P4">
        <v>0.45300000000000001</v>
      </c>
      <c r="Q4" t="s">
        <v>283</v>
      </c>
      <c r="R4" t="s">
        <v>290</v>
      </c>
    </row>
    <row r="5" spans="1:18">
      <c r="A5">
        <v>2013</v>
      </c>
      <c r="B5" t="s">
        <v>36</v>
      </c>
      <c r="C5" t="s">
        <v>18</v>
      </c>
      <c r="D5" s="143">
        <f>$P$2*(INDEX(BAU_Fuel_cons!$E$13:$AS$13,1,MATCH($A5,BAU_Fuel_cons!$E$1:$AS$1,0)))</f>
        <v>0.5848734140258609</v>
      </c>
      <c r="F5" s="143">
        <f>$P$4*INDEX(Population!$C$84:$C$124,MATCH($A5,Population!$A$84:$A$124,0))/Population!$C$90</f>
        <v>0.40922550148149028</v>
      </c>
      <c r="G5" s="143">
        <f>$P$5*INDEX(Population!$C$43:$C$83,MATCH($A5,Population!$A$43:$A$83,0))/Population!$C$90</f>
        <v>7.7096720497995458E-2</v>
      </c>
      <c r="H5" s="143">
        <f>10^-6*$P$7*INDEX(Population!$C$43:$C$83,MATCH($A5,Population!$A$43:$A$83,0))</f>
        <v>0.16995180719999997</v>
      </c>
      <c r="K5" s="143">
        <f t="shared" si="0"/>
        <v>0.34768500000000002</v>
      </c>
      <c r="L5" s="143">
        <f t="shared" si="1"/>
        <v>1.5888324432053467</v>
      </c>
      <c r="M5" s="21">
        <f>L5/(INDEX(BAU_Fuel_cons!$E$2:$AS$2,1,MATCH($A5,BAU_Fuel_cons!$E$1:$AS$1,0)))</f>
        <v>0.18585507621713787</v>
      </c>
      <c r="O5" s="25" t="s">
        <v>282</v>
      </c>
      <c r="P5">
        <v>0.13300000000000001</v>
      </c>
      <c r="Q5" t="s">
        <v>283</v>
      </c>
      <c r="R5" t="s">
        <v>290</v>
      </c>
    </row>
    <row r="6" spans="1:18">
      <c r="A6">
        <v>2014</v>
      </c>
      <c r="B6" t="s">
        <v>36</v>
      </c>
      <c r="C6" t="s">
        <v>18</v>
      </c>
      <c r="D6" s="143">
        <f>$P$2*(INDEX(BAU_Fuel_cons!$E$13:$AS$13,1,MATCH($A6,BAU_Fuel_cons!$E$1:$AS$1,0)))</f>
        <v>0.5935867152255222</v>
      </c>
      <c r="F6" s="143">
        <f>$P$4*INDEX(Population!$C$84:$C$124,MATCH($A6,Population!$A$84:$A$124,0))/Population!$C$90</f>
        <v>0.42340824016932749</v>
      </c>
      <c r="G6" s="143">
        <f>$P$5*INDEX(Population!$C$43:$C$83,MATCH($A6,Population!$A$43:$A$83,0))/Population!$C$90</f>
        <v>7.9226061370586048E-2</v>
      </c>
      <c r="H6" s="143">
        <f>10^-6*$P$7*INDEX(Population!$C$43:$C$83,MATCH($A6,Population!$A$43:$A$83,0))</f>
        <v>0.17464572059999997</v>
      </c>
      <c r="K6" s="143">
        <f t="shared" si="0"/>
        <v>0.34768500000000002</v>
      </c>
      <c r="L6" s="143">
        <f t="shared" si="1"/>
        <v>1.6185517373654357</v>
      </c>
      <c r="M6" s="21">
        <f>L6/(INDEX(BAU_Fuel_cons!$E$2:$AS$2,1,MATCH($A6,BAU_Fuel_cons!$E$1:$AS$1,0)))</f>
        <v>0.18660783456206539</v>
      </c>
      <c r="O6" s="25" t="s">
        <v>284</v>
      </c>
      <c r="P6">
        <v>6.1</v>
      </c>
      <c r="Q6" t="s">
        <v>286</v>
      </c>
      <c r="R6" t="s">
        <v>290</v>
      </c>
    </row>
    <row r="7" spans="1:18">
      <c r="A7">
        <v>2015</v>
      </c>
      <c r="B7" t="s">
        <v>36</v>
      </c>
      <c r="C7" t="s">
        <v>18</v>
      </c>
      <c r="D7" s="143">
        <f>$P$2*(INDEX(BAU_Fuel_cons!$E$13:$AS$13,1,MATCH($A7,BAU_Fuel_cons!$E$1:$AS$1,0)))</f>
        <v>0.60218411038697295</v>
      </c>
      <c r="F7" s="143">
        <f>$P$4*INDEX(Population!$C$84:$C$124,MATCH($A7,Population!$A$84:$A$124,0))/Population!$C$90</f>
        <v>0.43799814368988754</v>
      </c>
      <c r="G7" s="143">
        <f>$P$5*INDEX(Population!$C$43:$C$83,MATCH($A7,Population!$A$43:$A$83,0))/Population!$C$90</f>
        <v>8.1393794323253041E-2</v>
      </c>
      <c r="H7" s="143">
        <f>10^-6*$P$7*INDEX(Population!$C$43:$C$83,MATCH($A7,Population!$A$43:$A$83,0))</f>
        <v>0.17942426539999998</v>
      </c>
      <c r="K7" s="143">
        <f t="shared" si="0"/>
        <v>0.34768500000000002</v>
      </c>
      <c r="L7" s="143">
        <f t="shared" si="1"/>
        <v>1.6486853138001136</v>
      </c>
      <c r="M7" s="21">
        <f>L7/(INDEX(BAU_Fuel_cons!$E$2:$AS$2,1,MATCH($A7,BAU_Fuel_cons!$E$1:$AS$1,0)))</f>
        <v>0.18745275857145838</v>
      </c>
      <c r="O7" s="25" t="s">
        <v>285</v>
      </c>
      <c r="P7">
        <v>12.2</v>
      </c>
      <c r="Q7" t="s">
        <v>286</v>
      </c>
      <c r="R7" t="s">
        <v>290</v>
      </c>
    </row>
    <row r="8" spans="1:18">
      <c r="A8">
        <v>2016</v>
      </c>
      <c r="B8" t="s">
        <v>36</v>
      </c>
      <c r="C8" t="s">
        <v>18</v>
      </c>
      <c r="D8" s="143">
        <f>$P$2*(INDEX(BAU_Fuel_cons!$E$13:$AS$13,1,MATCH($A8,BAU_Fuel_cons!$E$1:$AS$1,0)))</f>
        <v>0.61064552541471662</v>
      </c>
      <c r="F8" s="143">
        <f>$P$4*INDEX(Population!$C$84:$C$124,MATCH($A8,Population!$A$84:$A$124,0))/Population!$C$90</f>
        <v>0.45300000000000001</v>
      </c>
      <c r="G8" s="143">
        <f>$P$5*INDEX(Population!$C$43:$C$83,MATCH($A8,Population!$A$43:$A$83,0))/Population!$C$90</f>
        <v>8.3598651980136954E-2</v>
      </c>
      <c r="H8" s="143">
        <f>10^-6*$P$7*INDEX(Population!$C$43:$C$83,MATCH($A8,Population!$A$43:$A$83,0))</f>
        <v>0.18428464779999998</v>
      </c>
      <c r="K8" s="143">
        <f t="shared" si="0"/>
        <v>0.34768500000000002</v>
      </c>
      <c r="L8" s="143">
        <f t="shared" si="1"/>
        <v>1.6792138251948536</v>
      </c>
      <c r="M8" s="21">
        <f>L8/(INDEX(BAU_Fuel_cons!$E$2:$AS$2,1,MATCH($A8,BAU_Fuel_cons!$E$1:$AS$1,0)))</f>
        <v>0.18839349661969587</v>
      </c>
      <c r="O8" s="25" t="s">
        <v>287</v>
      </c>
      <c r="P8" s="22">
        <v>0.05</v>
      </c>
      <c r="Q8" t="s">
        <v>288</v>
      </c>
      <c r="R8" t="s">
        <v>290</v>
      </c>
    </row>
    <row r="9" spans="1:18">
      <c r="A9">
        <v>2017</v>
      </c>
      <c r="B9" t="s">
        <v>36</v>
      </c>
      <c r="C9" t="s">
        <v>18</v>
      </c>
      <c r="D9" s="143">
        <f>$P$2*(INDEX(BAU_Fuel_cons!$E$13:$AS$13,1,MATCH($A9,BAU_Fuel_cons!$E$1:$AS$1,0)))</f>
        <v>0.61892518386367468</v>
      </c>
      <c r="F9" s="143">
        <f>$P$4*INDEX(Population!$C$84:$C$124,MATCH($A9,Population!$A$84:$A$124,0))/Population!$C$90</f>
        <v>0.46840051969192992</v>
      </c>
      <c r="G9" s="143">
        <f>$P$5*INDEX(Population!$C$43:$C$83,MATCH($A9,Population!$A$43:$A$83,0))/Population!$C$90</f>
        <v>8.5835736403964052E-2</v>
      </c>
      <c r="H9" s="143">
        <f>10^-6*$P$7*INDEX(Population!$C$43:$C$83,MATCH($A9,Population!$A$43:$A$83,0))</f>
        <v>0.18921607079999997</v>
      </c>
      <c r="K9" s="143">
        <f t="shared" si="0"/>
        <v>0.34768500000000002</v>
      </c>
      <c r="L9" s="143">
        <f t="shared" si="1"/>
        <v>1.7100625107595686</v>
      </c>
      <c r="M9" s="21">
        <f>L9/(INDEX(BAU_Fuel_cons!$E$2:$AS$2,1,MATCH($A9,BAU_Fuel_cons!$E$1:$AS$1,0)))</f>
        <v>0.18943558574062885</v>
      </c>
      <c r="O9" s="25" t="s">
        <v>291</v>
      </c>
      <c r="P9" s="20">
        <v>347685</v>
      </c>
      <c r="Q9" t="s">
        <v>293</v>
      </c>
      <c r="R9" t="s">
        <v>292</v>
      </c>
    </row>
    <row r="10" spans="1:18">
      <c r="A10">
        <v>2018</v>
      </c>
      <c r="B10" t="s">
        <v>36</v>
      </c>
      <c r="C10" t="s">
        <v>18</v>
      </c>
      <c r="D10" s="143">
        <f>$P$2*(INDEX(BAU_Fuel_cons!$E$13:$AS$13,1,MATCH($A10,BAU_Fuel_cons!$E$1:$AS$1,0)))</f>
        <v>0.62698419067173872</v>
      </c>
      <c r="F10" s="143">
        <f>$P$4*INDEX(Population!$C$84:$C$124,MATCH($A10,Population!$A$84:$A$124,0))/Population!$C$90</f>
        <v>0.48418835493098766</v>
      </c>
      <c r="G10" s="143">
        <f>$P$5*INDEX(Population!$C$43:$C$83,MATCH($A10,Population!$A$43:$A$83,0))/Population!$C$90</f>
        <v>8.8100858059687814E-2</v>
      </c>
      <c r="H10" s="143">
        <f>10^-6*$P$7*INDEX(Population!$C$43:$C$83,MATCH($A10,Population!$A$43:$A$83,0))</f>
        <v>0.19420929899999997</v>
      </c>
      <c r="K10" s="143">
        <f t="shared" si="0"/>
        <v>0.34768500000000002</v>
      </c>
      <c r="L10" s="143">
        <f t="shared" si="1"/>
        <v>1.7411677026624142</v>
      </c>
      <c r="M10" s="21">
        <f>L10/(INDEX(BAU_Fuel_cons!$E$2:$AS$2,1,MATCH($A10,BAU_Fuel_cons!$E$1:$AS$1,0)))</f>
        <v>0.19058447859163358</v>
      </c>
    </row>
    <row r="11" spans="1:18">
      <c r="A11">
        <v>2019</v>
      </c>
      <c r="B11" t="s">
        <v>36</v>
      </c>
      <c r="C11" t="s">
        <v>18</v>
      </c>
      <c r="D11" s="143">
        <f>$P$2*(INDEX(BAU_Fuel_cons!$E$13:$AS$13,1,MATCH($A11,BAU_Fuel_cons!$E$1:$AS$1,0)))</f>
        <v>0.63477686825467505</v>
      </c>
      <c r="F11" s="143">
        <f>$P$4*INDEX(Population!$C$84:$C$124,MATCH($A11,Population!$A$84:$A$124,0))/Population!$C$90</f>
        <v>0.50034523985037171</v>
      </c>
      <c r="G11" s="143">
        <f>$P$5*INDEX(Population!$C$43:$C$83,MATCH($A11,Population!$A$43:$A$83,0))/Population!$C$90</f>
        <v>9.0388637517895748E-2</v>
      </c>
      <c r="H11" s="143">
        <f>10^-6*$P$7*INDEX(Population!$C$43:$C$83,MATCH($A11,Population!$A$43:$A$83,0))</f>
        <v>0.19925247399999998</v>
      </c>
      <c r="K11" s="143">
        <f t="shared" si="0"/>
        <v>0.34768500000000002</v>
      </c>
      <c r="L11" s="143">
        <f t="shared" si="1"/>
        <v>1.7724482196229423</v>
      </c>
      <c r="M11" s="21">
        <f>L11/(INDEX(BAU_Fuel_cons!$E$2:$AS$2,1,MATCH($A11,BAU_Fuel_cons!$E$1:$AS$1,0)))</f>
        <v>0.19184638455813929</v>
      </c>
    </row>
    <row r="12" spans="1:18">
      <c r="A12">
        <v>2020</v>
      </c>
      <c r="B12" t="s">
        <v>36</v>
      </c>
      <c r="C12" t="s">
        <v>18</v>
      </c>
      <c r="D12" s="143">
        <f>$P$2*(INDEX(BAU_Fuel_cons!$E$13:$AS$13,1,MATCH($A12,BAU_Fuel_cons!$E$1:$AS$1,0)))</f>
        <v>0.64226676904277524</v>
      </c>
      <c r="F12" s="143">
        <f>$P$4*INDEX(Population!$C$84:$C$124,MATCH($A12,Population!$A$84:$A$124,0))/Population!$C$90</f>
        <v>0.51685630162355356</v>
      </c>
      <c r="G12" s="143">
        <f>$P$5*INDEX(Population!$C$43:$C$83,MATCH($A12,Population!$A$43:$A$83,0))/Population!$C$90</f>
        <v>9.2694735814946569E-2</v>
      </c>
      <c r="H12" s="143">
        <f>10^-6*$P$7*INDEX(Population!$C$43:$C$83,MATCH($A12,Population!$A$43:$A$83,0))</f>
        <v>0.20433603099999997</v>
      </c>
      <c r="K12" s="143">
        <f t="shared" si="0"/>
        <v>0.34768500000000002</v>
      </c>
      <c r="L12" s="143">
        <f t="shared" si="1"/>
        <v>1.8038388374812755</v>
      </c>
      <c r="M12" s="21">
        <f>L12/(INDEX(BAU_Fuel_cons!$E$2:$AS$2,1,MATCH($A12,BAU_Fuel_cons!$E$1:$AS$1,0)))</f>
        <v>0.19322741933208759</v>
      </c>
    </row>
    <row r="13" spans="1:18">
      <c r="A13">
        <v>2021</v>
      </c>
      <c r="B13" t="s">
        <v>36</v>
      </c>
      <c r="C13" t="s">
        <v>18</v>
      </c>
      <c r="D13" s="143">
        <f>$P$2*(INDEX(BAU_Fuel_cons!$E$13:$AS$13,1,MATCH($A13,BAU_Fuel_cons!$E$1:$AS$1,0)))</f>
        <v>0.64942073980370751</v>
      </c>
      <c r="F13" s="143">
        <f>$P$4*INDEX(Population!$C$84:$C$124,MATCH($A13,Population!$A$84:$A$124,0))/Population!$C$90</f>
        <v>0.53370998506338241</v>
      </c>
      <c r="G13" s="143">
        <f>$P$5*INDEX(Population!$C$43:$C$83,MATCH($A13,Population!$A$43:$A$83,0))/Population!$C$90</f>
        <v>9.5015057500464503E-2</v>
      </c>
      <c r="H13" s="143">
        <f>10^-6*$P$7*INDEX(Population!$C$43:$C$83,MATCH($A13,Population!$A$43:$A$83,0))</f>
        <v>0.20945094199999997</v>
      </c>
      <c r="K13" s="143">
        <f t="shared" si="0"/>
        <v>0.34768500000000002</v>
      </c>
      <c r="L13" s="143">
        <f t="shared" si="1"/>
        <v>1.8352817243675543</v>
      </c>
      <c r="M13" s="21">
        <f>L13/(INDEX(BAU_Fuel_cons!$E$2:$AS$2,1,MATCH($A13,BAU_Fuel_cons!$E$1:$AS$1,0)))</f>
        <v>0.19473394012294085</v>
      </c>
    </row>
    <row r="14" spans="1:18">
      <c r="A14">
        <v>2022</v>
      </c>
      <c r="B14" t="s">
        <v>36</v>
      </c>
      <c r="C14" t="s">
        <v>18</v>
      </c>
      <c r="D14" s="143">
        <f>$P$2*(INDEX(BAU_Fuel_cons!$E$13:$AS$13,1,MATCH($A14,BAU_Fuel_cons!$E$1:$AS$1,0)))</f>
        <v>0.65622503601685922</v>
      </c>
      <c r="F14" s="143">
        <f>$P$4*INDEX(Population!$C$84:$C$124,MATCH($A14,Population!$A$84:$A$124,0))/Population!$C$90</f>
        <v>0.55090350033674496</v>
      </c>
      <c r="G14" s="143">
        <f>$P$5*INDEX(Population!$C$43:$C$83,MATCH($A14,Population!$A$43:$A$83,0))/Population!$C$90</f>
        <v>9.7348158098033238E-2</v>
      </c>
      <c r="H14" s="143">
        <f>10^-6*$P$7*INDEX(Population!$C$43:$C$83,MATCH($A14,Population!$A$43:$A$83,0))</f>
        <v>0.21459402279999995</v>
      </c>
      <c r="K14" s="143">
        <f t="shared" si="0"/>
        <v>0.34768500000000002</v>
      </c>
      <c r="L14" s="143">
        <f t="shared" si="1"/>
        <v>1.8667557172516374</v>
      </c>
      <c r="M14" s="21">
        <f>L14/(INDEX(BAU_Fuel_cons!$E$2:$AS$2,1,MATCH($A14,BAU_Fuel_cons!$E$1:$AS$1,0)))</f>
        <v>0.19637194854687132</v>
      </c>
    </row>
    <row r="15" spans="1:18">
      <c r="A15">
        <v>2023</v>
      </c>
      <c r="B15" t="s">
        <v>36</v>
      </c>
      <c r="C15" t="s">
        <v>18</v>
      </c>
      <c r="D15" s="143">
        <f>$P$2*(INDEX(BAU_Fuel_cons!$E$13:$AS$13,1,MATCH($A15,BAU_Fuel_cons!$E$1:$AS$1,0)))</f>
        <v>0.66268095011680161</v>
      </c>
      <c r="F15" s="143">
        <f>$P$4*INDEX(Population!$C$84:$C$124,MATCH($A15,Population!$A$84:$A$124,0))/Population!$C$90</f>
        <v>0.56843711134677366</v>
      </c>
      <c r="G15" s="143">
        <f>$P$5*INDEX(Population!$C$43:$C$83,MATCH($A15,Population!$A$43:$A$83,0))/Population!$C$90</f>
        <v>9.9694773681841944E-2</v>
      </c>
      <c r="H15" s="143">
        <f>10^-6*$P$7*INDEX(Population!$C$43:$C$83,MATCH($A15,Population!$A$43:$A$83,0))</f>
        <v>0.21976689599999996</v>
      </c>
      <c r="K15" s="143">
        <f t="shared" si="0"/>
        <v>0.34768500000000002</v>
      </c>
      <c r="L15" s="143">
        <f t="shared" si="1"/>
        <v>1.8982647311454171</v>
      </c>
      <c r="M15" s="21">
        <f>L15/(INDEX(BAU_Fuel_cons!$E$2:$AS$2,1,MATCH($A15,BAU_Fuel_cons!$E$1:$AS$1,0)))</f>
        <v>0.19814741367309976</v>
      </c>
    </row>
    <row r="16" spans="1:18">
      <c r="A16">
        <v>2024</v>
      </c>
      <c r="B16" t="s">
        <v>36</v>
      </c>
      <c r="C16" t="s">
        <v>18</v>
      </c>
      <c r="D16" s="143">
        <f>$P$2*(INDEX(BAU_Fuel_cons!$E$13:$AS$13,1,MATCH($A16,BAU_Fuel_cons!$E$1:$AS$1,0)))</f>
        <v>0.66879780337854255</v>
      </c>
      <c r="F16" s="143">
        <f>$P$4*INDEX(Population!$C$84:$C$124,MATCH($A16,Population!$A$84:$A$124,0))/Population!$C$90</f>
        <v>0.5863133817238968</v>
      </c>
      <c r="G16" s="143">
        <f>$P$5*INDEX(Population!$C$43:$C$83,MATCH($A16,Population!$A$43:$A$83,0))/Population!$C$90</f>
        <v>0.10205690770193929</v>
      </c>
      <c r="H16" s="143">
        <f>10^-6*$P$7*INDEX(Population!$C$43:$C$83,MATCH($A16,Population!$A$43:$A$83,0))</f>
        <v>0.22497397799999999</v>
      </c>
      <c r="K16" s="143">
        <f t="shared" si="0"/>
        <v>0.34768500000000002</v>
      </c>
      <c r="L16" s="143">
        <f t="shared" si="1"/>
        <v>1.9298270708043788</v>
      </c>
      <c r="M16" s="21">
        <f>L16/(INDEX(BAU_Fuel_cons!$E$2:$AS$2,1,MATCH($A16,BAU_Fuel_cons!$E$1:$AS$1,0)))</f>
        <v>0.20006653760586177</v>
      </c>
    </row>
    <row r="17" spans="1:13">
      <c r="A17">
        <v>2025</v>
      </c>
      <c r="B17" t="s">
        <v>36</v>
      </c>
      <c r="C17" t="s">
        <v>18</v>
      </c>
      <c r="D17" s="143">
        <f>$P$2*(INDEX(BAU_Fuel_cons!$E$13:$AS$13,1,MATCH($A17,BAU_Fuel_cons!$E$1:$AS$1,0)))</f>
        <v>0.66661891204716028</v>
      </c>
      <c r="F17" s="143">
        <f>$P$4*INDEX(Population!$C$84:$C$124,MATCH($A17,Population!$A$84:$A$124,0))/Population!$C$90</f>
        <v>0.60452759891217978</v>
      </c>
      <c r="G17" s="143">
        <f>$P$5*INDEX(Population!$C$43:$C$83,MATCH($A17,Population!$A$43:$A$83,0))/Population!$C$90</f>
        <v>0.10443453802075565</v>
      </c>
      <c r="H17" s="143">
        <f>10^-6*$P$7*INDEX(Population!$C$43:$C$83,MATCH($A17,Population!$A$43:$A$83,0))</f>
        <v>0.23021521999999994</v>
      </c>
      <c r="K17" s="143">
        <f t="shared" si="0"/>
        <v>0.34768500000000002</v>
      </c>
      <c r="L17" s="143">
        <f t="shared" si="1"/>
        <v>1.9534812689800958</v>
      </c>
      <c r="M17" s="21">
        <f>L17/(INDEX(BAU_Fuel_cons!$E$2:$AS$2,1,MATCH($A17,BAU_Fuel_cons!$E$1:$AS$1,0)))</f>
        <v>0.20303015931730575</v>
      </c>
    </row>
    <row r="18" spans="1:13">
      <c r="A18">
        <v>2026</v>
      </c>
      <c r="B18" t="s">
        <v>36</v>
      </c>
      <c r="C18" t="s">
        <v>18</v>
      </c>
      <c r="D18" s="143">
        <f>$P$2*(INDEX(BAU_Fuel_cons!$E$13:$AS$13,1,MATCH($A18,BAU_Fuel_cons!$E$1:$AS$1,0)))</f>
        <v>0.66371256865186667</v>
      </c>
      <c r="F18" s="143">
        <f>$P$4*INDEX(Population!$C$84:$C$124,MATCH($A18,Population!$A$84:$A$124,0))/Population!$C$90</f>
        <v>0.62306903713431661</v>
      </c>
      <c r="G18" s="143">
        <f>$P$5*INDEX(Population!$C$43:$C$83,MATCH($A18,Population!$A$43:$A$83,0))/Population!$C$90</f>
        <v>0.10682524057442001</v>
      </c>
      <c r="H18" s="143">
        <f>10^-6*$P$7*INDEX(Population!$C$43:$C$83,MATCH($A18,Population!$A$43:$A$83,0))</f>
        <v>0.23548527839999997</v>
      </c>
      <c r="K18" s="143">
        <f t="shared" si="0"/>
        <v>0.34768500000000002</v>
      </c>
      <c r="L18" s="143">
        <f t="shared" si="1"/>
        <v>1.9767771247606034</v>
      </c>
      <c r="M18" s="21">
        <f>L18/(INDEX(BAU_Fuel_cons!$E$2:$AS$2,1,MATCH($A18,BAU_Fuel_cons!$E$1:$AS$1,0)))</f>
        <v>0.20622671161085873</v>
      </c>
    </row>
    <row r="19" spans="1:13">
      <c r="A19">
        <v>2027</v>
      </c>
      <c r="B19" t="s">
        <v>36</v>
      </c>
      <c r="C19" t="s">
        <v>18</v>
      </c>
      <c r="D19" s="143">
        <f>$P$2*(INDEX(BAU_Fuel_cons!$E$13:$AS$13,1,MATCH($A19,BAU_Fuel_cons!$E$1:$AS$1,0)))</f>
        <v>0.66003641890646036</v>
      </c>
      <c r="F19" s="143">
        <f>$P$4*INDEX(Population!$C$84:$C$124,MATCH($A19,Population!$A$84:$A$124,0))/Population!$C$90</f>
        <v>0.64191371890571336</v>
      </c>
      <c r="G19" s="143">
        <f>$P$5*INDEX(Population!$C$43:$C$83,MATCH($A19,Population!$A$43:$A$83,0))/Population!$C$90</f>
        <v>0.10922311016624192</v>
      </c>
      <c r="H19" s="143">
        <f>10^-6*$P$7*INDEX(Population!$C$43:$C$83,MATCH($A19,Population!$A$43:$A$83,0))</f>
        <v>0.24077113579999998</v>
      </c>
      <c r="K19" s="143">
        <f t="shared" si="0"/>
        <v>0.34768500000000002</v>
      </c>
      <c r="L19" s="143">
        <f t="shared" si="1"/>
        <v>1.9996293837784158</v>
      </c>
      <c r="M19" s="21">
        <f>L19/(INDEX(BAU_Fuel_cons!$E$2:$AS$2,1,MATCH($A19,BAU_Fuel_cons!$E$1:$AS$1,0)))</f>
        <v>0.20967775798962246</v>
      </c>
    </row>
    <row r="20" spans="1:13">
      <c r="A20">
        <v>2028</v>
      </c>
      <c r="B20" t="s">
        <v>36</v>
      </c>
      <c r="C20" t="s">
        <v>18</v>
      </c>
      <c r="D20" s="143">
        <f>$P$2*(INDEX(BAU_Fuel_cons!$E$13:$AS$13,1,MATCH($A20,BAU_Fuel_cons!$E$1:$AS$1,0)))</f>
        <v>0.65553847407769994</v>
      </c>
      <c r="F20" s="143">
        <f>$P$4*INDEX(Population!$C$84:$C$124,MATCH($A20,Population!$A$84:$A$124,0))/Population!$C$90</f>
        <v>0.661026073854178</v>
      </c>
      <c r="G20" s="143">
        <f>$P$5*INDEX(Population!$C$43:$C$83,MATCH($A20,Population!$A$43:$A$83,0))/Population!$C$90</f>
        <v>0.11161991715472312</v>
      </c>
      <c r="H20" s="143">
        <f>10^-6*$P$7*INDEX(Population!$C$43:$C$83,MATCH($A20,Population!$A$43:$A$83,0))</f>
        <v>0.24605465079999997</v>
      </c>
      <c r="K20" s="143">
        <f t="shared" si="0"/>
        <v>0.34768500000000002</v>
      </c>
      <c r="L20" s="143">
        <f t="shared" si="1"/>
        <v>2.021924115886601</v>
      </c>
      <c r="M20" s="21">
        <f>L20/(INDEX(BAU_Fuel_cons!$E$2:$AS$2,1,MATCH($A20,BAU_Fuel_cons!$E$1:$AS$1,0)))</f>
        <v>0.21340828972531839</v>
      </c>
    </row>
    <row r="21" spans="1:13">
      <c r="A21">
        <v>2029</v>
      </c>
      <c r="B21" t="s">
        <v>36</v>
      </c>
      <c r="C21" t="s">
        <v>18</v>
      </c>
      <c r="D21" s="143">
        <f>$P$2*(INDEX(BAU_Fuel_cons!$E$13:$AS$13,1,MATCH($A21,BAU_Fuel_cons!$E$1:$AS$1,0)))</f>
        <v>0.65016341144063761</v>
      </c>
      <c r="F21" s="143">
        <f>$P$4*INDEX(Population!$C$84:$C$124,MATCH($A21,Population!$A$84:$A$124,0))/Population!$C$90</f>
        <v>0.68036306691891846</v>
      </c>
      <c r="G21" s="143">
        <f>$P$5*INDEX(Population!$C$43:$C$83,MATCH($A21,Population!$A$43:$A$83,0))/Population!$C$90</f>
        <v>0.11400586566531616</v>
      </c>
      <c r="H21" s="143">
        <f>10^-6*$P$7*INDEX(Population!$C$43:$C$83,MATCH($A21,Population!$A$43:$A$83,0))</f>
        <v>0.25131422939999992</v>
      </c>
      <c r="K21" s="143">
        <f t="shared" si="0"/>
        <v>0.34768500000000002</v>
      </c>
      <c r="L21" s="143">
        <f t="shared" si="1"/>
        <v>2.0435315734248722</v>
      </c>
      <c r="M21" s="21">
        <f>L21/(INDEX(BAU_Fuel_cons!$E$2:$AS$2,1,MATCH($A21,BAU_Fuel_cons!$E$1:$AS$1,0)))</f>
        <v>0.21744695657924057</v>
      </c>
    </row>
    <row r="22" spans="1:13">
      <c r="A22">
        <v>2030</v>
      </c>
      <c r="B22" t="s">
        <v>36</v>
      </c>
      <c r="C22" t="s">
        <v>18</v>
      </c>
      <c r="D22" s="143">
        <f>$P$2*(INDEX(BAU_Fuel_cons!$E$13:$AS$13,1,MATCH($A22,BAU_Fuel_cons!$E$1:$AS$1,0)))</f>
        <v>0.64386915523365806</v>
      </c>
      <c r="F22" s="143">
        <f>$P$4*INDEX(Population!$C$84:$C$124,MATCH($A22,Population!$A$84:$A$124,0))/Population!$C$90</f>
        <v>0.6998858666390364</v>
      </c>
      <c r="G22" s="143">
        <f>$P$5*INDEX(Population!$C$43:$C$83,MATCH($A22,Population!$A$43:$A$83,0))/Population!$C$90</f>
        <v>0.11637234971783962</v>
      </c>
      <c r="H22" s="143">
        <f>10^-6*$P$7*INDEX(Population!$C$43:$C$83,MATCH($A22,Population!$A$43:$A$83,0))</f>
        <v>0.25653090059999994</v>
      </c>
      <c r="K22" s="143">
        <f t="shared" si="0"/>
        <v>0.34768500000000002</v>
      </c>
      <c r="L22" s="143">
        <f t="shared" si="1"/>
        <v>2.0643432721905342</v>
      </c>
      <c r="M22" s="21">
        <f>L22/(INDEX(BAU_Fuel_cons!$E$2:$AS$2,1,MATCH($A22,BAU_Fuel_cons!$E$1:$AS$1,0)))</f>
        <v>0.22182576058256653</v>
      </c>
    </row>
    <row r="23" spans="1:13">
      <c r="A23">
        <v>2031</v>
      </c>
      <c r="B23" t="s">
        <v>36</v>
      </c>
      <c r="C23" t="s">
        <v>18</v>
      </c>
      <c r="D23" s="143">
        <f>$P$2*(INDEX(BAU_Fuel_cons!$E$13:$AS$13,1,MATCH($A23,BAU_Fuel_cons!$E$1:$AS$1,0)))</f>
        <v>0.63663545145144884</v>
      </c>
      <c r="F23" s="143">
        <f>$P$4*INDEX(Population!$C$84:$C$124,MATCH($A23,Population!$A$84:$A$124,0))/Population!$C$90</f>
        <v>0.71956587722512233</v>
      </c>
      <c r="G23" s="143">
        <f>$P$5*INDEX(Population!$C$43:$C$83,MATCH($A23,Population!$A$43:$A$83,0))/Population!$C$90</f>
        <v>0.11871374083522307</v>
      </c>
      <c r="H23" s="143">
        <f>10^-6*$P$7*INDEX(Population!$C$43:$C$83,MATCH($A23,Population!$A$43:$A$83,0))</f>
        <v>0.26169225699999998</v>
      </c>
      <c r="K23" s="143">
        <f t="shared" si="0"/>
        <v>0.34768500000000002</v>
      </c>
      <c r="L23" s="143">
        <f t="shared" si="1"/>
        <v>2.0842923265117941</v>
      </c>
      <c r="M23" s="21">
        <f>L23/(INDEX(BAU_Fuel_cons!$E$2:$AS$2,1,MATCH($A23,BAU_Fuel_cons!$E$1:$AS$1,0)))</f>
        <v>0.2265801601398334</v>
      </c>
    </row>
    <row r="24" spans="1:13">
      <c r="A24">
        <v>2032</v>
      </c>
      <c r="B24" t="s">
        <v>36</v>
      </c>
      <c r="C24" t="s">
        <v>18</v>
      </c>
      <c r="D24" s="143">
        <f>$P$2*(INDEX(BAU_Fuel_cons!$E$13:$AS$13,1,MATCH($A24,BAU_Fuel_cons!$E$1:$AS$1,0)))</f>
        <v>0.62845662297966343</v>
      </c>
      <c r="F24" s="143">
        <f>$P$4*INDEX(Population!$C$84:$C$124,MATCH($A24,Population!$A$84:$A$124,0))/Population!$C$90</f>
        <v>0.73938162827233977</v>
      </c>
      <c r="G24" s="143">
        <f>$P$5*INDEX(Population!$C$43:$C$83,MATCH($A24,Population!$A$43:$A$83,0))/Population!$C$90</f>
        <v>0.12102648040315346</v>
      </c>
      <c r="H24" s="143">
        <f>10^-6*$P$7*INDEX(Population!$C$43:$C$83,MATCH($A24,Population!$A$43:$A$83,0))</f>
        <v>0.26679045399999995</v>
      </c>
      <c r="K24" s="143">
        <f t="shared" si="0"/>
        <v>0.34768500000000002</v>
      </c>
      <c r="L24" s="143">
        <f t="shared" si="1"/>
        <v>2.1033401856551563</v>
      </c>
      <c r="M24" s="21">
        <f>L24/(INDEX(BAU_Fuel_cons!$E$2:$AS$2,1,MATCH($A24,BAU_Fuel_cons!$E$1:$AS$1,0)))</f>
        <v>0.23175019191299229</v>
      </c>
    </row>
    <row r="25" spans="1:13">
      <c r="A25">
        <v>2033</v>
      </c>
      <c r="B25" t="s">
        <v>36</v>
      </c>
      <c r="C25" t="s">
        <v>18</v>
      </c>
      <c r="D25" s="143">
        <f>$P$2*(INDEX(BAU_Fuel_cons!$E$13:$AS$13,1,MATCH($A25,BAU_Fuel_cons!$E$1:$AS$1,0)))</f>
        <v>0.61932924660492727</v>
      </c>
      <c r="F25" s="143">
        <f>$P$4*INDEX(Population!$C$84:$C$124,MATCH($A25,Population!$A$84:$A$124,0))/Population!$C$90</f>
        <v>0.75930770967909056</v>
      </c>
      <c r="G25" s="143">
        <f>$P$5*INDEX(Population!$C$43:$C$83,MATCH($A25,Population!$A$43:$A$83,0))/Population!$C$90</f>
        <v>0.12330697660096347</v>
      </c>
      <c r="H25" s="143">
        <f>10^-6*$P$7*INDEX(Population!$C$43:$C$83,MATCH($A25,Population!$A$43:$A$83,0))</f>
        <v>0.27181757379999999</v>
      </c>
      <c r="K25" s="143">
        <f t="shared" si="0"/>
        <v>0.34768500000000002</v>
      </c>
      <c r="L25" s="143">
        <f t="shared" si="1"/>
        <v>2.1214465066849817</v>
      </c>
      <c r="M25" s="21">
        <f>L25/(INDEX(BAU_Fuel_cons!$E$2:$AS$2,1,MATCH($A25,BAU_Fuel_cons!$E$1:$AS$1,0)))</f>
        <v>0.23738213871185831</v>
      </c>
    </row>
    <row r="26" spans="1:13">
      <c r="A26">
        <v>2034</v>
      </c>
      <c r="B26" t="s">
        <v>36</v>
      </c>
      <c r="C26" t="s">
        <v>18</v>
      </c>
      <c r="D26" s="143">
        <f>$P$2*(INDEX(BAU_Fuel_cons!$E$13:$AS$13,1,MATCH($A26,BAU_Fuel_cons!$E$1:$AS$1,0)))</f>
        <v>0.6092605872445882</v>
      </c>
      <c r="F26" s="143">
        <f>$P$4*INDEX(Population!$C$84:$C$124,MATCH($A26,Population!$A$84:$A$124,0))/Population!$C$90</f>
        <v>0.77931597806133568</v>
      </c>
      <c r="G26" s="143">
        <f>$P$5*INDEX(Population!$C$43:$C$83,MATCH($A26,Population!$A$43:$A$83,0))/Population!$C$90</f>
        <v>0.12555333666645238</v>
      </c>
      <c r="H26" s="143">
        <f>10^-6*$P$7*INDEX(Population!$C$43:$C$83,MATCH($A26,Population!$A$43:$A$83,0))</f>
        <v>0.27676944399999998</v>
      </c>
      <c r="K26" s="143">
        <f t="shared" si="0"/>
        <v>0.34768500000000002</v>
      </c>
      <c r="L26" s="143">
        <f t="shared" si="1"/>
        <v>2.1385843459723759</v>
      </c>
      <c r="M26" s="21">
        <f>L26/(INDEX(BAU_Fuel_cons!$E$2:$AS$2,1,MATCH($A26,BAU_Fuel_cons!$E$1:$AS$1,0)))</f>
        <v>0.24352898464733086</v>
      </c>
    </row>
    <row r="27" spans="1:13">
      <c r="A27">
        <v>2035</v>
      </c>
      <c r="B27" t="s">
        <v>36</v>
      </c>
      <c r="C27" t="s">
        <v>18</v>
      </c>
      <c r="D27" s="143">
        <f>$P$2*(INDEX(BAU_Fuel_cons!$E$13:$AS$13,1,MATCH($A27,BAU_Fuel_cons!$E$1:$AS$1,0)))</f>
        <v>0.5983298417461137</v>
      </c>
      <c r="F27" s="143">
        <f>$P$4*INDEX(Population!$C$84:$C$124,MATCH($A27,Population!$A$84:$A$124,0))/Population!$C$90</f>
        <v>0.79954892226030427</v>
      </c>
      <c r="G27" s="143">
        <f>$P$5*INDEX(Population!$C$43:$C$83,MATCH($A27,Population!$A$43:$A$83,0))/Population!$C$90</f>
        <v>0.12777875459110102</v>
      </c>
      <c r="H27" s="143">
        <f>10^-6*$P$7*INDEX(Population!$C$43:$C$83,MATCH($A27,Population!$A$43:$A$83,0))</f>
        <v>0.28167514939999999</v>
      </c>
      <c r="K27" s="143">
        <f t="shared" si="0"/>
        <v>0.34768500000000002</v>
      </c>
      <c r="L27" s="143">
        <f t="shared" si="1"/>
        <v>2.1550176679975195</v>
      </c>
      <c r="M27" s="21">
        <f>L27/(INDEX(BAU_Fuel_cons!$E$2:$AS$2,1,MATCH($A27,BAU_Fuel_cons!$E$1:$AS$1,0)))</f>
        <v>0.25024981190595419</v>
      </c>
    </row>
    <row r="28" spans="1:13">
      <c r="A28">
        <v>2036</v>
      </c>
      <c r="B28" t="s">
        <v>36</v>
      </c>
      <c r="C28" t="s">
        <v>18</v>
      </c>
      <c r="D28" s="143">
        <f>$P$2*(INDEX(BAU_Fuel_cons!$E$13:$AS$13,1,MATCH($A28,BAU_Fuel_cons!$E$1:$AS$1,0)))</f>
        <v>0.58654297419118551</v>
      </c>
      <c r="F28" s="143">
        <f>$P$4*INDEX(Population!$C$84:$C$124,MATCH($A28,Population!$A$84:$A$124,0))/Population!$C$90</f>
        <v>0.81998433671243365</v>
      </c>
      <c r="G28" s="143">
        <f>$P$5*INDEX(Population!$C$43:$C$83,MATCH($A28,Population!$A$43:$A$83,0))/Population!$C$90</f>
        <v>0.12998218437474579</v>
      </c>
      <c r="H28" s="143">
        <f>10^-6*$P$7*INDEX(Population!$C$43:$C$83,MATCH($A28,Population!$A$43:$A$83,0))</f>
        <v>0.28653238419999993</v>
      </c>
      <c r="K28" s="143">
        <f t="shared" si="0"/>
        <v>0.34768500000000002</v>
      </c>
      <c r="L28" s="143">
        <f t="shared" si="1"/>
        <v>2.170726879478365</v>
      </c>
      <c r="M28" s="21">
        <f>L28/(INDEX(BAU_Fuel_cons!$E$2:$AS$2,1,MATCH($A28,BAU_Fuel_cons!$E$1:$AS$1,0)))</f>
        <v>0.25761790741115587</v>
      </c>
    </row>
    <row r="29" spans="1:13">
      <c r="A29">
        <v>2037</v>
      </c>
      <c r="B29" t="s">
        <v>36</v>
      </c>
      <c r="C29" t="s">
        <v>18</v>
      </c>
      <c r="D29" s="143">
        <f>$P$2*(INDEX(BAU_Fuel_cons!$E$13:$AS$13,1,MATCH($A29,BAU_Fuel_cons!$E$1:$AS$1,0)))</f>
        <v>0.57389637418592809</v>
      </c>
      <c r="F29" s="143">
        <f>$P$4*INDEX(Population!$C$84:$C$124,MATCH($A29,Population!$A$84:$A$124,0))/Population!$C$90</f>
        <v>0.84060957291759641</v>
      </c>
      <c r="G29" s="143">
        <f>$P$5*INDEX(Population!$C$43:$C$83,MATCH($A29,Population!$A$43:$A$83,0))/Population!$C$90</f>
        <v>0.13216021129727618</v>
      </c>
      <c r="H29" s="143">
        <f>10^-6*$P$7*INDEX(Population!$C$43:$C$83,MATCH($A29,Population!$A$43:$A$83,0))</f>
        <v>0.29133362099999999</v>
      </c>
      <c r="K29" s="143">
        <f t="shared" si="0"/>
        <v>0.34768500000000002</v>
      </c>
      <c r="L29" s="143">
        <f t="shared" si="1"/>
        <v>2.185684779400801</v>
      </c>
      <c r="M29" s="21">
        <f>L29/(INDEX(BAU_Fuel_cons!$E$2:$AS$2,1,MATCH($A29,BAU_Fuel_cons!$E$1:$AS$1,0)))</f>
        <v>0.26572151280692302</v>
      </c>
    </row>
    <row r="30" spans="1:13">
      <c r="A30">
        <v>2038</v>
      </c>
      <c r="B30" t="s">
        <v>36</v>
      </c>
      <c r="C30" t="s">
        <v>18</v>
      </c>
      <c r="D30" s="143">
        <f>$P$2*(INDEX(BAU_Fuel_cons!$E$13:$AS$13,1,MATCH($A30,BAU_Fuel_cons!$E$1:$AS$1,0)))</f>
        <v>0.56039184840647094</v>
      </c>
      <c r="F30" s="143">
        <f>$P$4*INDEX(Population!$C$84:$C$124,MATCH($A30,Population!$A$84:$A$124,0))/Population!$C$90</f>
        <v>0.86141718503741671</v>
      </c>
      <c r="G30" s="143">
        <f>$P$5*INDEX(Population!$C$43:$C$83,MATCH($A30,Population!$A$43:$A$83,0))/Population!$C$90</f>
        <v>0.13431016224716308</v>
      </c>
      <c r="H30" s="143">
        <f>10^-6*$P$7*INDEX(Population!$C$43:$C$83,MATCH($A30,Population!$A$43:$A$83,0))</f>
        <v>0.29607296719999998</v>
      </c>
      <c r="K30" s="143">
        <f t="shared" si="0"/>
        <v>0.34768500000000002</v>
      </c>
      <c r="L30" s="143">
        <f t="shared" si="1"/>
        <v>2.1998771628910507</v>
      </c>
      <c r="M30" s="21">
        <f>L30/(INDEX(BAU_Fuel_cons!$E$2:$AS$2,1,MATCH($A30,BAU_Fuel_cons!$E$1:$AS$1,0)))</f>
        <v>0.27466573806437899</v>
      </c>
    </row>
    <row r="31" spans="1:13">
      <c r="A31">
        <v>2039</v>
      </c>
      <c r="B31" t="s">
        <v>36</v>
      </c>
      <c r="C31" t="s">
        <v>18</v>
      </c>
      <c r="D31" s="143">
        <f>$P$2*(INDEX(BAU_Fuel_cons!$E$13:$AS$13,1,MATCH($A31,BAU_Fuel_cons!$E$1:$AS$1,0)))</f>
        <v>0.54603266746046231</v>
      </c>
      <c r="F31" s="143">
        <f>$P$4*INDEX(Population!$C$84:$C$124,MATCH($A31,Population!$A$84:$A$124,0))/Population!$C$90</f>
        <v>0.88240027389000597</v>
      </c>
      <c r="G31" s="143">
        <f>$P$5*INDEX(Population!$C$43:$C$83,MATCH($A31,Population!$A$43:$A$83,0))/Population!$C$90</f>
        <v>0.13642927556259909</v>
      </c>
      <c r="H31" s="143">
        <f>10^-6*$P$7*INDEX(Population!$C$43:$C$83,MATCH($A31,Population!$A$43:$A$83,0))</f>
        <v>0.30074433499999997</v>
      </c>
      <c r="K31" s="143">
        <f t="shared" si="0"/>
        <v>0.34768500000000002</v>
      </c>
      <c r="L31" s="143">
        <f t="shared" si="1"/>
        <v>2.2132915519130671</v>
      </c>
      <c r="M31" s="21">
        <f>L31/(INDEX(BAU_Fuel_cons!$E$2:$AS$2,1,MATCH($A31,BAU_Fuel_cons!$E$1:$AS$1,0)))</f>
        <v>0.28457718811162352</v>
      </c>
    </row>
    <row r="32" spans="1:13">
      <c r="A32">
        <v>2040</v>
      </c>
      <c r="B32" t="s">
        <v>36</v>
      </c>
      <c r="C32" t="s">
        <v>18</v>
      </c>
      <c r="D32" s="143">
        <f>$P$2*(INDEX(BAU_Fuel_cons!$E$13:$AS$13,1,MATCH($A32,BAU_Fuel_cons!$E$1:$AS$1,0)))</f>
        <v>0.53082459559465156</v>
      </c>
      <c r="F32" s="143">
        <f>$P$4*INDEX(Population!$C$84:$C$124,MATCH($A32,Population!$A$84:$A$124,0))/Population!$C$90</f>
        <v>0.90355154443877839</v>
      </c>
      <c r="G32" s="143">
        <f>$P$5*INDEX(Population!$C$43:$C$83,MATCH($A32,Population!$A$43:$A$83,0))/Population!$C$90</f>
        <v>0.13851495007915637</v>
      </c>
      <c r="H32" s="143">
        <f>10^-6*$P$7*INDEX(Population!$C$43:$C$83,MATCH($A32,Population!$A$43:$A$83,0))</f>
        <v>0.30534199039999993</v>
      </c>
      <c r="K32" s="143">
        <f t="shared" si="0"/>
        <v>0.34768500000000002</v>
      </c>
      <c r="L32" s="143">
        <f t="shared" si="1"/>
        <v>2.2259180805125864</v>
      </c>
      <c r="M32" s="21">
        <f>L32/(INDEX(BAU_Fuel_cons!$E$2:$AS$2,1,MATCH($A32,BAU_Fuel_cons!$E$1:$AS$1,0)))</f>
        <v>0.29560949825523808</v>
      </c>
    </row>
    <row r="33" spans="1:13">
      <c r="A33">
        <v>2041</v>
      </c>
      <c r="B33" t="s">
        <v>36</v>
      </c>
      <c r="C33" t="s">
        <v>18</v>
      </c>
      <c r="D33" s="143">
        <f>$P$2*(INDEX(BAU_Fuel_cons!$E$13:$AS$13,1,MATCH($A33,BAU_Fuel_cons!$E$1:$AS$1,0)))</f>
        <v>0.51477435573112329</v>
      </c>
      <c r="F33" s="143">
        <f>$P$4*INDEX(Population!$C$84:$C$124,MATCH($A33,Population!$A$84:$A$124,0))/Population!$C$90</f>
        <v>0.92486040285799365</v>
      </c>
      <c r="G33" s="143">
        <f>$P$5*INDEX(Population!$C$43:$C$83,MATCH($A33,Population!$A$43:$A$83,0))/Population!$C$90</f>
        <v>0.14056436325671115</v>
      </c>
      <c r="H33" s="143">
        <f>10^-6*$P$7*INDEX(Population!$C$43:$C$83,MATCH($A33,Population!$A$43:$A$83,0))</f>
        <v>0.30985971139999996</v>
      </c>
      <c r="K33" s="143">
        <f t="shared" si="0"/>
        <v>0.34768500000000002</v>
      </c>
      <c r="L33" s="143">
        <f t="shared" si="1"/>
        <v>2.2377438332458279</v>
      </c>
      <c r="M33" s="21">
        <f>L33/(INDEX(BAU_Fuel_cons!$E$2:$AS$2,1,MATCH($A33,BAU_Fuel_cons!$E$1:$AS$1,0)))</f>
        <v>0.30795103670310886</v>
      </c>
    </row>
    <row r="34" spans="1:13">
      <c r="A34">
        <v>2042</v>
      </c>
      <c r="B34" t="s">
        <v>36</v>
      </c>
      <c r="C34" t="s">
        <v>18</v>
      </c>
      <c r="D34" s="143">
        <f>$P$2*(INDEX(BAU_Fuel_cons!$E$13:$AS$13,1,MATCH($A34,BAU_Fuel_cons!$E$1:$AS$1,0)))</f>
        <v>0.49789010760396973</v>
      </c>
      <c r="F34" s="143">
        <f>$P$4*INDEX(Population!$C$84:$C$124,MATCH($A34,Population!$A$84:$A$124,0))/Population!$C$90</f>
        <v>0.94631469075334129</v>
      </c>
      <c r="G34" s="143">
        <f>$P$5*INDEX(Population!$C$43:$C$83,MATCH($A34,Population!$A$43:$A$83,0))/Population!$C$90</f>
        <v>0.14257455419532955</v>
      </c>
      <c r="H34" s="143">
        <f>10^-6*$P$7*INDEX(Population!$C$43:$C$83,MATCH($A34,Population!$A$43:$A$83,0))</f>
        <v>0.31429097099999997</v>
      </c>
      <c r="K34" s="143">
        <f t="shared" si="0"/>
        <v>0.34768500000000002</v>
      </c>
      <c r="L34" s="143">
        <f t="shared" si="1"/>
        <v>2.2487553235526407</v>
      </c>
      <c r="M34" s="21">
        <f>L34/(INDEX(BAU_Fuel_cons!$E$2:$AS$2,1,MATCH($A34,BAU_Fuel_cons!$E$1:$AS$1,0)))</f>
        <v>0.32183527432793896</v>
      </c>
    </row>
    <row r="35" spans="1:13">
      <c r="A35">
        <v>2043</v>
      </c>
      <c r="B35" t="s">
        <v>36</v>
      </c>
      <c r="C35" t="s">
        <v>18</v>
      </c>
      <c r="D35" s="143">
        <f>$P$2*(INDEX(BAU_Fuel_cons!$E$13:$AS$13,1,MATCH($A35,BAU_Fuel_cons!$E$1:$AS$1,0)))</f>
        <v>0.48018068289189136</v>
      </c>
      <c r="F35" s="143">
        <f>$P$4*INDEX(Population!$C$84:$C$124,MATCH($A35,Population!$A$84:$A$124,0))/Population!$C$90</f>
        <v>0.96790168422379852</v>
      </c>
      <c r="G35" s="143">
        <f>$P$5*INDEX(Population!$C$43:$C$83,MATCH($A35,Population!$A$43:$A$83,0))/Population!$C$90</f>
        <v>0.14454215798443257</v>
      </c>
      <c r="H35" s="143">
        <f>10^-6*$P$7*INDEX(Population!$C$43:$C$83,MATCH($A35,Population!$A$43:$A$83,0))</f>
        <v>0.31862835159999997</v>
      </c>
      <c r="K35" s="143">
        <f t="shared" si="0"/>
        <v>0.34768500000000002</v>
      </c>
      <c r="L35" s="143">
        <f t="shared" si="1"/>
        <v>2.2589378767001227</v>
      </c>
      <c r="M35" s="21">
        <f>L35/(INDEX(BAU_Fuel_cons!$E$2:$AS$2,1,MATCH($A35,BAU_Fuel_cons!$E$1:$AS$1,0)))</f>
        <v>0.33755539302315363</v>
      </c>
    </row>
    <row r="36" spans="1:13">
      <c r="A36">
        <v>2044</v>
      </c>
      <c r="B36" t="s">
        <v>36</v>
      </c>
      <c r="C36" t="s">
        <v>18</v>
      </c>
      <c r="D36" s="143">
        <f>$P$2*(INDEX(BAU_Fuel_cons!$E$13:$AS$13,1,MATCH($A36,BAU_Fuel_cons!$E$1:$AS$1,0)))</f>
        <v>0.46165652185865308</v>
      </c>
      <c r="F36" s="143">
        <f>$P$4*INDEX(Population!$C$84:$C$124,MATCH($A36,Population!$A$84:$A$124,0))/Population!$C$90</f>
        <v>0.98960767915670844</v>
      </c>
      <c r="G36" s="143">
        <f>$P$5*INDEX(Population!$C$43:$C$83,MATCH($A36,Population!$A$43:$A$83,0))/Population!$C$90</f>
        <v>0.14646359387213764</v>
      </c>
      <c r="H36" s="143">
        <f>10^-6*$P$7*INDEX(Population!$C$43:$C$83,MATCH($A36,Population!$A$43:$A$83,0))</f>
        <v>0.32286395979999993</v>
      </c>
      <c r="K36" s="143">
        <f t="shared" si="0"/>
        <v>0.34768500000000002</v>
      </c>
      <c r="L36" s="143">
        <f t="shared" si="1"/>
        <v>2.2682767546874993</v>
      </c>
      <c r="M36" s="21">
        <f>L36/(INDEX(BAU_Fuel_cons!$E$2:$AS$2,1,MATCH($A36,BAU_Fuel_cons!$E$1:$AS$1,0)))</f>
        <v>0.35548436662527</v>
      </c>
    </row>
    <row r="37" spans="1:13">
      <c r="A37">
        <v>2045</v>
      </c>
      <c r="B37" t="s">
        <v>36</v>
      </c>
      <c r="C37" t="s">
        <v>18</v>
      </c>
      <c r="D37" s="143">
        <f>$P$2*(INDEX(BAU_Fuel_cons!$E$13:$AS$13,1,MATCH($A37,BAU_Fuel_cons!$E$1:$AS$1,0)))</f>
        <v>0.44233188679422497</v>
      </c>
      <c r="F37" s="143">
        <f>$P$4*INDEX(Population!$C$84:$C$124,MATCH($A37,Population!$A$84:$A$124,0))/Population!$C$90</f>
        <v>1.0114198008492588</v>
      </c>
      <c r="G37" s="143">
        <f>$P$5*INDEX(Population!$C$43:$C$83,MATCH($A37,Population!$A$43:$A$83,0))/Population!$C$90</f>
        <v>0.14833574599552382</v>
      </c>
      <c r="H37" s="143">
        <f>10^-6*$P$7*INDEX(Population!$C$43:$C$83,MATCH($A37,Population!$A$43:$A$83,0))</f>
        <v>0.32699092699999993</v>
      </c>
      <c r="K37" s="143">
        <f t="shared" si="0"/>
        <v>0.34768500000000002</v>
      </c>
      <c r="L37" s="143">
        <f t="shared" si="1"/>
        <v>2.2767633606390074</v>
      </c>
      <c r="M37" s="21">
        <f>L37/(INDEX(BAU_Fuel_cons!$E$2:$AS$2,1,MATCH($A37,BAU_Fuel_cons!$E$1:$AS$1,0)))</f>
        <v>0.37610346441256826</v>
      </c>
    </row>
    <row r="38" spans="1:13">
      <c r="A38">
        <v>2046</v>
      </c>
      <c r="B38" t="s">
        <v>36</v>
      </c>
      <c r="C38" t="s">
        <v>18</v>
      </c>
      <c r="D38" s="143">
        <f>$P$2*(INDEX(BAU_Fuel_cons!$E$13:$AS$13,1,MATCH($A38,BAU_Fuel_cons!$E$1:$AS$1,0)))</f>
        <v>0.42222354855472516</v>
      </c>
      <c r="F38" s="143">
        <f>$P$4*INDEX(Population!$C$84:$C$124,MATCH($A38,Population!$A$84:$A$124,0))/Population!$C$90</f>
        <v>1.0333247598937148</v>
      </c>
      <c r="G38" s="143">
        <f>$P$5*INDEX(Population!$C$43:$C$83,MATCH($A38,Population!$A$43:$A$83,0))/Population!$C$90</f>
        <v>0.15015563685148001</v>
      </c>
      <c r="H38" s="143">
        <f>10^-6*$P$7*INDEX(Population!$C$43:$C$83,MATCH($A38,Population!$A$43:$A$83,0))</f>
        <v>0.33100268959999996</v>
      </c>
      <c r="K38" s="143">
        <f t="shared" si="0"/>
        <v>0.34768500000000002</v>
      </c>
      <c r="L38" s="143">
        <f t="shared" si="1"/>
        <v>2.28439163489992</v>
      </c>
      <c r="M38" s="21">
        <f>L38/(INDEX(BAU_Fuel_cons!$E$2:$AS$2,1,MATCH($A38,BAU_Fuel_cons!$E$1:$AS$1,0)))</f>
        <v>0.40004493116870926</v>
      </c>
    </row>
    <row r="39" spans="1:13">
      <c r="A39">
        <v>2047</v>
      </c>
      <c r="B39" t="s">
        <v>36</v>
      </c>
      <c r="C39" t="s">
        <v>18</v>
      </c>
      <c r="D39" s="143">
        <f>$P$2*(INDEX(BAU_Fuel_cons!$E$13:$AS$13,1,MATCH($A39,BAU_Fuel_cons!$E$1:$AS$1,0)))</f>
        <v>0.40135192632435773</v>
      </c>
      <c r="F39" s="143">
        <f>$P$4*INDEX(Population!$C$84:$C$124,MATCH($A39,Population!$A$84:$A$124,0))/Population!$C$90</f>
        <v>1.0553101151424098</v>
      </c>
      <c r="G39" s="143">
        <f>$P$5*INDEX(Population!$C$43:$C$83,MATCH($A39,Population!$A$43:$A$83,0))/Population!$C$90</f>
        <v>0.15192090325445159</v>
      </c>
      <c r="H39" s="143">
        <f>10^-6*$P$7*INDEX(Population!$C$43:$C$83,MATCH($A39,Population!$A$43:$A$83,0))</f>
        <v>0.33489403819999991</v>
      </c>
      <c r="K39" s="143">
        <f t="shared" si="0"/>
        <v>0.34768500000000002</v>
      </c>
      <c r="L39" s="143">
        <f t="shared" si="1"/>
        <v>2.2911619829212189</v>
      </c>
      <c r="M39" s="21">
        <f>L39/(INDEX(BAU_Fuel_cons!$E$2:$AS$2,1,MATCH($A39,BAU_Fuel_cons!$E$1:$AS$1,0)))</f>
        <v>0.4281557210780112</v>
      </c>
    </row>
    <row r="40" spans="1:13">
      <c r="A40">
        <v>2048</v>
      </c>
      <c r="B40" t="s">
        <v>36</v>
      </c>
      <c r="C40" t="s">
        <v>18</v>
      </c>
      <c r="D40" s="143">
        <f>$P$2*(INDEX(BAU_Fuel_cons!$E$13:$AS$13,1,MATCH($A40,BAU_Fuel_cons!$E$1:$AS$1,0)))</f>
        <v>0.37974020959069804</v>
      </c>
      <c r="F40" s="143">
        <f>$P$4*INDEX(Population!$C$84:$C$124,MATCH($A40,Population!$A$84:$A$124,0))/Population!$C$90</f>
        <v>1.0773647449633388</v>
      </c>
      <c r="G40" s="143">
        <f>$P$5*INDEX(Population!$C$43:$C$83,MATCH($A40,Population!$A$43:$A$83,0))/Population!$C$90</f>
        <v>0.15362965244223792</v>
      </c>
      <c r="H40" s="143">
        <f>10^-6*$P$7*INDEX(Population!$C$43:$C$83,MATCH($A40,Population!$A$43:$A$83,0))</f>
        <v>0.33866080039999996</v>
      </c>
      <c r="K40" s="143">
        <f t="shared" si="0"/>
        <v>0.34768500000000002</v>
      </c>
      <c r="L40" s="143">
        <f t="shared" si="1"/>
        <v>2.2970804073962752</v>
      </c>
      <c r="M40" s="21">
        <f>L40/(INDEX(BAU_Fuel_cons!$E$2:$AS$2,1,MATCH($A40,BAU_Fuel_cons!$E$1:$AS$1,0)))</f>
        <v>0.46159749925890409</v>
      </c>
    </row>
    <row r="41" spans="1:13">
      <c r="A41">
        <v>2049</v>
      </c>
      <c r="B41" t="s">
        <v>36</v>
      </c>
      <c r="C41" t="s">
        <v>18</v>
      </c>
      <c r="D41" s="143">
        <f>$P$2*(INDEX(BAU_Fuel_cons!$E$13:$AS$13,1,MATCH($A41,BAU_Fuel_cons!$E$1:$AS$1,0)))</f>
        <v>0.3574136396809427</v>
      </c>
      <c r="F41" s="143">
        <f>$P$4*INDEX(Population!$C$84:$C$124,MATCH($A41,Population!$A$84:$A$124,0))/Population!$C$90</f>
        <v>1.0994774146231547</v>
      </c>
      <c r="G41" s="143">
        <f>$P$5*INDEX(Population!$C$43:$C$83,MATCH($A41,Population!$A$43:$A$83,0))/Population!$C$90</f>
        <v>0.15528032371618222</v>
      </c>
      <c r="H41" s="143">
        <f>10^-6*$P$7*INDEX(Population!$C$43:$C$83,MATCH($A41,Population!$A$43:$A$83,0))</f>
        <v>0.34229953579999994</v>
      </c>
      <c r="K41" s="143">
        <f t="shared" si="0"/>
        <v>0.34768500000000002</v>
      </c>
      <c r="L41" s="143">
        <f t="shared" si="1"/>
        <v>2.3021559138202798</v>
      </c>
      <c r="M41" s="21">
        <f>L41/(INDEX(BAU_Fuel_cons!$E$2:$AS$2,1,MATCH($A41,BAU_Fuel_cons!$E$1:$AS$1,0)))</f>
        <v>0.50200782215377127</v>
      </c>
    </row>
    <row r="42" spans="1:13">
      <c r="A42">
        <v>2050</v>
      </c>
      <c r="B42" t="s">
        <v>36</v>
      </c>
      <c r="C42" t="s">
        <v>18</v>
      </c>
      <c r="D42" s="143">
        <f>$P$2*(INDEX(BAU_Fuel_cons!$E$13:$AS$13,1,MATCH($A42,BAU_Fuel_cons!$E$1:$AS$1,0)))</f>
        <v>0.33439801226703597</v>
      </c>
      <c r="F42" s="143">
        <f>$P$4*INDEX(Population!$C$84:$C$124,MATCH($A42,Population!$A$84:$A$124,0))/Population!$C$90</f>
        <v>1.1216357772253096</v>
      </c>
      <c r="G42" s="143">
        <f>$P$5*INDEX(Population!$C$43:$C$83,MATCH($A42,Population!$A$43:$A$83,0))/Population!$C$90</f>
        <v>0.15687111839875464</v>
      </c>
      <c r="H42" s="143">
        <f>10^-6*$P$7*INDEX(Population!$C$43:$C$83,MATCH($A42,Population!$A$43:$A$83,0))</f>
        <v>0.34580627939999992</v>
      </c>
      <c r="K42" s="143">
        <f t="shared" si="0"/>
        <v>0.34768500000000002</v>
      </c>
      <c r="L42" s="143">
        <f t="shared" si="1"/>
        <v>2.3063961872911003</v>
      </c>
      <c r="M42" s="21">
        <f>L42/(INDEX(BAU_Fuel_cons!$E$2:$AS$2,1,MATCH($A42,BAU_Fuel_cons!$E$1:$AS$1,0)))</f>
        <v>0.55177270263181133</v>
      </c>
    </row>
    <row r="43" spans="1:13">
      <c r="A43">
        <v>2010</v>
      </c>
      <c r="B43" t="s">
        <v>8</v>
      </c>
      <c r="C43" t="s">
        <v>18</v>
      </c>
      <c r="D43" s="143">
        <f>$P$2*INDEX(BAU_Fuel_cons!$E$14:$AS$14,1,MATCH($A2,BAU_Fuel_cons!$E$1:$AS$1,0))</f>
        <v>1.3242073214267539E-3</v>
      </c>
      <c r="G43" s="143"/>
      <c r="L43" s="143">
        <f t="shared" si="1"/>
        <v>1.3242073214267539E-3</v>
      </c>
      <c r="M43" s="21">
        <f>L43/(INDEX(BAU_Fuel_cons!$E$3:$AS$3,1,MATCH($A43,BAU_Fuel_cons!$E$1:$AS$1,0)))</f>
        <v>2.0461515776523734E-3</v>
      </c>
    </row>
    <row r="44" spans="1:13">
      <c r="A44">
        <v>2011</v>
      </c>
      <c r="B44" t="s">
        <v>8</v>
      </c>
      <c r="C44" t="s">
        <v>18</v>
      </c>
      <c r="D44" s="143">
        <f>$P$2*INDEX(BAU_Fuel_cons!$E$14:$AS$14,1,MATCH($A3,BAU_Fuel_cons!$E$1:$AS$1,0))</f>
        <v>3.4926799416051982E-3</v>
      </c>
      <c r="G44" s="143"/>
      <c r="L44" s="143">
        <f t="shared" si="1"/>
        <v>3.4926799416051982E-3</v>
      </c>
      <c r="M44" s="21">
        <f>L44/(INDEX(BAU_Fuel_cons!$E$3:$AS$3,1,MATCH($A44,BAU_Fuel_cons!$E$1:$AS$1,0)))</f>
        <v>4.8478616763201624E-3</v>
      </c>
    </row>
    <row r="45" spans="1:13">
      <c r="A45">
        <v>2012</v>
      </c>
      <c r="B45" t="s">
        <v>8</v>
      </c>
      <c r="C45" t="s">
        <v>18</v>
      </c>
      <c r="D45" s="143">
        <f>$P$2*INDEX(BAU_Fuel_cons!$E$14:$AS$14,1,MATCH($A4,BAU_Fuel_cons!$E$1:$AS$1,0))</f>
        <v>5.7823592400377587E-3</v>
      </c>
      <c r="G45" s="143"/>
      <c r="L45" s="143">
        <f t="shared" si="1"/>
        <v>5.7823592400377587E-3</v>
      </c>
      <c r="M45" s="21">
        <f>L45/(INDEX(BAU_Fuel_cons!$E$3:$AS$3,1,MATCH($A45,BAU_Fuel_cons!$E$1:$AS$1,0)))</f>
        <v>7.2471292301213401E-3</v>
      </c>
    </row>
    <row r="46" spans="1:13">
      <c r="A46">
        <v>2013</v>
      </c>
      <c r="B46" t="s">
        <v>8</v>
      </c>
      <c r="C46" t="s">
        <v>18</v>
      </c>
      <c r="D46" s="143">
        <f>$P$2*INDEX(BAU_Fuel_cons!$E$14:$AS$14,1,MATCH($A5,BAU_Fuel_cons!$E$1:$AS$1,0))</f>
        <v>8.1957644614278624E-3</v>
      </c>
      <c r="G46" s="143"/>
      <c r="L46" s="143">
        <f t="shared" si="1"/>
        <v>8.1957644614278624E-3</v>
      </c>
      <c r="M46" s="21">
        <f>L46/(INDEX(BAU_Fuel_cons!$E$3:$AS$3,1,MATCH($A46,BAU_Fuel_cons!$E$1:$AS$1,0)))</f>
        <v>9.3172664453440978E-3</v>
      </c>
    </row>
    <row r="47" spans="1:13">
      <c r="A47">
        <v>2014</v>
      </c>
      <c r="B47" t="s">
        <v>8</v>
      </c>
      <c r="C47" t="s">
        <v>18</v>
      </c>
      <c r="D47" s="143">
        <f>$P$2*INDEX(BAU_Fuel_cons!$E$14:$AS$14,1,MATCH($A6,BAU_Fuel_cons!$E$1:$AS$1,0))</f>
        <v>1.0736211038970126E-2</v>
      </c>
      <c r="G47" s="143"/>
      <c r="L47" s="143">
        <f t="shared" si="1"/>
        <v>1.0736211038970126E-2</v>
      </c>
      <c r="M47" s="21">
        <f>L47/(INDEX(BAU_Fuel_cons!$E$3:$AS$3,1,MATCH($A47,BAU_Fuel_cons!$E$1:$AS$1,0)))</f>
        <v>1.1114894239366629E-2</v>
      </c>
    </row>
    <row r="48" spans="1:13">
      <c r="A48">
        <v>2015</v>
      </c>
      <c r="B48" t="s">
        <v>8</v>
      </c>
      <c r="C48" t="s">
        <v>18</v>
      </c>
      <c r="D48" s="143">
        <f>$P$2*INDEX(BAU_Fuel_cons!$E$14:$AS$14,1,MATCH($A7,BAU_Fuel_cons!$E$1:$AS$1,0))</f>
        <v>1.3407372033475131E-2</v>
      </c>
      <c r="G48" s="143"/>
      <c r="L48" s="143">
        <f t="shared" si="1"/>
        <v>1.3407372033475131E-2</v>
      </c>
      <c r="M48" s="21">
        <f>L48/(INDEX(BAU_Fuel_cons!$E$3:$AS$3,1,MATCH($A48,BAU_Fuel_cons!$E$1:$AS$1,0)))</f>
        <v>1.2684375225446427E-2</v>
      </c>
    </row>
    <row r="49" spans="1:13">
      <c r="A49">
        <v>2016</v>
      </c>
      <c r="B49" t="s">
        <v>8</v>
      </c>
      <c r="C49" t="s">
        <v>18</v>
      </c>
      <c r="D49" s="143">
        <f>$P$2*INDEX(BAU_Fuel_cons!$E$14:$AS$14,1,MATCH($A8,BAU_Fuel_cons!$E$1:$AS$1,0))</f>
        <v>1.6212365805143673E-2</v>
      </c>
      <c r="G49" s="143"/>
      <c r="L49" s="143">
        <f t="shared" si="1"/>
        <v>1.6212365805143673E-2</v>
      </c>
      <c r="M49" s="21">
        <f>L49/(INDEX(BAU_Fuel_cons!$E$3:$AS$3,1,MATCH($A49,BAU_Fuel_cons!$E$1:$AS$1,0)))</f>
        <v>1.4060721941387688E-2</v>
      </c>
    </row>
    <row r="50" spans="1:13">
      <c r="A50">
        <v>2017</v>
      </c>
      <c r="B50" t="s">
        <v>8</v>
      </c>
      <c r="C50" t="s">
        <v>18</v>
      </c>
      <c r="D50" s="143">
        <f>$P$2*INDEX(BAU_Fuel_cons!$E$14:$AS$14,1,MATCH($A9,BAU_Fuel_cons!$E$1:$AS$1,0))</f>
        <v>1.9153352518725429E-2</v>
      </c>
      <c r="G50" s="143"/>
      <c r="L50" s="143">
        <f t="shared" si="1"/>
        <v>1.9153352518725429E-2</v>
      </c>
      <c r="M50" s="21">
        <f>L50/(INDEX(BAU_Fuel_cons!$E$3:$AS$3,1,MATCH($A50,BAU_Fuel_cons!$E$1:$AS$1,0)))</f>
        <v>1.5271925523629232E-2</v>
      </c>
    </row>
    <row r="51" spans="1:13">
      <c r="A51">
        <v>2018</v>
      </c>
      <c r="B51" t="s">
        <v>8</v>
      </c>
      <c r="C51" t="s">
        <v>18</v>
      </c>
      <c r="D51" s="143">
        <f>$P$2*INDEX(BAU_Fuel_cons!$E$14:$AS$14,1,MATCH($A10,BAU_Fuel_cons!$E$1:$AS$1,0))</f>
        <v>2.223209885431511E-2</v>
      </c>
      <c r="G51" s="143"/>
      <c r="L51" s="143">
        <f t="shared" si="1"/>
        <v>2.223209885431511E-2</v>
      </c>
      <c r="M51" s="21">
        <f>L51/(INDEX(BAU_Fuel_cons!$E$3:$AS$3,1,MATCH($A51,BAU_Fuel_cons!$E$1:$AS$1,0)))</f>
        <v>1.6340804491440111E-2</v>
      </c>
    </row>
    <row r="52" spans="1:13">
      <c r="A52">
        <v>2019</v>
      </c>
      <c r="B52" t="s">
        <v>8</v>
      </c>
      <c r="C52" t="s">
        <v>18</v>
      </c>
      <c r="D52" s="143">
        <f>$P$2*INDEX(BAU_Fuel_cons!$E$14:$AS$14,1,MATCH($A11,BAU_Fuel_cons!$E$1:$AS$1,0))</f>
        <v>2.5449546986193561E-2</v>
      </c>
      <c r="G52" s="143"/>
      <c r="L52" s="143">
        <f t="shared" si="1"/>
        <v>2.5449546986193561E-2</v>
      </c>
      <c r="M52" s="21">
        <f>L52/(INDEX(BAU_Fuel_cons!$E$3:$AS$3,1,MATCH($A52,BAU_Fuel_cons!$E$1:$AS$1,0)))</f>
        <v>1.7286095799226273E-2</v>
      </c>
    </row>
    <row r="53" spans="1:13">
      <c r="A53">
        <v>2020</v>
      </c>
      <c r="B53" t="s">
        <v>8</v>
      </c>
      <c r="C53" t="s">
        <v>18</v>
      </c>
      <c r="D53" s="143">
        <f>$P$2*INDEX(BAU_Fuel_cons!$E$14:$AS$14,1,MATCH($A12,BAU_Fuel_cons!$E$1:$AS$1,0))</f>
        <v>2.8806333925903285E-2</v>
      </c>
      <c r="G53" s="143"/>
      <c r="L53" s="143">
        <f t="shared" si="1"/>
        <v>2.8806333925903285E-2</v>
      </c>
      <c r="M53" s="21">
        <f>L53/(INDEX(BAU_Fuel_cons!$E$3:$AS$3,1,MATCH($A53,BAU_Fuel_cons!$E$1:$AS$1,0)))</f>
        <v>1.8123464300060316E-2</v>
      </c>
    </row>
    <row r="54" spans="1:13">
      <c r="A54">
        <v>2021</v>
      </c>
      <c r="B54" t="s">
        <v>8</v>
      </c>
      <c r="C54" t="s">
        <v>18</v>
      </c>
      <c r="D54" s="143">
        <f>$P$2*INDEX(BAU_Fuel_cons!$E$14:$AS$14,1,MATCH($A13,BAU_Fuel_cons!$E$1:$AS$1,0))</f>
        <v>3.230267253197884E-2</v>
      </c>
      <c r="G54" s="143"/>
      <c r="L54" s="143">
        <f t="shared" si="1"/>
        <v>3.230267253197884E-2</v>
      </c>
      <c r="M54" s="21">
        <f>L54/(INDEX(BAU_Fuel_cons!$E$3:$AS$3,1,MATCH($A54,BAU_Fuel_cons!$E$1:$AS$1,0)))</f>
        <v>1.8865864634999605E-2</v>
      </c>
    </row>
    <row r="55" spans="1:13">
      <c r="A55">
        <v>2022</v>
      </c>
      <c r="B55" t="s">
        <v>8</v>
      </c>
      <c r="C55" t="s">
        <v>18</v>
      </c>
      <c r="D55" s="143">
        <f>$P$2*INDEX(BAU_Fuel_cons!$E$14:$AS$14,1,MATCH($A14,BAU_Fuel_cons!$E$1:$AS$1,0))</f>
        <v>3.5939275866759317E-2</v>
      </c>
      <c r="G55" s="143"/>
      <c r="L55" s="143">
        <f t="shared" si="1"/>
        <v>3.5939275866759317E-2</v>
      </c>
      <c r="M55" s="21">
        <f>L55/(INDEX(BAU_Fuel_cons!$E$3:$AS$3,1,MATCH($A55,BAU_Fuel_cons!$E$1:$AS$1,0)))</f>
        <v>1.9524607722491309E-2</v>
      </c>
    </row>
    <row r="56" spans="1:13">
      <c r="A56">
        <v>2023</v>
      </c>
      <c r="B56" t="s">
        <v>8</v>
      </c>
      <c r="C56" t="s">
        <v>18</v>
      </c>
      <c r="D56" s="143">
        <f>$P$2*INDEX(BAU_Fuel_cons!$E$14:$AS$14,1,MATCH($A15,BAU_Fuel_cons!$E$1:$AS$1,0))</f>
        <v>3.9717556940670196E-2</v>
      </c>
      <c r="G56" s="143"/>
      <c r="L56" s="143">
        <f t="shared" si="1"/>
        <v>3.9717556940670196E-2</v>
      </c>
      <c r="M56" s="21">
        <f>L56/(INDEX(BAU_Fuel_cons!$E$3:$AS$3,1,MATCH($A56,BAU_Fuel_cons!$E$1:$AS$1,0)))</f>
        <v>2.0109941932300347E-2</v>
      </c>
    </row>
    <row r="57" spans="1:13">
      <c r="A57">
        <v>2024</v>
      </c>
      <c r="B57" t="s">
        <v>8</v>
      </c>
      <c r="C57" t="s">
        <v>18</v>
      </c>
      <c r="D57" s="143">
        <f>$P$2*INDEX(BAU_Fuel_cons!$E$14:$AS$14,1,MATCH($A16,BAU_Fuel_cons!$E$1:$AS$1,0))</f>
        <v>4.3639556693303938E-2</v>
      </c>
      <c r="G57" s="143"/>
      <c r="L57" s="143">
        <f t="shared" si="1"/>
        <v>4.3639556693303938E-2</v>
      </c>
      <c r="M57" s="21">
        <f>L57/(INDEX(BAU_Fuel_cons!$E$3:$AS$3,1,MATCH($A57,BAU_Fuel_cons!$E$1:$AS$1,0)))</f>
        <v>2.0631013946133821E-2</v>
      </c>
    </row>
    <row r="58" spans="1:13">
      <c r="A58">
        <v>2025</v>
      </c>
      <c r="B58" t="s">
        <v>8</v>
      </c>
      <c r="C58" t="s">
        <v>18</v>
      </c>
      <c r="D58" s="143">
        <f>$P$2*INDEX(BAU_Fuel_cons!$E$14:$AS$14,1,MATCH($A17,BAU_Fuel_cons!$E$1:$AS$1,0))</f>
        <v>4.9898931322927435E-2</v>
      </c>
      <c r="G58" s="143"/>
      <c r="L58" s="143">
        <f t="shared" si="1"/>
        <v>4.9898931322927435E-2</v>
      </c>
      <c r="M58" s="21">
        <f>L58/(INDEX(BAU_Fuel_cons!$E$3:$AS$3,1,MATCH($A58,BAU_Fuel_cons!$E$1:$AS$1,0)))</f>
        <v>2.1942972433551096E-2</v>
      </c>
    </row>
    <row r="59" spans="1:13">
      <c r="A59">
        <v>2026</v>
      </c>
      <c r="B59" t="s">
        <v>8</v>
      </c>
      <c r="C59" t="s">
        <v>18</v>
      </c>
      <c r="D59" s="143">
        <f>$P$2*INDEX(BAU_Fuel_cons!$E$14:$AS$14,1,MATCH($A18,BAU_Fuel_cons!$E$1:$AS$1,0))</f>
        <v>5.6403926096839023E-2</v>
      </c>
      <c r="G59" s="143"/>
      <c r="L59" s="143">
        <f t="shared" si="1"/>
        <v>5.6403926096839023E-2</v>
      </c>
      <c r="M59" s="21">
        <f>L59/(INDEX(BAU_Fuel_cons!$E$3:$AS$3,1,MATCH($A59,BAU_Fuel_cons!$E$1:$AS$1,0)))</f>
        <v>2.3126632324878903E-2</v>
      </c>
    </row>
    <row r="60" spans="1:13">
      <c r="A60">
        <v>2027</v>
      </c>
      <c r="B60" t="s">
        <v>8</v>
      </c>
      <c r="C60" t="s">
        <v>18</v>
      </c>
      <c r="D60" s="143">
        <f>$P$2*INDEX(BAU_Fuel_cons!$E$14:$AS$14,1,MATCH($A19,BAU_Fuel_cons!$E$1:$AS$1,0))</f>
        <v>6.3153095325167413E-2</v>
      </c>
      <c r="G60" s="143"/>
      <c r="L60" s="143">
        <f t="shared" si="1"/>
        <v>6.3153095325167413E-2</v>
      </c>
      <c r="M60" s="21">
        <f>L60/(INDEX(BAU_Fuel_cons!$E$3:$AS$3,1,MATCH($A60,BAU_Fuel_cons!$E$1:$AS$1,0)))</f>
        <v>2.4197421477107982E-2</v>
      </c>
    </row>
    <row r="61" spans="1:13">
      <c r="A61">
        <v>2028</v>
      </c>
      <c r="B61" t="s">
        <v>8</v>
      </c>
      <c r="C61" t="s">
        <v>18</v>
      </c>
      <c r="D61" s="143">
        <f>$P$2*INDEX(BAU_Fuel_cons!$E$14:$AS$14,1,MATCH($A20,BAU_Fuel_cons!$E$1:$AS$1,0))</f>
        <v>7.0142346845936066E-2</v>
      </c>
      <c r="G61" s="143"/>
      <c r="L61" s="143">
        <f t="shared" si="1"/>
        <v>7.0142346845936066E-2</v>
      </c>
      <c r="M61" s="21">
        <f>L61/(INDEX(BAU_Fuel_cons!$E$3:$AS$3,1,MATCH($A61,BAU_Fuel_cons!$E$1:$AS$1,0)))</f>
        <v>2.5168109411304068E-2</v>
      </c>
    </row>
    <row r="62" spans="1:13">
      <c r="A62">
        <v>2029</v>
      </c>
      <c r="B62" t="s">
        <v>8</v>
      </c>
      <c r="C62" t="s">
        <v>18</v>
      </c>
      <c r="D62" s="143">
        <f>$P$2*INDEX(BAU_Fuel_cons!$E$14:$AS$14,1,MATCH($A21,BAU_Fuel_cons!$E$1:$AS$1,0))</f>
        <v>7.7364873105670293E-2</v>
      </c>
      <c r="G62" s="143"/>
      <c r="L62" s="143">
        <f t="shared" si="1"/>
        <v>7.7364873105670293E-2</v>
      </c>
      <c r="M62" s="21">
        <f>L62/(INDEX(BAU_Fuel_cons!$E$3:$AS$3,1,MATCH($A62,BAU_Fuel_cons!$E$1:$AS$1,0)))</f>
        <v>2.6049299209134895E-2</v>
      </c>
    </row>
    <row r="63" spans="1:13">
      <c r="A63">
        <v>2030</v>
      </c>
      <c r="B63" t="s">
        <v>8</v>
      </c>
      <c r="C63" t="s">
        <v>18</v>
      </c>
      <c r="D63" s="143">
        <f>$P$2*INDEX(BAU_Fuel_cons!$E$14:$AS$14,1,MATCH($A22,BAU_Fuel_cons!$E$1:$AS$1,0))</f>
        <v>8.4812766708314682E-2</v>
      </c>
      <c r="G63" s="143"/>
      <c r="L63" s="143">
        <f t="shared" si="1"/>
        <v>8.4812766708314682E-2</v>
      </c>
      <c r="M63" s="21">
        <f>L63/(INDEX(BAU_Fuel_cons!$E$3:$AS$3,1,MATCH($A63,BAU_Fuel_cons!$E$1:$AS$1,0)))</f>
        <v>2.6850090208794905E-2</v>
      </c>
    </row>
    <row r="64" spans="1:13">
      <c r="A64">
        <v>2031</v>
      </c>
      <c r="B64" t="s">
        <v>8</v>
      </c>
      <c r="C64" t="s">
        <v>18</v>
      </c>
      <c r="D64" s="143">
        <f>$P$2*INDEX(BAU_Fuel_cons!$E$14:$AS$14,1,MATCH($A23,BAU_Fuel_cons!$E$1:$AS$1,0))</f>
        <v>9.2478711641459627E-2</v>
      </c>
      <c r="G64" s="143"/>
      <c r="L64" s="143">
        <f t="shared" si="1"/>
        <v>9.2478711641459627E-2</v>
      </c>
      <c r="M64" s="21">
        <f>L64/(INDEX(BAU_Fuel_cons!$E$3:$AS$3,1,MATCH($A64,BAU_Fuel_cons!$E$1:$AS$1,0)))</f>
        <v>2.7578650998252394E-2</v>
      </c>
    </row>
    <row r="65" spans="1:13">
      <c r="A65">
        <v>2032</v>
      </c>
      <c r="B65" t="s">
        <v>8</v>
      </c>
      <c r="C65" t="s">
        <v>18</v>
      </c>
      <c r="D65" s="143">
        <f>$P$2*INDEX(BAU_Fuel_cons!$E$14:$AS$14,1,MATCH($A24,BAU_Fuel_cons!$E$1:$AS$1,0))</f>
        <v>0.10035597802028505</v>
      </c>
      <c r="G65" s="143"/>
      <c r="L65" s="143">
        <f t="shared" si="1"/>
        <v>0.10035597802028505</v>
      </c>
      <c r="M65" s="21">
        <f>L65/(INDEX(BAU_Fuel_cons!$E$3:$AS$3,1,MATCH($A65,BAU_Fuel_cons!$E$1:$AS$1,0)))</f>
        <v>2.8242302553724837E-2</v>
      </c>
    </row>
    <row r="66" spans="1:13">
      <c r="A66">
        <v>2033</v>
      </c>
      <c r="B66" t="s">
        <v>8</v>
      </c>
      <c r="C66" t="s">
        <v>18</v>
      </c>
      <c r="D66" s="143">
        <f>$P$2*INDEX(BAU_Fuel_cons!$E$14:$AS$14,1,MATCH($A25,BAU_Fuel_cons!$E$1:$AS$1,0))</f>
        <v>0.1084370921766344</v>
      </c>
      <c r="G66" s="143"/>
      <c r="L66" s="143">
        <f t="shared" si="1"/>
        <v>0.1084370921766344</v>
      </c>
      <c r="M66" s="21">
        <f>L66/(INDEX(BAU_Fuel_cons!$E$3:$AS$3,1,MATCH($A66,BAU_Fuel_cons!$E$1:$AS$1,0)))</f>
        <v>2.8847587566751369E-2</v>
      </c>
    </row>
    <row r="67" spans="1:13">
      <c r="A67">
        <v>2034</v>
      </c>
      <c r="B67" t="s">
        <v>8</v>
      </c>
      <c r="C67" t="s">
        <v>18</v>
      </c>
      <c r="D67" s="143">
        <f>$P$2*INDEX(BAU_Fuel_cons!$E$14:$AS$14,1,MATCH($A26,BAU_Fuel_cons!$E$1:$AS$1,0))</f>
        <v>0.11671543865204315</v>
      </c>
      <c r="G67" s="143"/>
      <c r="L67" s="143">
        <f t="shared" ref="L67:L130" si="2">SUM(D67:K67)</f>
        <v>0.11671543865204315</v>
      </c>
      <c r="M67" s="21">
        <f>L67/(INDEX(BAU_Fuel_cons!$E$3:$AS$3,1,MATCH($A67,BAU_Fuel_cons!$E$1:$AS$1,0)))</f>
        <v>2.940089642824539E-2</v>
      </c>
    </row>
    <row r="68" spans="1:13">
      <c r="A68">
        <v>2035</v>
      </c>
      <c r="B68" t="s">
        <v>8</v>
      </c>
      <c r="C68" t="s">
        <v>18</v>
      </c>
      <c r="D68" s="143">
        <f>$P$2*INDEX(BAU_Fuel_cons!$E$14:$AS$14,1,MATCH($A27,BAU_Fuel_cons!$E$1:$AS$1,0))</f>
        <v>0.12519880405580941</v>
      </c>
      <c r="G68" s="143"/>
      <c r="L68" s="143">
        <f t="shared" si="2"/>
        <v>0.12519880405580941</v>
      </c>
      <c r="M68" s="21">
        <f>L68/(INDEX(BAU_Fuel_cons!$E$3:$AS$3,1,MATCH($A68,BAU_Fuel_cons!$E$1:$AS$1,0)))</f>
        <v>2.9903910028401464E-2</v>
      </c>
    </row>
    <row r="69" spans="1:13">
      <c r="A69">
        <v>2036</v>
      </c>
      <c r="B69" t="s">
        <v>8</v>
      </c>
      <c r="C69" t="s">
        <v>18</v>
      </c>
      <c r="D69" s="143">
        <f>$P$2*INDEX(BAU_Fuel_cons!$E$14:$AS$14,1,MATCH($A28,BAU_Fuel_cons!$E$1:$AS$1,0))</f>
        <v>0.13388295705936229</v>
      </c>
      <c r="G69" s="143"/>
      <c r="L69" s="143">
        <f t="shared" si="2"/>
        <v>0.13388295705936229</v>
      </c>
      <c r="M69" s="21">
        <f>L69/(INDEX(BAU_Fuel_cons!$E$3:$AS$3,1,MATCH($A69,BAU_Fuel_cons!$E$1:$AS$1,0)))</f>
        <v>3.0361958851841703E-2</v>
      </c>
    </row>
    <row r="70" spans="1:13">
      <c r="A70">
        <v>2037</v>
      </c>
      <c r="B70" t="s">
        <v>8</v>
      </c>
      <c r="C70" t="s">
        <v>18</v>
      </c>
      <c r="D70" s="143">
        <f>$P$2*INDEX(BAU_Fuel_cons!$E$14:$AS$14,1,MATCH($A29,BAU_Fuel_cons!$E$1:$AS$1,0))</f>
        <v>0.14276089757682206</v>
      </c>
      <c r="G70" s="143"/>
      <c r="L70" s="143">
        <f t="shared" si="2"/>
        <v>0.14276089757682206</v>
      </c>
      <c r="M70" s="21">
        <f>L70/(INDEX(BAU_Fuel_cons!$E$3:$AS$3,1,MATCH($A70,BAU_Fuel_cons!$E$1:$AS$1,0)))</f>
        <v>3.0778571851353385E-2</v>
      </c>
    </row>
    <row r="71" spans="1:13">
      <c r="A71">
        <v>2038</v>
      </c>
      <c r="B71" t="s">
        <v>8</v>
      </c>
      <c r="C71" t="s">
        <v>18</v>
      </c>
      <c r="D71" s="143">
        <f>$P$2*INDEX(BAU_Fuel_cons!$E$14:$AS$14,1,MATCH($A30,BAU_Fuel_cons!$E$1:$AS$1,0))</f>
        <v>0.15182577815833379</v>
      </c>
      <c r="G71" s="143"/>
      <c r="L71" s="143">
        <f t="shared" si="2"/>
        <v>0.15182577815833379</v>
      </c>
      <c r="M71" s="21">
        <f>L71/(INDEX(BAU_Fuel_cons!$E$3:$AS$3,1,MATCH($A71,BAU_Fuel_cons!$E$1:$AS$1,0)))</f>
        <v>3.1156836706684076E-2</v>
      </c>
    </row>
    <row r="72" spans="1:13">
      <c r="A72">
        <v>2039</v>
      </c>
      <c r="B72" t="s">
        <v>8</v>
      </c>
      <c r="C72" t="s">
        <v>18</v>
      </c>
      <c r="D72" s="143">
        <f>$P$2*INDEX(BAU_Fuel_cons!$E$14:$AS$14,1,MATCH($A31,BAU_Fuel_cons!$E$1:$AS$1,0))</f>
        <v>0.16107011004092064</v>
      </c>
      <c r="G72" s="143"/>
      <c r="L72" s="143">
        <f t="shared" si="2"/>
        <v>0.16107011004092064</v>
      </c>
      <c r="M72" s="21">
        <f>L72/(INDEX(BAU_Fuel_cons!$E$3:$AS$3,1,MATCH($A72,BAU_Fuel_cons!$E$1:$AS$1,0)))</f>
        <v>3.1499436930846475E-2</v>
      </c>
    </row>
    <row r="73" spans="1:13">
      <c r="A73">
        <v>2040</v>
      </c>
      <c r="B73" t="s">
        <v>8</v>
      </c>
      <c r="C73" t="s">
        <v>18</v>
      </c>
      <c r="D73" s="143">
        <f>$P$2*INDEX(BAU_Fuel_cons!$E$14:$AS$14,1,MATCH($A32,BAU_Fuel_cons!$E$1:$AS$1,0))</f>
        <v>0.1704860474531793</v>
      </c>
      <c r="G73" s="143"/>
      <c r="L73" s="143">
        <f t="shared" si="2"/>
        <v>0.1704860474531793</v>
      </c>
      <c r="M73" s="21">
        <f>L73/(INDEX(BAU_Fuel_cons!$E$3:$AS$3,1,MATCH($A73,BAU_Fuel_cons!$E$1:$AS$1,0)))</f>
        <v>3.1808819543878125E-2</v>
      </c>
    </row>
    <row r="74" spans="1:13">
      <c r="A74">
        <v>2041</v>
      </c>
      <c r="B74" t="s">
        <v>8</v>
      </c>
      <c r="C74" t="s">
        <v>18</v>
      </c>
      <c r="D74" s="143">
        <f>$P$2*INDEX(BAU_Fuel_cons!$E$14:$AS$14,1,MATCH($A33,BAU_Fuel_cons!$E$1:$AS$1,0))</f>
        <v>0.18006493871596521</v>
      </c>
      <c r="G74" s="143"/>
      <c r="L74" s="143">
        <f t="shared" si="2"/>
        <v>0.18006493871596521</v>
      </c>
      <c r="M74" s="21">
        <f>L74/(INDEX(BAU_Fuel_cons!$E$3:$AS$3,1,MATCH($A74,BAU_Fuel_cons!$E$1:$AS$1,0)))</f>
        <v>3.2087243943045192E-2</v>
      </c>
    </row>
    <row r="75" spans="1:13">
      <c r="A75">
        <v>2042</v>
      </c>
      <c r="B75" t="s">
        <v>8</v>
      </c>
      <c r="C75" t="s">
        <v>18</v>
      </c>
      <c r="D75" s="143">
        <f>$P$2*INDEX(BAU_Fuel_cons!$E$14:$AS$14,1,MATCH($A34,BAU_Fuel_cons!$E$1:$AS$1,0))</f>
        <v>0.18979738118817654</v>
      </c>
      <c r="G75" s="143"/>
      <c r="L75" s="143">
        <f t="shared" si="2"/>
        <v>0.18979738118817654</v>
      </c>
      <c r="M75" s="21">
        <f>L75/(INDEX(BAU_Fuel_cons!$E$3:$AS$3,1,MATCH($A75,BAU_Fuel_cons!$E$1:$AS$1,0)))</f>
        <v>3.2336751828325523E-2</v>
      </c>
    </row>
    <row r="76" spans="1:13">
      <c r="A76">
        <v>2043</v>
      </c>
      <c r="B76" t="s">
        <v>8</v>
      </c>
      <c r="C76" t="s">
        <v>18</v>
      </c>
      <c r="D76" s="143">
        <f>$P$2*INDEX(BAU_Fuel_cons!$E$14:$AS$14,1,MATCH($A35,BAU_Fuel_cons!$E$1:$AS$1,0))</f>
        <v>0.19967281956361624</v>
      </c>
      <c r="G76" s="143"/>
      <c r="L76" s="143">
        <f t="shared" si="2"/>
        <v>0.19967281956361624</v>
      </c>
      <c r="M76" s="21">
        <f>L76/(INDEX(BAU_Fuel_cons!$E$3:$AS$3,1,MATCH($A76,BAU_Fuel_cons!$E$1:$AS$1,0)))</f>
        <v>3.2559078365188447E-2</v>
      </c>
    </row>
    <row r="77" spans="1:13">
      <c r="A77">
        <v>2044</v>
      </c>
      <c r="B77" t="s">
        <v>8</v>
      </c>
      <c r="C77" t="s">
        <v>18</v>
      </c>
      <c r="D77" s="143">
        <f>$P$2*INDEX(BAU_Fuel_cons!$E$14:$AS$14,1,MATCH($A36,BAU_Fuel_cons!$E$1:$AS$1,0))</f>
        <v>0.20967971384902026</v>
      </c>
      <c r="G77" s="143"/>
      <c r="L77" s="143">
        <f t="shared" si="2"/>
        <v>0.20967971384902026</v>
      </c>
      <c r="M77" s="21">
        <f>L77/(INDEX(BAU_Fuel_cons!$E$3:$AS$3,1,MATCH($A77,BAU_Fuel_cons!$E$1:$AS$1,0)))</f>
        <v>3.2755752166233859E-2</v>
      </c>
    </row>
    <row r="78" spans="1:13">
      <c r="A78">
        <v>2045</v>
      </c>
      <c r="B78" t="s">
        <v>8</v>
      </c>
      <c r="C78" t="s">
        <v>18</v>
      </c>
      <c r="D78" s="143">
        <f>$P$2*INDEX(BAU_Fuel_cons!$E$14:$AS$14,1,MATCH($A37,BAU_Fuel_cons!$E$1:$AS$1,0))</f>
        <v>0.21980649390497828</v>
      </c>
      <c r="G78" s="143"/>
      <c r="L78" s="143">
        <f t="shared" si="2"/>
        <v>0.21980649390497828</v>
      </c>
      <c r="M78" s="21">
        <f>L78/(INDEX(BAU_Fuel_cons!$E$3:$AS$3,1,MATCH($A78,BAU_Fuel_cons!$E$1:$AS$1,0)))</f>
        <v>3.2928225475218675E-2</v>
      </c>
    </row>
    <row r="79" spans="1:13">
      <c r="A79">
        <v>2046</v>
      </c>
      <c r="B79" t="s">
        <v>8</v>
      </c>
      <c r="C79" t="s">
        <v>18</v>
      </c>
      <c r="D79" s="143">
        <f>$P$2*INDEX(BAU_Fuel_cons!$E$14:$AS$14,1,MATCH($A38,BAU_Fuel_cons!$E$1:$AS$1,0))</f>
        <v>0.23004117588634793</v>
      </c>
      <c r="G79" s="143"/>
      <c r="L79" s="143">
        <f t="shared" si="2"/>
        <v>0.23004117588634793</v>
      </c>
      <c r="M79" s="21">
        <f>L79/(INDEX(BAU_Fuel_cons!$E$3:$AS$3,1,MATCH($A79,BAU_Fuel_cons!$E$1:$AS$1,0)))</f>
        <v>3.3077848018941411E-2</v>
      </c>
    </row>
    <row r="80" spans="1:13">
      <c r="A80">
        <v>2047</v>
      </c>
      <c r="B80" t="s">
        <v>8</v>
      </c>
      <c r="C80" t="s">
        <v>18</v>
      </c>
      <c r="D80" s="143">
        <f>$P$2*INDEX(BAU_Fuel_cons!$E$14:$AS$14,1,MATCH($A39,BAU_Fuel_cons!$E$1:$AS$1,0))</f>
        <v>0.2403721500405564</v>
      </c>
      <c r="G80" s="143"/>
      <c r="L80" s="143">
        <f t="shared" si="2"/>
        <v>0.2403721500405564</v>
      </c>
      <c r="M80" s="21">
        <f>L80/(INDEX(BAU_Fuel_cons!$E$3:$AS$3,1,MATCH($A80,BAU_Fuel_cons!$E$1:$AS$1,0)))</f>
        <v>3.3205951662774971E-2</v>
      </c>
    </row>
    <row r="81" spans="1:13">
      <c r="A81">
        <v>2048</v>
      </c>
      <c r="B81" t="s">
        <v>8</v>
      </c>
      <c r="C81" t="s">
        <v>18</v>
      </c>
      <c r="D81" s="143">
        <f>$P$2*INDEX(BAU_Fuel_cons!$E$14:$AS$14,1,MATCH($A40,BAU_Fuel_cons!$E$1:$AS$1,0))</f>
        <v>0.25078810000806578</v>
      </c>
      <c r="G81" s="143"/>
      <c r="L81" s="143">
        <f t="shared" si="2"/>
        <v>0.25078810000806578</v>
      </c>
      <c r="M81" s="21">
        <f>L81/(INDEX(BAU_Fuel_cons!$E$3:$AS$3,1,MATCH($A81,BAU_Fuel_cons!$E$1:$AS$1,0)))</f>
        <v>3.3313802833730637E-2</v>
      </c>
    </row>
    <row r="82" spans="1:13">
      <c r="A82">
        <v>2049</v>
      </c>
      <c r="B82" t="s">
        <v>8</v>
      </c>
      <c r="C82" t="s">
        <v>18</v>
      </c>
      <c r="D82" s="143">
        <f>$P$2*INDEX(BAU_Fuel_cons!$E$14:$AS$14,1,MATCH($A41,BAU_Fuel_cons!$E$1:$AS$1,0))</f>
        <v>0.2612778880934804</v>
      </c>
      <c r="G82" s="143"/>
      <c r="L82" s="143">
        <f t="shared" si="2"/>
        <v>0.2612778880934804</v>
      </c>
      <c r="M82" s="21">
        <f>L82/(INDEX(BAU_Fuel_cons!$E$3:$AS$3,1,MATCH($A82,BAU_Fuel_cons!$E$1:$AS$1,0)))</f>
        <v>3.3402627281189749E-2</v>
      </c>
    </row>
    <row r="83" spans="1:13">
      <c r="A83">
        <v>2050</v>
      </c>
      <c r="B83" t="s">
        <v>8</v>
      </c>
      <c r="C83" t="s">
        <v>18</v>
      </c>
      <c r="D83" s="143">
        <f>$P$2*INDEX(BAU_Fuel_cons!$E$14:$AS$14,1,MATCH($A42,BAU_Fuel_cons!$E$1:$AS$1,0))</f>
        <v>0.27182965083308569</v>
      </c>
      <c r="G83" s="143"/>
      <c r="L83" s="143">
        <f t="shared" si="2"/>
        <v>0.27182965083308569</v>
      </c>
      <c r="M83" s="21">
        <f>L83/(INDEX(BAU_Fuel_cons!$E$3:$AS$3,1,MATCH($A83,BAU_Fuel_cons!$E$1:$AS$1,0)))</f>
        <v>3.3473512551566151E-2</v>
      </c>
    </row>
    <row r="84" spans="1:13">
      <c r="A84">
        <v>2010</v>
      </c>
      <c r="B84" t="s">
        <v>36</v>
      </c>
      <c r="C84" t="s">
        <v>19</v>
      </c>
      <c r="D84" s="143">
        <f>$P$3*(INDEX(BAU_Fuel_cons!$E$24:$AS$24,1,MATCH($A2,BAU_Fuel_cons!$E$1:$AS$1,0)))</f>
        <v>6.4958704391990862E-2</v>
      </c>
      <c r="G84">
        <f>$P$5*INDEX(Population!$C$2:$C$42,MATCH($A2,Population!$A$2:$A$42,0))/Population!$C$90</f>
        <v>3.7386685749917464E-2</v>
      </c>
      <c r="H84" s="143">
        <f>10^-6*$P$6*INDEX(Population!$C$2:$C$42,MATCH($A2,Population!$A$2:$A$42,0))</f>
        <v>4.1207555699999995E-2</v>
      </c>
      <c r="J84" s="143">
        <f>$P$8*(INDEX(BAU_Fuel_cons!$E$24:$AS$24,1,MATCH($A2,BAU_Fuel_cons!$E$1:$AS$1,0)))</f>
        <v>5.9053367629082601E-2</v>
      </c>
      <c r="L84" s="143">
        <f t="shared" si="2"/>
        <v>0.2026063134709909</v>
      </c>
      <c r="M84" s="21">
        <f>L84/(INDEX(BAU_Fuel_cons!$E$3:$AS$3,1,MATCH($A84,BAU_Fuel_cons!$E$1:$AS$1,0)))</f>
        <v>0.31306519851010367</v>
      </c>
    </row>
    <row r="85" spans="1:13">
      <c r="A85">
        <v>2011</v>
      </c>
      <c r="B85" t="s">
        <v>36</v>
      </c>
      <c r="C85" t="s">
        <v>19</v>
      </c>
      <c r="D85" s="143">
        <f>$P$3*(INDEX(BAU_Fuel_cons!$E$24:$AS$24,1,MATCH($A3,BAU_Fuel_cons!$E$1:$AS$1,0)))</f>
        <v>6.6080834337545247E-2</v>
      </c>
      <c r="G85">
        <f>$P$5*INDEX(Population!$C$2:$C$42,MATCH($A3,Population!$A$2:$A$42,0))/Population!$C$90</f>
        <v>3.9206382902139673E-2</v>
      </c>
      <c r="H85" s="143">
        <f>10^-6*$P$6*INDEX(Population!$C$2:$C$42,MATCH($A3,Population!$A$2:$A$42,0))</f>
        <v>4.3213223499999995E-2</v>
      </c>
      <c r="J85" s="143">
        <f>$P$8*(INDEX(BAU_Fuel_cons!$E$24:$AS$24,1,MATCH($A3,BAU_Fuel_cons!$E$1:$AS$1,0)))</f>
        <v>6.0073485761404768E-2</v>
      </c>
      <c r="L85" s="143">
        <f t="shared" si="2"/>
        <v>0.20857392650108969</v>
      </c>
      <c r="M85" s="21">
        <f>L85/(INDEX(BAU_Fuel_cons!$E$3:$AS$3,1,MATCH($A85,BAU_Fuel_cons!$E$1:$AS$1,0)))</f>
        <v>0.28950191883300452</v>
      </c>
    </row>
    <row r="86" spans="1:13">
      <c r="A86">
        <v>2012</v>
      </c>
      <c r="B86" t="s">
        <v>36</v>
      </c>
      <c r="C86" t="s">
        <v>19</v>
      </c>
      <c r="D86" s="143">
        <f>$P$3*(INDEX(BAU_Fuel_cons!$E$24:$AS$24,1,MATCH($A4,BAU_Fuel_cons!$E$1:$AS$1,0)))</f>
        <v>6.7123159543189814E-2</v>
      </c>
      <c r="G86">
        <f>$P$5*INDEX(Population!$C$2:$C$42,MATCH($A4,Population!$A$2:$A$42,0))/Population!$C$90</f>
        <v>4.1093129218283724E-2</v>
      </c>
      <c r="H86" s="143">
        <f>10^-6*$P$6*INDEX(Population!$C$2:$C$42,MATCH($A4,Population!$A$2:$A$42,0))</f>
        <v>4.5292792799999995E-2</v>
      </c>
      <c r="J86" s="143">
        <f>$P$8*(INDEX(BAU_Fuel_cons!$E$24:$AS$24,1,MATCH($A4,BAU_Fuel_cons!$E$1:$AS$1,0)))</f>
        <v>6.1021054130172558E-2</v>
      </c>
      <c r="L86" s="143">
        <f t="shared" si="2"/>
        <v>0.21453013569164608</v>
      </c>
      <c r="M86" s="21">
        <f>L86/(INDEX(BAU_Fuel_cons!$E$3:$AS$3,1,MATCH($A86,BAU_Fuel_cons!$E$1:$AS$1,0)))</f>
        <v>0.2688742695797422</v>
      </c>
    </row>
    <row r="87" spans="1:13">
      <c r="A87">
        <v>2013</v>
      </c>
      <c r="B87" t="s">
        <v>36</v>
      </c>
      <c r="C87" t="s">
        <v>19</v>
      </c>
      <c r="D87" s="143">
        <f>$P$3*(INDEX(BAU_Fuel_cons!$E$24:$AS$24,1,MATCH($A5,BAU_Fuel_cons!$E$1:$AS$1,0)))</f>
        <v>6.8081920261717915E-2</v>
      </c>
      <c r="G87">
        <f>$P$5*INDEX(Population!$C$2:$C$42,MATCH($A5,Population!$A$2:$A$42,0))/Population!$C$90</f>
        <v>4.3051164042927748E-2</v>
      </c>
      <c r="H87" s="143">
        <f>10^-6*$P$6*INDEX(Population!$C$2:$C$42,MATCH($A5,Population!$A$2:$A$42,0))</f>
        <v>4.7450936199999995E-2</v>
      </c>
      <c r="J87" s="143">
        <f>$P$8*(INDEX(BAU_Fuel_cons!$E$24:$AS$24,1,MATCH($A5,BAU_Fuel_cons!$E$1:$AS$1,0)))</f>
        <v>6.1892654783379922E-2</v>
      </c>
      <c r="L87" s="143">
        <f t="shared" si="2"/>
        <v>0.22047667528802556</v>
      </c>
      <c r="M87" s="21">
        <f>L87/(INDEX(BAU_Fuel_cons!$E$3:$AS$3,1,MATCH($A87,BAU_Fuel_cons!$E$1:$AS$1,0)))</f>
        <v>0.250646530694009</v>
      </c>
    </row>
    <row r="88" spans="1:13">
      <c r="A88">
        <v>2014</v>
      </c>
      <c r="B88" t="s">
        <v>36</v>
      </c>
      <c r="C88" t="s">
        <v>19</v>
      </c>
      <c r="D88" s="143">
        <f>$P$3*(INDEX(BAU_Fuel_cons!$E$24:$AS$24,1,MATCH($A6,BAU_Fuel_cons!$E$1:$AS$1,0)))</f>
        <v>6.8954192853577678E-2</v>
      </c>
      <c r="G88">
        <f>$P$5*INDEX(Population!$C$2:$C$42,MATCH($A6,Population!$A$2:$A$42,0))/Population!$C$90</f>
        <v>4.5085850202307008E-2</v>
      </c>
      <c r="H88" s="143">
        <f>10^-6*$P$6*INDEX(Population!$C$2:$C$42,MATCH($A6,Population!$A$2:$A$42,0))</f>
        <v>4.969356459999999E-2</v>
      </c>
      <c r="J88" s="143">
        <f>$P$8*(INDEX(BAU_Fuel_cons!$E$24:$AS$24,1,MATCH($A6,BAU_Fuel_cons!$E$1:$AS$1,0)))</f>
        <v>6.268562986688879E-2</v>
      </c>
      <c r="L88" s="143">
        <f t="shared" si="2"/>
        <v>0.22641923752277349</v>
      </c>
      <c r="M88" s="21">
        <f>L88/(INDEX(BAU_Fuel_cons!$E$3:$AS$3,1,MATCH($A88,BAU_Fuel_cons!$E$1:$AS$1,0)))</f>
        <v>0.23440540332980148</v>
      </c>
    </row>
    <row r="89" spans="1:13">
      <c r="A89">
        <v>2015</v>
      </c>
      <c r="B89" t="s">
        <v>36</v>
      </c>
      <c r="C89" t="s">
        <v>19</v>
      </c>
      <c r="D89" s="143">
        <f>$P$3*(INDEX(BAU_Fuel_cons!$E$24:$AS$24,1,MATCH($A7,BAU_Fuel_cons!$E$1:$AS$1,0)))</f>
        <v>6.9734662241932074E-2</v>
      </c>
      <c r="G89">
        <f>$P$5*INDEX(Population!$C$2:$C$42,MATCH($A7,Population!$A$2:$A$42,0))/Population!$C$90</f>
        <v>4.720168715744244E-2</v>
      </c>
      <c r="H89" s="143">
        <f>10^-6*$P$6*INDEX(Population!$C$2:$C$42,MATCH($A7,Population!$A$2:$A$42,0))</f>
        <v>5.202563729999999E-2</v>
      </c>
      <c r="J89" s="143">
        <f>$P$8*(INDEX(BAU_Fuel_cons!$E$24:$AS$24,1,MATCH($A7,BAU_Fuel_cons!$E$1:$AS$1,0)))</f>
        <v>6.3395147492665532E-2</v>
      </c>
      <c r="L89" s="143">
        <f t="shared" si="2"/>
        <v>0.23235713419204004</v>
      </c>
      <c r="M89" s="21">
        <f>L89/(INDEX(BAU_Fuel_cons!$E$3:$AS$3,1,MATCH($A89,BAU_Fuel_cons!$E$1:$AS$1,0)))</f>
        <v>0.21982720170981301</v>
      </c>
    </row>
    <row r="90" spans="1:13">
      <c r="A90">
        <v>2016</v>
      </c>
      <c r="B90" t="s">
        <v>36</v>
      </c>
      <c r="C90" t="s">
        <v>19</v>
      </c>
      <c r="D90" s="143">
        <f>$P$3*(INDEX(BAU_Fuel_cons!$E$24:$AS$24,1,MATCH($A8,BAU_Fuel_cons!$E$1:$AS$1,0)))</f>
        <v>7.0414473884210668E-2</v>
      </c>
      <c r="G90">
        <f>$P$5*INDEX(Population!$C$2:$C$42,MATCH($A8,Population!$A$2:$A$42,0))/Population!$C$90</f>
        <v>4.9401348019863067E-2</v>
      </c>
      <c r="H90" s="143">
        <f>10^-6*$P$6*INDEX(Population!$C$2:$C$42,MATCH($A8,Population!$A$2:$A$42,0))</f>
        <v>5.4450100599999988E-2</v>
      </c>
      <c r="J90" s="143">
        <f>$P$8*(INDEX(BAU_Fuel_cons!$E$24:$AS$24,1,MATCH($A8,BAU_Fuel_cons!$E$1:$AS$1,0)))</f>
        <v>6.4013158076555152E-2</v>
      </c>
      <c r="L90" s="143">
        <f t="shared" si="2"/>
        <v>0.23827908058062885</v>
      </c>
      <c r="M90" s="21">
        <f>L90/(INDEX(BAU_Fuel_cons!$E$3:$AS$3,1,MATCH($A90,BAU_Fuel_cons!$E$1:$AS$1,0)))</f>
        <v>0.20665558233522982</v>
      </c>
    </row>
    <row r="91" spans="1:13">
      <c r="A91">
        <v>2017</v>
      </c>
      <c r="B91" t="s">
        <v>36</v>
      </c>
      <c r="C91" t="s">
        <v>19</v>
      </c>
      <c r="D91" s="143">
        <f>$P$3*(INDEX(BAU_Fuel_cons!$E$24:$AS$24,1,MATCH($A9,BAU_Fuel_cons!$E$1:$AS$1,0)))</f>
        <v>7.0981914031629331E-2</v>
      </c>
      <c r="G91">
        <f>$P$5*INDEX(Population!$C$2:$C$42,MATCH($A9,Population!$A$2:$A$42,0))/Population!$C$90</f>
        <v>5.1685828980200826E-2</v>
      </c>
      <c r="H91" s="143">
        <f>10^-6*$P$6*INDEX(Population!$C$2:$C$42,MATCH($A9,Population!$A$2:$A$42,0))</f>
        <v>5.6968052499999991E-2</v>
      </c>
      <c r="J91" s="143">
        <f>$P$8*(INDEX(BAU_Fuel_cons!$E$24:$AS$24,1,MATCH($A9,BAU_Fuel_cons!$E$1:$AS$1,0)))</f>
        <v>6.4529012756026669E-2</v>
      </c>
      <c r="L91" s="143">
        <f t="shared" si="2"/>
        <v>0.2441648082678568</v>
      </c>
      <c r="M91" s="21">
        <f>L91/(INDEX(BAU_Fuel_cons!$E$3:$AS$3,1,MATCH($A91,BAU_Fuel_cons!$E$1:$AS$1,0)))</f>
        <v>0.19468480850610168</v>
      </c>
    </row>
    <row r="92" spans="1:13">
      <c r="A92">
        <v>2018</v>
      </c>
      <c r="B92" t="s">
        <v>36</v>
      </c>
      <c r="C92" t="s">
        <v>19</v>
      </c>
      <c r="D92" s="143">
        <f>$P$3*(INDEX(BAU_Fuel_cons!$E$24:$AS$24,1,MATCH($A10,BAU_Fuel_cons!$E$1:$AS$1,0)))</f>
        <v>7.1424878826808605E-2</v>
      </c>
      <c r="G92">
        <f>$P$5*INDEX(Population!$C$2:$C$42,MATCH($A10,Population!$A$2:$A$42,0))/Population!$C$90</f>
        <v>5.4055987869277657E-2</v>
      </c>
      <c r="H92" s="143">
        <f>10^-6*$P$6*INDEX(Population!$C$2:$C$42,MATCH($A10,Population!$A$2:$A$42,0))</f>
        <v>5.9580438499999992E-2</v>
      </c>
      <c r="J92" s="143">
        <f>$P$8*(INDEX(BAU_Fuel_cons!$E$24:$AS$24,1,MATCH($A10,BAU_Fuel_cons!$E$1:$AS$1,0)))</f>
        <v>6.4931708024371468E-2</v>
      </c>
      <c r="L92" s="143">
        <f t="shared" si="2"/>
        <v>0.24999301322045775</v>
      </c>
      <c r="M92" s="21">
        <f>L92/(INDEX(BAU_Fuel_cons!$E$3:$AS$3,1,MATCH($A92,BAU_Fuel_cons!$E$1:$AS$1,0)))</f>
        <v>0.18374724671884107</v>
      </c>
    </row>
    <row r="93" spans="1:13">
      <c r="A93">
        <v>2019</v>
      </c>
      <c r="B93" t="s">
        <v>36</v>
      </c>
      <c r="C93" t="s">
        <v>19</v>
      </c>
      <c r="D93" s="143">
        <f>$P$3*(INDEX(BAU_Fuel_cons!$E$24:$AS$24,1,MATCH($A11,BAU_Fuel_cons!$E$1:$AS$1,0)))</f>
        <v>7.1730018147569338E-2</v>
      </c>
      <c r="G93">
        <f>$P$5*INDEX(Population!$C$2:$C$42,MATCH($A11,Population!$A$2:$A$42,0))/Population!$C$90</f>
        <v>5.6511841290270773E-2</v>
      </c>
      <c r="H93" s="143">
        <f>10^-6*$P$6*INDEX(Population!$C$2:$C$42,MATCH($A11,Population!$A$2:$A$42,0))</f>
        <v>6.2287276899999994E-2</v>
      </c>
      <c r="J93" s="143">
        <f>$P$8*(INDEX(BAU_Fuel_cons!$E$24:$AS$24,1,MATCH($A11,BAU_Fuel_cons!$E$1:$AS$1,0)))</f>
        <v>6.5209107406881225E-2</v>
      </c>
      <c r="L93" s="143">
        <f t="shared" si="2"/>
        <v>0.25573824374472132</v>
      </c>
      <c r="M93" s="21">
        <f>L93/(INDEX(BAU_Fuel_cons!$E$3:$AS$3,1,MATCH($A93,BAU_Fuel_cons!$E$1:$AS$1,0)))</f>
        <v>0.17370508729665723</v>
      </c>
    </row>
    <row r="94" spans="1:13">
      <c r="A94">
        <v>2020</v>
      </c>
      <c r="B94" t="s">
        <v>36</v>
      </c>
      <c r="C94" t="s">
        <v>19</v>
      </c>
      <c r="D94" s="143">
        <f>$P$3*(INDEX(BAU_Fuel_cons!$E$24:$AS$24,1,MATCH($A12,BAU_Fuel_cons!$E$1:$AS$1,0)))</f>
        <v>7.1883924522037942E-2</v>
      </c>
      <c r="G94">
        <f>$P$5*INDEX(Population!$C$2:$C$42,MATCH($A12,Population!$A$2:$A$42,0))/Population!$C$90</f>
        <v>5.9053361571218169E-2</v>
      </c>
      <c r="H94" s="143">
        <f>10^-6*$P$6*INDEX(Population!$C$2:$C$42,MATCH($A12,Population!$A$2:$A$42,0))</f>
        <v>6.5088537199999991E-2</v>
      </c>
      <c r="J94" s="143">
        <f>$P$8*(INDEX(BAU_Fuel_cons!$E$24:$AS$24,1,MATCH($A12,BAU_Fuel_cons!$E$1:$AS$1,0)))</f>
        <v>6.5349022292761766E-2</v>
      </c>
      <c r="L94" s="143">
        <f t="shared" si="2"/>
        <v>0.26137484558601787</v>
      </c>
      <c r="M94" s="21">
        <f>L94/(INDEX(BAU_Fuel_cons!$E$3:$AS$3,1,MATCH($A94,BAU_Fuel_cons!$E$1:$AS$1,0)))</f>
        <v>0.16444361490416323</v>
      </c>
    </row>
    <row r="95" spans="1:13">
      <c r="A95">
        <v>2021</v>
      </c>
      <c r="B95" t="s">
        <v>36</v>
      </c>
      <c r="C95" t="s">
        <v>19</v>
      </c>
      <c r="D95" s="143">
        <f>$P$3*(INDEX(BAU_Fuel_cons!$E$24:$AS$24,1,MATCH($A13,BAU_Fuel_cons!$E$1:$AS$1,0)))</f>
        <v>7.1874047497583596E-2</v>
      </c>
      <c r="G95">
        <f>$P$5*INDEX(Population!$C$2:$C$42,MATCH($A13,Population!$A$2:$A$42,0))/Population!$C$90</f>
        <v>6.1681251579954605E-2</v>
      </c>
      <c r="H95" s="143">
        <f>10^-6*$P$6*INDEX(Population!$C$2:$C$42,MATCH($A13,Population!$A$2:$A$42,0))</f>
        <v>6.7984994099999987E-2</v>
      </c>
      <c r="J95" s="143">
        <f>$P$8*(INDEX(BAU_Fuel_cons!$E$24:$AS$24,1,MATCH($A13,BAU_Fuel_cons!$E$1:$AS$1,0)))</f>
        <v>6.5340043179621457E-2</v>
      </c>
      <c r="L95" s="143">
        <f t="shared" si="2"/>
        <v>0.26688033635715963</v>
      </c>
      <c r="M95" s="21">
        <f>L95/(INDEX(BAU_Fuel_cons!$E$3:$AS$3,1,MATCH($A95,BAU_Fuel_cons!$E$1:$AS$1,0)))</f>
        <v>0.15586723651031917</v>
      </c>
    </row>
    <row r="96" spans="1:13">
      <c r="A96">
        <v>2022</v>
      </c>
      <c r="B96" t="s">
        <v>36</v>
      </c>
      <c r="C96" t="s">
        <v>19</v>
      </c>
      <c r="D96" s="143">
        <f>$P$3*(INDEX(BAU_Fuel_cons!$E$24:$AS$24,1,MATCH($A14,BAU_Fuel_cons!$E$1:$AS$1,0)))</f>
        <v>7.1687604110972858E-2</v>
      </c>
      <c r="G96">
        <f>$P$5*INDEX(Population!$C$2:$C$42,MATCH($A14,Population!$A$2:$A$42,0))/Population!$C$90</f>
        <v>6.4396136702821252E-2</v>
      </c>
      <c r="H96" s="143">
        <f>10^-6*$P$6*INDEX(Population!$C$2:$C$42,MATCH($A14,Population!$A$2:$A$42,0))</f>
        <v>7.0977336899999993E-2</v>
      </c>
      <c r="J96" s="143">
        <f>$P$8*(INDEX(BAU_Fuel_cons!$E$24:$AS$24,1,MATCH($A14,BAU_Fuel_cons!$E$1:$AS$1,0)))</f>
        <v>6.5170549191793506E-2</v>
      </c>
      <c r="L96" s="143">
        <f t="shared" si="2"/>
        <v>0.27223162690558761</v>
      </c>
      <c r="M96" s="21">
        <f>L96/(INDEX(BAU_Fuel_cons!$E$3:$AS$3,1,MATCH($A96,BAU_Fuel_cons!$E$1:$AS$1,0)))</f>
        <v>0.14789434669448412</v>
      </c>
    </row>
    <row r="97" spans="1:13">
      <c r="A97">
        <v>2023</v>
      </c>
      <c r="B97" t="s">
        <v>36</v>
      </c>
      <c r="C97" t="s">
        <v>19</v>
      </c>
      <c r="D97" s="143">
        <f>$P$3*(INDEX(BAU_Fuel_cons!$E$24:$AS$24,1,MATCH($A15,BAU_Fuel_cons!$E$1:$AS$1,0)))</f>
        <v>7.1310318697909353E-2</v>
      </c>
      <c r="G97">
        <f>$P$5*INDEX(Population!$C$2:$C$42,MATCH($A15,Population!$A$2:$A$42,0))/Population!$C$90</f>
        <v>6.719735834712251E-2</v>
      </c>
      <c r="H97" s="143">
        <f>10^-6*$P$6*INDEX(Population!$C$2:$C$42,MATCH($A15,Population!$A$2:$A$42,0))</f>
        <v>7.4064839699999996E-2</v>
      </c>
      <c r="J97" s="143">
        <f>$P$8*(INDEX(BAU_Fuel_cons!$E$24:$AS$24,1,MATCH($A15,BAU_Fuel_cons!$E$1:$AS$1,0)))</f>
        <v>6.4827562452644857E-2</v>
      </c>
      <c r="L97" s="143">
        <f t="shared" si="2"/>
        <v>0.27740007919767673</v>
      </c>
      <c r="M97" s="21">
        <f>L97/(INDEX(BAU_Fuel_cons!$E$3:$AS$3,1,MATCH($A97,BAU_Fuel_cons!$E$1:$AS$1,0)))</f>
        <v>0.14045424528537642</v>
      </c>
    </row>
    <row r="98" spans="1:13">
      <c r="A98">
        <v>2024</v>
      </c>
      <c r="B98" t="s">
        <v>36</v>
      </c>
      <c r="C98" t="s">
        <v>19</v>
      </c>
      <c r="D98" s="143">
        <f>$P$3*(INDEX(BAU_Fuel_cons!$E$24:$AS$24,1,MATCH($A16,BAU_Fuel_cons!$E$1:$AS$1,0)))</f>
        <v>7.07274550173701E-2</v>
      </c>
      <c r="G98">
        <f>$P$5*INDEX(Population!$C$2:$C$42,MATCH($A16,Population!$A$2:$A$42,0))/Population!$C$90</f>
        <v>7.0083665740176104E-2</v>
      </c>
      <c r="H98" s="143">
        <f>10^-6*$P$6*INDEX(Population!$C$2:$C$42,MATCH($A16,Population!$A$2:$A$42,0))</f>
        <v>7.7246123899999991E-2</v>
      </c>
      <c r="J98" s="143">
        <f>$P$8*(INDEX(BAU_Fuel_cons!$E$24:$AS$24,1,MATCH($A16,BAU_Fuel_cons!$E$1:$AS$1,0)))</f>
        <v>6.4297686379427371E-2</v>
      </c>
      <c r="L98" s="143">
        <f t="shared" si="2"/>
        <v>0.28235493103697357</v>
      </c>
      <c r="M98" s="21">
        <f>L98/(INDEX(BAU_Fuel_cons!$E$3:$AS$3,1,MATCH($A98,BAU_Fuel_cons!$E$1:$AS$1,0)))</f>
        <v>0.13348596918440478</v>
      </c>
    </row>
    <row r="99" spans="1:13">
      <c r="A99">
        <v>2025</v>
      </c>
      <c r="B99" t="s">
        <v>36</v>
      </c>
      <c r="C99" t="s">
        <v>19</v>
      </c>
      <c r="D99" s="143">
        <f>$P$3*(INDEX(BAU_Fuel_cons!$E$24:$AS$24,1,MATCH($A17,BAU_Fuel_cons!$E$1:$AS$1,0)))</f>
        <v>7.0889201384941647E-2</v>
      </c>
      <c r="G99">
        <f>$P$5*INDEX(Population!$C$2:$C$42,MATCH($A17,Population!$A$2:$A$42,0))/Population!$C$90</f>
        <v>7.3053697421451694E-2</v>
      </c>
      <c r="H99" s="143">
        <f>10^-6*$P$6*INDEX(Population!$C$2:$C$42,MATCH($A17,Population!$A$2:$A$42,0))</f>
        <v>8.0519688899999997E-2</v>
      </c>
      <c r="J99" s="143">
        <f>$P$8*(INDEX(BAU_Fuel_cons!$E$24:$AS$24,1,MATCH($A17,BAU_Fuel_cons!$E$1:$AS$1,0)))</f>
        <v>6.4444728531765125E-2</v>
      </c>
      <c r="L99" s="143">
        <f t="shared" si="2"/>
        <v>0.28890731623815846</v>
      </c>
      <c r="M99" s="21">
        <f>L99/(INDEX(BAU_Fuel_cons!$E$3:$AS$3,1,MATCH($A99,BAU_Fuel_cons!$E$1:$AS$1,0)))</f>
        <v>0.12704651398320208</v>
      </c>
    </row>
    <row r="100" spans="1:13">
      <c r="A100">
        <v>2026</v>
      </c>
      <c r="B100" t="s">
        <v>36</v>
      </c>
      <c r="C100" t="s">
        <v>19</v>
      </c>
      <c r="D100" s="143">
        <f>$P$3*(INDEX(BAU_Fuel_cons!$E$24:$AS$24,1,MATCH($A18,BAU_Fuel_cons!$E$1:$AS$1,0)))</f>
        <v>7.089770361082634E-2</v>
      </c>
      <c r="G100">
        <f>$P$5*INDEX(Population!$C$2:$C$42,MATCH($A18,Population!$A$2:$A$42,0))/Population!$C$90</f>
        <v>7.6106728385544928E-2</v>
      </c>
      <c r="H100" s="143">
        <f>10^-6*$P$6*INDEX(Population!$C$2:$C$42,MATCH($A18,Population!$A$2:$A$42,0))</f>
        <v>8.3884735599999982E-2</v>
      </c>
      <c r="J100" s="143">
        <f>$P$8*(INDEX(BAU_Fuel_cons!$E$24:$AS$24,1,MATCH($A18,BAU_Fuel_cons!$E$1:$AS$1,0)))</f>
        <v>6.4452457828023946E-2</v>
      </c>
      <c r="L100" s="143">
        <f t="shared" si="2"/>
        <v>0.29534162542439518</v>
      </c>
      <c r="M100" s="21">
        <f>L100/(INDEX(BAU_Fuel_cons!$E$3:$AS$3,1,MATCH($A100,BAU_Fuel_cons!$E$1:$AS$1,0)))</f>
        <v>0.12109542108283973</v>
      </c>
    </row>
    <row r="101" spans="1:13">
      <c r="A101">
        <v>2027</v>
      </c>
      <c r="B101" t="s">
        <v>36</v>
      </c>
      <c r="C101" t="s">
        <v>19</v>
      </c>
      <c r="D101" s="143">
        <f>$P$3*(INDEX(BAU_Fuel_cons!$E$24:$AS$24,1,MATCH($A19,BAU_Fuel_cons!$E$1:$AS$1,0)))</f>
        <v>7.0742284021514876E-2</v>
      </c>
      <c r="G101">
        <f>$P$5*INDEX(Population!$C$2:$C$42,MATCH($A19,Population!$A$2:$A$42,0))/Population!$C$90</f>
        <v>7.9241624082013878E-2</v>
      </c>
      <c r="H101" s="143">
        <f>10^-6*$P$6*INDEX(Population!$C$2:$C$42,MATCH($A19,Population!$A$2:$A$42,0))</f>
        <v>8.7340013499999994E-2</v>
      </c>
      <c r="J101" s="143">
        <f>$P$8*(INDEX(BAU_Fuel_cons!$E$24:$AS$24,1,MATCH($A19,BAU_Fuel_cons!$E$1:$AS$1,0)))</f>
        <v>6.4311167292286253E-2</v>
      </c>
      <c r="L101" s="143">
        <f t="shared" si="2"/>
        <v>0.30163508889581497</v>
      </c>
      <c r="M101" s="21">
        <f>L101/(INDEX(BAU_Fuel_cons!$E$3:$AS$3,1,MATCH($A101,BAU_Fuel_cons!$E$1:$AS$1,0)))</f>
        <v>0.11557297929288186</v>
      </c>
    </row>
    <row r="102" spans="1:13">
      <c r="A102">
        <v>2028</v>
      </c>
      <c r="B102" t="s">
        <v>36</v>
      </c>
      <c r="C102" t="s">
        <v>19</v>
      </c>
      <c r="D102" s="143">
        <f>$P$3*(INDEX(BAU_Fuel_cons!$E$24:$AS$24,1,MATCH($A20,BAU_Fuel_cons!$E$1:$AS$1,0)))</f>
        <v>7.0411519529924596E-2</v>
      </c>
      <c r="G102">
        <f>$P$5*INDEX(Population!$C$2:$C$42,MATCH($A20,Population!$A$2:$A$42,0))/Population!$C$90</f>
        <v>8.2456170753898689E-2</v>
      </c>
      <c r="H102" s="143">
        <f>10^-6*$P$6*INDEX(Population!$C$2:$C$42,MATCH($A20,Population!$A$2:$A$42,0))</f>
        <v>9.0883082599999984E-2</v>
      </c>
      <c r="J102" s="143">
        <f>$P$8*(INDEX(BAU_Fuel_cons!$E$24:$AS$24,1,MATCH($A20,BAU_Fuel_cons!$E$1:$AS$1,0)))</f>
        <v>6.4010472299931453E-2</v>
      </c>
      <c r="L102" s="143">
        <f t="shared" si="2"/>
        <v>0.30776124518375475</v>
      </c>
      <c r="M102" s="21">
        <f>L102/(INDEX(BAU_Fuel_cons!$E$3:$AS$3,1,MATCH($A102,BAU_Fuel_cons!$E$1:$AS$1,0)))</f>
        <v>0.11042927759969431</v>
      </c>
    </row>
    <row r="103" spans="1:13">
      <c r="A103">
        <v>2029</v>
      </c>
      <c r="B103" t="s">
        <v>36</v>
      </c>
      <c r="C103" t="s">
        <v>19</v>
      </c>
      <c r="D103" s="143">
        <f>$P$3*(INDEX(BAU_Fuel_cons!$E$24:$AS$24,1,MATCH($A21,BAU_Fuel_cons!$E$1:$AS$1,0)))</f>
        <v>6.9893820995747383E-2</v>
      </c>
      <c r="G103">
        <f>$P$5*INDEX(Population!$C$2:$C$42,MATCH($A21,Population!$A$2:$A$42,0))/Population!$C$90</f>
        <v>8.5747529257898317E-2</v>
      </c>
      <c r="H103" s="143">
        <f>10^-6*$P$6*INDEX(Population!$C$2:$C$42,MATCH($A21,Population!$A$2:$A$42,0))</f>
        <v>9.4510813599999979E-2</v>
      </c>
      <c r="J103" s="143">
        <f>$P$8*(INDEX(BAU_Fuel_cons!$E$24:$AS$24,1,MATCH($A21,BAU_Fuel_cons!$E$1:$AS$1,0)))</f>
        <v>6.3539837268861254E-2</v>
      </c>
      <c r="L103" s="143">
        <f t="shared" si="2"/>
        <v>0.31369200112250695</v>
      </c>
      <c r="M103" s="21">
        <f>L103/(INDEX(BAU_Fuel_cons!$E$3:$AS$3,1,MATCH($A103,BAU_Fuel_cons!$E$1:$AS$1,0)))</f>
        <v>0.10562231241032764</v>
      </c>
    </row>
    <row r="104" spans="1:13">
      <c r="A104">
        <v>2030</v>
      </c>
      <c r="B104" t="s">
        <v>36</v>
      </c>
      <c r="C104" t="s">
        <v>19</v>
      </c>
      <c r="D104" s="143">
        <f>$P$3*(INDEX(BAU_Fuel_cons!$E$24:$AS$24,1,MATCH($A22,BAU_Fuel_cons!$E$1:$AS$1,0)))</f>
        <v>6.9178074452976093E-2</v>
      </c>
      <c r="G104">
        <f>$P$5*INDEX(Population!$C$2:$C$42,MATCH($A22,Population!$A$2:$A$42,0))/Population!$C$90</f>
        <v>8.9112904725850983E-2</v>
      </c>
      <c r="H104" s="143">
        <f>10^-6*$P$6*INDEX(Population!$C$2:$C$42,MATCH($A22,Population!$A$2:$A$42,0))</f>
        <v>9.8220125999999991E-2</v>
      </c>
      <c r="J104" s="143">
        <f>$P$8*(INDEX(BAU_Fuel_cons!$E$24:$AS$24,1,MATCH($A22,BAU_Fuel_cons!$E$1:$AS$1,0)))</f>
        <v>6.288915859361463E-2</v>
      </c>
      <c r="L104" s="143">
        <f t="shared" si="2"/>
        <v>0.31940026377244168</v>
      </c>
      <c r="M104" s="21">
        <f>L104/(INDEX(BAU_Fuel_cons!$E$3:$AS$3,1,MATCH($A104,BAU_Fuel_cons!$E$1:$AS$1,0)))</f>
        <v>0.1011159784999939</v>
      </c>
    </row>
    <row r="105" spans="1:13">
      <c r="A105">
        <v>2031</v>
      </c>
      <c r="B105" t="s">
        <v>36</v>
      </c>
      <c r="C105" t="s">
        <v>19</v>
      </c>
      <c r="D105" s="143">
        <f>$P$3*(INDEX(BAU_Fuel_cons!$E$24:$AS$24,1,MATCH($A23,BAU_Fuel_cons!$E$1:$AS$1,0)))</f>
        <v>6.8253620272695117E-2</v>
      </c>
      <c r="G105">
        <f>$P$5*INDEX(Population!$C$2:$C$42,MATCH($A23,Population!$A$2:$A$42,0))/Population!$C$90</f>
        <v>9.2549529961556784E-2</v>
      </c>
      <c r="H105" s="143">
        <f>10^-6*$P$6*INDEX(Population!$C$2:$C$42,MATCH($A23,Population!$A$2:$A$42,0))</f>
        <v>0.10200796979999997</v>
      </c>
      <c r="J105" s="143">
        <f>$P$8*(INDEX(BAU_Fuel_cons!$E$24:$AS$24,1,MATCH($A23,BAU_Fuel_cons!$E$1:$AS$1,0)))</f>
        <v>6.2048745702450107E-2</v>
      </c>
      <c r="L105" s="143">
        <f t="shared" si="2"/>
        <v>0.324859865736702</v>
      </c>
      <c r="M105" s="21">
        <f>L105/(INDEX(BAU_Fuel_cons!$E$3:$AS$3,1,MATCH($A105,BAU_Fuel_cons!$E$1:$AS$1,0)))</f>
        <v>9.6878478316463595E-2</v>
      </c>
    </row>
    <row r="106" spans="1:13">
      <c r="A106">
        <v>2032</v>
      </c>
      <c r="B106" t="s">
        <v>36</v>
      </c>
      <c r="C106" t="s">
        <v>19</v>
      </c>
      <c r="D106" s="143">
        <f>$P$3*(INDEX(BAU_Fuel_cons!$E$24:$AS$24,1,MATCH($A24,BAU_Fuel_cons!$E$1:$AS$1,0)))</f>
        <v>6.711024392596697E-2</v>
      </c>
      <c r="G106">
        <f>$P$5*INDEX(Population!$C$2:$C$42,MATCH($A24,Population!$A$2:$A$42,0))/Population!$C$90</f>
        <v>9.6054659906385564E-2</v>
      </c>
      <c r="H106" s="143">
        <f>10^-6*$P$6*INDEX(Population!$C$2:$C$42,MATCH($A24,Population!$A$2:$A$42,0))</f>
        <v>0.1058713194</v>
      </c>
      <c r="J106" s="143">
        <f>$P$8*(INDEX(BAU_Fuel_cons!$E$24:$AS$24,1,MATCH($A24,BAU_Fuel_cons!$E$1:$AS$1,0)))</f>
        <v>6.1009312659969978E-2</v>
      </c>
      <c r="L106" s="143">
        <f t="shared" si="2"/>
        <v>0.33004553589232255</v>
      </c>
      <c r="M106" s="21">
        <f>L106/(INDEX(BAU_Fuel_cons!$E$3:$AS$3,1,MATCH($A106,BAU_Fuel_cons!$E$1:$AS$1,0)))</f>
        <v>9.2881819947916916E-2</v>
      </c>
    </row>
    <row r="107" spans="1:13">
      <c r="A107">
        <v>2033</v>
      </c>
      <c r="B107" t="s">
        <v>36</v>
      </c>
      <c r="C107" t="s">
        <v>19</v>
      </c>
      <c r="D107" s="143">
        <f>$P$3*(INDEX(BAU_Fuel_cons!$E$24:$AS$24,1,MATCH($A25,BAU_Fuel_cons!$E$1:$AS$1,0)))</f>
        <v>6.573741574791403E-2</v>
      </c>
      <c r="G107">
        <f>$P$5*INDEX(Population!$C$2:$C$42,MATCH($A25,Population!$A$2:$A$42,0))/Population!$C$90</f>
        <v>9.9624426020049908E-2</v>
      </c>
      <c r="H107" s="143">
        <f>10^-6*$P$6*INDEX(Population!$C$2:$C$42,MATCH($A25,Population!$A$2:$A$42,0))</f>
        <v>0.1098059109</v>
      </c>
      <c r="J107" s="143">
        <f>$P$8*(INDEX(BAU_Fuel_cons!$E$24:$AS$24,1,MATCH($A25,BAU_Fuel_cons!$E$1:$AS$1,0)))</f>
        <v>5.9761287043558209E-2</v>
      </c>
      <c r="L107" s="143">
        <f t="shared" si="2"/>
        <v>0.3349290397115221</v>
      </c>
      <c r="M107" s="21">
        <f>L107/(INDEX(BAU_Fuel_cons!$E$3:$AS$3,1,MATCH($A107,BAU_Fuel_cons!$E$1:$AS$1,0)))</f>
        <v>8.9101382264914583E-2</v>
      </c>
    </row>
    <row r="108" spans="1:13">
      <c r="A108">
        <v>2034</v>
      </c>
      <c r="B108" t="s">
        <v>36</v>
      </c>
      <c r="C108" t="s">
        <v>19</v>
      </c>
      <c r="D108" s="143">
        <f>$P$3*(INDEX(BAU_Fuel_cons!$E$24:$AS$24,1,MATCH($A26,BAU_Fuel_cons!$E$1:$AS$1,0)))</f>
        <v>6.4123653147257695E-2</v>
      </c>
      <c r="G108">
        <f>$P$5*INDEX(Population!$C$2:$C$42,MATCH($A26,Population!$A$2:$A$42,0))/Population!$C$90</f>
        <v>0.10325245821689784</v>
      </c>
      <c r="H108" s="143">
        <f>10^-6*$P$6*INDEX(Population!$C$2:$C$42,MATCH($A26,Population!$A$2:$A$42,0))</f>
        <v>0.11380472319999997</v>
      </c>
      <c r="J108" s="143">
        <f>$P$8*(INDEX(BAU_Fuel_cons!$E$24:$AS$24,1,MATCH($A26,BAU_Fuel_cons!$E$1:$AS$1,0)))</f>
        <v>5.8294230133870632E-2</v>
      </c>
      <c r="L108" s="143">
        <f t="shared" si="2"/>
        <v>0.33947506469802613</v>
      </c>
      <c r="M108" s="21">
        <f>L108/(INDEX(BAU_Fuel_cons!$E$3:$AS$3,1,MATCH($A108,BAU_Fuel_cons!$E$1:$AS$1,0)))</f>
        <v>8.5514575727329026E-2</v>
      </c>
    </row>
    <row r="109" spans="1:13">
      <c r="A109">
        <v>2035</v>
      </c>
      <c r="B109" t="s">
        <v>36</v>
      </c>
      <c r="C109" t="s">
        <v>19</v>
      </c>
      <c r="D109" s="143">
        <f>$P$3*(INDEX(BAU_Fuel_cons!$E$24:$AS$24,1,MATCH($A27,BAU_Fuel_cons!$E$1:$AS$1,0)))</f>
        <v>6.2278846494698559E-2</v>
      </c>
      <c r="G109">
        <f>$P$5*INDEX(Population!$C$2:$C$42,MATCH($A27,Population!$A$2:$A$42,0))/Population!$C$90</f>
        <v>0.10696739697759759</v>
      </c>
      <c r="H109" s="143">
        <f>10^-6*$P$6*INDEX(Population!$C$2:$C$42,MATCH($A27,Population!$A$2:$A$42,0))</f>
        <v>0.1178993238</v>
      </c>
      <c r="J109" s="143">
        <f>$P$8*(INDEX(BAU_Fuel_cons!$E$24:$AS$24,1,MATCH($A27,BAU_Fuel_cons!$E$1:$AS$1,0)))</f>
        <v>5.6617133176998694E-2</v>
      </c>
      <c r="L109" s="143">
        <f t="shared" si="2"/>
        <v>0.34376270044929486</v>
      </c>
      <c r="M109" s="21">
        <f>L109/(INDEX(BAU_Fuel_cons!$E$3:$AS$3,1,MATCH($A109,BAU_Fuel_cons!$E$1:$AS$1,0)))</f>
        <v>8.2108203372083549E-2</v>
      </c>
    </row>
    <row r="110" spans="1:13">
      <c r="A110">
        <v>2036</v>
      </c>
      <c r="B110" t="s">
        <v>36</v>
      </c>
      <c r="C110" t="s">
        <v>19</v>
      </c>
      <c r="D110" s="143">
        <f>$P$3*(INDEX(BAU_Fuel_cons!$E$24:$AS$24,1,MATCH($A28,BAU_Fuel_cons!$E$1:$AS$1,0)))</f>
        <v>6.0189901644886738E-2</v>
      </c>
      <c r="G110">
        <f>$P$5*INDEX(Population!$C$2:$C$42,MATCH($A28,Population!$A$2:$A$42,0))/Population!$C$90</f>
        <v>0.11076376878806588</v>
      </c>
      <c r="H110" s="143">
        <f>10^-6*$P$6*INDEX(Population!$C$2:$C$42,MATCH($A28,Population!$A$2:$A$42,0))</f>
        <v>0.12208367979999998</v>
      </c>
      <c r="J110" s="143">
        <f>$P$8*(INDEX(BAU_Fuel_cons!$E$24:$AS$24,1,MATCH($A28,BAU_Fuel_cons!$E$1:$AS$1,0)))</f>
        <v>5.4718092404442489E-2</v>
      </c>
      <c r="L110" s="143">
        <f t="shared" si="2"/>
        <v>0.34775544263739511</v>
      </c>
      <c r="M110" s="21">
        <f>L110/(INDEX(BAU_Fuel_cons!$E$3:$AS$3,1,MATCH($A110,BAU_Fuel_cons!$E$1:$AS$1,0)))</f>
        <v>7.8863932137225229E-2</v>
      </c>
    </row>
    <row r="111" spans="1:13">
      <c r="A111">
        <v>2037</v>
      </c>
      <c r="B111" t="s">
        <v>36</v>
      </c>
      <c r="C111" t="s">
        <v>19</v>
      </c>
      <c r="D111" s="143">
        <f>$P$3*(INDEX(BAU_Fuel_cons!$E$24:$AS$24,1,MATCH($A29,BAU_Fuel_cons!$E$1:$AS$1,0)))</f>
        <v>5.7847185362582001E-2</v>
      </c>
      <c r="G111">
        <f>$P$5*INDEX(Population!$C$2:$C$42,MATCH($A29,Population!$A$2:$A$42,0))/Population!$C$90</f>
        <v>0.11464127479111311</v>
      </c>
      <c r="H111" s="143">
        <f>10^-6*$P$6*INDEX(Population!$C$2:$C$42,MATCH($A29,Population!$A$2:$A$42,0))</f>
        <v>0.12635746179999999</v>
      </c>
      <c r="J111" s="143">
        <f>$P$8*(INDEX(BAU_Fuel_cons!$E$24:$AS$24,1,MATCH($A29,BAU_Fuel_cons!$E$1:$AS$1,0)))</f>
        <v>5.2588350329620004E-2</v>
      </c>
      <c r="L111" s="143">
        <f t="shared" si="2"/>
        <v>0.35143427228331509</v>
      </c>
      <c r="M111" s="21">
        <f>L111/(INDEX(BAU_Fuel_cons!$E$3:$AS$3,1,MATCH($A111,BAU_Fuel_cons!$E$1:$AS$1,0)))</f>
        <v>7.5767560894463293E-2</v>
      </c>
    </row>
    <row r="112" spans="1:13">
      <c r="A112">
        <v>2038</v>
      </c>
      <c r="B112" t="s">
        <v>36</v>
      </c>
      <c r="C112" t="s">
        <v>19</v>
      </c>
      <c r="D112" s="143">
        <f>$P$3*(INDEX(BAU_Fuel_cons!$E$24:$AS$24,1,MATCH($A30,BAU_Fuel_cons!$E$1:$AS$1,0)))</f>
        <v>5.5241476860400249E-2</v>
      </c>
      <c r="G112">
        <f>$P$5*INDEX(Population!$C$2:$C$42,MATCH($A30,Population!$A$2:$A$42,0))/Population!$C$90</f>
        <v>0.11860040201327048</v>
      </c>
      <c r="H112" s="143">
        <f>10^-6*$P$6*INDEX(Population!$C$2:$C$42,MATCH($A30,Population!$A$2:$A$42,0))</f>
        <v>0.13072120659999997</v>
      </c>
      <c r="J112" s="143">
        <f>$P$8*(INDEX(BAU_Fuel_cons!$E$24:$AS$24,1,MATCH($A30,BAU_Fuel_cons!$E$1:$AS$1,0)))</f>
        <v>5.0219524418545686E-2</v>
      </c>
      <c r="L112" s="143">
        <f t="shared" si="2"/>
        <v>0.35478260989221644</v>
      </c>
      <c r="M112" s="21">
        <f>L112/(INDEX(BAU_Fuel_cons!$E$3:$AS$3,1,MATCH($A112,BAU_Fuel_cons!$E$1:$AS$1,0)))</f>
        <v>7.2806502142575932E-2</v>
      </c>
    </row>
    <row r="113" spans="1:13">
      <c r="A113">
        <v>2039</v>
      </c>
      <c r="B113" t="s">
        <v>36</v>
      </c>
      <c r="C113" t="s">
        <v>19</v>
      </c>
      <c r="D113" s="143">
        <f>$P$3*(INDEX(BAU_Fuel_cons!$E$24:$AS$24,1,MATCH($A31,BAU_Fuel_cons!$E$1:$AS$1,0)))</f>
        <v>5.2363586069730024E-2</v>
      </c>
      <c r="G113">
        <f>$P$5*INDEX(Population!$C$2:$C$42,MATCH($A31,Population!$A$2:$A$42,0))/Population!$C$90</f>
        <v>0.12264188652872716</v>
      </c>
      <c r="H113" s="143">
        <f>10^-6*$P$6*INDEX(Population!$C$2:$C$42,MATCH($A31,Population!$A$2:$A$42,0))</f>
        <v>0.13517572549999998</v>
      </c>
      <c r="J113" s="143">
        <f>$P$8*(INDEX(BAU_Fuel_cons!$E$24:$AS$24,1,MATCH($A31,BAU_Fuel_cons!$E$1:$AS$1,0)))</f>
        <v>4.7603260063390933E-2</v>
      </c>
      <c r="L113" s="143">
        <f t="shared" si="2"/>
        <v>0.35778445816184812</v>
      </c>
      <c r="M113" s="21">
        <f>L113/(INDEX(BAU_Fuel_cons!$E$3:$AS$3,1,MATCH($A113,BAU_Fuel_cons!$E$1:$AS$1,0)))</f>
        <v>6.9969586361138106E-2</v>
      </c>
    </row>
    <row r="114" spans="1:13">
      <c r="A114">
        <v>2040</v>
      </c>
      <c r="B114" t="s">
        <v>36</v>
      </c>
      <c r="C114" t="s">
        <v>19</v>
      </c>
      <c r="D114" s="143">
        <f>$P$3*(INDEX(BAU_Fuel_cons!$E$24:$AS$24,1,MATCH($A32,BAU_Fuel_cons!$E$1:$AS$1,0)))</f>
        <v>4.9204101231237141E-2</v>
      </c>
      <c r="G114">
        <f>$P$5*INDEX(Population!$C$2:$C$42,MATCH($A32,Population!$A$2:$A$42,0))/Population!$C$90</f>
        <v>0.12676618769205228</v>
      </c>
      <c r="H114" s="143">
        <f>10^-6*$P$6*INDEX(Population!$C$2:$C$42,MATCH($A32,Population!$A$2:$A$42,0))</f>
        <v>0.1397215248</v>
      </c>
      <c r="J114" s="143">
        <f>$P$8*(INDEX(BAU_Fuel_cons!$E$24:$AS$24,1,MATCH($A32,BAU_Fuel_cons!$E$1:$AS$1,0)))</f>
        <v>4.4731001119306495E-2</v>
      </c>
      <c r="L114" s="143">
        <f t="shared" si="2"/>
        <v>0.36042281484259592</v>
      </c>
      <c r="M114" s="21">
        <f>L114/(INDEX(BAU_Fuel_cons!$E$3:$AS$3,1,MATCH($A114,BAU_Fuel_cons!$E$1:$AS$1,0)))</f>
        <v>6.7246701111850632E-2</v>
      </c>
    </row>
    <row r="115" spans="1:13">
      <c r="A115">
        <v>2041</v>
      </c>
      <c r="B115" t="s">
        <v>36</v>
      </c>
      <c r="C115" t="s">
        <v>19</v>
      </c>
      <c r="D115" s="143">
        <f>$P$3*(INDEX(BAU_Fuel_cons!$E$24:$AS$24,1,MATCH($A33,BAU_Fuel_cons!$E$1:$AS$1,0)))</f>
        <v>4.5753278264320033E-2</v>
      </c>
      <c r="G115">
        <f>$P$5*INDEX(Population!$C$2:$C$42,MATCH($A33,Population!$A$2:$A$42,0))/Population!$C$90</f>
        <v>0.13097301771484107</v>
      </c>
      <c r="H115" s="143">
        <f>10^-6*$P$6*INDEX(Population!$C$2:$C$42,MATCH($A33,Population!$A$2:$A$42,0))</f>
        <v>0.1443582873</v>
      </c>
      <c r="J115" s="143">
        <f>$P$8*(INDEX(BAU_Fuel_cons!$E$24:$AS$24,1,MATCH($A33,BAU_Fuel_cons!$E$1:$AS$1,0)))</f>
        <v>4.1593889331200035E-2</v>
      </c>
      <c r="L115" s="143">
        <f t="shared" si="2"/>
        <v>0.36267847261036112</v>
      </c>
      <c r="M115" s="21">
        <f>L115/(INDEX(BAU_Fuel_cons!$E$3:$AS$3,1,MATCH($A115,BAU_Fuel_cons!$E$1:$AS$1,0)))</f>
        <v>6.4628642902527927E-2</v>
      </c>
    </row>
    <row r="116" spans="1:13">
      <c r="A116">
        <v>2042</v>
      </c>
      <c r="B116" t="s">
        <v>36</v>
      </c>
      <c r="C116" t="s">
        <v>19</v>
      </c>
      <c r="D116" s="143">
        <f>$P$3*(INDEX(BAU_Fuel_cons!$E$24:$AS$24,1,MATCH($A34,BAU_Fuel_cons!$E$1:$AS$1,0)))</f>
        <v>4.2001318095329615E-2</v>
      </c>
      <c r="G116">
        <f>$P$5*INDEX(Population!$C$2:$C$42,MATCH($A34,Population!$A$2:$A$42,0))/Population!$C$90</f>
        <v>0.1352617678139296</v>
      </c>
      <c r="H116" s="143">
        <f>10^-6*$P$6*INDEX(Population!$C$2:$C$42,MATCH($A34,Population!$A$2:$A$42,0))</f>
        <v>0.14908534199999998</v>
      </c>
      <c r="J116" s="143">
        <f>$P$8*(INDEX(BAU_Fuel_cons!$E$24:$AS$24,1,MATCH($A34,BAU_Fuel_cons!$E$1:$AS$1,0)))</f>
        <v>3.8183016450299652E-2</v>
      </c>
      <c r="L116" s="143">
        <f t="shared" si="2"/>
        <v>0.36453144435955886</v>
      </c>
      <c r="M116" s="21">
        <f>L116/(INDEX(BAU_Fuel_cons!$E$3:$AS$3,1,MATCH($A116,BAU_Fuel_cons!$E$1:$AS$1,0)))</f>
        <v>6.2107089023472943E-2</v>
      </c>
    </row>
    <row r="117" spans="1:13">
      <c r="A117">
        <v>2043</v>
      </c>
      <c r="B117" t="s">
        <v>36</v>
      </c>
      <c r="C117" t="s">
        <v>19</v>
      </c>
      <c r="D117" s="143">
        <f>$P$3*(INDEX(BAU_Fuel_cons!$E$24:$AS$24,1,MATCH($A35,BAU_Fuel_cons!$E$1:$AS$1,0)))</f>
        <v>3.7938580829711313E-2</v>
      </c>
      <c r="G117">
        <f>$P$5*INDEX(Population!$C$2:$C$42,MATCH($A35,Population!$A$2:$A$42,0))/Population!$C$90</f>
        <v>0.13963206718502705</v>
      </c>
      <c r="H117" s="143">
        <f>10^-6*$P$6*INDEX(Population!$C$2:$C$42,MATCH($A35,Population!$A$2:$A$42,0))</f>
        <v>0.15390228019999999</v>
      </c>
      <c r="J117" s="143">
        <f>$P$8*(INDEX(BAU_Fuel_cons!$E$24:$AS$24,1,MATCH($A35,BAU_Fuel_cons!$E$1:$AS$1,0)))</f>
        <v>3.4489618936101189E-2</v>
      </c>
      <c r="L117" s="143">
        <f t="shared" si="2"/>
        <v>0.36596254715083959</v>
      </c>
      <c r="M117" s="21">
        <f>L117/(INDEX(BAU_Fuel_cons!$E$3:$AS$3,1,MATCH($A117,BAU_Fuel_cons!$E$1:$AS$1,0)))</f>
        <v>5.9674638127759201E-2</v>
      </c>
    </row>
    <row r="118" spans="1:13">
      <c r="A118">
        <v>2044</v>
      </c>
      <c r="B118" t="s">
        <v>36</v>
      </c>
      <c r="C118" t="s">
        <v>19</v>
      </c>
      <c r="D118" s="143">
        <f>$P$3*(INDEX(BAU_Fuel_cons!$E$24:$AS$24,1,MATCH($A36,BAU_Fuel_cons!$E$1:$AS$1,0)))</f>
        <v>3.3555467388062934E-2</v>
      </c>
      <c r="G118">
        <f>$P$5*INDEX(Population!$C$2:$C$42,MATCH($A36,Population!$A$2:$A$42,0))/Population!$C$90</f>
        <v>0.14408347307674144</v>
      </c>
      <c r="H118" s="143">
        <f>10^-6*$P$6*INDEX(Population!$C$2:$C$42,MATCH($A36,Population!$A$2:$A$42,0))</f>
        <v>0.15880861389999998</v>
      </c>
      <c r="J118" s="143">
        <f>$P$8*(INDEX(BAU_Fuel_cons!$E$24:$AS$24,1,MATCH($A36,BAU_Fuel_cons!$E$1:$AS$1,0)))</f>
        <v>3.0504970352784488E-2</v>
      </c>
      <c r="L118" s="143">
        <f t="shared" si="2"/>
        <v>0.36695252471758882</v>
      </c>
      <c r="M118" s="21">
        <f>L118/(INDEX(BAU_Fuel_cons!$E$3:$AS$3,1,MATCH($A118,BAU_Fuel_cons!$E$1:$AS$1,0)))</f>
        <v>5.7324601106037355E-2</v>
      </c>
    </row>
    <row r="119" spans="1:13">
      <c r="A119">
        <v>2045</v>
      </c>
      <c r="B119" t="s">
        <v>36</v>
      </c>
      <c r="C119" t="s">
        <v>19</v>
      </c>
      <c r="D119" s="143">
        <f>$P$3*(INDEX(BAU_Fuel_cons!$E$24:$AS$24,1,MATCH($A37,BAU_Fuel_cons!$E$1:$AS$1,0)))</f>
        <v>2.8842404468973369E-2</v>
      </c>
      <c r="G119">
        <f>$P$5*INDEX(Population!$C$2:$C$42,MATCH($A37,Population!$A$2:$A$42,0))/Population!$C$90</f>
        <v>0.14861532136198485</v>
      </c>
      <c r="H119" s="143">
        <f>10^-6*$P$6*INDEX(Population!$C$2:$C$42,MATCH($A37,Population!$A$2:$A$42,0))</f>
        <v>0.16380361109999997</v>
      </c>
      <c r="J119" s="143">
        <f>$P$8*(INDEX(BAU_Fuel_cons!$E$24:$AS$24,1,MATCH($A37,BAU_Fuel_cons!$E$1:$AS$1,0)))</f>
        <v>2.6220367699066702E-2</v>
      </c>
      <c r="L119" s="143">
        <f t="shared" si="2"/>
        <v>0.36748170463002489</v>
      </c>
      <c r="M119" s="21">
        <f>L119/(INDEX(BAU_Fuel_cons!$E$3:$AS$3,1,MATCH($A119,BAU_Fuel_cons!$E$1:$AS$1,0)))</f>
        <v>5.505078677660083E-2</v>
      </c>
    </row>
    <row r="120" spans="1:13">
      <c r="A120">
        <v>2046</v>
      </c>
      <c r="B120" t="s">
        <v>36</v>
      </c>
      <c r="C120" t="s">
        <v>19</v>
      </c>
      <c r="D120" s="143">
        <f>$P$3*(INDEX(BAU_Fuel_cons!$E$24:$AS$24,1,MATCH($A38,BAU_Fuel_cons!$E$1:$AS$1,0)))</f>
        <v>2.378988149747624E-2</v>
      </c>
      <c r="G120">
        <f>$P$5*INDEX(Population!$C$2:$C$42,MATCH($A38,Population!$A$2:$A$42,0))/Population!$C$90</f>
        <v>0.15322668779722654</v>
      </c>
      <c r="H120" s="143">
        <f>10^-6*$P$6*INDEX(Population!$C$2:$C$42,MATCH($A38,Population!$A$2:$A$42,0))</f>
        <v>0.16888625309999999</v>
      </c>
      <c r="J120" s="143">
        <f>$P$8*(INDEX(BAU_Fuel_cons!$E$24:$AS$24,1,MATCH($A38,BAU_Fuel_cons!$E$1:$AS$1,0)))</f>
        <v>2.1627164997705672E-2</v>
      </c>
      <c r="L120" s="143">
        <f t="shared" si="2"/>
        <v>0.36752998739240844</v>
      </c>
      <c r="M120" s="21">
        <f>L120/(INDEX(BAU_Fuel_cons!$E$3:$AS$3,1,MATCH($A120,BAU_Fuel_cons!$E$1:$AS$1,0)))</f>
        <v>5.2847500098746523E-2</v>
      </c>
    </row>
    <row r="121" spans="1:13">
      <c r="A121">
        <v>2047</v>
      </c>
      <c r="B121" t="s">
        <v>36</v>
      </c>
      <c r="C121" t="s">
        <v>19</v>
      </c>
      <c r="D121" s="143">
        <f>$P$3*(INDEX(BAU_Fuel_cons!$E$24:$AS$24,1,MATCH($A39,BAU_Fuel_cons!$E$1:$AS$1,0)))</f>
        <v>1.8388488862403303E-2</v>
      </c>
      <c r="G121">
        <f>$P$5*INDEX(Population!$C$2:$C$42,MATCH($A39,Population!$A$2:$A$42,0))/Population!$C$90</f>
        <v>0.15791628286903736</v>
      </c>
      <c r="H121" s="143">
        <f>10^-6*$P$6*INDEX(Population!$C$2:$C$42,MATCH($A39,Population!$A$2:$A$42,0))</f>
        <v>0.17405511859999998</v>
      </c>
      <c r="J121" s="143">
        <f>$P$8*(INDEX(BAU_Fuel_cons!$E$24:$AS$24,1,MATCH($A39,BAU_Fuel_cons!$E$1:$AS$1,0)))</f>
        <v>1.6716808056730276E-2</v>
      </c>
      <c r="L121" s="143">
        <f t="shared" si="2"/>
        <v>0.36707669838817092</v>
      </c>
      <c r="M121" s="21">
        <f>L121/(INDEX(BAU_Fuel_cons!$E$3:$AS$3,1,MATCH($A121,BAU_Fuel_cons!$E$1:$AS$1,0)))</f>
        <v>5.0709414968215079E-2</v>
      </c>
    </row>
    <row r="122" spans="1:13">
      <c r="A122">
        <v>2048</v>
      </c>
      <c r="B122" t="s">
        <v>36</v>
      </c>
      <c r="C122" t="s">
        <v>19</v>
      </c>
      <c r="D122" s="143">
        <f>$P$3*(INDEX(BAU_Fuel_cons!$E$24:$AS$24,1,MATCH($A40,BAU_Fuel_cons!$E$1:$AS$1,0)))</f>
        <v>1.262901071715208E-2</v>
      </c>
      <c r="G122">
        <f>$P$5*INDEX(Population!$C$2:$C$42,MATCH($A40,Population!$A$2:$A$42,0))/Population!$C$90</f>
        <v>0.16268273404810221</v>
      </c>
      <c r="H122" s="143">
        <f>10^-6*$P$6*INDEX(Population!$C$2:$C$42,MATCH($A40,Population!$A$2:$A$42,0))</f>
        <v>0.17930869479999997</v>
      </c>
      <c r="J122" s="143">
        <f>$P$8*(INDEX(BAU_Fuel_cons!$E$24:$AS$24,1,MATCH($A40,BAU_Fuel_cons!$E$1:$AS$1,0)))</f>
        <v>1.1480918833774618E-2</v>
      </c>
      <c r="L122" s="143">
        <f t="shared" si="2"/>
        <v>0.36610135839902885</v>
      </c>
      <c r="M122" s="21">
        <f>L122/(INDEX(BAU_Fuel_cons!$E$3:$AS$3,1,MATCH($A122,BAU_Fuel_cons!$E$1:$AS$1,0)))</f>
        <v>4.8631607602090975E-2</v>
      </c>
    </row>
    <row r="123" spans="1:13">
      <c r="A123">
        <v>2049</v>
      </c>
      <c r="B123" t="s">
        <v>36</v>
      </c>
      <c r="C123" t="s">
        <v>19</v>
      </c>
      <c r="D123" s="143">
        <f>$P$3*(INDEX(BAU_Fuel_cons!$E$24:$AS$24,1,MATCH($A41,BAU_Fuel_cons!$E$1:$AS$1,0)))</f>
        <v>6.5024301352840444E-3</v>
      </c>
      <c r="G123">
        <f>$P$5*INDEX(Population!$C$2:$C$42,MATCH($A41,Population!$A$2:$A$42,0))/Population!$C$90</f>
        <v>0.16752430353520761</v>
      </c>
      <c r="H123" s="143">
        <f>10^-6*$P$6*INDEX(Population!$C$2:$C$42,MATCH($A41,Population!$A$2:$A$42,0))</f>
        <v>0.18464506629999999</v>
      </c>
      <c r="J123" s="143">
        <f>$P$8*(INDEX(BAU_Fuel_cons!$E$24:$AS$24,1,MATCH($A41,BAU_Fuel_cons!$E$1:$AS$1,0)))</f>
        <v>5.9113001229854946E-3</v>
      </c>
      <c r="L123" s="143">
        <f t="shared" si="2"/>
        <v>0.36458310009347716</v>
      </c>
      <c r="M123" s="21">
        <f>L123/(INDEX(BAU_Fuel_cons!$E$3:$AS$3,1,MATCH($A123,BAU_Fuel_cons!$E$1:$AS$1,0)))</f>
        <v>4.6609506431275337E-2</v>
      </c>
    </row>
    <row r="124" spans="1:13">
      <c r="A124">
        <v>2050</v>
      </c>
      <c r="B124" t="s">
        <v>36</v>
      </c>
      <c r="C124" t="s">
        <v>19</v>
      </c>
      <c r="D124" s="143">
        <f>$P$3*(INDEX(BAU_Fuel_cons!$E$24:$AS$24,1,MATCH($A42,BAU_Fuel_cons!$E$1:$AS$1,0)))</f>
        <v>0</v>
      </c>
      <c r="G124">
        <f>$P$5*INDEX(Population!$C$2:$C$42,MATCH($A42,Population!$A$2:$A$42,0))/Population!$C$90</f>
        <v>0.17243916498086162</v>
      </c>
      <c r="H124" s="143">
        <f>10^-6*$P$6*INDEX(Population!$C$2:$C$42,MATCH($A42,Population!$A$2:$A$42,0))</f>
        <v>0.19006222009999998</v>
      </c>
      <c r="J124" s="143">
        <f>$P$8*(INDEX(BAU_Fuel_cons!$E$24:$AS$24,1,MATCH($A42,BAU_Fuel_cons!$E$1:$AS$1,0)))</f>
        <v>0</v>
      </c>
      <c r="L124" s="143">
        <f t="shared" si="2"/>
        <v>0.3625013850808616</v>
      </c>
      <c r="M124" s="21">
        <f>L124/(INDEX(BAU_Fuel_cons!$E$3:$AS$3,1,MATCH($A124,BAU_Fuel_cons!$E$1:$AS$1,0)))</f>
        <v>4.4638966449304748E-2</v>
      </c>
    </row>
    <row r="125" spans="1:13">
      <c r="A125">
        <v>2010</v>
      </c>
      <c r="B125" t="s">
        <v>8</v>
      </c>
      <c r="C125" t="s">
        <v>19</v>
      </c>
      <c r="D125" s="143">
        <f>$P$3*(INDEX(BAU_Fuel_cons!$E$25:$AS$25,1,MATCH($A43,BAU_Fuel_cons!$E$1:$AS$1,0)))</f>
        <v>3.4683941470861866E-2</v>
      </c>
      <c r="J125" s="143">
        <f>$P$8*(INDEX(BAU_Fuel_cons!$E$25:$AS$25,1,MATCH($A43,BAU_Fuel_cons!$E$1:$AS$1,0)))</f>
        <v>3.1530855882601704E-2</v>
      </c>
      <c r="L125" s="143">
        <f t="shared" si="2"/>
        <v>6.621479735346357E-2</v>
      </c>
      <c r="M125" s="21">
        <f>L125/(INDEX(BAU_Fuel_cons!$E$3:$AS$3,1,MATCH($A125,BAU_Fuel_cons!$E$1:$AS$1,0)))</f>
        <v>0.10231442605433126</v>
      </c>
    </row>
    <row r="126" spans="1:13">
      <c r="A126">
        <v>2011</v>
      </c>
      <c r="B126" t="s">
        <v>8</v>
      </c>
      <c r="C126" t="s">
        <v>19</v>
      </c>
      <c r="D126" s="143">
        <f>$P$3*(INDEX(BAU_Fuel_cons!$E$25:$AS$25,1,MATCH($A44,BAU_Fuel_cons!$E$1:$AS$1,0)))</f>
        <v>3.7223963622891376E-2</v>
      </c>
      <c r="J126" s="143">
        <f>$P$8*(INDEX(BAU_Fuel_cons!$E$25:$AS$25,1,MATCH($A44,BAU_Fuel_cons!$E$1:$AS$1,0)))</f>
        <v>3.3839966929901252E-2</v>
      </c>
      <c r="L126" s="143">
        <f t="shared" si="2"/>
        <v>7.1063930552792628E-2</v>
      </c>
      <c r="M126" s="21">
        <f>L126/(INDEX(BAU_Fuel_cons!$E$3:$AS$3,1,MATCH($A126,BAU_Fuel_cons!$E$1:$AS$1,0)))</f>
        <v>9.8637181549829797E-2</v>
      </c>
    </row>
    <row r="127" spans="1:13">
      <c r="A127">
        <v>2012</v>
      </c>
      <c r="B127" t="s">
        <v>8</v>
      </c>
      <c r="C127" t="s">
        <v>19</v>
      </c>
      <c r="D127" s="143">
        <f>$P$3*(INDEX(BAU_Fuel_cons!$E$25:$AS$25,1,MATCH($A45,BAU_Fuel_cons!$E$1:$AS$1,0)))</f>
        <v>3.9908178060500878E-2</v>
      </c>
      <c r="J127" s="143">
        <f>$P$8*(INDEX(BAU_Fuel_cons!$E$25:$AS$25,1,MATCH($A45,BAU_Fuel_cons!$E$1:$AS$1,0)))</f>
        <v>3.6280161873182615E-2</v>
      </c>
      <c r="L127" s="143">
        <f t="shared" si="2"/>
        <v>7.6188339933683485E-2</v>
      </c>
      <c r="M127" s="21">
        <f>L127/(INDEX(BAU_Fuel_cons!$E$3:$AS$3,1,MATCH($A127,BAU_Fuel_cons!$E$1:$AS$1,0)))</f>
        <v>9.5488142885465727E-2</v>
      </c>
    </row>
    <row r="128" spans="1:13">
      <c r="A128">
        <v>2013</v>
      </c>
      <c r="B128" t="s">
        <v>8</v>
      </c>
      <c r="C128" t="s">
        <v>19</v>
      </c>
      <c r="D128" s="143">
        <f>$P$3*(INDEX(BAU_Fuel_cons!$E$25:$AS$25,1,MATCH($A46,BAU_Fuel_cons!$E$1:$AS$1,0)))</f>
        <v>4.2745164516079279E-2</v>
      </c>
      <c r="J128" s="143">
        <f>$P$8*(INDEX(BAU_Fuel_cons!$E$25:$AS$25,1,MATCH($A46,BAU_Fuel_cons!$E$1:$AS$1,0)))</f>
        <v>3.8859240469162983E-2</v>
      </c>
      <c r="L128" s="143">
        <f t="shared" si="2"/>
        <v>8.1604404985242268E-2</v>
      </c>
      <c r="M128" s="21">
        <f>L128/(INDEX(BAU_Fuel_cons!$E$3:$AS$3,1,MATCH($A128,BAU_Fuel_cons!$E$1:$AS$1,0)))</f>
        <v>9.2771087790485873E-2</v>
      </c>
    </row>
    <row r="129" spans="1:13">
      <c r="A129">
        <v>2014</v>
      </c>
      <c r="B129" t="s">
        <v>8</v>
      </c>
      <c r="C129" t="s">
        <v>19</v>
      </c>
      <c r="D129" s="143">
        <f>$P$3*(INDEX(BAU_Fuel_cons!$E$25:$AS$25,1,MATCH($A47,BAU_Fuel_cons!$E$1:$AS$1,0)))</f>
        <v>4.574501107798485E-2</v>
      </c>
      <c r="J129" s="143">
        <f>$P$8*(INDEX(BAU_Fuel_cons!$E$25:$AS$25,1,MATCH($A47,BAU_Fuel_cons!$E$1:$AS$1,0)))</f>
        <v>4.1586373707258956E-2</v>
      </c>
      <c r="L129" s="143">
        <f t="shared" si="2"/>
        <v>8.7331384785243799E-2</v>
      </c>
      <c r="M129" s="21">
        <f>L129/(INDEX(BAU_Fuel_cons!$E$3:$AS$3,1,MATCH($A129,BAU_Fuel_cons!$E$1:$AS$1,0)))</f>
        <v>9.0411701310831288E-2</v>
      </c>
    </row>
    <row r="130" spans="1:13">
      <c r="A130">
        <v>2015</v>
      </c>
      <c r="B130" t="s">
        <v>8</v>
      </c>
      <c r="C130" t="s">
        <v>19</v>
      </c>
      <c r="D130" s="143">
        <f>$P$3*(INDEX(BAU_Fuel_cons!$E$25:$AS$25,1,MATCH($A48,BAU_Fuel_cons!$E$1:$AS$1,0)))</f>
        <v>4.8917377180334273E-2</v>
      </c>
      <c r="J130" s="143">
        <f>$P$8*(INDEX(BAU_Fuel_cons!$E$25:$AS$25,1,MATCH($A48,BAU_Fuel_cons!$E$1:$AS$1,0)))</f>
        <v>4.4470342891212981E-2</v>
      </c>
      <c r="L130" s="143">
        <f t="shared" si="2"/>
        <v>9.3387720071547248E-2</v>
      </c>
      <c r="M130" s="21">
        <f>L130/(INDEX(BAU_Fuel_cons!$E$3:$AS$3,1,MATCH($A130,BAU_Fuel_cons!$E$1:$AS$1,0)))</f>
        <v>8.8351757516601556E-2</v>
      </c>
    </row>
    <row r="131" spans="1:13">
      <c r="A131">
        <v>2016</v>
      </c>
      <c r="B131" t="s">
        <v>8</v>
      </c>
      <c r="C131" t="s">
        <v>19</v>
      </c>
      <c r="D131" s="143">
        <f>$P$3*(INDEX(BAU_Fuel_cons!$E$25:$AS$25,1,MATCH($A49,BAU_Fuel_cons!$E$1:$AS$1,0)))</f>
        <v>5.2270380896716137E-2</v>
      </c>
      <c r="J131" s="143">
        <f>$P$8*(INDEX(BAU_Fuel_cons!$E$25:$AS$25,1,MATCH($A49,BAU_Fuel_cons!$E$1:$AS$1,0)))</f>
        <v>4.7518528087923763E-2</v>
      </c>
      <c r="L131" s="143">
        <f t="shared" ref="L131:L165" si="3">SUM(D131:K131)</f>
        <v>9.9788908984639907E-2</v>
      </c>
      <c r="M131" s="21">
        <f>L131/(INDEX(BAU_Fuel_cons!$E$3:$AS$3,1,MATCH($A131,BAU_Fuel_cons!$E$1:$AS$1,0)))</f>
        <v>8.6545302451928666E-2</v>
      </c>
    </row>
    <row r="132" spans="1:13">
      <c r="A132">
        <v>2017</v>
      </c>
      <c r="B132" t="s">
        <v>8</v>
      </c>
      <c r="C132" t="s">
        <v>19</v>
      </c>
      <c r="D132" s="143">
        <f>$P$3*(INDEX(BAU_Fuel_cons!$E$25:$AS$25,1,MATCH($A50,BAU_Fuel_cons!$E$1:$AS$1,0)))</f>
        <v>5.5810561879731956E-2</v>
      </c>
      <c r="J132" s="143">
        <f>$P$8*(INDEX(BAU_Fuel_cons!$E$25:$AS$25,1,MATCH($A50,BAU_Fuel_cons!$E$1:$AS$1,0)))</f>
        <v>5.0736874436119961E-2</v>
      </c>
      <c r="L132" s="143">
        <f t="shared" si="3"/>
        <v>0.10654743631585192</v>
      </c>
      <c r="M132" s="21">
        <f>L132/(INDEX(BAU_Fuel_cons!$E$3:$AS$3,1,MATCH($A132,BAU_Fuel_cons!$E$1:$AS$1,0)))</f>
        <v>8.4955597750236631E-2</v>
      </c>
    </row>
    <row r="133" spans="1:13">
      <c r="A133">
        <v>2018</v>
      </c>
      <c r="B133" t="s">
        <v>8</v>
      </c>
      <c r="C133" t="s">
        <v>19</v>
      </c>
      <c r="D133" s="143">
        <f>$P$3*(INDEX(BAU_Fuel_cons!$E$25:$AS$25,1,MATCH($A51,BAU_Fuel_cons!$E$1:$AS$1,0)))</f>
        <v>5.9544393954916404E-2</v>
      </c>
      <c r="J133" s="143">
        <f>$P$8*(INDEX(BAU_Fuel_cons!$E$25:$AS$25,1,MATCH($A51,BAU_Fuel_cons!$E$1:$AS$1,0)))</f>
        <v>5.4131267231742192E-2</v>
      </c>
      <c r="L133" s="143">
        <f t="shared" si="3"/>
        <v>0.11367566118665859</v>
      </c>
      <c r="M133" s="21">
        <f>L133/(INDEX(BAU_Fuel_cons!$E$3:$AS$3,1,MATCH($A133,BAU_Fuel_cons!$E$1:$AS$1,0)))</f>
        <v>8.3552694104984865E-2</v>
      </c>
    </row>
    <row r="134" spans="1:13">
      <c r="A134">
        <v>2019</v>
      </c>
      <c r="B134" t="s">
        <v>8</v>
      </c>
      <c r="C134" t="s">
        <v>19</v>
      </c>
      <c r="D134" s="143">
        <f>$P$3*(INDEX(BAU_Fuel_cons!$E$25:$AS$25,1,MATCH($A52,BAU_Fuel_cons!$E$1:$AS$1,0)))</f>
        <v>6.3477480586172141E-2</v>
      </c>
      <c r="J134" s="143">
        <f>$P$8*(INDEX(BAU_Fuel_cons!$E$25:$AS$25,1,MATCH($A52,BAU_Fuel_cons!$E$1:$AS$1,0)))</f>
        <v>5.7706800532883767E-2</v>
      </c>
      <c r="L134" s="143">
        <f t="shared" si="3"/>
        <v>0.12118428111905591</v>
      </c>
      <c r="M134" s="21">
        <f>L134/(INDEX(BAU_Fuel_cons!$E$3:$AS$3,1,MATCH($A134,BAU_Fuel_cons!$E$1:$AS$1,0)))</f>
        <v>8.2311999263515526E-2</v>
      </c>
    </row>
    <row r="135" spans="1:13">
      <c r="A135">
        <v>2020</v>
      </c>
      <c r="B135" t="s">
        <v>8</v>
      </c>
      <c r="C135" t="s">
        <v>19</v>
      </c>
      <c r="D135" s="143">
        <f>$P$3*(INDEX(BAU_Fuel_cons!$E$25:$AS$25,1,MATCH($A53,BAU_Fuel_cons!$E$1:$AS$1,0)))</f>
        <v>6.7615375985921017E-2</v>
      </c>
      <c r="J135" s="143">
        <f>$P$8*(INDEX(BAU_Fuel_cons!$E$25:$AS$25,1,MATCH($A53,BAU_Fuel_cons!$E$1:$AS$1,0)))</f>
        <v>6.1468523623564565E-2</v>
      </c>
      <c r="L135" s="143">
        <f t="shared" si="3"/>
        <v>0.12908389960948558</v>
      </c>
      <c r="M135" s="21">
        <f>L135/(INDEX(BAU_Fuel_cons!$E$3:$AS$3,1,MATCH($A135,BAU_Fuel_cons!$E$1:$AS$1,0)))</f>
        <v>8.121295310617084E-2</v>
      </c>
    </row>
    <row r="136" spans="1:13">
      <c r="A136">
        <v>2021</v>
      </c>
      <c r="B136" t="s">
        <v>8</v>
      </c>
      <c r="C136" t="s">
        <v>19</v>
      </c>
      <c r="D136" s="143">
        <f>$P$3*(INDEX(BAU_Fuel_cons!$E$25:$AS$25,1,MATCH($A54,BAU_Fuel_cons!$E$1:$AS$1,0)))</f>
        <v>7.1964484293812747E-2</v>
      </c>
      <c r="J136" s="143">
        <f>$P$8*(INDEX(BAU_Fuel_cons!$E$25:$AS$25,1,MATCH($A54,BAU_Fuel_cons!$E$1:$AS$1,0)))</f>
        <v>6.5422258448920675E-2</v>
      </c>
      <c r="L136" s="143">
        <f t="shared" si="3"/>
        <v>0.13738674274273344</v>
      </c>
      <c r="M136" s="21">
        <f>L136/(INDEX(BAU_Fuel_cons!$E$3:$AS$3,1,MATCH($A136,BAU_Fuel_cons!$E$1:$AS$1,0)))</f>
        <v>8.0238552666563032E-2</v>
      </c>
    </row>
    <row r="137" spans="1:13">
      <c r="A137">
        <v>2022</v>
      </c>
      <c r="B137" t="s">
        <v>8</v>
      </c>
      <c r="C137" t="s">
        <v>19</v>
      </c>
      <c r="D137" s="143">
        <f>$P$3*(INDEX(BAU_Fuel_cons!$E$25:$AS$25,1,MATCH($A55,BAU_Fuel_cons!$E$1:$AS$1,0)))</f>
        <v>7.6531178654584434E-2</v>
      </c>
      <c r="J137" s="143">
        <f>$P$8*(INDEX(BAU_Fuel_cons!$E$25:$AS$25,1,MATCH($A55,BAU_Fuel_cons!$E$1:$AS$1,0)))</f>
        <v>6.9573798776894943E-2</v>
      </c>
      <c r="L137" s="143">
        <f t="shared" si="3"/>
        <v>0.14610497743147938</v>
      </c>
      <c r="M137" s="21">
        <f>L137/(INDEX(BAU_Fuel_cons!$E$3:$AS$3,1,MATCH($A137,BAU_Fuel_cons!$E$1:$AS$1,0)))</f>
        <v>7.9373952364230158E-2</v>
      </c>
    </row>
    <row r="138" spans="1:13">
      <c r="A138">
        <v>2023</v>
      </c>
      <c r="B138" t="s">
        <v>8</v>
      </c>
      <c r="C138" t="s">
        <v>19</v>
      </c>
      <c r="D138" s="143">
        <f>$P$3*(INDEX(BAU_Fuel_cons!$E$25:$AS$25,1,MATCH($A56,BAU_Fuel_cons!$E$1:$AS$1,0)))</f>
        <v>8.1320332731469006E-2</v>
      </c>
      <c r="J138" s="143">
        <f>$P$8*(INDEX(BAU_Fuel_cons!$E$25:$AS$25,1,MATCH($A56,BAU_Fuel_cons!$E$1:$AS$1,0)))</f>
        <v>7.3927575210426366E-2</v>
      </c>
      <c r="L138" s="143">
        <f t="shared" si="3"/>
        <v>0.15524790794189536</v>
      </c>
      <c r="M138" s="21">
        <f>L138/(INDEX(BAU_Fuel_cons!$E$3:$AS$3,1,MATCH($A138,BAU_Fuel_cons!$E$1:$AS$1,0)))</f>
        <v>7.860570121385578E-2</v>
      </c>
    </row>
    <row r="139" spans="1:13">
      <c r="A139">
        <v>2024</v>
      </c>
      <c r="B139" t="s">
        <v>8</v>
      </c>
      <c r="C139" t="s">
        <v>19</v>
      </c>
      <c r="D139" s="143">
        <f>$P$3*(INDEX(BAU_Fuel_cons!$E$25:$AS$25,1,MATCH($A57,BAU_Fuel_cons!$E$1:$AS$1,0)))</f>
        <v>8.6336033442017734E-2</v>
      </c>
      <c r="J139" s="143">
        <f>$P$8*(INDEX(BAU_Fuel_cons!$E$25:$AS$25,1,MATCH($A57,BAU_Fuel_cons!$E$1:$AS$1,0)))</f>
        <v>7.8487303129107039E-2</v>
      </c>
      <c r="L139" s="143">
        <f t="shared" si="3"/>
        <v>0.16482333657112477</v>
      </c>
      <c r="M139" s="21">
        <f>L139/(INDEX(BAU_Fuel_cons!$E$3:$AS$3,1,MATCH($A139,BAU_Fuel_cons!$E$1:$AS$1,0)))</f>
        <v>7.7921794195699362E-2</v>
      </c>
    </row>
    <row r="140" spans="1:13">
      <c r="A140">
        <v>2025</v>
      </c>
      <c r="B140" t="s">
        <v>8</v>
      </c>
      <c r="C140" t="s">
        <v>19</v>
      </c>
      <c r="D140" s="143">
        <f>$P$3*(INDEX(BAU_Fuel_cons!$E$25:$AS$25,1,MATCH($A58,BAU_Fuel_cons!$E$1:$AS$1,0)))</f>
        <v>9.0766018714441968E-2</v>
      </c>
      <c r="J140" s="143">
        <f>$P$8*(INDEX(BAU_Fuel_cons!$E$25:$AS$25,1,MATCH($A58,BAU_Fuel_cons!$E$1:$AS$1,0)))</f>
        <v>8.2514562467674524E-2</v>
      </c>
      <c r="L140" s="143">
        <f t="shared" si="3"/>
        <v>0.17328058118211648</v>
      </c>
      <c r="M140" s="21">
        <f>L140/(INDEX(BAU_Fuel_cons!$E$3:$AS$3,1,MATCH($A140,BAU_Fuel_cons!$E$1:$AS$1,0)))</f>
        <v>7.6199848680964188E-2</v>
      </c>
    </row>
    <row r="141" spans="1:13">
      <c r="A141">
        <v>2026</v>
      </c>
      <c r="B141" t="s">
        <v>8</v>
      </c>
      <c r="C141" t="s">
        <v>19</v>
      </c>
      <c r="D141" s="143">
        <f>$P$3*(INDEX(BAU_Fuel_cons!$E$25:$AS$25,1,MATCH($A59,BAU_Fuel_cons!$E$1:$AS$1,0)))</f>
        <v>9.5362710520773719E-2</v>
      </c>
      <c r="J141" s="143">
        <f>$P$8*(INDEX(BAU_Fuel_cons!$E$25:$AS$25,1,MATCH($A59,BAU_Fuel_cons!$E$1:$AS$1,0)))</f>
        <v>8.6693373200703389E-2</v>
      </c>
      <c r="L141" s="143">
        <f t="shared" si="3"/>
        <v>0.18205608372147711</v>
      </c>
      <c r="M141" s="21">
        <f>L141/(INDEX(BAU_Fuel_cons!$E$3:$AS$3,1,MATCH($A141,BAU_Fuel_cons!$E$1:$AS$1,0)))</f>
        <v>7.4646295073596436E-2</v>
      </c>
    </row>
    <row r="142" spans="1:13">
      <c r="A142">
        <v>2027</v>
      </c>
      <c r="B142" t="s">
        <v>8</v>
      </c>
      <c r="C142" t="s">
        <v>19</v>
      </c>
      <c r="D142" s="143">
        <f>$P$3*(INDEX(BAU_Fuel_cons!$E$25:$AS$25,1,MATCH($A60,BAU_Fuel_cons!$E$1:$AS$1,0)))</f>
        <v>0.10012730386888433</v>
      </c>
      <c r="J142" s="143">
        <f>$P$8*(INDEX(BAU_Fuel_cons!$E$25:$AS$25,1,MATCH($A60,BAU_Fuel_cons!$E$1:$AS$1,0)))</f>
        <v>9.102482169898575E-2</v>
      </c>
      <c r="L142" s="143">
        <f t="shared" si="3"/>
        <v>0.19115212556787009</v>
      </c>
      <c r="M142" s="21">
        <f>L142/(INDEX(BAU_Fuel_cons!$E$3:$AS$3,1,MATCH($A142,BAU_Fuel_cons!$E$1:$AS$1,0)))</f>
        <v>7.3240884311295787E-2</v>
      </c>
    </row>
    <row r="143" spans="1:13">
      <c r="A143">
        <v>2028</v>
      </c>
      <c r="B143" t="s">
        <v>8</v>
      </c>
      <c r="C143" t="s">
        <v>19</v>
      </c>
      <c r="D143" s="143">
        <f>$P$3*(INDEX(BAU_Fuel_cons!$E$25:$AS$25,1,MATCH($A61,BAU_Fuel_cons!$E$1:$AS$1,0)))</f>
        <v>0.10505957081294612</v>
      </c>
      <c r="J143" s="143">
        <f>$P$8*(INDEX(BAU_Fuel_cons!$E$25:$AS$25,1,MATCH($A61,BAU_Fuel_cons!$E$1:$AS$1,0)))</f>
        <v>9.5508700739041941E-2</v>
      </c>
      <c r="L143" s="143">
        <f t="shared" si="3"/>
        <v>0.20056827155198806</v>
      </c>
      <c r="M143" s="21">
        <f>L143/(INDEX(BAU_Fuel_cons!$E$3:$AS$3,1,MATCH($A143,BAU_Fuel_cons!$E$1:$AS$1,0)))</f>
        <v>7.1966856397663426E-2</v>
      </c>
    </row>
    <row r="144" spans="1:13">
      <c r="A144">
        <v>2029</v>
      </c>
      <c r="B144" t="s">
        <v>8</v>
      </c>
      <c r="C144" t="s">
        <v>19</v>
      </c>
      <c r="D144" s="143">
        <f>$P$3*(INDEX(BAU_Fuel_cons!$E$25:$AS$25,1,MATCH($A62,BAU_Fuel_cons!$E$1:$AS$1,0)))</f>
        <v>0.11015838650425995</v>
      </c>
      <c r="J144" s="143">
        <f>$P$8*(INDEX(BAU_Fuel_cons!$E$25:$AS$25,1,MATCH($A62,BAU_Fuel_cons!$E$1:$AS$1,0)))</f>
        <v>0.10014398773114541</v>
      </c>
      <c r="L144" s="143">
        <f t="shared" si="3"/>
        <v>0.21030237423540538</v>
      </c>
      <c r="M144" s="21">
        <f>L144/(INDEX(BAU_Fuel_cons!$E$3:$AS$3,1,MATCH($A144,BAU_Fuel_cons!$E$1:$AS$1,0)))</f>
        <v>7.0810294788010458E-2</v>
      </c>
    </row>
    <row r="145" spans="1:13">
      <c r="A145">
        <v>2030</v>
      </c>
      <c r="B145" t="s">
        <v>8</v>
      </c>
      <c r="C145" t="s">
        <v>19</v>
      </c>
      <c r="D145" s="143">
        <f>$P$3*(INDEX(BAU_Fuel_cons!$E$25:$AS$25,1,MATCH($A63,BAU_Fuel_cons!$E$1:$AS$1,0)))</f>
        <v>0.11542256355330104</v>
      </c>
      <c r="J145" s="143">
        <f>$P$8*(INDEX(BAU_Fuel_cons!$E$25:$AS$25,1,MATCH($A63,BAU_Fuel_cons!$E$1:$AS$1,0)))</f>
        <v>0.10492960323027367</v>
      </c>
      <c r="L145" s="143">
        <f t="shared" si="3"/>
        <v>0.22035216678357472</v>
      </c>
      <c r="M145" s="21">
        <f>L145/(INDEX(BAU_Fuel_cons!$E$3:$AS$3,1,MATCH($A145,BAU_Fuel_cons!$E$1:$AS$1,0)))</f>
        <v>6.9759256600956693E-2</v>
      </c>
    </row>
    <row r="146" spans="1:13">
      <c r="A146">
        <v>2031</v>
      </c>
      <c r="B146" t="s">
        <v>8</v>
      </c>
      <c r="C146" t="s">
        <v>19</v>
      </c>
      <c r="D146" s="143">
        <f>$P$3*(INDEX(BAU_Fuel_cons!$E$25:$AS$25,1,MATCH($A64,BAU_Fuel_cons!$E$1:$AS$1,0)))</f>
        <v>0.12085083268634467</v>
      </c>
      <c r="J146" s="143">
        <f>$P$8*(INDEX(BAU_Fuel_cons!$E$25:$AS$25,1,MATCH($A64,BAU_Fuel_cons!$E$1:$AS$1,0)))</f>
        <v>0.10986439335122243</v>
      </c>
      <c r="L146" s="143">
        <f t="shared" si="3"/>
        <v>0.23071522603756711</v>
      </c>
      <c r="M146" s="21">
        <f>L146/(INDEX(BAU_Fuel_cons!$E$3:$AS$3,1,MATCH($A146,BAU_Fuel_cons!$E$1:$AS$1,0)))</f>
        <v>6.8803020564793746E-2</v>
      </c>
    </row>
    <row r="147" spans="1:13">
      <c r="A147">
        <v>2032</v>
      </c>
      <c r="B147" t="s">
        <v>8</v>
      </c>
      <c r="C147" t="s">
        <v>19</v>
      </c>
      <c r="D147" s="143">
        <f>$P$3*(INDEX(BAU_Fuel_cons!$E$25:$AS$25,1,MATCH($A65,BAU_Fuel_cons!$E$1:$AS$1,0)))</f>
        <v>0.12644183692087299</v>
      </c>
      <c r="J147" s="143">
        <f>$P$8*(INDEX(BAU_Fuel_cons!$E$25:$AS$25,1,MATCH($A65,BAU_Fuel_cons!$E$1:$AS$1,0)))</f>
        <v>0.11494712447352091</v>
      </c>
      <c r="L147" s="143">
        <f t="shared" si="3"/>
        <v>0.24138896139439392</v>
      </c>
      <c r="M147" s="21">
        <f>L147/(INDEX(BAU_Fuel_cons!$E$3:$AS$3,1,MATCH($A147,BAU_Fuel_cons!$E$1:$AS$1,0)))</f>
        <v>6.7931977898236157E-2</v>
      </c>
    </row>
    <row r="148" spans="1:13">
      <c r="A148">
        <v>2033</v>
      </c>
      <c r="B148" t="s">
        <v>8</v>
      </c>
      <c r="C148" t="s">
        <v>19</v>
      </c>
      <c r="D148" s="143">
        <f>$P$3*(INDEX(BAU_Fuel_cons!$E$25:$AS$25,1,MATCH($A66,BAU_Fuel_cons!$E$1:$AS$1,0)))</f>
        <v>0.13219261260086052</v>
      </c>
      <c r="J148" s="143">
        <f>$P$8*(INDEX(BAU_Fuel_cons!$E$25:$AS$25,1,MATCH($A66,BAU_Fuel_cons!$E$1:$AS$1,0)))</f>
        <v>0.12017510236441864</v>
      </c>
      <c r="L148" s="143">
        <f t="shared" si="3"/>
        <v>0.25236771496527916</v>
      </c>
      <c r="M148" s="21">
        <f>L148/(INDEX(BAU_Fuel_cons!$E$3:$AS$3,1,MATCH($A148,BAU_Fuel_cons!$E$1:$AS$1,0)))</f>
        <v>6.7137541318638833E-2</v>
      </c>
    </row>
    <row r="149" spans="1:13">
      <c r="A149">
        <v>2034</v>
      </c>
      <c r="B149" t="s">
        <v>8</v>
      </c>
      <c r="C149" t="s">
        <v>19</v>
      </c>
      <c r="D149" s="143">
        <f>$P$3*(INDEX(BAU_Fuel_cons!$E$25:$AS$25,1,MATCH($A67,BAU_Fuel_cons!$E$1:$AS$1,0)))</f>
        <v>0.13809668698175945</v>
      </c>
      <c r="J149" s="143">
        <f>$P$8*(INDEX(BAU_Fuel_cons!$E$25:$AS$25,1,MATCH($A67,BAU_Fuel_cons!$E$1:$AS$1,0)))</f>
        <v>0.1255424427106904</v>
      </c>
      <c r="L149" s="143">
        <f t="shared" si="3"/>
        <v>0.26363912969244985</v>
      </c>
      <c r="M149" s="21">
        <f>L149/(INDEX(BAU_Fuel_cons!$E$3:$AS$3,1,MATCH($A149,BAU_Fuel_cons!$E$1:$AS$1,0)))</f>
        <v>6.6411323437927924E-2</v>
      </c>
    </row>
    <row r="150" spans="1:13">
      <c r="A150">
        <v>2035</v>
      </c>
      <c r="B150" t="s">
        <v>8</v>
      </c>
      <c r="C150" t="s">
        <v>19</v>
      </c>
      <c r="D150" s="143">
        <f>$P$3*(INDEX(BAU_Fuel_cons!$E$25:$AS$25,1,MATCH($A68,BAU_Fuel_cons!$E$1:$AS$1,0)))</f>
        <v>0.14419451338042968</v>
      </c>
      <c r="J150" s="143">
        <f>$P$8*(INDEX(BAU_Fuel_cons!$E$25:$AS$25,1,MATCH($A68,BAU_Fuel_cons!$E$1:$AS$1,0)))</f>
        <v>0.13108592125493609</v>
      </c>
      <c r="L150" s="143">
        <f t="shared" si="3"/>
        <v>0.27528043463536578</v>
      </c>
      <c r="M150" s="21">
        <f>L150/(INDEX(BAU_Fuel_cons!$E$3:$AS$3,1,MATCH($A150,BAU_Fuel_cons!$E$1:$AS$1,0)))</f>
        <v>6.575111808772309E-2</v>
      </c>
    </row>
    <row r="151" spans="1:13">
      <c r="A151">
        <v>2036</v>
      </c>
      <c r="B151" t="s">
        <v>8</v>
      </c>
      <c r="C151" t="s">
        <v>19</v>
      </c>
      <c r="D151" s="143">
        <f>$P$3*(INDEX(BAU_Fuel_cons!$E$25:$AS$25,1,MATCH($A69,BAU_Fuel_cons!$E$1:$AS$1,0)))</f>
        <v>0.15048140792679129</v>
      </c>
      <c r="J151" s="143">
        <f>$P$8*(INDEX(BAU_Fuel_cons!$E$25:$AS$25,1,MATCH($A69,BAU_Fuel_cons!$E$1:$AS$1,0)))</f>
        <v>0.13680127993344662</v>
      </c>
      <c r="L151" s="143">
        <f t="shared" si="3"/>
        <v>0.28728268786023792</v>
      </c>
      <c r="M151" s="21">
        <f>L151/(INDEX(BAU_Fuel_cons!$E$3:$AS$3,1,MATCH($A151,BAU_Fuel_cons!$E$1:$AS$1,0)))</f>
        <v>6.5149929006957763E-2</v>
      </c>
    </row>
    <row r="152" spans="1:13">
      <c r="A152">
        <v>2037</v>
      </c>
      <c r="B152" t="s">
        <v>8</v>
      </c>
      <c r="C152" t="s">
        <v>19</v>
      </c>
      <c r="D152" s="143">
        <f>$P$3*(INDEX(BAU_Fuel_cons!$E$25:$AS$25,1,MATCH($A70,BAU_Fuel_cons!$E$1:$AS$1,0)))</f>
        <v>0.15695954043318752</v>
      </c>
      <c r="J152" s="143">
        <f>$P$8*(INDEX(BAU_Fuel_cons!$E$25:$AS$25,1,MATCH($A70,BAU_Fuel_cons!$E$1:$AS$1,0)))</f>
        <v>0.14269049130289777</v>
      </c>
      <c r="L152" s="143">
        <f t="shared" si="3"/>
        <v>0.29965003173608529</v>
      </c>
      <c r="M152" s="21">
        <f>L152/(INDEX(BAU_Fuel_cons!$E$3:$AS$3,1,MATCH($A152,BAU_Fuel_cons!$E$1:$AS$1,0)))</f>
        <v>6.4603124445098692E-2</v>
      </c>
    </row>
    <row r="153" spans="1:13">
      <c r="A153">
        <v>2038</v>
      </c>
      <c r="B153" t="s">
        <v>8</v>
      </c>
      <c r="C153" t="s">
        <v>19</v>
      </c>
      <c r="D153" s="143">
        <f>$P$3*(INDEX(BAU_Fuel_cons!$E$25:$AS$25,1,MATCH($A71,BAU_Fuel_cons!$E$1:$AS$1,0)))</f>
        <v>0.16363215237052037</v>
      </c>
      <c r="J153" s="143">
        <f>$P$8*(INDEX(BAU_Fuel_cons!$E$25:$AS$25,1,MATCH($A71,BAU_Fuel_cons!$E$1:$AS$1,0)))</f>
        <v>0.14875650215501854</v>
      </c>
      <c r="L153" s="143">
        <f t="shared" si="3"/>
        <v>0.31238865452553888</v>
      </c>
      <c r="M153" s="21">
        <f>L153/(INDEX(BAU_Fuel_cons!$E$3:$AS$3,1,MATCH($A153,BAU_Fuel_cons!$E$1:$AS$1,0)))</f>
        <v>6.4106651822477156E-2</v>
      </c>
    </row>
    <row r="154" spans="1:13">
      <c r="A154">
        <v>2039</v>
      </c>
      <c r="B154" t="s">
        <v>8</v>
      </c>
      <c r="C154" t="s">
        <v>19</v>
      </c>
      <c r="D154" s="143">
        <f>$P$3*(INDEX(BAU_Fuel_cons!$E$25:$AS$25,1,MATCH($A72,BAU_Fuel_cons!$E$1:$AS$1,0)))</f>
        <v>0.17050285201367416</v>
      </c>
      <c r="J154" s="143">
        <f>$P$8*(INDEX(BAU_Fuel_cons!$E$25:$AS$25,1,MATCH($A72,BAU_Fuel_cons!$E$1:$AS$1,0)))</f>
        <v>0.15500259273970379</v>
      </c>
      <c r="L154" s="143">
        <f t="shared" si="3"/>
        <v>0.32550544475337795</v>
      </c>
      <c r="M154" s="21">
        <f>L154/(INDEX(BAU_Fuel_cons!$E$3:$AS$3,1,MATCH($A154,BAU_Fuel_cons!$E$1:$AS$1,0)))</f>
        <v>6.3656989028263999E-2</v>
      </c>
    </row>
    <row r="155" spans="1:13">
      <c r="A155">
        <v>2040</v>
      </c>
      <c r="B155" t="s">
        <v>8</v>
      </c>
      <c r="C155" t="s">
        <v>19</v>
      </c>
      <c r="D155" s="143">
        <f>$P$3*(INDEX(BAU_Fuel_cons!$E$25:$AS$25,1,MATCH($A73,BAU_Fuel_cons!$E$1:$AS$1,0)))</f>
        <v>0.17757489108891611</v>
      </c>
      <c r="J155" s="143">
        <f>$P$8*(INDEX(BAU_Fuel_cons!$E$25:$AS$25,1,MATCH($A73,BAU_Fuel_cons!$E$1:$AS$1,0)))</f>
        <v>0.16143171917174193</v>
      </c>
      <c r="L155" s="143">
        <f t="shared" si="3"/>
        <v>0.33900661026065804</v>
      </c>
      <c r="M155" s="21">
        <f>L155/(INDEX(BAU_Fuel_cons!$E$3:$AS$3,1,MATCH($A155,BAU_Fuel_cons!$E$1:$AS$1,0)))</f>
        <v>6.3250924348659948E-2</v>
      </c>
    </row>
    <row r="156" spans="1:13">
      <c r="A156">
        <v>2041</v>
      </c>
      <c r="B156" t="s">
        <v>8</v>
      </c>
      <c r="C156" t="s">
        <v>19</v>
      </c>
      <c r="D156" s="143">
        <f>$P$3*(INDEX(BAU_Fuel_cons!$E$25:$AS$25,1,MATCH($A74,BAU_Fuel_cons!$E$1:$AS$1,0)))</f>
        <v>0.18485048622952027</v>
      </c>
      <c r="J156" s="143">
        <f>$P$8*(INDEX(BAU_Fuel_cons!$E$25:$AS$25,1,MATCH($A74,BAU_Fuel_cons!$E$1:$AS$1,0)))</f>
        <v>0.16804589657229119</v>
      </c>
      <c r="L156" s="143">
        <f t="shared" si="3"/>
        <v>0.35289638280181146</v>
      </c>
      <c r="M156" s="21">
        <f>L156/(INDEX(BAU_Fuel_cons!$E$3:$AS$3,1,MATCH($A156,BAU_Fuel_cons!$E$1:$AS$1,0)))</f>
        <v>6.2885492324753184E-2</v>
      </c>
    </row>
    <row r="157" spans="1:13">
      <c r="A157">
        <v>2042</v>
      </c>
      <c r="B157" t="s">
        <v>8</v>
      </c>
      <c r="C157" t="s">
        <v>19</v>
      </c>
      <c r="D157" s="143">
        <f>$P$3*(INDEX(BAU_Fuel_cons!$E$25:$AS$25,1,MATCH($A75,BAU_Fuel_cons!$E$1:$AS$1,0)))</f>
        <v>0.19233138548759432</v>
      </c>
      <c r="J157" s="143">
        <f>$P$8*(INDEX(BAU_Fuel_cons!$E$25:$AS$25,1,MATCH($A75,BAU_Fuel_cons!$E$1:$AS$1,0)))</f>
        <v>0.1748467140796312</v>
      </c>
      <c r="L157" s="143">
        <f t="shared" si="3"/>
        <v>0.36717809956722552</v>
      </c>
      <c r="M157" s="21">
        <f>L157/(INDEX(BAU_Fuel_cons!$E$3:$AS$3,1,MATCH($A157,BAU_Fuel_cons!$E$1:$AS$1,0)))</f>
        <v>6.2558013225322756E-2</v>
      </c>
    </row>
    <row r="158" spans="1:13">
      <c r="A158">
        <v>2043</v>
      </c>
      <c r="B158" t="s">
        <v>8</v>
      </c>
      <c r="C158" t="s">
        <v>19</v>
      </c>
      <c r="D158" s="143">
        <f>$P$3*(INDEX(BAU_Fuel_cons!$E$25:$AS$25,1,MATCH($A76,BAU_Fuel_cons!$E$1:$AS$1,0)))</f>
        <v>0.20001965210746175</v>
      </c>
      <c r="J158" s="143">
        <f>$P$8*(INDEX(BAU_Fuel_cons!$E$25:$AS$25,1,MATCH($A76,BAU_Fuel_cons!$E$1:$AS$1,0)))</f>
        <v>0.18183604737041981</v>
      </c>
      <c r="L158" s="143">
        <f t="shared" si="3"/>
        <v>0.38185569947788156</v>
      </c>
      <c r="M158" s="21">
        <f>L158/(INDEX(BAU_Fuel_cons!$E$3:$AS$3,1,MATCH($A158,BAU_Fuel_cons!$E$1:$AS$1,0)))</f>
        <v>6.2266209645690171E-2</v>
      </c>
    </row>
    <row r="159" spans="1:13">
      <c r="A159">
        <v>2044</v>
      </c>
      <c r="B159" t="s">
        <v>8</v>
      </c>
      <c r="C159" t="s">
        <v>19</v>
      </c>
      <c r="D159" s="143">
        <f>$P$3*(INDEX(BAU_Fuel_cons!$E$25:$AS$25,1,MATCH($A77,BAU_Fuel_cons!$E$1:$AS$1,0)))</f>
        <v>0.20791722985354022</v>
      </c>
      <c r="J159" s="143">
        <f>$P$8*(INDEX(BAU_Fuel_cons!$E$25:$AS$25,1,MATCH($A77,BAU_Fuel_cons!$E$1:$AS$1,0)))</f>
        <v>0.18901566350321841</v>
      </c>
      <c r="L159" s="143">
        <f t="shared" si="3"/>
        <v>0.39693289335675863</v>
      </c>
      <c r="M159" s="21">
        <f>L159/(INDEX(BAU_Fuel_cons!$E$3:$AS$3,1,MATCH($A159,BAU_Fuel_cons!$E$1:$AS$1,0)))</f>
        <v>6.2008075281818072E-2</v>
      </c>
    </row>
    <row r="160" spans="1:13">
      <c r="A160">
        <v>2045</v>
      </c>
      <c r="B160" t="s">
        <v>8</v>
      </c>
      <c r="C160" t="s">
        <v>19</v>
      </c>
      <c r="D160" s="143">
        <f>$P$3*(INDEX(BAU_Fuel_cons!$E$25:$AS$25,1,MATCH($A78,BAU_Fuel_cons!$E$1:$AS$1,0)))</f>
        <v>0.21602572200483991</v>
      </c>
      <c r="J160" s="143">
        <f>$P$8*(INDEX(BAU_Fuel_cons!$E$25:$AS$25,1,MATCH($A78,BAU_Fuel_cons!$E$1:$AS$1,0)))</f>
        <v>0.19638702000439992</v>
      </c>
      <c r="L160" s="143">
        <f t="shared" si="3"/>
        <v>0.41241274200923983</v>
      </c>
      <c r="M160" s="21">
        <f>L160/(INDEX(BAU_Fuel_cons!$E$3:$AS$3,1,MATCH($A160,BAU_Fuel_cons!$E$1:$AS$1,0)))</f>
        <v>6.1781704063775485E-2</v>
      </c>
    </row>
    <row r="161" spans="1:13">
      <c r="A161">
        <v>2046</v>
      </c>
      <c r="B161" t="s">
        <v>8</v>
      </c>
      <c r="C161" t="s">
        <v>19</v>
      </c>
      <c r="D161" s="143">
        <f>$P$3*(INDEX(BAU_Fuel_cons!$E$25:$AS$25,1,MATCH($A79,BAU_Fuel_cons!$E$1:$AS$1,0)))</f>
        <v>0.22434632294786863</v>
      </c>
      <c r="J161" s="143">
        <f>$P$8*(INDEX(BAU_Fuel_cons!$E$25:$AS$25,1,MATCH($A79,BAU_Fuel_cons!$E$1:$AS$1,0)))</f>
        <v>0.20395120267988057</v>
      </c>
      <c r="L161" s="143">
        <f t="shared" si="3"/>
        <v>0.4282975256277492</v>
      </c>
      <c r="M161" s="21">
        <f>L161/(INDEX(BAU_Fuel_cons!$E$3:$AS$3,1,MATCH($A161,BAU_Fuel_cons!$E$1:$AS$1,0)))</f>
        <v>6.1585324475139404E-2</v>
      </c>
    </row>
    <row r="162" spans="1:13">
      <c r="A162">
        <v>2047</v>
      </c>
      <c r="B162" t="s">
        <v>8</v>
      </c>
      <c r="C162" t="s">
        <v>19</v>
      </c>
      <c r="D162" s="143">
        <f>$P$3*(INDEX(BAU_Fuel_cons!$E$25:$AS$25,1,MATCH($A80,BAU_Fuel_cons!$E$1:$AS$1,0)))</f>
        <v>0.2328796493766597</v>
      </c>
      <c r="J162" s="143">
        <f>$P$8*(INDEX(BAU_Fuel_cons!$E$25:$AS$25,1,MATCH($A80,BAU_Fuel_cons!$E$1:$AS$1,0)))</f>
        <v>0.21170877216059975</v>
      </c>
      <c r="L162" s="143">
        <f t="shared" si="3"/>
        <v>0.44458842153725942</v>
      </c>
      <c r="M162" s="21">
        <f>L162/(INDEX(BAU_Fuel_cons!$E$3:$AS$3,1,MATCH($A162,BAU_Fuel_cons!$E$1:$AS$1,0)))</f>
        <v>6.1417188442607844E-2</v>
      </c>
    </row>
    <row r="163" spans="1:13">
      <c r="A163">
        <v>2048</v>
      </c>
      <c r="B163" t="s">
        <v>8</v>
      </c>
      <c r="C163" t="s">
        <v>19</v>
      </c>
      <c r="D163" s="143">
        <f>$P$3*(INDEX(BAU_Fuel_cons!$E$25:$AS$25,1,MATCH($A81,BAU_Fuel_cons!$E$1:$AS$1,0)))</f>
        <v>0.24162614023314416</v>
      </c>
      <c r="J163" s="143">
        <f>$P$8*(INDEX(BAU_Fuel_cons!$E$25:$AS$25,1,MATCH($A81,BAU_Fuel_cons!$E$1:$AS$1,0)))</f>
        <v>0.21966012748467653</v>
      </c>
      <c r="L163" s="143">
        <f t="shared" si="3"/>
        <v>0.46128626771782066</v>
      </c>
      <c r="M163" s="21">
        <f>L163/(INDEX(BAU_Fuel_cons!$E$3:$AS$3,1,MATCH($A163,BAU_Fuel_cons!$E$1:$AS$1,0)))</f>
        <v>6.127563378072854E-2</v>
      </c>
    </row>
    <row r="164" spans="1:13">
      <c r="A164">
        <v>2049</v>
      </c>
      <c r="B164" t="s">
        <v>8</v>
      </c>
      <c r="C164" t="s">
        <v>19</v>
      </c>
      <c r="D164" s="143">
        <f>$P$3*(INDEX(BAU_Fuel_cons!$E$25:$AS$25,1,MATCH($A82,BAU_Fuel_cons!$E$1:$AS$1,0)))</f>
        <v>0.25058563012505863</v>
      </c>
      <c r="J164" s="143">
        <f>$P$8*(INDEX(BAU_Fuel_cons!$E$25:$AS$25,1,MATCH($A82,BAU_Fuel_cons!$E$1:$AS$1,0)))</f>
        <v>0.22780511829550787</v>
      </c>
      <c r="L164" s="143">
        <f t="shared" si="3"/>
        <v>0.4783907484205665</v>
      </c>
      <c r="M164" s="21">
        <f>L164/(INDEX(BAU_Fuel_cons!$E$3:$AS$3,1,MATCH($A164,BAU_Fuel_cons!$E$1:$AS$1,0)))</f>
        <v>6.1159051693438451E-2</v>
      </c>
    </row>
    <row r="165" spans="1:13">
      <c r="A165">
        <v>2050</v>
      </c>
      <c r="B165" t="s">
        <v>8</v>
      </c>
      <c r="C165" t="s">
        <v>19</v>
      </c>
      <c r="D165" s="143">
        <f>$P$3*(INDEX(BAU_Fuel_cons!$E$25:$AS$25,1,MATCH($A83,BAU_Fuel_cons!$E$1:$AS$1,0)))</f>
        <v>0.25975774688878928</v>
      </c>
      <c r="J165" s="143">
        <f>$P$8*(INDEX(BAU_Fuel_cons!$E$25:$AS$25,1,MATCH($A83,BAU_Fuel_cons!$E$1:$AS$1,0)))</f>
        <v>0.23614340626253572</v>
      </c>
      <c r="L165" s="143">
        <f t="shared" si="3"/>
        <v>0.49590115315132499</v>
      </c>
      <c r="M165" s="21">
        <f>L165/(INDEX(BAU_Fuel_cons!$E$3:$AS$3,1,MATCH($A165,BAU_Fuel_cons!$E$1:$AS$1,0)))</f>
        <v>6.1066014776069433E-2</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C418-8A1E-8842-BA87-27BDAB3AFBC1}">
  <dimension ref="A1:P84"/>
  <sheetViews>
    <sheetView workbookViewId="0">
      <pane xSplit="1" ySplit="2" topLeftCell="B3" activePane="bottomRight" state="frozen"/>
      <selection pane="topRight" activeCell="B1" sqref="B1"/>
      <selection pane="bottomLeft" activeCell="A3" sqref="A3"/>
      <selection pane="bottomRight" activeCell="B2" sqref="B2"/>
    </sheetView>
  </sheetViews>
  <sheetFormatPr baseColWidth="10" defaultRowHeight="16"/>
  <cols>
    <col min="1" max="1" width="35.33203125" customWidth="1"/>
    <col min="2" max="2" width="11" bestFit="1" customWidth="1"/>
    <col min="3" max="3" width="11.83203125" customWidth="1"/>
    <col min="4" max="5" width="11.6640625" customWidth="1"/>
    <col min="6" max="7" width="11" bestFit="1" customWidth="1"/>
    <col min="9" max="11" width="11" customWidth="1"/>
    <col min="12" max="12" width="11" bestFit="1" customWidth="1"/>
    <col min="13" max="13" width="10.83203125" customWidth="1"/>
  </cols>
  <sheetData>
    <row r="1" spans="1:14">
      <c r="A1" s="133"/>
      <c r="B1" s="133" t="s">
        <v>76</v>
      </c>
      <c r="C1" s="133"/>
      <c r="D1" s="133"/>
      <c r="E1" s="133"/>
      <c r="F1" s="133"/>
      <c r="G1" s="133"/>
      <c r="H1" s="133"/>
      <c r="I1" s="133"/>
      <c r="J1" s="133"/>
      <c r="K1" s="133"/>
      <c r="L1" s="133"/>
      <c r="M1" s="133"/>
      <c r="N1" s="133" t="s">
        <v>77</v>
      </c>
    </row>
    <row r="2" spans="1:14">
      <c r="A2" s="133" t="s">
        <v>78</v>
      </c>
      <c r="B2" s="133" t="s">
        <v>79</v>
      </c>
      <c r="C2" s="133" t="s">
        <v>80</v>
      </c>
      <c r="D2" s="134" t="s">
        <v>9</v>
      </c>
      <c r="E2" s="134" t="s">
        <v>10</v>
      </c>
      <c r="F2" s="133" t="s">
        <v>34</v>
      </c>
      <c r="G2" s="133" t="s">
        <v>40</v>
      </c>
      <c r="H2" s="133" t="s">
        <v>83</v>
      </c>
      <c r="I2" s="133" t="s">
        <v>82</v>
      </c>
      <c r="J2" s="133" t="s">
        <v>81</v>
      </c>
      <c r="K2" s="133" t="s">
        <v>16</v>
      </c>
      <c r="L2" s="133" t="s">
        <v>46</v>
      </c>
      <c r="M2" s="133"/>
      <c r="N2" s="133" t="s">
        <v>84</v>
      </c>
    </row>
    <row r="3" spans="1:14">
      <c r="A3" s="135" t="s">
        <v>85</v>
      </c>
      <c r="B3" s="55">
        <v>0</v>
      </c>
      <c r="C3" s="55">
        <v>232.60500000000002</v>
      </c>
      <c r="D3" s="55">
        <f>B3</f>
        <v>0</v>
      </c>
      <c r="E3" s="55">
        <f>C3</f>
        <v>232.60500000000002</v>
      </c>
      <c r="F3" s="55">
        <v>0.67499999999999993</v>
      </c>
      <c r="G3" s="55">
        <v>0.40419999999999995</v>
      </c>
      <c r="H3" s="55">
        <v>0</v>
      </c>
      <c r="I3" s="55">
        <v>0</v>
      </c>
      <c r="J3" s="55">
        <v>420.03899999999999</v>
      </c>
      <c r="K3" s="55"/>
      <c r="L3" s="55">
        <v>3.5200000000000002E-2</v>
      </c>
    </row>
    <row r="4" spans="1:14">
      <c r="A4" s="135" t="s">
        <v>86</v>
      </c>
      <c r="B4" s="55">
        <v>0</v>
      </c>
      <c r="C4" s="55">
        <v>0.40499999999999997</v>
      </c>
      <c r="D4" s="55">
        <f t="shared" ref="D4:E13" si="0">B4</f>
        <v>0</v>
      </c>
      <c r="E4" s="55">
        <f t="shared" si="0"/>
        <v>0.40499999999999997</v>
      </c>
      <c r="F4" s="55">
        <v>0.67499999999999993</v>
      </c>
      <c r="G4" s="55">
        <v>1.2125999999999999</v>
      </c>
      <c r="H4" s="55">
        <v>0</v>
      </c>
      <c r="I4" s="55">
        <v>0.74650000000000005</v>
      </c>
      <c r="J4" s="55">
        <v>20.303999999999998</v>
      </c>
      <c r="K4" s="55"/>
      <c r="L4" s="55">
        <v>0</v>
      </c>
    </row>
    <row r="5" spans="1:14">
      <c r="A5" s="135" t="s">
        <v>87</v>
      </c>
      <c r="B5" s="55">
        <v>0</v>
      </c>
      <c r="C5" s="55">
        <v>7.8974999999999991</v>
      </c>
      <c r="D5" s="55">
        <f t="shared" si="0"/>
        <v>0</v>
      </c>
      <c r="E5" s="55">
        <f t="shared" si="0"/>
        <v>7.8974999999999991</v>
      </c>
      <c r="F5" s="55">
        <v>0</v>
      </c>
      <c r="G5" s="55">
        <v>0</v>
      </c>
      <c r="H5" s="55">
        <v>0</v>
      </c>
      <c r="I5" s="55">
        <v>0</v>
      </c>
      <c r="J5" s="55">
        <v>40.607999999999997</v>
      </c>
      <c r="K5" s="55"/>
      <c r="L5" s="55">
        <v>3.5200000000000002E-2</v>
      </c>
    </row>
    <row r="6" spans="1:14">
      <c r="A6" s="135" t="s">
        <v>88</v>
      </c>
      <c r="B6" s="55">
        <v>0</v>
      </c>
      <c r="C6" s="55">
        <v>23.085000000000001</v>
      </c>
      <c r="D6" s="55">
        <f t="shared" si="0"/>
        <v>0</v>
      </c>
      <c r="E6" s="55">
        <f t="shared" si="0"/>
        <v>23.085000000000001</v>
      </c>
      <c r="F6" s="55">
        <v>0</v>
      </c>
      <c r="G6" s="55">
        <v>0</v>
      </c>
      <c r="H6" s="55">
        <v>0</v>
      </c>
      <c r="I6" s="55">
        <v>0</v>
      </c>
      <c r="J6" s="55">
        <v>13.959000000000001</v>
      </c>
      <c r="K6" s="55"/>
      <c r="L6" s="55">
        <v>0</v>
      </c>
    </row>
    <row r="7" spans="1:14">
      <c r="A7" s="135" t="s">
        <v>89</v>
      </c>
      <c r="B7" s="55">
        <v>0</v>
      </c>
      <c r="C7" s="55">
        <v>0</v>
      </c>
      <c r="D7" s="55">
        <f t="shared" si="0"/>
        <v>0</v>
      </c>
      <c r="E7" s="55">
        <f t="shared" si="0"/>
        <v>0</v>
      </c>
      <c r="F7" s="55">
        <v>0.9</v>
      </c>
      <c r="G7" s="55">
        <v>0.60629999999999995</v>
      </c>
      <c r="H7" s="55">
        <v>0</v>
      </c>
      <c r="I7" s="55">
        <v>0.60120000000000007</v>
      </c>
      <c r="J7" s="55">
        <v>5.0759999999999996</v>
      </c>
      <c r="K7" s="55"/>
      <c r="L7" s="55">
        <v>0</v>
      </c>
    </row>
    <row r="8" spans="1:14">
      <c r="A8" s="135" t="s">
        <v>90</v>
      </c>
      <c r="B8" s="55">
        <v>0</v>
      </c>
      <c r="C8" s="55">
        <v>2.835</v>
      </c>
      <c r="D8" s="55">
        <f t="shared" si="0"/>
        <v>0</v>
      </c>
      <c r="E8" s="55">
        <f t="shared" si="0"/>
        <v>2.835</v>
      </c>
      <c r="F8" s="55">
        <v>6.7500000000000008E-3</v>
      </c>
      <c r="G8" s="55">
        <v>1.4146999999999998E-2</v>
      </c>
      <c r="H8" s="55">
        <v>0</v>
      </c>
      <c r="I8" s="55">
        <v>0</v>
      </c>
      <c r="J8" s="55">
        <v>1.2689999999999999</v>
      </c>
      <c r="K8" s="55"/>
      <c r="L8" s="55">
        <v>4.4704000000000001E-2</v>
      </c>
    </row>
    <row r="9" spans="1:14">
      <c r="A9" s="135" t="s">
        <v>91</v>
      </c>
      <c r="B9" s="55">
        <v>0</v>
      </c>
      <c r="C9" s="55">
        <v>10.125</v>
      </c>
      <c r="D9" s="55">
        <f t="shared" si="0"/>
        <v>0</v>
      </c>
      <c r="E9" s="55">
        <f t="shared" si="0"/>
        <v>10.125</v>
      </c>
      <c r="F9" s="55">
        <v>0</v>
      </c>
      <c r="G9" s="55">
        <v>0</v>
      </c>
      <c r="H9" s="55">
        <v>0</v>
      </c>
      <c r="I9" s="55">
        <v>0</v>
      </c>
      <c r="J9" s="55">
        <v>5.0759999999999996</v>
      </c>
      <c r="K9" s="55"/>
      <c r="L9" s="55">
        <v>0</v>
      </c>
    </row>
    <row r="10" spans="1:14">
      <c r="A10" s="136" t="s">
        <v>92</v>
      </c>
      <c r="B10" s="55">
        <v>0</v>
      </c>
      <c r="C10" s="55">
        <v>55.6875</v>
      </c>
      <c r="D10" s="55">
        <f t="shared" si="0"/>
        <v>0</v>
      </c>
      <c r="E10" s="55">
        <f t="shared" si="0"/>
        <v>55.6875</v>
      </c>
      <c r="F10" s="55">
        <v>4.7249999999999996</v>
      </c>
      <c r="G10" s="55">
        <v>4.2440999999999995</v>
      </c>
      <c r="H10" s="55">
        <v>0</v>
      </c>
      <c r="I10" s="55">
        <v>0.13400000000000001</v>
      </c>
      <c r="J10" s="55">
        <v>16.497</v>
      </c>
      <c r="K10" s="55"/>
      <c r="L10" s="55">
        <v>1.6895999999999998</v>
      </c>
    </row>
    <row r="11" spans="1:14">
      <c r="A11" s="135" t="s">
        <v>93</v>
      </c>
      <c r="B11" s="55">
        <v>0</v>
      </c>
      <c r="C11" s="55">
        <v>0.20249999999999999</v>
      </c>
      <c r="D11" s="55">
        <f t="shared" si="0"/>
        <v>0</v>
      </c>
      <c r="E11" s="55">
        <f t="shared" si="0"/>
        <v>0.20249999999999999</v>
      </c>
      <c r="F11" s="55">
        <v>6.7500000000000008E-3</v>
      </c>
      <c r="G11" s="55">
        <v>6.0630000000000007E-3</v>
      </c>
      <c r="H11" s="55">
        <v>0</v>
      </c>
      <c r="I11" s="55">
        <v>2.4E-2</v>
      </c>
      <c r="J11" s="55">
        <v>1.2689999999999999</v>
      </c>
      <c r="K11" s="55"/>
      <c r="L11" s="55">
        <v>0</v>
      </c>
    </row>
    <row r="12" spans="1:14">
      <c r="A12" s="136" t="s">
        <v>94</v>
      </c>
      <c r="B12" s="55">
        <v>0</v>
      </c>
      <c r="C12" s="55">
        <v>416.67749999999995</v>
      </c>
      <c r="D12" s="55">
        <f t="shared" si="0"/>
        <v>0</v>
      </c>
      <c r="E12" s="55">
        <f t="shared" si="0"/>
        <v>416.67749999999995</v>
      </c>
      <c r="F12" s="55">
        <v>0.45</v>
      </c>
      <c r="G12" s="55">
        <v>0.20209999999999997</v>
      </c>
      <c r="H12" s="55">
        <v>0</v>
      </c>
      <c r="I12" s="55">
        <v>0</v>
      </c>
      <c r="J12" s="55">
        <v>31.724999999999998</v>
      </c>
      <c r="K12" s="55"/>
      <c r="L12" s="55">
        <v>0</v>
      </c>
    </row>
    <row r="13" spans="1:14">
      <c r="A13" s="135" t="s">
        <v>95</v>
      </c>
      <c r="B13" s="55">
        <v>0</v>
      </c>
      <c r="C13" s="55">
        <v>2358.2474999999999</v>
      </c>
      <c r="D13" s="55">
        <f t="shared" si="0"/>
        <v>0</v>
      </c>
      <c r="E13" s="55">
        <f t="shared" si="0"/>
        <v>2358.2474999999999</v>
      </c>
      <c r="F13" s="55">
        <v>505.57499999999999</v>
      </c>
      <c r="G13" s="55">
        <v>374.89549999999997</v>
      </c>
      <c r="H13" s="55">
        <v>245.92899433095167</v>
      </c>
      <c r="I13" s="55">
        <v>64.74799999999999</v>
      </c>
      <c r="J13" s="55">
        <v>-313.44299999999998</v>
      </c>
      <c r="K13" s="55"/>
      <c r="L13" s="55">
        <v>4.9631999999999996</v>
      </c>
    </row>
    <row r="14" spans="1:14">
      <c r="A14" t="s">
        <v>96</v>
      </c>
    </row>
    <row r="15" spans="1:14">
      <c r="A15" s="135" t="s">
        <v>85</v>
      </c>
      <c r="B15" s="55">
        <v>0</v>
      </c>
      <c r="C15" s="55">
        <v>0</v>
      </c>
      <c r="D15" s="55">
        <f>B15</f>
        <v>0</v>
      </c>
      <c r="E15" s="55">
        <f>C15</f>
        <v>0</v>
      </c>
      <c r="F15" s="55">
        <v>0.22500000000000001</v>
      </c>
      <c r="G15" s="55">
        <v>0</v>
      </c>
      <c r="H15" s="55">
        <v>0</v>
      </c>
      <c r="I15" s="55">
        <v>0</v>
      </c>
      <c r="J15" s="55">
        <v>0</v>
      </c>
      <c r="K15" s="55"/>
      <c r="L15" s="55">
        <v>0</v>
      </c>
    </row>
    <row r="16" spans="1:14">
      <c r="A16" s="135" t="s">
        <v>97</v>
      </c>
      <c r="B16" s="55">
        <v>0</v>
      </c>
      <c r="C16" s="55">
        <v>6.7500000000000004E-2</v>
      </c>
      <c r="D16" s="55">
        <f t="shared" ref="D16:E25" si="1">B16</f>
        <v>0</v>
      </c>
      <c r="E16" s="55">
        <f t="shared" si="1"/>
        <v>6.7500000000000004E-2</v>
      </c>
      <c r="F16" s="55">
        <v>1.3499999999999999</v>
      </c>
      <c r="G16" s="55">
        <v>0.20209999999999997</v>
      </c>
      <c r="H16" s="55">
        <v>0</v>
      </c>
      <c r="I16" s="55">
        <v>5.6000000000000008E-2</v>
      </c>
      <c r="J16" s="55">
        <v>1.2689999999999999</v>
      </c>
      <c r="K16" s="55"/>
      <c r="L16" s="55">
        <v>3.5200000000000002E-2</v>
      </c>
    </row>
    <row r="17" spans="1:12">
      <c r="A17" s="135" t="s">
        <v>98</v>
      </c>
      <c r="B17" s="55">
        <v>0</v>
      </c>
      <c r="C17" s="55">
        <v>0</v>
      </c>
      <c r="D17" s="55">
        <f t="shared" si="1"/>
        <v>0</v>
      </c>
      <c r="E17" s="55">
        <f t="shared" si="1"/>
        <v>0</v>
      </c>
      <c r="F17" s="55">
        <v>0</v>
      </c>
      <c r="G17" s="55">
        <v>0</v>
      </c>
      <c r="H17" s="55">
        <v>0</v>
      </c>
      <c r="I17" s="55">
        <v>0</v>
      </c>
      <c r="J17" s="55">
        <v>0</v>
      </c>
      <c r="K17" s="55"/>
      <c r="L17" s="55">
        <v>0</v>
      </c>
    </row>
    <row r="18" spans="1:12">
      <c r="A18" s="135" t="s">
        <v>99</v>
      </c>
      <c r="B18" s="55">
        <v>0</v>
      </c>
      <c r="C18" s="55">
        <v>0</v>
      </c>
      <c r="D18" s="55">
        <f t="shared" si="1"/>
        <v>0</v>
      </c>
      <c r="E18" s="55">
        <f t="shared" si="1"/>
        <v>0</v>
      </c>
      <c r="F18" s="55">
        <v>0</v>
      </c>
      <c r="G18" s="55">
        <v>0</v>
      </c>
      <c r="H18" s="55">
        <v>0</v>
      </c>
      <c r="I18" s="55">
        <v>0</v>
      </c>
      <c r="J18" s="55">
        <v>0</v>
      </c>
      <c r="K18" s="55"/>
      <c r="L18" s="55">
        <v>0</v>
      </c>
    </row>
    <row r="19" spans="1:12">
      <c r="A19" s="135" t="s">
        <v>100</v>
      </c>
      <c r="B19" s="55">
        <v>0</v>
      </c>
      <c r="C19" s="55">
        <v>0</v>
      </c>
      <c r="D19" s="55">
        <f t="shared" si="1"/>
        <v>0</v>
      </c>
      <c r="E19" s="55">
        <f t="shared" si="1"/>
        <v>0</v>
      </c>
      <c r="F19" s="55">
        <v>0.45</v>
      </c>
      <c r="G19" s="55">
        <v>0</v>
      </c>
      <c r="H19" s="55">
        <v>0</v>
      </c>
      <c r="I19" s="55">
        <v>0.01</v>
      </c>
      <c r="J19" s="55">
        <v>0</v>
      </c>
      <c r="K19" s="55"/>
      <c r="L19" s="55">
        <v>0</v>
      </c>
    </row>
    <row r="20" spans="1:12">
      <c r="A20" s="135" t="s">
        <v>90</v>
      </c>
      <c r="B20" s="55">
        <v>0</v>
      </c>
      <c r="C20" s="55">
        <v>0</v>
      </c>
      <c r="D20" s="55">
        <f t="shared" si="1"/>
        <v>0</v>
      </c>
      <c r="E20" s="55">
        <f t="shared" si="1"/>
        <v>0</v>
      </c>
      <c r="F20" s="55">
        <v>2.4750000000000001E-2</v>
      </c>
      <c r="G20" s="55">
        <v>2.0209999999999998E-3</v>
      </c>
      <c r="H20" s="55">
        <v>0</v>
      </c>
      <c r="I20" s="55">
        <v>0</v>
      </c>
      <c r="J20" s="55">
        <v>0</v>
      </c>
      <c r="K20" s="55"/>
      <c r="L20" s="55">
        <v>0</v>
      </c>
    </row>
    <row r="21" spans="1:12">
      <c r="A21" s="135" t="s">
        <v>91</v>
      </c>
      <c r="B21" s="55">
        <v>0</v>
      </c>
      <c r="C21" s="55">
        <v>0</v>
      </c>
      <c r="D21" s="55">
        <f t="shared" si="1"/>
        <v>0</v>
      </c>
      <c r="E21" s="55">
        <f t="shared" si="1"/>
        <v>0</v>
      </c>
      <c r="F21" s="55">
        <v>0</v>
      </c>
      <c r="G21" s="55">
        <v>0</v>
      </c>
      <c r="H21" s="55">
        <v>0</v>
      </c>
      <c r="I21" s="55">
        <v>0</v>
      </c>
      <c r="J21" s="55">
        <v>0</v>
      </c>
      <c r="K21" s="55"/>
      <c r="L21" s="55">
        <v>0</v>
      </c>
    </row>
    <row r="22" spans="1:12">
      <c r="A22" s="135" t="s">
        <v>101</v>
      </c>
      <c r="B22" s="55">
        <v>0</v>
      </c>
      <c r="C22" s="55">
        <v>0</v>
      </c>
      <c r="D22" s="55">
        <f t="shared" si="1"/>
        <v>0</v>
      </c>
      <c r="E22" s="55">
        <f t="shared" si="1"/>
        <v>0</v>
      </c>
      <c r="F22" s="55">
        <v>0.22500000000000001</v>
      </c>
      <c r="G22" s="55">
        <v>0</v>
      </c>
      <c r="H22" s="55">
        <v>0</v>
      </c>
      <c r="I22" s="55">
        <v>3.6000000000000004E-2</v>
      </c>
      <c r="J22" s="55">
        <v>0</v>
      </c>
      <c r="K22" s="55"/>
      <c r="L22" s="55">
        <v>0</v>
      </c>
    </row>
    <row r="23" spans="1:12">
      <c r="A23" s="135" t="s">
        <v>102</v>
      </c>
      <c r="B23" s="55">
        <v>0</v>
      </c>
      <c r="C23" s="55">
        <v>0</v>
      </c>
      <c r="D23" s="55">
        <f t="shared" si="1"/>
        <v>0</v>
      </c>
      <c r="E23" s="55">
        <f t="shared" si="1"/>
        <v>0</v>
      </c>
      <c r="F23" s="55">
        <v>2.2500000000000003E-3</v>
      </c>
      <c r="G23" s="55">
        <v>0</v>
      </c>
      <c r="H23" s="55">
        <v>0</v>
      </c>
      <c r="I23" s="55">
        <v>2.0000000000000005E-3</v>
      </c>
      <c r="J23" s="55">
        <v>0</v>
      </c>
      <c r="K23" s="55"/>
      <c r="L23" s="55">
        <v>0</v>
      </c>
    </row>
    <row r="24" spans="1:12">
      <c r="A24" s="135" t="s">
        <v>103</v>
      </c>
      <c r="B24" s="55">
        <v>0</v>
      </c>
      <c r="C24" s="55">
        <v>12.6225</v>
      </c>
      <c r="D24" s="55">
        <f t="shared" si="1"/>
        <v>0</v>
      </c>
      <c r="E24" s="55">
        <f t="shared" si="1"/>
        <v>12.6225</v>
      </c>
      <c r="F24" s="55">
        <v>144.22499999999999</v>
      </c>
      <c r="G24" s="55">
        <v>12.125999999999999</v>
      </c>
      <c r="H24" s="55">
        <v>0</v>
      </c>
      <c r="I24" s="55">
        <v>25.176000000000002</v>
      </c>
      <c r="J24" s="55">
        <v>49.490999999999993</v>
      </c>
      <c r="K24" s="55"/>
      <c r="L24" s="55">
        <v>6.4768000000000008</v>
      </c>
    </row>
    <row r="25" spans="1:12">
      <c r="A25" s="135" t="s">
        <v>94</v>
      </c>
      <c r="B25" s="55">
        <v>0</v>
      </c>
      <c r="C25" s="55">
        <v>0</v>
      </c>
      <c r="D25" s="55">
        <f t="shared" si="1"/>
        <v>0</v>
      </c>
      <c r="E25" s="55">
        <f t="shared" si="1"/>
        <v>0</v>
      </c>
      <c r="F25" s="55">
        <v>0.22500000000000001</v>
      </c>
      <c r="G25" s="55">
        <v>0</v>
      </c>
      <c r="H25" s="55">
        <v>0</v>
      </c>
      <c r="I25" s="55">
        <v>0</v>
      </c>
      <c r="J25" s="55">
        <v>0</v>
      </c>
      <c r="K25" s="55"/>
      <c r="L25" s="55">
        <v>0</v>
      </c>
    </row>
    <row r="26" spans="1:12">
      <c r="A26" t="s">
        <v>104</v>
      </c>
    </row>
    <row r="27" spans="1:12">
      <c r="A27" s="135" t="s">
        <v>85</v>
      </c>
      <c r="B27" s="55">
        <v>86.255999999999986</v>
      </c>
      <c r="C27" s="55">
        <v>245.36250000000001</v>
      </c>
      <c r="D27" s="55">
        <f>B27</f>
        <v>86.255999999999986</v>
      </c>
      <c r="E27" s="55">
        <f>C27</f>
        <v>245.36250000000001</v>
      </c>
      <c r="F27" s="55">
        <v>11.8125</v>
      </c>
      <c r="G27" s="55">
        <v>24.251999999999999</v>
      </c>
      <c r="H27" s="55">
        <v>0</v>
      </c>
      <c r="I27" s="55">
        <v>32.3445094</v>
      </c>
      <c r="J27" s="55">
        <v>26.902799999999999</v>
      </c>
      <c r="K27" s="55"/>
      <c r="L27" s="55">
        <v>81.326080000000005</v>
      </c>
    </row>
    <row r="28" spans="1:12">
      <c r="A28" s="135" t="s">
        <v>86</v>
      </c>
      <c r="B28" s="55">
        <v>0.12</v>
      </c>
      <c r="C28" s="55">
        <v>0.40499999999999997</v>
      </c>
      <c r="D28" s="55">
        <f t="shared" ref="D28:E37" si="2">B28</f>
        <v>0.12</v>
      </c>
      <c r="E28" s="55">
        <f t="shared" si="2"/>
        <v>0.40499999999999997</v>
      </c>
      <c r="F28" s="55">
        <v>1.7823825</v>
      </c>
      <c r="G28" s="55">
        <v>24.251999999999999</v>
      </c>
      <c r="H28" s="55">
        <v>0</v>
      </c>
      <c r="I28" s="55">
        <v>0</v>
      </c>
      <c r="J28" s="55">
        <v>0</v>
      </c>
      <c r="K28" s="55"/>
      <c r="L28" s="55">
        <v>1.6719999999999999</v>
      </c>
    </row>
    <row r="29" spans="1:12">
      <c r="A29" s="135" t="s">
        <v>87</v>
      </c>
      <c r="B29" s="55">
        <v>42.24</v>
      </c>
      <c r="C29" s="55">
        <v>2.16</v>
      </c>
      <c r="D29" s="55">
        <f t="shared" si="2"/>
        <v>42.24</v>
      </c>
      <c r="E29" s="55">
        <f t="shared" si="2"/>
        <v>2.16</v>
      </c>
      <c r="F29" s="55">
        <v>0</v>
      </c>
      <c r="G29" s="55">
        <v>0.12873769999999998</v>
      </c>
      <c r="H29" s="55">
        <v>0</v>
      </c>
      <c r="I29" s="55">
        <v>0</v>
      </c>
      <c r="J29" s="55">
        <v>0</v>
      </c>
      <c r="K29" s="55"/>
      <c r="L29" s="55">
        <v>0</v>
      </c>
    </row>
    <row r="30" spans="1:12">
      <c r="A30" s="135" t="s">
        <v>88</v>
      </c>
      <c r="B30" s="55">
        <v>10.199999999999999</v>
      </c>
      <c r="C30" s="55">
        <v>4.9275000000000002</v>
      </c>
      <c r="D30" s="55">
        <f t="shared" si="2"/>
        <v>10.199999999999999</v>
      </c>
      <c r="E30" s="55">
        <f t="shared" si="2"/>
        <v>4.9275000000000002</v>
      </c>
      <c r="F30" s="55">
        <v>0.2985525</v>
      </c>
      <c r="G30" s="55">
        <v>6.0629999999999996E-2</v>
      </c>
      <c r="H30" s="55">
        <v>0</v>
      </c>
      <c r="I30" s="55">
        <v>0.88182875999999988</v>
      </c>
      <c r="J30" s="55">
        <v>3.4681770000000001E-2</v>
      </c>
      <c r="K30" s="55"/>
      <c r="L30" s="55">
        <v>4.92448</v>
      </c>
    </row>
    <row r="31" spans="1:12">
      <c r="A31" s="135" t="s">
        <v>105</v>
      </c>
      <c r="B31" s="55">
        <v>0.33600000000000002</v>
      </c>
      <c r="C31" s="55">
        <v>0.47250000000000003</v>
      </c>
      <c r="D31" s="55">
        <f t="shared" si="2"/>
        <v>0.33600000000000002</v>
      </c>
      <c r="E31" s="55">
        <f t="shared" si="2"/>
        <v>0.47250000000000003</v>
      </c>
      <c r="F31" s="55">
        <v>2.2500000000000002E-4</v>
      </c>
      <c r="G31" s="55">
        <v>2.3443599999999998E-2</v>
      </c>
      <c r="H31" s="55">
        <v>0</v>
      </c>
      <c r="I31" s="55">
        <v>0</v>
      </c>
      <c r="J31" s="55">
        <v>0</v>
      </c>
      <c r="K31" s="55"/>
      <c r="L31" s="55">
        <v>5.6738880000000007</v>
      </c>
    </row>
    <row r="32" spans="1:12">
      <c r="A32" s="135" t="s">
        <v>90</v>
      </c>
      <c r="B32" s="55">
        <v>1.6080000000000001</v>
      </c>
      <c r="C32" s="55">
        <v>1.2825</v>
      </c>
      <c r="D32" s="55">
        <f t="shared" si="2"/>
        <v>1.6080000000000001</v>
      </c>
      <c r="E32" s="55">
        <f t="shared" si="2"/>
        <v>1.2825</v>
      </c>
      <c r="F32" s="55">
        <v>0</v>
      </c>
      <c r="G32" s="55">
        <v>0</v>
      </c>
      <c r="H32" s="55">
        <v>0</v>
      </c>
      <c r="I32" s="55">
        <v>0</v>
      </c>
      <c r="J32" s="55">
        <v>0</v>
      </c>
      <c r="K32" s="55"/>
      <c r="L32" s="55">
        <v>1.056</v>
      </c>
    </row>
    <row r="33" spans="1:16">
      <c r="A33" s="135" t="s">
        <v>91</v>
      </c>
      <c r="B33" s="55">
        <v>4.2960000000000003</v>
      </c>
      <c r="C33" s="55">
        <v>1.6875</v>
      </c>
      <c r="D33" s="55">
        <f t="shared" si="2"/>
        <v>4.2960000000000003</v>
      </c>
      <c r="E33" s="55">
        <f t="shared" si="2"/>
        <v>1.6875</v>
      </c>
      <c r="F33" s="55">
        <v>0</v>
      </c>
      <c r="G33" s="55">
        <v>0</v>
      </c>
      <c r="H33" s="55">
        <v>0</v>
      </c>
      <c r="I33" s="55">
        <v>0</v>
      </c>
      <c r="J33" s="55">
        <v>0</v>
      </c>
      <c r="K33" s="55"/>
      <c r="L33" s="55">
        <v>0.73920000000000008</v>
      </c>
    </row>
    <row r="34" spans="1:16">
      <c r="A34" s="135" t="s">
        <v>92</v>
      </c>
      <c r="B34" s="55">
        <v>9.2880000000000003</v>
      </c>
      <c r="C34" s="55">
        <v>6.8849999999999998</v>
      </c>
      <c r="D34" s="55">
        <f t="shared" si="2"/>
        <v>9.2880000000000003</v>
      </c>
      <c r="E34" s="55">
        <f t="shared" si="2"/>
        <v>6.8849999999999998</v>
      </c>
      <c r="F34" s="55">
        <v>0.315</v>
      </c>
      <c r="G34" s="55">
        <v>0.34357000000000004</v>
      </c>
      <c r="H34" s="55">
        <v>0</v>
      </c>
      <c r="I34" s="55">
        <v>1.3805020000000001</v>
      </c>
      <c r="J34" s="55">
        <v>0</v>
      </c>
      <c r="K34" s="55"/>
      <c r="L34" s="55">
        <v>6.6313279999999999</v>
      </c>
    </row>
    <row r="35" spans="1:16">
      <c r="A35" s="135" t="s">
        <v>93</v>
      </c>
      <c r="B35" s="55">
        <v>0</v>
      </c>
      <c r="C35" s="55">
        <v>0</v>
      </c>
      <c r="D35" s="55">
        <f t="shared" si="2"/>
        <v>0</v>
      </c>
      <c r="E35" s="55">
        <f t="shared" si="2"/>
        <v>0</v>
      </c>
      <c r="F35" s="55">
        <v>0</v>
      </c>
      <c r="G35" s="55">
        <v>0</v>
      </c>
      <c r="H35" s="55">
        <v>0</v>
      </c>
      <c r="I35" s="55">
        <v>0</v>
      </c>
      <c r="J35" s="55">
        <v>0</v>
      </c>
      <c r="K35" s="55"/>
      <c r="L35" s="55">
        <v>0</v>
      </c>
    </row>
    <row r="36" spans="1:16">
      <c r="A36" s="135" t="s">
        <v>94</v>
      </c>
      <c r="B36" s="55">
        <v>9.36</v>
      </c>
      <c r="C36" s="55">
        <v>10.8</v>
      </c>
      <c r="D36" s="55">
        <f t="shared" si="2"/>
        <v>9.36</v>
      </c>
      <c r="E36" s="55">
        <f t="shared" si="2"/>
        <v>10.8</v>
      </c>
      <c r="F36" s="55">
        <v>47.474999999999994</v>
      </c>
      <c r="G36" s="55">
        <v>0.52545999999999993</v>
      </c>
      <c r="H36" s="55">
        <v>0</v>
      </c>
      <c r="I36" s="55">
        <v>0</v>
      </c>
      <c r="J36" s="55">
        <v>0</v>
      </c>
      <c r="K36" s="55"/>
      <c r="L36" s="55">
        <v>20.275200000000002</v>
      </c>
    </row>
    <row r="37" spans="1:16">
      <c r="A37" s="135" t="s">
        <v>106</v>
      </c>
      <c r="B37" s="55">
        <v>1520.8079999999998</v>
      </c>
      <c r="C37" s="55">
        <v>3095.8874999999998</v>
      </c>
      <c r="D37" s="55">
        <f t="shared" si="2"/>
        <v>1520.8079999999998</v>
      </c>
      <c r="E37" s="55">
        <f t="shared" si="2"/>
        <v>3095.8874999999998</v>
      </c>
      <c r="F37" s="55">
        <v>3075.0749999999998</v>
      </c>
      <c r="G37" s="55">
        <v>3049.9517299999998</v>
      </c>
      <c r="H37" s="55">
        <v>0</v>
      </c>
      <c r="I37" s="55">
        <v>1163.6139600000001</v>
      </c>
      <c r="J37" s="55">
        <v>1896.0128999999997</v>
      </c>
      <c r="K37" s="55"/>
      <c r="L37" s="55">
        <v>2011.8313600000001</v>
      </c>
    </row>
    <row r="38" spans="1:16">
      <c r="A38" t="s">
        <v>29</v>
      </c>
      <c r="B38" s="135" t="s">
        <v>107</v>
      </c>
      <c r="C38" s="135" t="s">
        <v>30</v>
      </c>
      <c r="D38" t="s">
        <v>9</v>
      </c>
      <c r="E38" t="s">
        <v>10</v>
      </c>
      <c r="F38" s="135" t="s">
        <v>11</v>
      </c>
      <c r="G38" s="135" t="s">
        <v>40</v>
      </c>
      <c r="H38" s="135" t="s">
        <v>42</v>
      </c>
      <c r="I38" t="s">
        <v>109</v>
      </c>
      <c r="J38" t="s">
        <v>108</v>
      </c>
      <c r="K38" s="135" t="s">
        <v>16</v>
      </c>
      <c r="L38" s="135" t="s">
        <v>46</v>
      </c>
    </row>
    <row r="39" spans="1:16">
      <c r="A39" s="136" t="s">
        <v>85</v>
      </c>
      <c r="B39" s="128">
        <f>SUM(B3,B15,B27)</f>
        <v>86.255999999999986</v>
      </c>
      <c r="C39" s="128">
        <f t="shared" ref="C39:L48" si="3">SUM(C3,C15,C27)</f>
        <v>477.96750000000003</v>
      </c>
      <c r="D39" s="128">
        <f t="shared" si="3"/>
        <v>86.255999999999986</v>
      </c>
      <c r="E39" s="128">
        <f t="shared" si="3"/>
        <v>477.96750000000003</v>
      </c>
      <c r="F39" s="128">
        <f t="shared" ref="F39:J49" si="4">SUM(F3,F15,F27)</f>
        <v>12.7125</v>
      </c>
      <c r="G39" s="128">
        <f t="shared" si="4"/>
        <v>24.656199999999998</v>
      </c>
      <c r="H39" s="128">
        <f t="shared" si="4"/>
        <v>0</v>
      </c>
      <c r="I39" s="128">
        <f t="shared" si="4"/>
        <v>32.3445094</v>
      </c>
      <c r="J39" s="128">
        <f t="shared" si="4"/>
        <v>446.9418</v>
      </c>
      <c r="K39" s="128">
        <v>1.95</v>
      </c>
      <c r="L39" s="128">
        <f t="shared" si="3"/>
        <v>81.361280000000008</v>
      </c>
      <c r="O39" t="s">
        <v>103</v>
      </c>
      <c r="P39">
        <v>1444</v>
      </c>
    </row>
    <row r="40" spans="1:16">
      <c r="A40" s="135" t="s">
        <v>86</v>
      </c>
      <c r="B40" s="55">
        <f t="shared" ref="B40:L49" si="5">SUM(B4,B16,B28)</f>
        <v>0.12</v>
      </c>
      <c r="C40" s="55">
        <f t="shared" si="5"/>
        <v>0.87749999999999995</v>
      </c>
      <c r="D40" s="55">
        <f t="shared" si="3"/>
        <v>0.12</v>
      </c>
      <c r="E40" s="55">
        <f t="shared" si="3"/>
        <v>0.87749999999999995</v>
      </c>
      <c r="F40" s="55">
        <f t="shared" si="4"/>
        <v>3.8073825000000001</v>
      </c>
      <c r="G40" s="55">
        <f t="shared" si="4"/>
        <v>25.666699999999999</v>
      </c>
      <c r="H40" s="55">
        <f t="shared" si="4"/>
        <v>0</v>
      </c>
      <c r="I40" s="55">
        <f t="shared" si="4"/>
        <v>0.8025000000000001</v>
      </c>
      <c r="J40" s="55">
        <f t="shared" si="4"/>
        <v>21.572999999999997</v>
      </c>
      <c r="K40" s="55"/>
      <c r="L40" s="55">
        <f t="shared" si="5"/>
        <v>1.7071999999999998</v>
      </c>
      <c r="O40" t="s">
        <v>85</v>
      </c>
      <c r="P40">
        <v>1.95</v>
      </c>
    </row>
    <row r="41" spans="1:16">
      <c r="A41" s="136" t="s">
        <v>87</v>
      </c>
      <c r="B41" s="128">
        <f t="shared" si="5"/>
        <v>42.24</v>
      </c>
      <c r="C41" s="128">
        <f t="shared" si="5"/>
        <v>10.057499999999999</v>
      </c>
      <c r="D41" s="128">
        <f t="shared" si="3"/>
        <v>42.24</v>
      </c>
      <c r="E41" s="128">
        <f t="shared" si="3"/>
        <v>10.057499999999999</v>
      </c>
      <c r="F41" s="128">
        <f t="shared" si="4"/>
        <v>0</v>
      </c>
      <c r="G41" s="128">
        <f t="shared" si="4"/>
        <v>0.12873769999999998</v>
      </c>
      <c r="H41" s="128">
        <f t="shared" si="4"/>
        <v>0</v>
      </c>
      <c r="I41" s="128">
        <f t="shared" si="4"/>
        <v>0</v>
      </c>
      <c r="J41" s="128">
        <f t="shared" si="4"/>
        <v>40.607999999999997</v>
      </c>
      <c r="K41" s="128"/>
      <c r="L41" s="128">
        <f t="shared" si="5"/>
        <v>3.5200000000000002E-2</v>
      </c>
      <c r="O41" t="s">
        <v>101</v>
      </c>
      <c r="P41">
        <v>1.0049999999999999</v>
      </c>
    </row>
    <row r="42" spans="1:16">
      <c r="A42" s="135" t="s">
        <v>88</v>
      </c>
      <c r="B42" s="55">
        <f t="shared" si="5"/>
        <v>10.199999999999999</v>
      </c>
      <c r="C42" s="55">
        <f t="shared" si="5"/>
        <v>28.012500000000003</v>
      </c>
      <c r="D42" s="55">
        <f t="shared" si="3"/>
        <v>10.199999999999999</v>
      </c>
      <c r="E42" s="55">
        <f t="shared" si="3"/>
        <v>28.012500000000003</v>
      </c>
      <c r="F42" s="55">
        <f t="shared" si="4"/>
        <v>0.2985525</v>
      </c>
      <c r="G42" s="55">
        <f t="shared" si="4"/>
        <v>6.0629999999999996E-2</v>
      </c>
      <c r="H42" s="55">
        <f t="shared" si="4"/>
        <v>0</v>
      </c>
      <c r="I42" s="55">
        <f t="shared" si="4"/>
        <v>0.88182875999999988</v>
      </c>
      <c r="J42" s="55">
        <f t="shared" si="4"/>
        <v>13.993681770000002</v>
      </c>
      <c r="K42" s="55"/>
      <c r="L42" s="55">
        <f t="shared" si="5"/>
        <v>4.92448</v>
      </c>
      <c r="O42" t="s">
        <v>110</v>
      </c>
      <c r="P42">
        <v>0.56699999999999995</v>
      </c>
    </row>
    <row r="43" spans="1:16">
      <c r="A43" s="135" t="s">
        <v>105</v>
      </c>
      <c r="B43" s="55">
        <f t="shared" si="5"/>
        <v>0.33600000000000002</v>
      </c>
      <c r="C43" s="55">
        <f t="shared" si="5"/>
        <v>0.47250000000000003</v>
      </c>
      <c r="D43" s="55">
        <f t="shared" si="3"/>
        <v>0.33600000000000002</v>
      </c>
      <c r="E43" s="55">
        <f t="shared" si="3"/>
        <v>0.47250000000000003</v>
      </c>
      <c r="F43" s="55">
        <f t="shared" si="4"/>
        <v>1.350225</v>
      </c>
      <c r="G43" s="55">
        <f t="shared" si="4"/>
        <v>0.62974359999999996</v>
      </c>
      <c r="H43" s="55">
        <f t="shared" si="4"/>
        <v>0</v>
      </c>
      <c r="I43" s="55">
        <f t="shared" si="4"/>
        <v>0.61120000000000008</v>
      </c>
      <c r="J43" s="55">
        <f t="shared" si="4"/>
        <v>5.0759999999999996</v>
      </c>
      <c r="K43" s="55"/>
      <c r="L43" s="55">
        <f t="shared" si="5"/>
        <v>5.6738880000000007</v>
      </c>
      <c r="O43" t="s">
        <v>102</v>
      </c>
      <c r="P43">
        <v>9.5000000000000001E-2</v>
      </c>
    </row>
    <row r="44" spans="1:16">
      <c r="A44" s="135" t="s">
        <v>90</v>
      </c>
      <c r="B44" s="18">
        <f t="shared" si="5"/>
        <v>1.6080000000000001</v>
      </c>
      <c r="C44" s="18">
        <f t="shared" si="5"/>
        <v>4.1174999999999997</v>
      </c>
      <c r="D44" s="18">
        <f t="shared" si="3"/>
        <v>1.6080000000000001</v>
      </c>
      <c r="E44" s="18">
        <f t="shared" si="3"/>
        <v>4.1174999999999997</v>
      </c>
      <c r="F44" s="18">
        <f t="shared" si="4"/>
        <v>3.15E-2</v>
      </c>
      <c r="G44" s="18">
        <f t="shared" si="4"/>
        <v>1.6167999999999998E-2</v>
      </c>
      <c r="H44" s="18">
        <f t="shared" si="4"/>
        <v>0</v>
      </c>
      <c r="I44" s="18">
        <f t="shared" si="4"/>
        <v>0</v>
      </c>
      <c r="J44" s="18">
        <f t="shared" si="4"/>
        <v>1.2689999999999999</v>
      </c>
      <c r="K44" s="18"/>
      <c r="L44" s="18">
        <f t="shared" si="5"/>
        <v>1.1007040000000001</v>
      </c>
      <c r="O44" t="s">
        <v>111</v>
      </c>
      <c r="P44">
        <v>0.52500000000000002</v>
      </c>
    </row>
    <row r="45" spans="1:16">
      <c r="A45" s="135" t="s">
        <v>91</v>
      </c>
      <c r="B45" s="55">
        <f t="shared" si="5"/>
        <v>4.2960000000000003</v>
      </c>
      <c r="C45" s="55">
        <f t="shared" si="5"/>
        <v>11.8125</v>
      </c>
      <c r="D45" s="55">
        <f t="shared" si="3"/>
        <v>4.2960000000000003</v>
      </c>
      <c r="E45" s="55">
        <f t="shared" si="3"/>
        <v>11.8125</v>
      </c>
      <c r="F45" s="55">
        <f t="shared" si="4"/>
        <v>0</v>
      </c>
      <c r="G45" s="55">
        <f t="shared" si="4"/>
        <v>0</v>
      </c>
      <c r="H45" s="55">
        <f t="shared" si="4"/>
        <v>0</v>
      </c>
      <c r="I45" s="55">
        <f t="shared" si="4"/>
        <v>0</v>
      </c>
      <c r="J45" s="55">
        <f t="shared" si="4"/>
        <v>5.0759999999999996</v>
      </c>
      <c r="K45" s="55"/>
      <c r="L45" s="55">
        <f t="shared" si="5"/>
        <v>0.73920000000000008</v>
      </c>
    </row>
    <row r="46" spans="1:16">
      <c r="A46" s="136" t="s">
        <v>92</v>
      </c>
      <c r="B46" s="128">
        <f t="shared" si="5"/>
        <v>9.2880000000000003</v>
      </c>
      <c r="C46" s="128">
        <f t="shared" si="5"/>
        <v>62.572499999999998</v>
      </c>
      <c r="D46" s="128">
        <f t="shared" si="3"/>
        <v>9.2880000000000003</v>
      </c>
      <c r="E46" s="128">
        <f t="shared" si="3"/>
        <v>62.572499999999998</v>
      </c>
      <c r="F46" s="128">
        <f t="shared" si="4"/>
        <v>5.2649999999999997</v>
      </c>
      <c r="G46" s="128">
        <f t="shared" si="4"/>
        <v>4.5876699999999992</v>
      </c>
      <c r="H46" s="128">
        <f t="shared" si="4"/>
        <v>0</v>
      </c>
      <c r="I46" s="128">
        <f t="shared" si="4"/>
        <v>1.550502</v>
      </c>
      <c r="J46" s="128">
        <f t="shared" si="4"/>
        <v>16.497</v>
      </c>
      <c r="K46" s="128">
        <f>1.005+60</f>
        <v>61.005000000000003</v>
      </c>
      <c r="L46" s="128">
        <f t="shared" si="5"/>
        <v>8.3209280000000003</v>
      </c>
    </row>
    <row r="47" spans="1:16">
      <c r="A47" s="135" t="s">
        <v>93</v>
      </c>
      <c r="B47" s="55">
        <f t="shared" si="5"/>
        <v>0</v>
      </c>
      <c r="C47" s="55">
        <f t="shared" si="5"/>
        <v>0.20249999999999999</v>
      </c>
      <c r="D47" s="55">
        <f t="shared" si="3"/>
        <v>0</v>
      </c>
      <c r="E47" s="55">
        <f t="shared" si="3"/>
        <v>0.20249999999999999</v>
      </c>
      <c r="F47" s="55">
        <f t="shared" si="4"/>
        <v>9.0000000000000011E-3</v>
      </c>
      <c r="G47" s="55">
        <f t="shared" si="4"/>
        <v>6.0630000000000007E-3</v>
      </c>
      <c r="H47" s="55">
        <f t="shared" si="4"/>
        <v>0</v>
      </c>
      <c r="I47" s="55">
        <f t="shared" si="4"/>
        <v>2.6000000000000002E-2</v>
      </c>
      <c r="J47" s="55">
        <f t="shared" si="4"/>
        <v>1.2689999999999999</v>
      </c>
      <c r="K47" s="55">
        <v>9.5000000000000001E-2</v>
      </c>
      <c r="L47" s="55">
        <f t="shared" si="5"/>
        <v>0</v>
      </c>
    </row>
    <row r="48" spans="1:16">
      <c r="A48" s="136" t="s">
        <v>94</v>
      </c>
      <c r="B48" s="128">
        <f t="shared" si="5"/>
        <v>9.36</v>
      </c>
      <c r="C48" s="128">
        <f t="shared" si="5"/>
        <v>440.09999999999997</v>
      </c>
      <c r="D48" s="128">
        <f t="shared" si="3"/>
        <v>9.36</v>
      </c>
      <c r="E48" s="128">
        <f t="shared" si="3"/>
        <v>440.09999999999997</v>
      </c>
      <c r="F48" s="128">
        <f t="shared" si="4"/>
        <v>192.14999999999998</v>
      </c>
      <c r="G48" s="128">
        <f t="shared" si="4"/>
        <v>12.85356</v>
      </c>
      <c r="H48" s="128">
        <f t="shared" si="4"/>
        <v>0</v>
      </c>
      <c r="I48" s="128">
        <f t="shared" si="4"/>
        <v>25.176000000000002</v>
      </c>
      <c r="J48" s="128">
        <f t="shared" si="4"/>
        <v>81.215999999999994</v>
      </c>
      <c r="K48" s="128">
        <v>0.56699999999999995</v>
      </c>
      <c r="L48" s="128">
        <f t="shared" si="5"/>
        <v>26.752000000000002</v>
      </c>
    </row>
    <row r="49" spans="1:15">
      <c r="A49" s="136" t="s">
        <v>106</v>
      </c>
      <c r="B49" s="128">
        <f>fNRB*SUM(B13,B25,B37)</f>
        <v>593.11511999999993</v>
      </c>
      <c r="C49" s="128">
        <f>fNRB*SUM(C13,C25,C37)</f>
        <v>2127.11265</v>
      </c>
      <c r="D49" s="128">
        <f>fNRB*SUM(D13,D25,D37)</f>
        <v>593.11511999999993</v>
      </c>
      <c r="E49" s="128">
        <f>fNRB*SUM(E13,E25,E37)</f>
        <v>2127.11265</v>
      </c>
      <c r="F49" s="128">
        <f t="shared" si="4"/>
        <v>3580.875</v>
      </c>
      <c r="G49" s="128">
        <f t="shared" si="4"/>
        <v>3424.8472299999999</v>
      </c>
      <c r="H49" s="128">
        <f t="shared" si="4"/>
        <v>245.92899433095167</v>
      </c>
      <c r="I49" s="128">
        <f t="shared" si="4"/>
        <v>1228.3619600000002</v>
      </c>
      <c r="J49" s="128">
        <f t="shared" si="4"/>
        <v>1582.5698999999997</v>
      </c>
      <c r="K49" s="128">
        <v>1444</v>
      </c>
      <c r="L49" s="128">
        <f t="shared" si="5"/>
        <v>2016.79456</v>
      </c>
    </row>
    <row r="51" spans="1:15">
      <c r="A51" s="135" t="s">
        <v>112</v>
      </c>
      <c r="B51" s="22">
        <f>fNRB</f>
        <v>0.39</v>
      </c>
      <c r="C51" s="22">
        <f>fNRB</f>
        <v>0.39</v>
      </c>
      <c r="D51" s="22">
        <f>fNRB</f>
        <v>0.39</v>
      </c>
      <c r="E51" s="22">
        <f>fNRB</f>
        <v>0.39</v>
      </c>
      <c r="F51">
        <v>1</v>
      </c>
      <c r="G51">
        <v>1</v>
      </c>
      <c r="H51">
        <v>1</v>
      </c>
      <c r="I51">
        <v>0</v>
      </c>
      <c r="J51">
        <v>0</v>
      </c>
      <c r="K51" s="128">
        <v>0</v>
      </c>
      <c r="L51">
        <v>1</v>
      </c>
    </row>
    <row r="52" spans="1:15">
      <c r="A52" s="135" t="s">
        <v>113</v>
      </c>
      <c r="B52" s="54">
        <f t="shared" ref="B52:L52" si="6">27*(1-B51)+29.8*B51</f>
        <v>28.091999999999999</v>
      </c>
      <c r="C52" s="54">
        <f t="shared" si="6"/>
        <v>28.091999999999999</v>
      </c>
      <c r="D52" s="54">
        <f t="shared" si="6"/>
        <v>28.091999999999999</v>
      </c>
      <c r="E52" s="54">
        <f t="shared" si="6"/>
        <v>28.091999999999999</v>
      </c>
      <c r="F52" s="54">
        <f>27*(1-F51)+29.8*F51</f>
        <v>29.8</v>
      </c>
      <c r="G52" s="54">
        <f>27*(1-G51)+29.8*G51</f>
        <v>29.8</v>
      </c>
      <c r="H52" s="54">
        <f>27*(1-H51)+29.8*H51</f>
        <v>29.8</v>
      </c>
      <c r="I52" s="54">
        <f>27*(1-I51)+29.8*I51</f>
        <v>27</v>
      </c>
      <c r="J52" s="54">
        <v>27</v>
      </c>
      <c r="K52" s="54">
        <f>27*(1-K51)+29.8*K51</f>
        <v>27</v>
      </c>
      <c r="L52" s="54">
        <f t="shared" si="6"/>
        <v>29.8</v>
      </c>
      <c r="O52" s="136" t="s">
        <v>106</v>
      </c>
    </row>
    <row r="53" spans="1:15">
      <c r="A53" s="135" t="s">
        <v>114</v>
      </c>
      <c r="B53">
        <v>273</v>
      </c>
      <c r="C53">
        <v>273</v>
      </c>
      <c r="D53">
        <v>273</v>
      </c>
      <c r="E53">
        <v>273</v>
      </c>
      <c r="F53">
        <v>273</v>
      </c>
      <c r="G53">
        <v>273</v>
      </c>
      <c r="H53">
        <v>273</v>
      </c>
      <c r="I53">
        <v>273</v>
      </c>
      <c r="J53">
        <v>273</v>
      </c>
      <c r="K53">
        <v>273</v>
      </c>
      <c r="L53">
        <v>273</v>
      </c>
      <c r="N53" t="s">
        <v>8</v>
      </c>
      <c r="O53">
        <f>INDEX(efs!$B$39:$L$49,MATCH(O$52,efs!$A$39:$A$49,0),MATCH(N53,efs!$B$38:$L$38,0))</f>
        <v>2127.11265</v>
      </c>
    </row>
    <row r="55" spans="1:15" ht="18">
      <c r="A55" s="135" t="s">
        <v>115</v>
      </c>
      <c r="B55" s="55">
        <f>SUM(B56:B58)</f>
        <v>854.03361599999994</v>
      </c>
      <c r="C55" s="55">
        <f t="shared" ref="C55:L55" si="7">SUM(C56:C58)</f>
        <v>3940.1818199999998</v>
      </c>
      <c r="D55" s="55">
        <f t="shared" si="7"/>
        <v>854.03361599999994</v>
      </c>
      <c r="E55" s="55">
        <f t="shared" si="7"/>
        <v>3940.1818199999998</v>
      </c>
      <c r="F55" s="55">
        <f t="shared" ref="F55:K55" si="8">SUM(F56:F58)</f>
        <v>3740.2289999999998</v>
      </c>
      <c r="G55" s="55">
        <f t="shared" si="8"/>
        <v>3563.2149949999998</v>
      </c>
      <c r="H55" s="55">
        <f t="shared" si="8"/>
        <v>245.92899433095167</v>
      </c>
      <c r="I55" s="55">
        <f t="shared" si="8"/>
        <v>48.961554</v>
      </c>
      <c r="J55" s="55">
        <f t="shared" si="8"/>
        <v>791.85599999999999</v>
      </c>
      <c r="K55" s="55">
        <f t="shared" si="8"/>
        <v>1673.07</v>
      </c>
      <c r="L55" s="55">
        <f t="shared" si="7"/>
        <v>2264.7582144000003</v>
      </c>
    </row>
    <row r="56" spans="1:15">
      <c r="A56" t="s">
        <v>103</v>
      </c>
      <c r="B56" s="55">
        <f>B51*SUM(B13,B25,B37)</f>
        <v>593.11511999999993</v>
      </c>
      <c r="C56" s="55">
        <f t="shared" ref="C56:L56" si="9">C51*SUM(C13,C25,C37)</f>
        <v>2127.11265</v>
      </c>
      <c r="D56" s="55">
        <f t="shared" si="9"/>
        <v>593.11511999999993</v>
      </c>
      <c r="E56" s="55">
        <f t="shared" si="9"/>
        <v>2127.11265</v>
      </c>
      <c r="F56" s="55">
        <f t="shared" ref="F56:K56" si="10">F51*SUM(F13,F25,F37)</f>
        <v>3580.875</v>
      </c>
      <c r="G56" s="55">
        <f t="shared" si="10"/>
        <v>3424.8472299999999</v>
      </c>
      <c r="H56" s="55">
        <f t="shared" si="10"/>
        <v>245.92899433095167</v>
      </c>
      <c r="I56" s="55">
        <f t="shared" si="10"/>
        <v>0</v>
      </c>
      <c r="J56" s="55">
        <f t="shared" si="10"/>
        <v>0</v>
      </c>
      <c r="K56" s="55">
        <f t="shared" si="10"/>
        <v>0</v>
      </c>
      <c r="L56" s="55">
        <f t="shared" si="9"/>
        <v>2016.79456</v>
      </c>
    </row>
    <row r="57" spans="1:15">
      <c r="A57" t="s">
        <v>116</v>
      </c>
      <c r="B57" s="55">
        <f t="shared" ref="B57:L58" si="11">B46*B52</f>
        <v>260.918496</v>
      </c>
      <c r="C57" s="55">
        <f>C46*C52</f>
        <v>1757.78667</v>
      </c>
      <c r="D57" s="55">
        <f t="shared" si="11"/>
        <v>260.918496</v>
      </c>
      <c r="E57" s="55">
        <f t="shared" si="11"/>
        <v>1757.78667</v>
      </c>
      <c r="F57" s="55">
        <f t="shared" ref="F57:K58" si="12">F46*F52</f>
        <v>156.89699999999999</v>
      </c>
      <c r="G57" s="55">
        <f t="shared" si="12"/>
        <v>136.71256599999998</v>
      </c>
      <c r="H57" s="55">
        <f t="shared" si="12"/>
        <v>0</v>
      </c>
      <c r="I57" s="55">
        <f t="shared" si="12"/>
        <v>41.863554000000001</v>
      </c>
      <c r="J57" s="55">
        <f t="shared" si="12"/>
        <v>445.41899999999998</v>
      </c>
      <c r="K57" s="55">
        <f t="shared" si="12"/>
        <v>1647.135</v>
      </c>
      <c r="L57" s="55">
        <f t="shared" si="11"/>
        <v>247.96365440000002</v>
      </c>
    </row>
    <row r="58" spans="1:15">
      <c r="A58" t="s">
        <v>117</v>
      </c>
      <c r="B58" s="55">
        <f t="shared" si="11"/>
        <v>0</v>
      </c>
      <c r="C58" s="55">
        <f t="shared" si="11"/>
        <v>55.282499999999999</v>
      </c>
      <c r="D58" s="55">
        <f t="shared" si="11"/>
        <v>0</v>
      </c>
      <c r="E58" s="55">
        <f t="shared" si="11"/>
        <v>55.282499999999999</v>
      </c>
      <c r="F58" s="55">
        <f t="shared" si="12"/>
        <v>2.4570000000000003</v>
      </c>
      <c r="G58" s="55">
        <f t="shared" si="12"/>
        <v>1.6551990000000001</v>
      </c>
      <c r="H58" s="55">
        <f t="shared" si="12"/>
        <v>0</v>
      </c>
      <c r="I58" s="55">
        <f t="shared" si="12"/>
        <v>7.0980000000000008</v>
      </c>
      <c r="J58" s="55">
        <f t="shared" si="12"/>
        <v>346.43699999999995</v>
      </c>
      <c r="K58" s="55">
        <f t="shared" si="12"/>
        <v>25.934999999999999</v>
      </c>
      <c r="L58" s="55">
        <f t="shared" si="11"/>
        <v>0</v>
      </c>
    </row>
    <row r="60" spans="1:15">
      <c r="A60" t="s">
        <v>118</v>
      </c>
    </row>
    <row r="61" spans="1:15" ht="18">
      <c r="A61" s="135" t="s">
        <v>115</v>
      </c>
      <c r="B61" s="137">
        <f>SUM(B13*B51,B24*B51,B52*B10,B22*B52,B11*B53,B23*B53)</f>
        <v>0</v>
      </c>
      <c r="C61" s="137">
        <f>SUM(C62:C64)</f>
        <v>2544.2950499999997</v>
      </c>
      <c r="D61" s="137">
        <f t="shared" ref="D61:L61" si="13">SUM(D62:D64)</f>
        <v>0</v>
      </c>
      <c r="E61" s="137">
        <f t="shared" si="13"/>
        <v>2544.2950499999997</v>
      </c>
      <c r="F61" s="137">
        <f t="shared" ref="F61:K61" si="14">SUM(F62:F64)</f>
        <v>799.76699999999994</v>
      </c>
      <c r="G61" s="137">
        <f t="shared" si="14"/>
        <v>515.15087900000003</v>
      </c>
      <c r="H61" s="137">
        <f t="shared" si="14"/>
        <v>245.92899433095167</v>
      </c>
      <c r="I61" s="137">
        <f t="shared" si="14"/>
        <v>11.688000000000002</v>
      </c>
      <c r="J61" s="137">
        <f t="shared" si="14"/>
        <v>527.904</v>
      </c>
      <c r="K61" s="137">
        <f t="shared" si="14"/>
        <v>0</v>
      </c>
      <c r="L61" s="137">
        <f t="shared" si="13"/>
        <v>61.790079999999989</v>
      </c>
    </row>
    <row r="62" spans="1:15">
      <c r="A62" t="s">
        <v>103</v>
      </c>
      <c r="B62" s="137">
        <f t="shared" ref="B62:L62" si="15">SUM(B13,B24)*B51</f>
        <v>0</v>
      </c>
      <c r="C62" s="137">
        <f t="shared" si="15"/>
        <v>924.63929999999993</v>
      </c>
      <c r="D62" s="137">
        <f t="shared" si="15"/>
        <v>0</v>
      </c>
      <c r="E62" s="137">
        <f t="shared" si="15"/>
        <v>924.63929999999993</v>
      </c>
      <c r="F62" s="137">
        <f>SUM(F13,F24)*F51</f>
        <v>649.79999999999995</v>
      </c>
      <c r="G62" s="137">
        <f>SUM(G13,G24)*G51</f>
        <v>387.02149999999995</v>
      </c>
      <c r="H62" s="137">
        <f>SUM(H13,H24)*H51</f>
        <v>245.92899433095167</v>
      </c>
      <c r="I62" s="137">
        <f>SUM(I13,I24)*I51</f>
        <v>0</v>
      </c>
      <c r="J62" s="137">
        <f>SUM(J13,J24)</f>
        <v>-263.952</v>
      </c>
      <c r="K62" s="137">
        <f>SUM(K13,K24)*K51</f>
        <v>0</v>
      </c>
      <c r="L62" s="137">
        <f t="shared" si="15"/>
        <v>11.440000000000001</v>
      </c>
    </row>
    <row r="63" spans="1:15">
      <c r="A63" t="s">
        <v>116</v>
      </c>
      <c r="B63" s="137">
        <f t="shared" ref="B63:L63" si="16">SUM(B10,B22)*B52</f>
        <v>0</v>
      </c>
      <c r="C63" s="137">
        <f t="shared" si="16"/>
        <v>1564.3732499999999</v>
      </c>
      <c r="D63" s="137">
        <f t="shared" ref="D63:K63" si="17">SUM(D10,D22)*D52</f>
        <v>0</v>
      </c>
      <c r="E63" s="137">
        <f t="shared" si="17"/>
        <v>1564.3732499999999</v>
      </c>
      <c r="F63" s="137">
        <f t="shared" si="17"/>
        <v>147.51</v>
      </c>
      <c r="G63" s="137">
        <f t="shared" si="17"/>
        <v>126.47417999999999</v>
      </c>
      <c r="H63" s="137">
        <f t="shared" si="17"/>
        <v>0</v>
      </c>
      <c r="I63" s="137">
        <f t="shared" si="17"/>
        <v>4.5900000000000007</v>
      </c>
      <c r="J63" s="137">
        <f t="shared" si="17"/>
        <v>445.41899999999998</v>
      </c>
      <c r="K63" s="137">
        <f t="shared" si="17"/>
        <v>0</v>
      </c>
      <c r="L63" s="137">
        <f t="shared" si="16"/>
        <v>50.350079999999991</v>
      </c>
    </row>
    <row r="64" spans="1:15">
      <c r="A64" t="s">
        <v>117</v>
      </c>
      <c r="B64" s="137">
        <f t="shared" ref="B64:L64" si="18">IFERROR(SUM(B11,B23)*B53,"")</f>
        <v>0</v>
      </c>
      <c r="C64" s="137">
        <f t="shared" si="18"/>
        <v>55.282499999999999</v>
      </c>
      <c r="D64" s="137">
        <f t="shared" ref="D64:K64" si="19">IFERROR(SUM(D11,D23)*D53,"")</f>
        <v>0</v>
      </c>
      <c r="E64" s="137">
        <f t="shared" si="19"/>
        <v>55.282499999999999</v>
      </c>
      <c r="F64" s="137">
        <f t="shared" si="19"/>
        <v>2.4570000000000003</v>
      </c>
      <c r="G64" s="137">
        <f t="shared" si="19"/>
        <v>1.6551990000000001</v>
      </c>
      <c r="H64" s="137">
        <f t="shared" si="19"/>
        <v>0</v>
      </c>
      <c r="I64" s="137">
        <f t="shared" si="19"/>
        <v>7.0980000000000008</v>
      </c>
      <c r="J64" s="137">
        <f t="shared" si="19"/>
        <v>346.43699999999995</v>
      </c>
      <c r="K64" s="137">
        <f t="shared" si="19"/>
        <v>0</v>
      </c>
      <c r="L64" s="137">
        <f t="shared" si="18"/>
        <v>0</v>
      </c>
    </row>
    <row r="66" spans="1:12">
      <c r="A66" s="34" t="s">
        <v>119</v>
      </c>
    </row>
    <row r="67" spans="1:12" ht="18">
      <c r="A67" s="135" t="s">
        <v>115</v>
      </c>
      <c r="B67" s="137">
        <f t="shared" ref="B67:L67" si="20">SUM(B13*B51,B24*B51,B52*B10,B22*B52,B11*B53,B23*B53)</f>
        <v>0</v>
      </c>
      <c r="C67" s="137">
        <f t="shared" si="20"/>
        <v>2544.2950499999997</v>
      </c>
      <c r="D67" s="137">
        <f>SUM(D13*D51,D24*D51,D52*D10,D22*D52,D11*D53,D23*D53)</f>
        <v>0</v>
      </c>
      <c r="E67" s="137">
        <f>SUM(E13*E51,E24*E51,E52*E10,E22*E52,E11*E53,E23*E53)</f>
        <v>2544.2950499999997</v>
      </c>
      <c r="F67" s="137">
        <f>SUM(F13*F51,F24*F51,F52*F10,F22*F52,F11*F53,F23*F53)</f>
        <v>799.76700000000005</v>
      </c>
      <c r="G67" s="137">
        <f>SUM(G13*G51,G24*G51,G52*G10,G22*G52,G11*G53,G23*G53)</f>
        <v>515.15087900000003</v>
      </c>
      <c r="I67" s="137">
        <f>SUM(I13*I51,I24*I51,I52*I10,I22*I52,I11*I53,I23*I53)</f>
        <v>11.688000000000001</v>
      </c>
      <c r="J67" s="137">
        <f>SUM(J13*J51,J24*J51,J52*J10,J22*J52,J11*J53,J23*J53)</f>
        <v>791.85599999999999</v>
      </c>
      <c r="K67" s="137">
        <f>SUM(K13*K51,K24*K51,K52*K10,K22*K52,K11*K53,K23*K53)</f>
        <v>0</v>
      </c>
      <c r="L67" s="137">
        <f t="shared" si="20"/>
        <v>61.790079999999989</v>
      </c>
    </row>
    <row r="68" spans="1:12">
      <c r="A68" t="s">
        <v>103</v>
      </c>
      <c r="B68" s="137">
        <f t="shared" ref="B68:L68" si="21">SUM(B13,B24)</f>
        <v>0</v>
      </c>
      <c r="C68" s="137">
        <f t="shared" si="21"/>
        <v>2370.87</v>
      </c>
      <c r="D68" s="137">
        <f>SUM(D13,D24)</f>
        <v>0</v>
      </c>
      <c r="E68" s="137">
        <f>SUM(E13,E24)</f>
        <v>2370.87</v>
      </c>
      <c r="F68" s="137">
        <f>SUM(F13,F24)</f>
        <v>649.79999999999995</v>
      </c>
      <c r="G68" s="137">
        <f>SUM(G13,G24)</f>
        <v>387.02149999999995</v>
      </c>
      <c r="I68" s="137">
        <f>SUM(I13,I24)</f>
        <v>89.923999999999992</v>
      </c>
      <c r="J68" s="137">
        <f>SUM(J13,J24)</f>
        <v>-263.952</v>
      </c>
      <c r="K68" s="137">
        <f>SUM(K13,K24)</f>
        <v>0</v>
      </c>
      <c r="L68" s="137">
        <f t="shared" si="21"/>
        <v>11.440000000000001</v>
      </c>
    </row>
    <row r="69" spans="1:12">
      <c r="A69" t="s">
        <v>101</v>
      </c>
      <c r="B69" s="137">
        <f t="shared" ref="B69:L69" si="22">SUM(B10,B22)</f>
        <v>0</v>
      </c>
      <c r="C69" s="137">
        <f t="shared" si="22"/>
        <v>55.6875</v>
      </c>
      <c r="D69" s="137">
        <f>SUM(D10,D22)</f>
        <v>0</v>
      </c>
      <c r="E69" s="137">
        <f>SUM(E10,E22)</f>
        <v>55.6875</v>
      </c>
      <c r="F69" s="137">
        <f>SUM(F10,F22)</f>
        <v>4.9499999999999993</v>
      </c>
      <c r="G69" s="137">
        <f>SUM(G10,G22)</f>
        <v>4.2440999999999995</v>
      </c>
      <c r="I69" s="137">
        <f>SUM(I10,I22)</f>
        <v>0.17</v>
      </c>
      <c r="J69" s="137">
        <f>SUM(J10,J22)</f>
        <v>16.497</v>
      </c>
      <c r="K69" s="137">
        <f>SUM(K10,K22)</f>
        <v>0</v>
      </c>
      <c r="L69" s="137">
        <f t="shared" si="22"/>
        <v>1.6895999999999998</v>
      </c>
    </row>
    <row r="70" spans="1:12">
      <c r="A70" t="s">
        <v>102</v>
      </c>
      <c r="B70" s="137">
        <f t="shared" ref="B70:L70" si="23">IFERROR(SUM(B11,B23),"")</f>
        <v>0</v>
      </c>
      <c r="C70" s="137">
        <f t="shared" si="23"/>
        <v>0.20249999999999999</v>
      </c>
      <c r="D70" s="137">
        <f>IFERROR(SUM(D11,D23),"")</f>
        <v>0</v>
      </c>
      <c r="E70" s="137">
        <f>IFERROR(SUM(E11,E23),"")</f>
        <v>0.20249999999999999</v>
      </c>
      <c r="F70" s="137">
        <f>IFERROR(SUM(F11,F23),"")</f>
        <v>9.0000000000000011E-3</v>
      </c>
      <c r="G70" s="137">
        <f>IFERROR(SUM(G11,G23),"")</f>
        <v>6.0630000000000007E-3</v>
      </c>
      <c r="I70" s="137">
        <f>IFERROR(SUM(I11,I23),"")</f>
        <v>2.6000000000000002E-2</v>
      </c>
      <c r="J70" s="137">
        <f>IFERROR(SUM(J11,J23),"")</f>
        <v>1.2689999999999999</v>
      </c>
      <c r="K70" s="137">
        <f>IFERROR(SUM(K11,K23),"")</f>
        <v>0</v>
      </c>
      <c r="L70" s="137">
        <f t="shared" si="23"/>
        <v>0</v>
      </c>
    </row>
    <row r="73" spans="1:12">
      <c r="A73" s="138" t="s">
        <v>121</v>
      </c>
      <c r="B73" t="s">
        <v>103</v>
      </c>
      <c r="C73" t="s">
        <v>101</v>
      </c>
      <c r="D73" t="s">
        <v>102</v>
      </c>
      <c r="E73" t="s">
        <v>120</v>
      </c>
      <c r="F73" t="s">
        <v>90</v>
      </c>
    </row>
    <row r="74" spans="1:12">
      <c r="A74" s="3" t="s">
        <v>36</v>
      </c>
      <c r="B74" s="55" cm="1">
        <f t="array" ref="B74:B83">TRANSPOSE(B56:K56)</f>
        <v>593.11511999999993</v>
      </c>
      <c r="C74" s="55" cm="1">
        <f t="array" ref="C74:C83">TRANSPOSE(B57:K57)</f>
        <v>260.918496</v>
      </c>
      <c r="D74" s="55" cm="1">
        <f t="array" ref="D74:D83">TRANSPOSE(B58:K58)</f>
        <v>0</v>
      </c>
      <c r="E74" s="55" cm="1">
        <f t="array" ref="E74:E83">TRANSPOSE(B55:K55)</f>
        <v>854.03361599999994</v>
      </c>
      <c r="F74" s="54" cm="1">
        <f t="array" ref="F74:F83">TRANSPOSE(B44:K44)</f>
        <v>1.6080000000000001</v>
      </c>
      <c r="H74">
        <f>F74*BAU_Fuel_cons!O2</f>
        <v>15.011186614695001</v>
      </c>
    </row>
    <row r="75" spans="1:12">
      <c r="A75" s="3" t="s">
        <v>8</v>
      </c>
      <c r="B75" s="55">
        <v>2127.11265</v>
      </c>
      <c r="C75" s="55">
        <v>1757.78667</v>
      </c>
      <c r="D75">
        <v>55.282499999999999</v>
      </c>
      <c r="E75" s="55">
        <v>3940.1818199999998</v>
      </c>
      <c r="F75" s="54">
        <v>4.1174999999999997</v>
      </c>
    </row>
    <row r="76" spans="1:12">
      <c r="A76" t="s">
        <v>37</v>
      </c>
      <c r="B76" s="55">
        <v>593.11511999999993</v>
      </c>
      <c r="C76" s="55">
        <v>260.918496</v>
      </c>
      <c r="D76">
        <v>0</v>
      </c>
      <c r="E76" s="55">
        <v>854.03361599999994</v>
      </c>
      <c r="F76" s="54">
        <v>1.6080000000000001</v>
      </c>
    </row>
    <row r="77" spans="1:12">
      <c r="A77" t="s">
        <v>10</v>
      </c>
      <c r="B77" s="55">
        <v>2127.11265</v>
      </c>
      <c r="C77" s="55">
        <v>1757.78667</v>
      </c>
      <c r="D77">
        <v>55.282499999999999</v>
      </c>
      <c r="E77" s="55">
        <v>3940.1818199999998</v>
      </c>
      <c r="F77" s="54">
        <v>4.1174999999999997</v>
      </c>
    </row>
    <row r="78" spans="1:12">
      <c r="A78" t="s">
        <v>11</v>
      </c>
      <c r="B78" s="55">
        <v>3580.875</v>
      </c>
      <c r="C78" s="55">
        <v>156.89699999999999</v>
      </c>
      <c r="D78">
        <v>2.4570000000000003</v>
      </c>
      <c r="E78" s="55">
        <v>3740.2289999999998</v>
      </c>
      <c r="F78" s="54">
        <v>3.15E-2</v>
      </c>
    </row>
    <row r="79" spans="1:12">
      <c r="A79" s="3" t="s">
        <v>12</v>
      </c>
      <c r="B79" s="55">
        <v>3424.8472299999999</v>
      </c>
      <c r="C79" s="55">
        <v>136.71256599999998</v>
      </c>
      <c r="D79">
        <v>1.6551990000000001</v>
      </c>
      <c r="E79" s="55">
        <v>3563.2149949999998</v>
      </c>
      <c r="F79" s="54">
        <v>1.6167999999999998E-2</v>
      </c>
    </row>
    <row r="80" spans="1:12">
      <c r="A80" s="3" t="s">
        <v>13</v>
      </c>
      <c r="B80" s="55">
        <v>245.92899433095167</v>
      </c>
      <c r="C80" s="55">
        <v>0</v>
      </c>
      <c r="D80">
        <v>0</v>
      </c>
      <c r="E80" s="55">
        <v>245.92899433095167</v>
      </c>
      <c r="F80" s="54">
        <v>0</v>
      </c>
    </row>
    <row r="81" spans="1:6">
      <c r="A81" t="s">
        <v>14</v>
      </c>
      <c r="B81" s="55">
        <v>0</v>
      </c>
      <c r="C81" s="55">
        <v>41.863554000000001</v>
      </c>
      <c r="D81">
        <v>7.0980000000000008</v>
      </c>
      <c r="E81" s="55">
        <v>48.961554</v>
      </c>
      <c r="F81" s="54">
        <v>0</v>
      </c>
    </row>
    <row r="82" spans="1:6">
      <c r="A82" t="s">
        <v>15</v>
      </c>
      <c r="B82" s="55">
        <v>0</v>
      </c>
      <c r="C82" s="55">
        <v>445.41899999999998</v>
      </c>
      <c r="D82">
        <v>346.43699999999995</v>
      </c>
      <c r="E82" s="55">
        <v>791.85599999999999</v>
      </c>
      <c r="F82" s="54">
        <v>1.2689999999999999</v>
      </c>
    </row>
    <row r="83" spans="1:6">
      <c r="A83" t="s">
        <v>16</v>
      </c>
      <c r="B83" s="55">
        <v>0</v>
      </c>
      <c r="C83" s="55">
        <v>1647.135</v>
      </c>
      <c r="D83">
        <v>25.934999999999999</v>
      </c>
      <c r="E83" s="55">
        <v>1673.07</v>
      </c>
      <c r="F83" s="54">
        <v>0</v>
      </c>
    </row>
    <row r="84" spans="1:6" ht="17" thickBot="1">
      <c r="A84" s="31" t="s">
        <v>17</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71bf3e-ba1e-4610-b626-22f8fd2d9fb8" xsi:nil="true"/>
    <lcf76f155ced4ddcb4097134ff3c332f xmlns="cbfa8945-aa93-4cd2-a998-4aa50f8d9a2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7243790D0A6B4797273364CE138438" ma:contentTypeVersion="13" ma:contentTypeDescription="Create a new document." ma:contentTypeScope="" ma:versionID="fb74996bd78d08afdbe11dc90f71ef4e">
  <xsd:schema xmlns:xsd="http://www.w3.org/2001/XMLSchema" xmlns:xs="http://www.w3.org/2001/XMLSchema" xmlns:p="http://schemas.microsoft.com/office/2006/metadata/properties" xmlns:ns2="cbfa8945-aa93-4cd2-a998-4aa50f8d9a21" xmlns:ns3="a471bf3e-ba1e-4610-b626-22f8fd2d9fb8" targetNamespace="http://schemas.microsoft.com/office/2006/metadata/properties" ma:root="true" ma:fieldsID="434ca0a3d0df2e276eac6ba201a4a912" ns2:_="" ns3:_="">
    <xsd:import namespace="cbfa8945-aa93-4cd2-a998-4aa50f8d9a21"/>
    <xsd:import namespace="a471bf3e-ba1e-4610-b626-22f8fd2d9f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fa8945-aa93-4cd2-a998-4aa50f8d9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c5b9f97-a3a9-4673-b973-1f963bf50a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71bf3e-ba1e-4610-b626-22f8fd2d9fb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7200e9-e89c-429a-a576-545006b0fa5c}" ma:internalName="TaxCatchAll" ma:showField="CatchAllData" ma:web="a471bf3e-ba1e-4610-b626-22f8fd2d9f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7B48BE-6E5F-485D-9604-CA06309B6593}">
  <ds:schemaRefs>
    <ds:schemaRef ds:uri="http://schemas.microsoft.com/sharepoint/v3/contenttype/forms"/>
  </ds:schemaRefs>
</ds:datastoreItem>
</file>

<file path=customXml/itemProps2.xml><?xml version="1.0" encoding="utf-8"?>
<ds:datastoreItem xmlns:ds="http://schemas.openxmlformats.org/officeDocument/2006/customXml" ds:itemID="{DF15DE92-A432-4F1F-B461-091BC6218ED1}">
  <ds:schemaRefs>
    <ds:schemaRef ds:uri="http://purl.org/dc/elements/1.1/"/>
    <ds:schemaRef ds:uri="http://schemas.microsoft.com/office/2006/documentManagement/types"/>
    <ds:schemaRef ds:uri="a471bf3e-ba1e-4610-b626-22f8fd2d9fb8"/>
    <ds:schemaRef ds:uri="http://purl.org/dc/terms/"/>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cbfa8945-aa93-4cd2-a998-4aa50f8d9a21"/>
    <ds:schemaRef ds:uri="http://purl.org/dc/dcmitype/"/>
  </ds:schemaRefs>
</ds:datastoreItem>
</file>

<file path=customXml/itemProps3.xml><?xml version="1.0" encoding="utf-8"?>
<ds:datastoreItem xmlns:ds="http://schemas.openxmlformats.org/officeDocument/2006/customXml" ds:itemID="{23C9DA2B-6D52-4A1B-B060-9652785342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fa8945-aa93-4cd2-a998-4aa50f8d9a21"/>
    <ds:schemaRef ds:uri="a471bf3e-ba1e-4610-b626-22f8fd2d9f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Read Me</vt:lpstr>
      <vt:lpstr>Summary</vt:lpstr>
      <vt:lpstr>EED_BAU_KNBS-pop</vt:lpstr>
      <vt:lpstr>BAU_Scenario</vt:lpstr>
      <vt:lpstr>BAU_Fuel_cons</vt:lpstr>
      <vt:lpstr>BAU_emissions</vt:lpstr>
      <vt:lpstr>BAU_for_CSV</vt:lpstr>
      <vt:lpstr>NICCS_scenario</vt:lpstr>
      <vt:lpstr>NICCS_Fuel_cons</vt:lpstr>
      <vt:lpstr>NICCS_emissions</vt:lpstr>
      <vt:lpstr>Population</vt:lpstr>
      <vt:lpstr>params</vt:lpstr>
      <vt:lpstr>nonresidential</vt:lpstr>
      <vt:lpstr>efs</vt:lpstr>
      <vt:lpstr>params!_ftn1</vt:lpstr>
      <vt:lpstr>params!_ftn2</vt:lpstr>
      <vt:lpstr>params!_ftnref1</vt:lpstr>
      <vt:lpstr>params!_ftnref2</vt:lpstr>
      <vt:lpstr>fNRB</vt:lpstr>
      <vt:lpstr>UGX_USD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Bailis</dc:creator>
  <cp:lastModifiedBy>Rob Bailis</cp:lastModifiedBy>
  <dcterms:created xsi:type="dcterms:W3CDTF">2025-04-26T12:24:57Z</dcterms:created>
  <dcterms:modified xsi:type="dcterms:W3CDTF">2025-12-03T14:06:35Z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0x0101004F7243790D0A6B4797273364CE138438</vt:lpwstr>
  </property>
  <property fmtid="{D5CDD505-2E9C-101B-9397-08002B2CF9AE}" pid="3" name="MediaServiceImageTags">
    <vt:lpwstr/>
  </property>
</Properties>
</file>