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khem\Documents\8OClockHall\IBF\"/>
    </mc:Choice>
  </mc:AlternateContent>
  <xr:revisionPtr revIDLastSave="0" documentId="13_ncr:1_{D03C5D08-1EE1-49FB-AA7E-7475AF5A0C5E}" xr6:coauthVersionLast="46" xr6:coauthVersionMax="46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definedNames>
    <definedName name="_xlnm.Print_Area" localSheetId="0">Sheet1!$Q$1:$U$21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5" i="1" l="1"/>
  <c r="AI46" i="1"/>
  <c r="AI47" i="1"/>
  <c r="AI44" i="1"/>
  <c r="AH45" i="1"/>
  <c r="AH46" i="1"/>
  <c r="AH47" i="1"/>
  <c r="AH48" i="1"/>
  <c r="AH49" i="1"/>
  <c r="AH50" i="1"/>
  <c r="AH51" i="1"/>
  <c r="AH44" i="1"/>
  <c r="AE43" i="1"/>
  <c r="AF43" i="1"/>
  <c r="AG43" i="1" s="1"/>
  <c r="AH42" i="1"/>
  <c r="AG42" i="1"/>
  <c r="AF42" i="1"/>
  <c r="AE42" i="1"/>
  <c r="AD42" i="1"/>
  <c r="Z45" i="1"/>
  <c r="Z43" i="1"/>
  <c r="Z44" i="1"/>
  <c r="Z42" i="1"/>
  <c r="Y44" i="1"/>
  <c r="AE25" i="1"/>
  <c r="AE26" i="1"/>
  <c r="AE27" i="1"/>
  <c r="AE28" i="1"/>
  <c r="AE29" i="1"/>
  <c r="AE30" i="1"/>
  <c r="AE31" i="1"/>
  <c r="AE24" i="1"/>
  <c r="AD25" i="1"/>
  <c r="AD26" i="1"/>
  <c r="AD27" i="1"/>
  <c r="AD28" i="1"/>
  <c r="AD29" i="1"/>
  <c r="AD30" i="1"/>
  <c r="AD31" i="1"/>
  <c r="AD24" i="1"/>
  <c r="AC31" i="1"/>
  <c r="AC30" i="1"/>
  <c r="AC29" i="1"/>
  <c r="AC28" i="1"/>
  <c r="AC27" i="1"/>
  <c r="AC26" i="1"/>
  <c r="AC25" i="1"/>
  <c r="AC24" i="1"/>
  <c r="AB24" i="1"/>
  <c r="AB35" i="1"/>
  <c r="AB33" i="1"/>
  <c r="AB32" i="1"/>
  <c r="AB30" i="1"/>
  <c r="AB29" i="1"/>
  <c r="AB27" i="1"/>
  <c r="AB26" i="1"/>
  <c r="AA25" i="1"/>
  <c r="AA26" i="1"/>
  <c r="AA27" i="1"/>
  <c r="AA28" i="1"/>
  <c r="AA29" i="1"/>
  <c r="AA30" i="1"/>
  <c r="AA31" i="1"/>
  <c r="AA32" i="1"/>
  <c r="AA33" i="1"/>
  <c r="AA34" i="1"/>
  <c r="AA35" i="1"/>
  <c r="AA24" i="1"/>
  <c r="Z25" i="1"/>
  <c r="Z26" i="1"/>
  <c r="Z27" i="1"/>
  <c r="Z28" i="1"/>
  <c r="Z29" i="1"/>
  <c r="Z30" i="1"/>
  <c r="Z31" i="1"/>
  <c r="Z32" i="1"/>
  <c r="Z33" i="1"/>
  <c r="Z34" i="1"/>
  <c r="Z35" i="1"/>
  <c r="Z24" i="1"/>
  <c r="Y37" i="1"/>
  <c r="Y36" i="1"/>
  <c r="AC20" i="1"/>
  <c r="AC18" i="1"/>
  <c r="AC16" i="1"/>
  <c r="AC14" i="1"/>
  <c r="R25" i="1"/>
  <c r="R36" i="1"/>
  <c r="S36" i="1"/>
  <c r="T36" i="1"/>
  <c r="U36" i="1"/>
  <c r="R37" i="1"/>
  <c r="S37" i="1"/>
  <c r="T37" i="1"/>
  <c r="U37" i="1"/>
  <c r="Q44" i="1"/>
  <c r="Q35" i="1"/>
  <c r="Q36" i="1"/>
  <c r="Q38" i="1"/>
  <c r="Q39" i="1"/>
  <c r="Q40" i="1"/>
  <c r="Q41" i="1"/>
  <c r="Q42" i="1"/>
  <c r="Q43" i="1"/>
  <c r="Q25" i="1"/>
  <c r="AH43" i="1" l="1"/>
  <c r="I10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Y1" i="1"/>
  <c r="Z1" i="1"/>
  <c r="AA1" i="1"/>
  <c r="AB1" i="1"/>
  <c r="Y12" i="1"/>
  <c r="Z12" i="1"/>
  <c r="AA12" i="1"/>
  <c r="AB12" i="1"/>
  <c r="Y13" i="1"/>
  <c r="Z13" i="1"/>
  <c r="AA13" i="1"/>
  <c r="AB13" i="1"/>
  <c r="X11" i="1"/>
  <c r="X12" i="1"/>
  <c r="X13" i="1"/>
  <c r="X14" i="1"/>
  <c r="X15" i="1"/>
  <c r="X16" i="1"/>
  <c r="X17" i="1"/>
  <c r="X18" i="1"/>
  <c r="X19" i="1"/>
  <c r="X20" i="1"/>
  <c r="X21" i="1"/>
  <c r="X1" i="1"/>
  <c r="O2" i="1" l="1"/>
  <c r="U2" i="1" s="1"/>
  <c r="O3" i="1"/>
  <c r="U3" i="1" s="1"/>
  <c r="O5" i="1"/>
  <c r="U5" i="1" s="1"/>
  <c r="O6" i="1"/>
  <c r="U6" i="1" s="1"/>
  <c r="O7" i="1"/>
  <c r="U7" i="1" s="1"/>
  <c r="O9" i="1"/>
  <c r="U9" i="1" s="1"/>
  <c r="O10" i="1"/>
  <c r="U10" i="1" s="1"/>
  <c r="M2" i="1"/>
  <c r="S2" i="1" s="1"/>
  <c r="N2" i="1"/>
  <c r="T2" i="1" s="1"/>
  <c r="L2" i="1"/>
  <c r="R2" i="1" s="1"/>
  <c r="L4" i="1"/>
  <c r="R4" i="1" s="1"/>
  <c r="M4" i="1"/>
  <c r="S4" i="1" s="1"/>
  <c r="S28" i="1" s="1"/>
  <c r="N4" i="1"/>
  <c r="T4" i="1" s="1"/>
  <c r="T28" i="1" s="1"/>
  <c r="L5" i="1"/>
  <c r="R5" i="1" s="1"/>
  <c r="L6" i="1"/>
  <c r="R6" i="1" s="1"/>
  <c r="M6" i="1"/>
  <c r="S6" i="1" s="1"/>
  <c r="N6" i="1"/>
  <c r="T6" i="1" s="1"/>
  <c r="L7" i="1"/>
  <c r="R7" i="1" s="1"/>
  <c r="L8" i="1"/>
  <c r="R8" i="1" s="1"/>
  <c r="R32" i="1" s="1"/>
  <c r="M8" i="1"/>
  <c r="S8" i="1" s="1"/>
  <c r="S32" i="1" s="1"/>
  <c r="N8" i="1"/>
  <c r="T8" i="1" s="1"/>
  <c r="L9" i="1"/>
  <c r="R9" i="1" s="1"/>
  <c r="L10" i="1"/>
  <c r="M10" i="1"/>
  <c r="S10" i="1" s="1"/>
  <c r="N10" i="1"/>
  <c r="K10" i="1"/>
  <c r="Q10" i="1" s="1"/>
  <c r="K9" i="1"/>
  <c r="Q9" i="1" s="1"/>
  <c r="K8" i="1"/>
  <c r="Q8" i="1" s="1"/>
  <c r="K7" i="1"/>
  <c r="Q7" i="1" s="1"/>
  <c r="K6" i="1"/>
  <c r="Q6" i="1" s="1"/>
  <c r="K5" i="1"/>
  <c r="Q5" i="1" s="1"/>
  <c r="K4" i="1"/>
  <c r="L3" i="1"/>
  <c r="R3" i="1" s="1"/>
  <c r="N3" i="1"/>
  <c r="T3" i="1" s="1"/>
  <c r="K3" i="1"/>
  <c r="Q3" i="1" s="1"/>
  <c r="F16" i="1"/>
  <c r="F11" i="1"/>
  <c r="I9" i="1"/>
  <c r="O8" i="1" s="1"/>
  <c r="U8" i="1" s="1"/>
  <c r="O4" i="1"/>
  <c r="U4" i="1" s="1"/>
  <c r="U28" i="1" s="1"/>
  <c r="G4" i="1"/>
  <c r="M5" i="1" s="1"/>
  <c r="S5" i="1" s="1"/>
  <c r="G5" i="1"/>
  <c r="M7" i="1" s="1"/>
  <c r="S7" i="1" s="1"/>
  <c r="G6" i="1"/>
  <c r="H6" i="1" s="1"/>
  <c r="N9" i="1" s="1"/>
  <c r="T9" i="1" s="1"/>
  <c r="G3" i="1"/>
  <c r="C16" i="1"/>
  <c r="C17" i="1" s="1"/>
  <c r="C8" i="1"/>
  <c r="C9" i="1"/>
  <c r="C10" i="1"/>
  <c r="C7" i="1"/>
  <c r="C4" i="1"/>
  <c r="C5" i="1"/>
  <c r="C6" i="1"/>
  <c r="C3" i="1"/>
  <c r="R10" i="1" l="1"/>
  <c r="R34" i="1" s="1"/>
  <c r="T10" i="1"/>
  <c r="T34" i="1" s="1"/>
  <c r="Z2" i="1"/>
  <c r="S26" i="1"/>
  <c r="AB3" i="1"/>
  <c r="U27" i="1"/>
  <c r="AA2" i="1"/>
  <c r="T26" i="1"/>
  <c r="AB2" i="1"/>
  <c r="U26" i="1"/>
  <c r="AB5" i="1"/>
  <c r="U29" i="1"/>
  <c r="X3" i="1"/>
  <c r="Q27" i="1"/>
  <c r="Y4" i="1"/>
  <c r="R28" i="1"/>
  <c r="AA9" i="1"/>
  <c r="T33" i="1"/>
  <c r="AA3" i="1"/>
  <c r="T27" i="1"/>
  <c r="X10" i="1"/>
  <c r="Q34" i="1"/>
  <c r="Y7" i="1"/>
  <c r="R31" i="1"/>
  <c r="Y2" i="1"/>
  <c r="R26" i="1"/>
  <c r="AB7" i="1"/>
  <c r="U31" i="1"/>
  <c r="Z7" i="1"/>
  <c r="S31" i="1"/>
  <c r="X7" i="1"/>
  <c r="Q31" i="1"/>
  <c r="X9" i="1"/>
  <c r="Q33" i="1"/>
  <c r="X5" i="1"/>
  <c r="Q29" i="1"/>
  <c r="Y6" i="1"/>
  <c r="R30" i="1"/>
  <c r="U21" i="1"/>
  <c r="U20" i="1" s="1"/>
  <c r="U34" i="1"/>
  <c r="AA8" i="1"/>
  <c r="T32" i="1"/>
  <c r="X8" i="1"/>
  <c r="Q32" i="1"/>
  <c r="AB6" i="1"/>
  <c r="U30" i="1"/>
  <c r="Y3" i="1"/>
  <c r="R27" i="1"/>
  <c r="AA6" i="1"/>
  <c r="T30" i="1"/>
  <c r="Z5" i="1"/>
  <c r="S29" i="1"/>
  <c r="S21" i="1"/>
  <c r="S34" i="1"/>
  <c r="Z6" i="1"/>
  <c r="S30" i="1"/>
  <c r="AB8" i="1"/>
  <c r="U32" i="1"/>
  <c r="X6" i="1"/>
  <c r="Q30" i="1"/>
  <c r="Y9" i="1"/>
  <c r="R33" i="1"/>
  <c r="Y5" i="1"/>
  <c r="R29" i="1"/>
  <c r="AB9" i="1"/>
  <c r="U33" i="1"/>
  <c r="AA10" i="1"/>
  <c r="AA21" i="1" s="1"/>
  <c r="T21" i="1"/>
  <c r="T20" i="1" s="1"/>
  <c r="AB10" i="1"/>
  <c r="AB21" i="1" s="1"/>
  <c r="AH21" i="1" s="1"/>
  <c r="AA4" i="1"/>
  <c r="AB4" i="1"/>
  <c r="U11" i="1"/>
  <c r="U35" i="1" s="1"/>
  <c r="Z10" i="1"/>
  <c r="Z21" i="1" s="1"/>
  <c r="AF21" i="1" s="1"/>
  <c r="Z8" i="1"/>
  <c r="Z4" i="1"/>
  <c r="Y10" i="1"/>
  <c r="Y21" i="1" s="1"/>
  <c r="AE21" i="1" s="1"/>
  <c r="R21" i="1"/>
  <c r="R20" i="1" s="1"/>
  <c r="Y8" i="1"/>
  <c r="R11" i="1"/>
  <c r="R35" i="1" s="1"/>
  <c r="Q4" i="1"/>
  <c r="C11" i="1"/>
  <c r="M9" i="1"/>
  <c r="S9" i="1" s="1"/>
  <c r="F17" i="1"/>
  <c r="G11" i="1"/>
  <c r="G17" i="1" s="1"/>
  <c r="I11" i="1"/>
  <c r="I17" i="1" s="1"/>
  <c r="M3" i="1"/>
  <c r="S3" i="1" s="1"/>
  <c r="H4" i="1"/>
  <c r="H5" i="1"/>
  <c r="N7" i="1" s="1"/>
  <c r="T7" i="1" s="1"/>
  <c r="Y11" i="1" l="1"/>
  <c r="U19" i="1"/>
  <c r="U44" i="1"/>
  <c r="X4" i="1"/>
  <c r="Q28" i="1"/>
  <c r="R19" i="1"/>
  <c r="R44" i="1"/>
  <c r="Z3" i="1"/>
  <c r="Z11" i="1" s="1"/>
  <c r="S27" i="1"/>
  <c r="T19" i="1"/>
  <c r="T43" i="1" s="1"/>
  <c r="T44" i="1"/>
  <c r="AA7" i="1"/>
  <c r="T31" i="1"/>
  <c r="Z9" i="1"/>
  <c r="Z20" i="1" s="1"/>
  <c r="S33" i="1"/>
  <c r="S11" i="1"/>
  <c r="S35" i="1" s="1"/>
  <c r="AB20" i="1"/>
  <c r="S20" i="1"/>
  <c r="AG21" i="1"/>
  <c r="AA20" i="1"/>
  <c r="Y20" i="1"/>
  <c r="AB11" i="1"/>
  <c r="H11" i="1"/>
  <c r="H17" i="1" s="1"/>
  <c r="N5" i="1"/>
  <c r="T5" i="1" s="1"/>
  <c r="T29" i="1" s="1"/>
  <c r="T18" i="1" l="1"/>
  <c r="T17" i="1" s="1"/>
  <c r="Z19" i="1"/>
  <c r="Z18" i="1" s="1"/>
  <c r="AF20" i="1"/>
  <c r="R18" i="1"/>
  <c r="R43" i="1"/>
  <c r="S19" i="1"/>
  <c r="S44" i="1"/>
  <c r="U18" i="1"/>
  <c r="U43" i="1"/>
  <c r="AA5" i="1"/>
  <c r="AA11" i="1" s="1"/>
  <c r="T11" i="1"/>
  <c r="T35" i="1" s="1"/>
  <c r="AA19" i="1"/>
  <c r="AG20" i="1"/>
  <c r="AB19" i="1"/>
  <c r="AH20" i="1"/>
  <c r="AE20" i="1"/>
  <c r="Y19" i="1"/>
  <c r="T41" i="1" l="1"/>
  <c r="T16" i="1"/>
  <c r="T15" i="1" s="1"/>
  <c r="T42" i="1"/>
  <c r="AF19" i="1"/>
  <c r="S18" i="1"/>
  <c r="S43" i="1"/>
  <c r="R17" i="1"/>
  <c r="R42" i="1"/>
  <c r="U17" i="1"/>
  <c r="U42" i="1"/>
  <c r="AB18" i="1"/>
  <c r="AH19" i="1"/>
  <c r="AG19" i="1"/>
  <c r="AA18" i="1"/>
  <c r="Y18" i="1"/>
  <c r="AE19" i="1"/>
  <c r="Z17" i="1"/>
  <c r="AF18" i="1"/>
  <c r="T40" i="1" l="1"/>
  <c r="S17" i="1"/>
  <c r="S42" i="1"/>
  <c r="U16" i="1"/>
  <c r="U41" i="1"/>
  <c r="R16" i="1"/>
  <c r="R41" i="1"/>
  <c r="T14" i="1"/>
  <c r="T38" i="1" s="1"/>
  <c r="T39" i="1"/>
  <c r="AG18" i="1"/>
  <c r="AA17" i="1"/>
  <c r="Z16" i="1"/>
  <c r="AF17" i="1"/>
  <c r="Y17" i="1"/>
  <c r="AE18" i="1"/>
  <c r="AB17" i="1"/>
  <c r="AH18" i="1"/>
  <c r="U15" i="1" l="1"/>
  <c r="U40" i="1"/>
  <c r="R15" i="1"/>
  <c r="R40" i="1"/>
  <c r="S16" i="1"/>
  <c r="S41" i="1"/>
  <c r="AH17" i="1"/>
  <c r="AB16" i="1"/>
  <c r="Y16" i="1"/>
  <c r="AE17" i="1"/>
  <c r="Z15" i="1"/>
  <c r="AF16" i="1"/>
  <c r="AA16" i="1"/>
  <c r="AG17" i="1"/>
  <c r="S15" i="1" l="1"/>
  <c r="S40" i="1"/>
  <c r="R14" i="1"/>
  <c r="R38" i="1" s="1"/>
  <c r="R39" i="1"/>
  <c r="U14" i="1"/>
  <c r="U38" i="1" s="1"/>
  <c r="U39" i="1"/>
  <c r="AA15" i="1"/>
  <c r="AG16" i="1"/>
  <c r="Z14" i="1"/>
  <c r="AF14" i="1" s="1"/>
  <c r="AF15" i="1"/>
  <c r="AE16" i="1"/>
  <c r="Y15" i="1"/>
  <c r="AH16" i="1"/>
  <c r="AB15" i="1"/>
  <c r="S14" i="1" l="1"/>
  <c r="S38" i="1" s="1"/>
  <c r="S39" i="1"/>
  <c r="Y14" i="1"/>
  <c r="AE14" i="1" s="1"/>
  <c r="AM16" i="1" s="1"/>
  <c r="AE15" i="1"/>
  <c r="AG15" i="1"/>
  <c r="AL15" i="1" s="1"/>
  <c r="AA14" i="1"/>
  <c r="AG14" i="1" s="1"/>
  <c r="AL14" i="1" s="1"/>
  <c r="AH15" i="1"/>
  <c r="AB14" i="1"/>
  <c r="AH14" i="1" s="1"/>
  <c r="AM14" i="1" s="1"/>
  <c r="AK14" i="1" l="1"/>
  <c r="AL16" i="1"/>
  <c r="AK15" i="1"/>
  <c r="AJ15" i="1"/>
  <c r="AL17" i="1"/>
  <c r="AK20" i="1"/>
  <c r="AL19" i="1"/>
  <c r="AK19" i="1"/>
  <c r="AK21" i="1"/>
  <c r="AM21" i="1"/>
  <c r="AJ19" i="1"/>
  <c r="AL18" i="1"/>
  <c r="AJ14" i="1"/>
  <c r="AL21" i="1"/>
  <c r="AM19" i="1"/>
  <c r="AM17" i="1"/>
  <c r="AJ21" i="1"/>
  <c r="AK17" i="1"/>
  <c r="AJ20" i="1"/>
  <c r="AM20" i="1"/>
  <c r="AL20" i="1"/>
  <c r="AJ18" i="1"/>
  <c r="AM18" i="1"/>
  <c r="AK18" i="1"/>
  <c r="AK16" i="1"/>
  <c r="AJ17" i="1"/>
  <c r="AM15" i="1"/>
  <c r="AJ16" i="1"/>
</calcChain>
</file>

<file path=xl/sharedStrings.xml><?xml version="1.0" encoding="utf-8"?>
<sst xmlns="http://schemas.openxmlformats.org/spreadsheetml/2006/main" count="59" uniqueCount="42">
  <si>
    <t>dV</t>
  </si>
  <si>
    <t>IROC</t>
  </si>
  <si>
    <t>R2</t>
  </si>
  <si>
    <t>Et1</t>
  </si>
  <si>
    <t>Et2</t>
  </si>
  <si>
    <t>Et3</t>
  </si>
  <si>
    <t>Ind</t>
  </si>
  <si>
    <t>Top G1</t>
  </si>
  <si>
    <t>Cath</t>
  </si>
  <si>
    <t>dVcath</t>
  </si>
  <si>
    <t>V</t>
  </si>
  <si>
    <t>sphenix</t>
  </si>
  <si>
    <t>Total</t>
  </si>
  <si>
    <t>G1 Top</t>
  </si>
  <si>
    <t>G1 Bot</t>
  </si>
  <si>
    <t>G2 Top</t>
  </si>
  <si>
    <t>G2 Bot</t>
  </si>
  <si>
    <t>G3 Top</t>
  </si>
  <si>
    <t>G3 Bot</t>
  </si>
  <si>
    <t>G4 Top</t>
  </si>
  <si>
    <t>G4 Bot</t>
  </si>
  <si>
    <t>N(0.9)</t>
  </si>
  <si>
    <t>G1 (V)</t>
  </si>
  <si>
    <t>G2 (V)</t>
  </si>
  <si>
    <t>G3 (V)</t>
  </si>
  <si>
    <t>G4 (V)</t>
  </si>
  <si>
    <t xml:space="preserve">Et1 </t>
  </si>
  <si>
    <t>Ramp Rates</t>
  </si>
  <si>
    <t>Rtot</t>
  </si>
  <si>
    <t>Vtot</t>
  </si>
  <si>
    <t>Itot</t>
  </si>
  <si>
    <t>Abs Error</t>
  </si>
  <si>
    <t>Abs V</t>
  </si>
  <si>
    <t>DeltaV</t>
  </si>
  <si>
    <t>Delta Err</t>
  </si>
  <si>
    <t>Delta %</t>
  </si>
  <si>
    <t>quiescent</t>
  </si>
  <si>
    <t>CM V</t>
  </si>
  <si>
    <t>Rcage</t>
  </si>
  <si>
    <t>R1</t>
  </si>
  <si>
    <t>Ptot</t>
  </si>
  <si>
    <t>Pdropper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</si>
</sst>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1" fontId="0" fillId="4" borderId="2" xfId="0" applyNumberFormat="1" applyFill="1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tabSelected="1" topLeftCell="N19" workbookViewId="0">
      <selection activeCell="AD48" sqref="AD48"/>
    </sheetView>
  </sheetViews>
  <sheetFormatPr defaultRowHeight="14.25" x14ac:dyDescent="0.45"/>
  <cols>
    <col min="25" max="25" width="9.1328125" style="3"/>
    <col min="26" max="26" width="10.73046875" style="3" bestFit="1" customWidth="1"/>
    <col min="27" max="28" width="9.1328125" style="3"/>
    <col min="31" max="31" width="10.73046875" bestFit="1" customWidth="1"/>
    <col min="32" max="32" width="11.59765625" bestFit="1" customWidth="1"/>
    <col min="33" max="33" width="9.59765625" bestFit="1" customWidth="1"/>
  </cols>
  <sheetData>
    <row r="1" spans="1:39" ht="15" thickTop="1" thickBot="1" x14ac:dyDescent="0.5">
      <c r="F1" t="s">
        <v>0</v>
      </c>
      <c r="G1" t="s">
        <v>1</v>
      </c>
      <c r="K1" t="s">
        <v>0</v>
      </c>
      <c r="L1" t="s">
        <v>1</v>
      </c>
      <c r="Q1" s="1" t="s">
        <v>0</v>
      </c>
      <c r="R1" s="1" t="s">
        <v>11</v>
      </c>
      <c r="S1" s="1"/>
      <c r="T1" s="1"/>
      <c r="U1" s="1"/>
      <c r="W1" t="s">
        <v>21</v>
      </c>
      <c r="X1" s="4" t="str">
        <f>Q1</f>
        <v>dV</v>
      </c>
      <c r="Y1" s="5" t="str">
        <f t="shared" ref="Y1:AB13" si="0">R1</f>
        <v>sphenix</v>
      </c>
      <c r="Z1" s="5">
        <f t="shared" si="0"/>
        <v>0</v>
      </c>
      <c r="AA1" s="5">
        <f t="shared" si="0"/>
        <v>0</v>
      </c>
      <c r="AB1" s="5">
        <f t="shared" si="0"/>
        <v>0</v>
      </c>
    </row>
    <row r="2" spans="1:39" ht="15" thickTop="1" thickBot="1" x14ac:dyDescent="0.5">
      <c r="A2" t="s">
        <v>0</v>
      </c>
      <c r="B2" t="s">
        <v>1</v>
      </c>
      <c r="C2" t="s">
        <v>2</v>
      </c>
      <c r="E2" t="s">
        <v>1</v>
      </c>
      <c r="F2">
        <v>1</v>
      </c>
      <c r="G2">
        <v>2</v>
      </c>
      <c r="H2">
        <v>3</v>
      </c>
      <c r="I2">
        <v>4</v>
      </c>
      <c r="L2">
        <f>F2</f>
        <v>1</v>
      </c>
      <c r="M2">
        <f t="shared" ref="M2:O2" si="1">G2</f>
        <v>2</v>
      </c>
      <c r="N2">
        <f t="shared" si="1"/>
        <v>3</v>
      </c>
      <c r="O2">
        <f t="shared" si="1"/>
        <v>4</v>
      </c>
      <c r="Q2" s="1"/>
      <c r="R2" s="1">
        <f>L2</f>
        <v>1</v>
      </c>
      <c r="S2" s="1">
        <f t="shared" ref="S2:U2" si="2">M2</f>
        <v>2</v>
      </c>
      <c r="T2" s="1">
        <f t="shared" si="2"/>
        <v>3</v>
      </c>
      <c r="U2" s="1">
        <f t="shared" si="2"/>
        <v>4</v>
      </c>
      <c r="X2" s="6">
        <v>1.03</v>
      </c>
      <c r="Y2" s="5">
        <f t="shared" si="0"/>
        <v>1</v>
      </c>
      <c r="Z2" s="5">
        <f t="shared" si="0"/>
        <v>2</v>
      </c>
      <c r="AA2" s="5">
        <f t="shared" si="0"/>
        <v>3</v>
      </c>
      <c r="AB2" s="5">
        <f t="shared" si="0"/>
        <v>4</v>
      </c>
    </row>
    <row r="3" spans="1:39" ht="15" thickTop="1" thickBot="1" x14ac:dyDescent="0.5">
      <c r="A3" t="s">
        <v>22</v>
      </c>
      <c r="B3">
        <v>250</v>
      </c>
      <c r="C3">
        <f>B3</f>
        <v>250</v>
      </c>
      <c r="E3" t="s">
        <v>22</v>
      </c>
      <c r="F3">
        <v>250</v>
      </c>
      <c r="G3">
        <f>F3</f>
        <v>250</v>
      </c>
      <c r="H3">
        <v>265</v>
      </c>
      <c r="I3">
        <v>250</v>
      </c>
      <c r="K3" t="str">
        <f>E3</f>
        <v>G1 (V)</v>
      </c>
      <c r="L3">
        <f t="shared" ref="L3:O3" si="3">F3</f>
        <v>250</v>
      </c>
      <c r="M3">
        <f t="shared" si="3"/>
        <v>250</v>
      </c>
      <c r="N3">
        <f t="shared" si="3"/>
        <v>265</v>
      </c>
      <c r="O3">
        <f t="shared" si="3"/>
        <v>250</v>
      </c>
      <c r="Q3" s="1" t="str">
        <f t="shared" ref="Q3:Q10" si="4">K3</f>
        <v>G1 (V)</v>
      </c>
      <c r="R3" s="1">
        <f>L3</f>
        <v>250</v>
      </c>
      <c r="S3" s="1">
        <f t="shared" ref="S3" si="5">M3</f>
        <v>250</v>
      </c>
      <c r="T3" s="1">
        <f t="shared" ref="T3" si="6">N3</f>
        <v>265</v>
      </c>
      <c r="U3" s="1">
        <f t="shared" ref="U3" si="7">O3</f>
        <v>250</v>
      </c>
      <c r="X3" s="4" t="str">
        <f t="shared" ref="X3:X21" si="8">Q3</f>
        <v>G1 (V)</v>
      </c>
      <c r="Y3" s="5">
        <f>R3*$X$2</f>
        <v>257.5</v>
      </c>
      <c r="Z3" s="5">
        <f t="shared" ref="Z3:AB3" si="9">S3*$X$2</f>
        <v>257.5</v>
      </c>
      <c r="AA3" s="5">
        <f t="shared" si="9"/>
        <v>272.95</v>
      </c>
      <c r="AB3" s="5">
        <f t="shared" si="9"/>
        <v>257.5</v>
      </c>
    </row>
    <row r="4" spans="1:39" ht="15" thickTop="1" thickBot="1" x14ac:dyDescent="0.5">
      <c r="A4" t="s">
        <v>23</v>
      </c>
      <c r="B4">
        <v>310</v>
      </c>
      <c r="C4">
        <f t="shared" ref="C4:C6" si="10">B4</f>
        <v>310</v>
      </c>
      <c r="E4" t="s">
        <v>23</v>
      </c>
      <c r="F4">
        <v>320</v>
      </c>
      <c r="G4">
        <f t="shared" ref="G4:H6" si="11">F4</f>
        <v>320</v>
      </c>
      <c r="H4">
        <f>G4</f>
        <v>320</v>
      </c>
      <c r="I4">
        <v>310</v>
      </c>
      <c r="K4" t="str">
        <f>E7</f>
        <v xml:space="preserve">Et1 </v>
      </c>
      <c r="L4">
        <f t="shared" ref="L4:O4" si="12">F7</f>
        <v>600</v>
      </c>
      <c r="M4">
        <f t="shared" si="12"/>
        <v>700</v>
      </c>
      <c r="N4">
        <f t="shared" si="12"/>
        <v>800</v>
      </c>
      <c r="O4">
        <f t="shared" si="12"/>
        <v>800</v>
      </c>
      <c r="Q4" s="1" t="str">
        <f t="shared" si="4"/>
        <v xml:space="preserve">Et1 </v>
      </c>
      <c r="R4" s="1">
        <f>1.5*L4</f>
        <v>900</v>
      </c>
      <c r="S4" s="1">
        <f t="shared" ref="S4:U4" si="13">1.5*M4</f>
        <v>1050</v>
      </c>
      <c r="T4" s="1">
        <f t="shared" si="13"/>
        <v>1200</v>
      </c>
      <c r="U4" s="1">
        <f t="shared" si="13"/>
        <v>1200</v>
      </c>
      <c r="X4" s="4" t="str">
        <f t="shared" si="8"/>
        <v xml:space="preserve">Et1 </v>
      </c>
      <c r="Y4" s="5">
        <f t="shared" si="0"/>
        <v>900</v>
      </c>
      <c r="Z4" s="5">
        <f t="shared" si="0"/>
        <v>1050</v>
      </c>
      <c r="AA4" s="5">
        <f t="shared" si="0"/>
        <v>1200</v>
      </c>
      <c r="AB4" s="5">
        <f t="shared" si="0"/>
        <v>1200</v>
      </c>
    </row>
    <row r="5" spans="1:39" ht="15" thickTop="1" thickBot="1" x14ac:dyDescent="0.5">
      <c r="A5" t="s">
        <v>24</v>
      </c>
      <c r="B5">
        <v>420</v>
      </c>
      <c r="C5">
        <f t="shared" si="10"/>
        <v>420</v>
      </c>
      <c r="E5" t="s">
        <v>24</v>
      </c>
      <c r="F5">
        <v>400</v>
      </c>
      <c r="G5">
        <f t="shared" si="11"/>
        <v>400</v>
      </c>
      <c r="H5">
        <f t="shared" si="11"/>
        <v>400</v>
      </c>
      <c r="I5">
        <v>420</v>
      </c>
      <c r="K5" t="str">
        <f>E4</f>
        <v>G2 (V)</v>
      </c>
      <c r="L5">
        <f t="shared" ref="L5:O5" si="14">F4</f>
        <v>320</v>
      </c>
      <c r="M5">
        <f t="shared" si="14"/>
        <v>320</v>
      </c>
      <c r="N5">
        <f t="shared" si="14"/>
        <v>320</v>
      </c>
      <c r="O5">
        <f t="shared" si="14"/>
        <v>310</v>
      </c>
      <c r="Q5" s="1" t="str">
        <f t="shared" si="4"/>
        <v>G2 (V)</v>
      </c>
      <c r="R5" s="1">
        <f>L5</f>
        <v>320</v>
      </c>
      <c r="S5" s="1">
        <f t="shared" ref="S5" si="15">M5</f>
        <v>320</v>
      </c>
      <c r="T5" s="1">
        <f t="shared" ref="T5" si="16">N5</f>
        <v>320</v>
      </c>
      <c r="U5" s="1">
        <f t="shared" ref="U5" si="17">O5</f>
        <v>310</v>
      </c>
      <c r="X5" s="4" t="str">
        <f t="shared" si="8"/>
        <v>G2 (V)</v>
      </c>
      <c r="Y5" s="5">
        <f>R5*$X$2</f>
        <v>329.6</v>
      </c>
      <c r="Z5" s="5">
        <f t="shared" ref="Z5" si="18">S5*$X$2</f>
        <v>329.6</v>
      </c>
      <c r="AA5" s="5">
        <f t="shared" ref="AA5" si="19">T5*$X$2</f>
        <v>329.6</v>
      </c>
      <c r="AB5" s="5">
        <f t="shared" ref="AB5" si="20">U5*$X$2</f>
        <v>319.3</v>
      </c>
    </row>
    <row r="6" spans="1:39" ht="15" thickTop="1" thickBot="1" x14ac:dyDescent="0.5">
      <c r="A6" t="s">
        <v>25</v>
      </c>
      <c r="B6">
        <v>465</v>
      </c>
      <c r="C6">
        <f t="shared" si="10"/>
        <v>465</v>
      </c>
      <c r="E6" t="s">
        <v>25</v>
      </c>
      <c r="F6">
        <v>465</v>
      </c>
      <c r="G6">
        <f t="shared" si="11"/>
        <v>465</v>
      </c>
      <c r="H6">
        <f t="shared" si="11"/>
        <v>465</v>
      </c>
      <c r="I6">
        <v>465</v>
      </c>
      <c r="K6" t="str">
        <f>E8</f>
        <v>Et2</v>
      </c>
      <c r="L6">
        <f t="shared" ref="L6:O6" si="21">F8</f>
        <v>600</v>
      </c>
      <c r="M6">
        <f t="shared" si="21"/>
        <v>700</v>
      </c>
      <c r="N6">
        <f t="shared" si="21"/>
        <v>800</v>
      </c>
      <c r="O6">
        <f t="shared" si="21"/>
        <v>800</v>
      </c>
      <c r="Q6" s="1" t="str">
        <f t="shared" si="4"/>
        <v>Et2</v>
      </c>
      <c r="R6" s="1">
        <f>1.5*L6</f>
        <v>900</v>
      </c>
      <c r="S6" s="1">
        <f t="shared" ref="S6" si="22">1.5*M6</f>
        <v>1050</v>
      </c>
      <c r="T6" s="1">
        <f t="shared" ref="T6" si="23">1.5*N6</f>
        <v>1200</v>
      </c>
      <c r="U6" s="1">
        <f t="shared" ref="U6" si="24">1.5*O6</f>
        <v>1200</v>
      </c>
      <c r="X6" s="4" t="str">
        <f t="shared" si="8"/>
        <v>Et2</v>
      </c>
      <c r="Y6" s="5">
        <f t="shared" si="0"/>
        <v>900</v>
      </c>
      <c r="Z6" s="5">
        <f t="shared" si="0"/>
        <v>1050</v>
      </c>
      <c r="AA6" s="5">
        <f t="shared" si="0"/>
        <v>1200</v>
      </c>
      <c r="AB6" s="5">
        <f t="shared" si="0"/>
        <v>1200</v>
      </c>
    </row>
    <row r="7" spans="1:39" ht="15" thickTop="1" thickBot="1" x14ac:dyDescent="0.5">
      <c r="A7" t="s">
        <v>3</v>
      </c>
      <c r="B7">
        <v>800</v>
      </c>
      <c r="C7">
        <f>1.5*B7</f>
        <v>1200</v>
      </c>
      <c r="E7" t="s">
        <v>26</v>
      </c>
      <c r="F7">
        <f>3000*0.2</f>
        <v>600</v>
      </c>
      <c r="G7">
        <f>3500*0.2</f>
        <v>700</v>
      </c>
      <c r="H7">
        <f>4000*0.2</f>
        <v>800</v>
      </c>
      <c r="I7">
        <f>4000*0.2</f>
        <v>800</v>
      </c>
      <c r="K7" t="str">
        <f>E5</f>
        <v>G3 (V)</v>
      </c>
      <c r="L7">
        <f t="shared" ref="L7:O7" si="25">F5</f>
        <v>400</v>
      </c>
      <c r="M7">
        <f t="shared" si="25"/>
        <v>400</v>
      </c>
      <c r="N7">
        <f t="shared" si="25"/>
        <v>400</v>
      </c>
      <c r="O7">
        <f t="shared" si="25"/>
        <v>420</v>
      </c>
      <c r="Q7" s="1" t="str">
        <f t="shared" si="4"/>
        <v>G3 (V)</v>
      </c>
      <c r="R7" s="1">
        <f>L7</f>
        <v>400</v>
      </c>
      <c r="S7" s="1">
        <f t="shared" ref="S7" si="26">M7</f>
        <v>400</v>
      </c>
      <c r="T7" s="1">
        <f t="shared" ref="T7" si="27">N7</f>
        <v>400</v>
      </c>
      <c r="U7" s="1">
        <f t="shared" ref="U7" si="28">O7</f>
        <v>420</v>
      </c>
      <c r="X7" s="4" t="str">
        <f t="shared" si="8"/>
        <v>G3 (V)</v>
      </c>
      <c r="Y7" s="5">
        <f>R7*$X$2</f>
        <v>412</v>
      </c>
      <c r="Z7" s="5">
        <f t="shared" ref="Z7" si="29">S7*$X$2</f>
        <v>412</v>
      </c>
      <c r="AA7" s="5">
        <f t="shared" ref="AA7" si="30">T7*$X$2</f>
        <v>412</v>
      </c>
      <c r="AB7" s="5">
        <f t="shared" ref="AB7" si="31">U7*$X$2</f>
        <v>432.6</v>
      </c>
    </row>
    <row r="8" spans="1:39" ht="15" thickTop="1" thickBot="1" x14ac:dyDescent="0.5">
      <c r="A8" t="s">
        <v>4</v>
      </c>
      <c r="B8">
        <v>800</v>
      </c>
      <c r="C8">
        <f t="shared" ref="C8:C10" si="32">1.5*B8</f>
        <v>1200</v>
      </c>
      <c r="E8" t="s">
        <v>4</v>
      </c>
      <c r="F8">
        <f>3000*0.2</f>
        <v>600</v>
      </c>
      <c r="G8">
        <f>3500*0.2</f>
        <v>700</v>
      </c>
      <c r="H8">
        <f>4000*0.2</f>
        <v>800</v>
      </c>
      <c r="I8">
        <f>4000*0.2</f>
        <v>800</v>
      </c>
      <c r="K8" t="str">
        <f>E9</f>
        <v>Et3</v>
      </c>
      <c r="L8">
        <f t="shared" ref="L8:O8" si="33">F9</f>
        <v>20</v>
      </c>
      <c r="M8">
        <f t="shared" si="33"/>
        <v>20</v>
      </c>
      <c r="N8">
        <f t="shared" si="33"/>
        <v>20</v>
      </c>
      <c r="O8">
        <f t="shared" si="33"/>
        <v>20</v>
      </c>
      <c r="Q8" s="1" t="str">
        <f t="shared" si="4"/>
        <v>Et3</v>
      </c>
      <c r="R8" s="1">
        <f>1.5*L8</f>
        <v>30</v>
      </c>
      <c r="S8" s="1">
        <f t="shared" ref="S8" si="34">1.5*M8</f>
        <v>30</v>
      </c>
      <c r="T8" s="1">
        <f t="shared" ref="T8" si="35">1.5*N8</f>
        <v>30</v>
      </c>
      <c r="U8" s="1">
        <f t="shared" ref="U8" si="36">1.5*O8</f>
        <v>30</v>
      </c>
      <c r="X8" s="4" t="str">
        <f t="shared" si="8"/>
        <v>Et3</v>
      </c>
      <c r="Y8" s="5">
        <f t="shared" si="0"/>
        <v>30</v>
      </c>
      <c r="Z8" s="5">
        <f t="shared" si="0"/>
        <v>30</v>
      </c>
      <c r="AA8" s="5">
        <f t="shared" si="0"/>
        <v>30</v>
      </c>
      <c r="AB8" s="5">
        <f t="shared" si="0"/>
        <v>30</v>
      </c>
    </row>
    <row r="9" spans="1:39" ht="15" thickTop="1" thickBot="1" x14ac:dyDescent="0.5">
      <c r="A9" t="s">
        <v>5</v>
      </c>
      <c r="B9">
        <v>30</v>
      </c>
      <c r="C9">
        <f t="shared" si="32"/>
        <v>45</v>
      </c>
      <c r="E9" t="s">
        <v>5</v>
      </c>
      <c r="F9">
        <f>100*0.2</f>
        <v>20</v>
      </c>
      <c r="G9">
        <f>100*0.2</f>
        <v>20</v>
      </c>
      <c r="H9">
        <f>100*0.2</f>
        <v>20</v>
      </c>
      <c r="I9">
        <f t="shared" ref="I9" si="37">H9</f>
        <v>20</v>
      </c>
      <c r="K9" t="str">
        <f>E6</f>
        <v>G4 (V)</v>
      </c>
      <c r="L9">
        <f t="shared" ref="L9:O9" si="38">F6</f>
        <v>465</v>
      </c>
      <c r="M9">
        <f t="shared" si="38"/>
        <v>465</v>
      </c>
      <c r="N9">
        <f t="shared" si="38"/>
        <v>465</v>
      </c>
      <c r="O9">
        <f t="shared" si="38"/>
        <v>465</v>
      </c>
      <c r="Q9" s="1" t="str">
        <f t="shared" si="4"/>
        <v>G4 (V)</v>
      </c>
      <c r="R9" s="1">
        <f>L9</f>
        <v>465</v>
      </c>
      <c r="S9" s="1">
        <f t="shared" ref="S9" si="39">M9</f>
        <v>465</v>
      </c>
      <c r="T9" s="1">
        <f t="shared" ref="T9" si="40">N9</f>
        <v>465</v>
      </c>
      <c r="U9" s="1">
        <f t="shared" ref="U9" si="41">O9</f>
        <v>465</v>
      </c>
      <c r="X9" s="4" t="str">
        <f t="shared" si="8"/>
        <v>G4 (V)</v>
      </c>
      <c r="Y9" s="5">
        <f>R9*$X$2</f>
        <v>478.95</v>
      </c>
      <c r="Z9" s="5">
        <f t="shared" ref="Z9" si="42">S9*$X$2</f>
        <v>478.95</v>
      </c>
      <c r="AA9" s="5">
        <f t="shared" ref="AA9" si="43">T9*$X$2</f>
        <v>478.95</v>
      </c>
      <c r="AB9" s="5">
        <f t="shared" ref="AB9" si="44">U9*$X$2</f>
        <v>478.95</v>
      </c>
    </row>
    <row r="10" spans="1:39" ht="15" thickTop="1" thickBot="1" x14ac:dyDescent="0.5">
      <c r="A10" t="s">
        <v>6</v>
      </c>
      <c r="B10">
        <v>800</v>
      </c>
      <c r="C10">
        <f t="shared" si="32"/>
        <v>1200</v>
      </c>
      <c r="E10" t="s">
        <v>6</v>
      </c>
      <c r="F10">
        <f>3000*0.2</f>
        <v>600</v>
      </c>
      <c r="G10">
        <f>3500*0.2</f>
        <v>700</v>
      </c>
      <c r="H10">
        <f>4000*0.2</f>
        <v>800</v>
      </c>
      <c r="I10">
        <f>4000*0.2</f>
        <v>800</v>
      </c>
      <c r="K10" t="str">
        <f>E10</f>
        <v>Ind</v>
      </c>
      <c r="L10">
        <f t="shared" ref="L10:O10" si="45">F10</f>
        <v>600</v>
      </c>
      <c r="M10">
        <f t="shared" si="45"/>
        <v>700</v>
      </c>
      <c r="N10">
        <f t="shared" si="45"/>
        <v>800</v>
      </c>
      <c r="O10">
        <f t="shared" si="45"/>
        <v>800</v>
      </c>
      <c r="Q10" s="1" t="str">
        <f t="shared" si="4"/>
        <v>Ind</v>
      </c>
      <c r="R10" s="1">
        <f>0.75*L10</f>
        <v>450</v>
      </c>
      <c r="S10" s="1">
        <f>0.75*M10</f>
        <v>525</v>
      </c>
      <c r="T10" s="1">
        <f>0.75*N10</f>
        <v>600</v>
      </c>
      <c r="U10" s="1">
        <f>0.75*O10</f>
        <v>600</v>
      </c>
      <c r="X10" s="4" t="str">
        <f t="shared" si="8"/>
        <v>Ind</v>
      </c>
      <c r="Y10" s="5">
        <f t="shared" si="0"/>
        <v>450</v>
      </c>
      <c r="Z10" s="5">
        <f t="shared" si="0"/>
        <v>525</v>
      </c>
      <c r="AA10" s="5">
        <f t="shared" si="0"/>
        <v>600</v>
      </c>
      <c r="AB10" s="5">
        <f t="shared" si="0"/>
        <v>600</v>
      </c>
    </row>
    <row r="11" spans="1:39" ht="15" thickTop="1" thickBot="1" x14ac:dyDescent="0.5">
      <c r="B11">
        <v>100</v>
      </c>
      <c r="C11">
        <f>SUM(C3:C10)</f>
        <v>5090</v>
      </c>
      <c r="E11" t="s">
        <v>7</v>
      </c>
      <c r="F11">
        <f>SUM(F2:F10)</f>
        <v>3256</v>
      </c>
      <c r="G11">
        <f t="shared" ref="G11:I11" si="46">SUM(G2:G10)</f>
        <v>3557</v>
      </c>
      <c r="H11">
        <f t="shared" si="46"/>
        <v>3873</v>
      </c>
      <c r="I11">
        <f t="shared" si="46"/>
        <v>3869</v>
      </c>
      <c r="Q11" s="1" t="s">
        <v>12</v>
      </c>
      <c r="R11" s="1">
        <f>SUM(R3:R10)</f>
        <v>3715</v>
      </c>
      <c r="S11" s="1">
        <f t="shared" ref="S11:U11" si="47">SUM(S3:S10)</f>
        <v>4090</v>
      </c>
      <c r="T11" s="1">
        <f t="shared" si="47"/>
        <v>4480</v>
      </c>
      <c r="U11" s="1">
        <f t="shared" si="47"/>
        <v>4475</v>
      </c>
      <c r="X11" s="4" t="str">
        <f t="shared" si="8"/>
        <v>Total</v>
      </c>
      <c r="Y11" s="5">
        <f>SUM(Y3:Y10)</f>
        <v>3758.0499999999997</v>
      </c>
      <c r="Z11" s="5">
        <f t="shared" ref="Z11:AB11" si="48">SUM(Z3:Z10)</f>
        <v>4133.0499999999993</v>
      </c>
      <c r="AA11" s="5">
        <f t="shared" si="48"/>
        <v>4523.5</v>
      </c>
      <c r="AB11" s="5">
        <f t="shared" si="48"/>
        <v>4518.3500000000004</v>
      </c>
    </row>
    <row r="12" spans="1:39" ht="15" thickTop="1" thickBot="1" x14ac:dyDescent="0.5">
      <c r="Q12" s="2" t="s">
        <v>10</v>
      </c>
      <c r="R12" s="2" t="s">
        <v>11</v>
      </c>
      <c r="S12" s="2"/>
      <c r="T12" s="2"/>
      <c r="U12" s="2"/>
      <c r="X12" s="7" t="str">
        <f t="shared" si="8"/>
        <v>V</v>
      </c>
      <c r="Y12" s="8" t="str">
        <f t="shared" si="0"/>
        <v>sphenix</v>
      </c>
      <c r="Z12" s="8">
        <f t="shared" si="0"/>
        <v>0</v>
      </c>
      <c r="AA12" s="8">
        <f t="shared" si="0"/>
        <v>0</v>
      </c>
      <c r="AB12" s="8">
        <f t="shared" si="0"/>
        <v>0</v>
      </c>
    </row>
    <row r="13" spans="1:39" ht="15" thickTop="1" thickBot="1" x14ac:dyDescent="0.5">
      <c r="Q13" s="2"/>
      <c r="R13" s="2">
        <v>1</v>
      </c>
      <c r="S13" s="2">
        <v>2</v>
      </c>
      <c r="T13" s="2">
        <v>3</v>
      </c>
      <c r="U13" s="2">
        <v>4</v>
      </c>
      <c r="X13" s="7">
        <f t="shared" si="8"/>
        <v>0</v>
      </c>
      <c r="Y13" s="8">
        <f t="shared" si="0"/>
        <v>1</v>
      </c>
      <c r="Z13" s="8">
        <f t="shared" si="0"/>
        <v>2</v>
      </c>
      <c r="AA13" s="8">
        <f t="shared" si="0"/>
        <v>3</v>
      </c>
      <c r="AB13" s="8">
        <f t="shared" si="0"/>
        <v>4</v>
      </c>
      <c r="AE13" s="10" t="s">
        <v>27</v>
      </c>
      <c r="AF13" s="10"/>
      <c r="AG13" s="10"/>
      <c r="AH13" s="10"/>
      <c r="AI13" s="10"/>
      <c r="AJ13" s="10"/>
      <c r="AK13" s="10"/>
      <c r="AL13" s="10"/>
      <c r="AM13" s="10"/>
    </row>
    <row r="14" spans="1:39" ht="15" thickTop="1" thickBot="1" x14ac:dyDescent="0.5">
      <c r="Q14" s="2" t="s">
        <v>13</v>
      </c>
      <c r="R14" s="2">
        <f t="shared" ref="R14:U20" si="49">R15+R3</f>
        <v>3715</v>
      </c>
      <c r="S14" s="2">
        <f t="shared" si="49"/>
        <v>4090</v>
      </c>
      <c r="T14" s="2">
        <f t="shared" si="49"/>
        <v>4480</v>
      </c>
      <c r="U14" s="2">
        <f t="shared" si="49"/>
        <v>4475</v>
      </c>
      <c r="X14" s="7" t="str">
        <f t="shared" si="8"/>
        <v>G1 Top</v>
      </c>
      <c r="Y14" s="8">
        <f t="shared" ref="Y14:AB14" si="50">Y15+Y3</f>
        <v>3758.0499999999997</v>
      </c>
      <c r="Z14" s="8">
        <f t="shared" si="50"/>
        <v>4133.0499999999993</v>
      </c>
      <c r="AA14" s="8">
        <f t="shared" si="50"/>
        <v>4523.4999999999991</v>
      </c>
      <c r="AB14" s="8">
        <f t="shared" si="50"/>
        <v>4518.3500000000004</v>
      </c>
      <c r="AC14" s="9">
        <f>AVERAGE(AB14:AB15)</f>
        <v>4389.6000000000004</v>
      </c>
      <c r="AE14" s="8">
        <f>Y14/60</f>
        <v>62.634166666666665</v>
      </c>
      <c r="AF14" s="8">
        <f>Z14/60</f>
        <v>68.884166666666658</v>
      </c>
      <c r="AG14" s="8">
        <f>AA14/60</f>
        <v>75.391666666666652</v>
      </c>
      <c r="AH14" s="8">
        <f>AB14/60</f>
        <v>75.305833333333339</v>
      </c>
      <c r="AI14" s="4"/>
      <c r="AJ14" s="8">
        <f>AE14*500/$AE$14</f>
        <v>500</v>
      </c>
      <c r="AK14" s="8">
        <f t="shared" ref="AK14:AM21" si="51">AF14*500/$AE$14</f>
        <v>549.89289658200391</v>
      </c>
      <c r="AL14" s="8">
        <f t="shared" si="51"/>
        <v>601.84138050318643</v>
      </c>
      <c r="AM14" s="8">
        <f t="shared" si="51"/>
        <v>601.15618472346034</v>
      </c>
    </row>
    <row r="15" spans="1:39" ht="15" thickTop="1" thickBot="1" x14ac:dyDescent="0.5">
      <c r="Q15" s="2" t="s">
        <v>14</v>
      </c>
      <c r="R15" s="2">
        <f t="shared" si="49"/>
        <v>3465</v>
      </c>
      <c r="S15" s="2">
        <f t="shared" si="49"/>
        <v>3840</v>
      </c>
      <c r="T15" s="2">
        <f t="shared" si="49"/>
        <v>4215</v>
      </c>
      <c r="U15" s="2">
        <f t="shared" si="49"/>
        <v>4225</v>
      </c>
      <c r="X15" s="7" t="str">
        <f t="shared" si="8"/>
        <v>G1 Bot</v>
      </c>
      <c r="Y15" s="8">
        <f t="shared" ref="Y15:AB15" si="52">Y16+Y4</f>
        <v>3500.5499999999997</v>
      </c>
      <c r="Z15" s="8">
        <f t="shared" si="52"/>
        <v>3875.5499999999997</v>
      </c>
      <c r="AA15" s="8">
        <f t="shared" si="52"/>
        <v>4250.5499999999993</v>
      </c>
      <c r="AB15" s="8">
        <f t="shared" si="52"/>
        <v>4260.8500000000004</v>
      </c>
      <c r="AE15" s="8">
        <f t="shared" ref="AE15:AE21" si="53">Y15/60</f>
        <v>58.342499999999994</v>
      </c>
      <c r="AF15" s="8">
        <f t="shared" ref="AF15:AH21" si="54">Z15/60</f>
        <v>64.592500000000001</v>
      </c>
      <c r="AG15" s="8">
        <f t="shared" si="54"/>
        <v>70.842499999999987</v>
      </c>
      <c r="AH15" s="8">
        <f t="shared" si="54"/>
        <v>71.014166666666668</v>
      </c>
      <c r="AI15" s="4"/>
      <c r="AJ15" s="8">
        <f t="shared" ref="AJ15:AJ21" si="55">AE15*500/$AE$14</f>
        <v>465.74021101369055</v>
      </c>
      <c r="AK15" s="8">
        <f t="shared" si="51"/>
        <v>515.63310759569458</v>
      </c>
      <c r="AL15" s="8">
        <f t="shared" si="51"/>
        <v>565.52600417769838</v>
      </c>
      <c r="AM15" s="8">
        <f t="shared" si="51"/>
        <v>566.89639573715101</v>
      </c>
    </row>
    <row r="16" spans="1:39" ht="15" thickTop="1" thickBot="1" x14ac:dyDescent="0.5">
      <c r="C16">
        <f>1.4*400</f>
        <v>560</v>
      </c>
      <c r="E16" t="s">
        <v>9</v>
      </c>
      <c r="F16">
        <f>1.4*400</f>
        <v>560</v>
      </c>
      <c r="Q16" s="2" t="s">
        <v>15</v>
      </c>
      <c r="R16" s="2">
        <f t="shared" si="49"/>
        <v>2565</v>
      </c>
      <c r="S16" s="2">
        <f t="shared" si="49"/>
        <v>2790</v>
      </c>
      <c r="T16" s="2">
        <f t="shared" si="49"/>
        <v>3015</v>
      </c>
      <c r="U16" s="2">
        <f t="shared" si="49"/>
        <v>3025</v>
      </c>
      <c r="X16" s="7" t="str">
        <f t="shared" si="8"/>
        <v>G2 Top</v>
      </c>
      <c r="Y16" s="8">
        <f t="shared" ref="Y16:AB16" si="56">Y17+Y5</f>
        <v>2600.5499999999997</v>
      </c>
      <c r="Z16" s="8">
        <f t="shared" si="56"/>
        <v>2825.5499999999997</v>
      </c>
      <c r="AA16" s="8">
        <f t="shared" si="56"/>
        <v>3050.5499999999997</v>
      </c>
      <c r="AB16" s="8">
        <f t="shared" si="56"/>
        <v>3060.8500000000004</v>
      </c>
      <c r="AC16" s="9">
        <f>AVERAGE(AB16:AB17)</f>
        <v>2901.2000000000003</v>
      </c>
      <c r="AE16" s="8">
        <f t="shared" si="53"/>
        <v>43.342499999999994</v>
      </c>
      <c r="AF16" s="8">
        <f t="shared" si="54"/>
        <v>47.092499999999994</v>
      </c>
      <c r="AG16" s="8">
        <f t="shared" si="54"/>
        <v>50.842499999999994</v>
      </c>
      <c r="AH16" s="8">
        <f t="shared" si="54"/>
        <v>51.014166666666675</v>
      </c>
      <c r="AI16" s="4"/>
      <c r="AJ16" s="8">
        <f t="shared" si="55"/>
        <v>345.99725921688105</v>
      </c>
      <c r="AK16" s="8">
        <f t="shared" si="51"/>
        <v>375.9329971660834</v>
      </c>
      <c r="AL16" s="8">
        <f t="shared" si="51"/>
        <v>405.8687351152858</v>
      </c>
      <c r="AM16" s="8">
        <f t="shared" si="51"/>
        <v>407.23912667473826</v>
      </c>
    </row>
    <row r="17" spans="3:39" ht="15" thickTop="1" thickBot="1" x14ac:dyDescent="0.5">
      <c r="C17">
        <f>C16+B11</f>
        <v>660</v>
      </c>
      <c r="E17" t="s">
        <v>8</v>
      </c>
      <c r="F17">
        <f>F11+$F$16</f>
        <v>3816</v>
      </c>
      <c r="G17">
        <f>G11+$F$16</f>
        <v>4117</v>
      </c>
      <c r="H17">
        <f>H11+$F$16</f>
        <v>4433</v>
      </c>
      <c r="I17">
        <f>I11+$F$16</f>
        <v>4429</v>
      </c>
      <c r="Q17" s="2" t="s">
        <v>16</v>
      </c>
      <c r="R17" s="2">
        <f t="shared" si="49"/>
        <v>2245</v>
      </c>
      <c r="S17" s="2">
        <f t="shared" si="49"/>
        <v>2470</v>
      </c>
      <c r="T17" s="2">
        <f t="shared" si="49"/>
        <v>2695</v>
      </c>
      <c r="U17" s="2">
        <f t="shared" si="49"/>
        <v>2715</v>
      </c>
      <c r="X17" s="7" t="str">
        <f t="shared" si="8"/>
        <v>G2 Bot</v>
      </c>
      <c r="Y17" s="8">
        <f t="shared" ref="Y17:AB17" si="57">Y18+Y6</f>
        <v>2270.9499999999998</v>
      </c>
      <c r="Z17" s="8">
        <f t="shared" si="57"/>
        <v>2495.9499999999998</v>
      </c>
      <c r="AA17" s="8">
        <f t="shared" si="57"/>
        <v>2720.95</v>
      </c>
      <c r="AB17" s="8">
        <f t="shared" si="57"/>
        <v>2741.55</v>
      </c>
      <c r="AE17" s="8">
        <f t="shared" si="53"/>
        <v>37.849166666666662</v>
      </c>
      <c r="AF17" s="8">
        <f t="shared" si="54"/>
        <v>41.599166666666662</v>
      </c>
      <c r="AG17" s="8">
        <f t="shared" si="54"/>
        <v>45.349166666666662</v>
      </c>
      <c r="AH17" s="8">
        <f t="shared" si="54"/>
        <v>45.692500000000003</v>
      </c>
      <c r="AI17" s="4"/>
      <c r="AJ17" s="8">
        <f t="shared" si="55"/>
        <v>302.14472931440508</v>
      </c>
      <c r="AK17" s="8">
        <f t="shared" si="51"/>
        <v>332.08046726360743</v>
      </c>
      <c r="AL17" s="8">
        <f t="shared" si="51"/>
        <v>362.01620521280984</v>
      </c>
      <c r="AM17" s="8">
        <f t="shared" si="51"/>
        <v>364.75698833171458</v>
      </c>
    </row>
    <row r="18" spans="3:39" ht="15" thickTop="1" thickBot="1" x14ac:dyDescent="0.5">
      <c r="Q18" s="2" t="s">
        <v>17</v>
      </c>
      <c r="R18" s="2">
        <f t="shared" si="49"/>
        <v>1345</v>
      </c>
      <c r="S18" s="2">
        <f t="shared" si="49"/>
        <v>1420</v>
      </c>
      <c r="T18" s="2">
        <f t="shared" si="49"/>
        <v>1495</v>
      </c>
      <c r="U18" s="2">
        <f t="shared" si="49"/>
        <v>1515</v>
      </c>
      <c r="X18" s="7" t="str">
        <f t="shared" si="8"/>
        <v>G3 Top</v>
      </c>
      <c r="Y18" s="8">
        <f t="shared" ref="Y18:AB18" si="58">Y19+Y7</f>
        <v>1370.95</v>
      </c>
      <c r="Z18" s="8">
        <f t="shared" si="58"/>
        <v>1445.95</v>
      </c>
      <c r="AA18" s="8">
        <f t="shared" si="58"/>
        <v>1520.95</v>
      </c>
      <c r="AB18" s="8">
        <f t="shared" si="58"/>
        <v>1541.5500000000002</v>
      </c>
      <c r="AC18" s="9">
        <f>AVERAGE(AB18:AB19)</f>
        <v>1325.25</v>
      </c>
      <c r="AE18" s="8">
        <f t="shared" si="53"/>
        <v>22.849166666666669</v>
      </c>
      <c r="AF18" s="8">
        <f t="shared" si="54"/>
        <v>24.099166666666669</v>
      </c>
      <c r="AG18" s="8">
        <f t="shared" si="54"/>
        <v>25.349166666666669</v>
      </c>
      <c r="AH18" s="8">
        <f t="shared" si="54"/>
        <v>25.692500000000003</v>
      </c>
      <c r="AI18" s="4"/>
      <c r="AJ18" s="8">
        <f t="shared" si="55"/>
        <v>182.40177751759558</v>
      </c>
      <c r="AK18" s="8">
        <f t="shared" si="51"/>
        <v>192.38035683399636</v>
      </c>
      <c r="AL18" s="8">
        <f t="shared" si="51"/>
        <v>202.35893615039717</v>
      </c>
      <c r="AM18" s="8">
        <f t="shared" si="51"/>
        <v>205.09971926930194</v>
      </c>
    </row>
    <row r="19" spans="3:39" ht="15" thickTop="1" thickBot="1" x14ac:dyDescent="0.5">
      <c r="Q19" s="2" t="s">
        <v>18</v>
      </c>
      <c r="R19" s="2">
        <f t="shared" si="49"/>
        <v>945</v>
      </c>
      <c r="S19" s="2">
        <f t="shared" si="49"/>
        <v>1020</v>
      </c>
      <c r="T19" s="2">
        <f t="shared" si="49"/>
        <v>1095</v>
      </c>
      <c r="U19" s="2">
        <f t="shared" si="49"/>
        <v>1095</v>
      </c>
      <c r="X19" s="7" t="str">
        <f t="shared" si="8"/>
        <v>G3 Bot</v>
      </c>
      <c r="Y19" s="8">
        <f t="shared" ref="Y19:AB19" si="59">Y20+Y8</f>
        <v>958.95</v>
      </c>
      <c r="Z19" s="8">
        <f t="shared" si="59"/>
        <v>1033.95</v>
      </c>
      <c r="AA19" s="8">
        <f t="shared" si="59"/>
        <v>1108.95</v>
      </c>
      <c r="AB19" s="8">
        <f t="shared" si="59"/>
        <v>1108.95</v>
      </c>
      <c r="AE19" s="8">
        <f t="shared" si="53"/>
        <v>15.9825</v>
      </c>
      <c r="AF19" s="8">
        <f t="shared" si="54"/>
        <v>17.232500000000002</v>
      </c>
      <c r="AG19" s="8">
        <f t="shared" si="54"/>
        <v>18.482500000000002</v>
      </c>
      <c r="AH19" s="8">
        <f t="shared" si="54"/>
        <v>18.482500000000002</v>
      </c>
      <c r="AI19" s="4"/>
      <c r="AJ19" s="8">
        <f t="shared" si="55"/>
        <v>127.58611513950054</v>
      </c>
      <c r="AK19" s="8">
        <f t="shared" si="51"/>
        <v>137.56469445590133</v>
      </c>
      <c r="AL19" s="8">
        <f t="shared" si="51"/>
        <v>147.54327377230211</v>
      </c>
      <c r="AM19" s="8">
        <f t="shared" si="51"/>
        <v>147.54327377230211</v>
      </c>
    </row>
    <row r="20" spans="3:39" ht="15" thickTop="1" thickBot="1" x14ac:dyDescent="0.5">
      <c r="Q20" s="2" t="s">
        <v>19</v>
      </c>
      <c r="R20" s="2">
        <f t="shared" si="49"/>
        <v>915</v>
      </c>
      <c r="S20" s="2">
        <f t="shared" si="49"/>
        <v>990</v>
      </c>
      <c r="T20" s="2">
        <f t="shared" si="49"/>
        <v>1065</v>
      </c>
      <c r="U20" s="2">
        <f t="shared" si="49"/>
        <v>1065</v>
      </c>
      <c r="X20" s="7" t="str">
        <f t="shared" si="8"/>
        <v>G4 Top</v>
      </c>
      <c r="Y20" s="8">
        <f t="shared" ref="Y20:AB20" si="60">Y21+Y9</f>
        <v>928.95</v>
      </c>
      <c r="Z20" s="8">
        <f t="shared" si="60"/>
        <v>1003.95</v>
      </c>
      <c r="AA20" s="8">
        <f t="shared" si="60"/>
        <v>1078.95</v>
      </c>
      <c r="AB20" s="8">
        <f t="shared" si="60"/>
        <v>1078.95</v>
      </c>
      <c r="AC20" s="9">
        <f>AVERAGE(AB20:AB21)</f>
        <v>839.47500000000002</v>
      </c>
      <c r="AE20" s="8">
        <f t="shared" si="53"/>
        <v>15.4825</v>
      </c>
      <c r="AF20" s="8">
        <f t="shared" si="54"/>
        <v>16.732500000000002</v>
      </c>
      <c r="AG20" s="8">
        <f t="shared" si="54"/>
        <v>17.982500000000002</v>
      </c>
      <c r="AH20" s="8">
        <f t="shared" si="54"/>
        <v>17.982500000000002</v>
      </c>
      <c r="AI20" s="4"/>
      <c r="AJ20" s="8">
        <f t="shared" si="55"/>
        <v>123.59468341294023</v>
      </c>
      <c r="AK20" s="8">
        <f t="shared" si="51"/>
        <v>133.57326272934102</v>
      </c>
      <c r="AL20" s="8">
        <f t="shared" si="51"/>
        <v>143.55184204574181</v>
      </c>
      <c r="AM20" s="8">
        <f t="shared" si="51"/>
        <v>143.55184204574181</v>
      </c>
    </row>
    <row r="21" spans="3:39" ht="15" thickTop="1" thickBot="1" x14ac:dyDescent="0.5">
      <c r="Q21" s="2" t="s">
        <v>20</v>
      </c>
      <c r="R21" s="2">
        <f>R10</f>
        <v>450</v>
      </c>
      <c r="S21" s="2">
        <f t="shared" ref="S21:U21" si="61">S10</f>
        <v>525</v>
      </c>
      <c r="T21" s="2">
        <f t="shared" si="61"/>
        <v>600</v>
      </c>
      <c r="U21" s="2">
        <f t="shared" si="61"/>
        <v>600</v>
      </c>
      <c r="X21" s="7" t="str">
        <f t="shared" si="8"/>
        <v>G4 Bot</v>
      </c>
      <c r="Y21" s="8">
        <f>Y10</f>
        <v>450</v>
      </c>
      <c r="Z21" s="8">
        <f t="shared" ref="Z21:AB21" si="62">Z10</f>
        <v>525</v>
      </c>
      <c r="AA21" s="8">
        <f t="shared" si="62"/>
        <v>600</v>
      </c>
      <c r="AB21" s="8">
        <f t="shared" si="62"/>
        <v>600</v>
      </c>
      <c r="AE21" s="8">
        <f t="shared" si="53"/>
        <v>7.5</v>
      </c>
      <c r="AF21" s="8">
        <f t="shared" si="54"/>
        <v>8.75</v>
      </c>
      <c r="AG21" s="8">
        <f t="shared" si="54"/>
        <v>10</v>
      </c>
      <c r="AH21" s="8">
        <f t="shared" si="54"/>
        <v>10</v>
      </c>
      <c r="AI21" s="4"/>
      <c r="AJ21" s="8">
        <f t="shared" si="55"/>
        <v>59.871475898404761</v>
      </c>
      <c r="AK21" s="8">
        <f t="shared" si="51"/>
        <v>69.85005521480555</v>
      </c>
      <c r="AL21" s="8">
        <f t="shared" si="51"/>
        <v>79.828634531206347</v>
      </c>
      <c r="AM21" s="8">
        <f t="shared" si="51"/>
        <v>79.828634531206347</v>
      </c>
    </row>
    <row r="22" spans="3:39" ht="14.65" thickTop="1" x14ac:dyDescent="0.45"/>
    <row r="23" spans="3:39" x14ac:dyDescent="0.45">
      <c r="AA23" s="3" t="s">
        <v>32</v>
      </c>
      <c r="AB23" s="3" t="s">
        <v>31</v>
      </c>
      <c r="AC23" t="s">
        <v>33</v>
      </c>
      <c r="AD23" s="3" t="s">
        <v>34</v>
      </c>
      <c r="AE23" s="3" t="s">
        <v>35</v>
      </c>
    </row>
    <row r="24" spans="3:39" x14ac:dyDescent="0.45">
      <c r="Y24" s="3">
        <v>220000</v>
      </c>
      <c r="Z24" s="11">
        <f>SUM(Y24:$Y$35)/$Y$36</f>
        <v>1</v>
      </c>
      <c r="AA24" s="3">
        <f>Z24*$Y$37</f>
        <v>4518.3500000000004</v>
      </c>
      <c r="AB24" s="11">
        <f>AA24-AB14</f>
        <v>0</v>
      </c>
      <c r="AC24" s="9">
        <f>AA24-AA26</f>
        <v>257.95147371216171</v>
      </c>
      <c r="AD24" s="12">
        <f>AC24-AB3</f>
        <v>0.4514737121617145</v>
      </c>
      <c r="AE24" s="13">
        <f>AD24/AC24*100</f>
        <v>0.17502273030837456</v>
      </c>
    </row>
    <row r="25" spans="3:39" x14ac:dyDescent="0.45">
      <c r="Q25" t="str">
        <f>Q1</f>
        <v>dV</v>
      </c>
      <c r="R25" t="str">
        <f t="shared" ref="R25" si="63">R1</f>
        <v>sphenix</v>
      </c>
      <c r="Y25" s="3">
        <v>210000</v>
      </c>
      <c r="Z25" s="11">
        <f>SUM(Y25:$Y$35)/$Y$36</f>
        <v>0.97079129049389268</v>
      </c>
      <c r="AA25" s="3">
        <f t="shared" ref="AA25:AA35" si="64">Z25*$Y$37</f>
        <v>4386.3748274030804</v>
      </c>
      <c r="AB25" s="11"/>
      <c r="AC25" s="9">
        <f>AA26-AA27</f>
        <v>1199.7742963356345</v>
      </c>
      <c r="AD25" s="12">
        <f t="shared" ref="AD25:AD31" si="65">AC25-AB4</f>
        <v>-0.22570366436548284</v>
      </c>
      <c r="AE25" s="13">
        <f t="shared" ref="AE25:AE31" si="66">AD25/AC25*100</f>
        <v>-1.8812177011528732E-2</v>
      </c>
    </row>
    <row r="26" spans="3:39" x14ac:dyDescent="0.45">
      <c r="R26">
        <f t="shared" ref="Q26:U43" si="67">R2</f>
        <v>1</v>
      </c>
      <c r="S26">
        <f t="shared" si="67"/>
        <v>2</v>
      </c>
      <c r="T26">
        <f t="shared" si="67"/>
        <v>3</v>
      </c>
      <c r="U26">
        <f t="shared" si="67"/>
        <v>4</v>
      </c>
      <c r="Y26" s="3">
        <v>2000000</v>
      </c>
      <c r="Z26" s="11">
        <f>SUM(Y26:$Y$35)/$Y$36</f>
        <v>0.94291024960169945</v>
      </c>
      <c r="AA26" s="3">
        <f t="shared" si="64"/>
        <v>4260.3985262878386</v>
      </c>
      <c r="AB26" s="11">
        <f>AA26-AB15</f>
        <v>-0.4514737121617145</v>
      </c>
      <c r="AC26" s="9">
        <f>AA27-AA29</f>
        <v>319.13996282527887</v>
      </c>
      <c r="AD26" s="12">
        <f t="shared" si="65"/>
        <v>-0.16003717472113976</v>
      </c>
      <c r="AE26" s="13">
        <f t="shared" si="66"/>
        <v>-5.0146391352673091E-2</v>
      </c>
    </row>
    <row r="27" spans="3:39" x14ac:dyDescent="0.45">
      <c r="Q27" t="str">
        <f t="shared" si="67"/>
        <v>G1 (V)</v>
      </c>
      <c r="R27">
        <f t="shared" si="67"/>
        <v>250</v>
      </c>
      <c r="S27">
        <f t="shared" si="67"/>
        <v>250</v>
      </c>
      <c r="T27">
        <f t="shared" si="67"/>
        <v>265</v>
      </c>
      <c r="U27">
        <f t="shared" si="67"/>
        <v>250</v>
      </c>
      <c r="Y27" s="3">
        <v>300000</v>
      </c>
      <c r="Z27" s="11">
        <f>SUM(Y27:$Y$35)/$Y$36</f>
        <v>0.67737652681890603</v>
      </c>
      <c r="AA27" s="3">
        <f t="shared" si="64"/>
        <v>3060.6242299522041</v>
      </c>
      <c r="AB27" s="11">
        <f>AA27-AB16</f>
        <v>-0.22577004779623167</v>
      </c>
      <c r="AC27" s="9">
        <f>AA29-AA30</f>
        <v>1199.7742963356347</v>
      </c>
      <c r="AD27" s="12">
        <f t="shared" si="65"/>
        <v>-0.22570366436525546</v>
      </c>
      <c r="AE27" s="13">
        <f t="shared" si="66"/>
        <v>-1.8812177011509779E-2</v>
      </c>
    </row>
    <row r="28" spans="3:39" x14ac:dyDescent="0.45">
      <c r="Q28" t="str">
        <f t="shared" si="67"/>
        <v xml:space="preserve">Et1 </v>
      </c>
      <c r="R28">
        <f>R4/0.3</f>
        <v>3000</v>
      </c>
      <c r="S28">
        <f t="shared" ref="S28:U34" si="68">S4/0.3</f>
        <v>3500</v>
      </c>
      <c r="T28">
        <f t="shared" si="68"/>
        <v>4000</v>
      </c>
      <c r="U28">
        <f t="shared" si="68"/>
        <v>4000</v>
      </c>
      <c r="Y28" s="3">
        <v>232000</v>
      </c>
      <c r="Z28" s="11">
        <f>SUM(Y28:$Y$35)/$Y$36</f>
        <v>0.63754646840148699</v>
      </c>
      <c r="AA28" s="3">
        <f t="shared" si="64"/>
        <v>2880.6580855018587</v>
      </c>
      <c r="AB28" s="11"/>
      <c r="AC28" s="9">
        <f>AA30-AA32</f>
        <v>433.11852097716405</v>
      </c>
      <c r="AD28" s="12">
        <f t="shared" si="65"/>
        <v>0.51852097716403023</v>
      </c>
      <c r="AE28" s="13">
        <f t="shared" si="66"/>
        <v>0.11971803375994834</v>
      </c>
    </row>
    <row r="29" spans="3:39" x14ac:dyDescent="0.45">
      <c r="Q29" t="str">
        <f t="shared" si="67"/>
        <v>G2 (V)</v>
      </c>
      <c r="R29">
        <f t="shared" si="67"/>
        <v>320</v>
      </c>
      <c r="S29">
        <f t="shared" si="67"/>
        <v>320</v>
      </c>
      <c r="T29">
        <f t="shared" si="67"/>
        <v>320</v>
      </c>
      <c r="U29">
        <f t="shared" si="67"/>
        <v>310</v>
      </c>
      <c r="Y29" s="3">
        <v>2000000</v>
      </c>
      <c r="Z29" s="11">
        <f>SUM(Y29:$Y$35)/$Y$36</f>
        <v>0.60674455655868298</v>
      </c>
      <c r="AA29" s="3">
        <f t="shared" si="64"/>
        <v>2741.4842671269253</v>
      </c>
      <c r="AB29" s="11">
        <f>AA29-AB17</f>
        <v>-6.5732873074921372E-2</v>
      </c>
      <c r="AC29" s="9">
        <f>AA32-AA33</f>
        <v>29.994357408390897</v>
      </c>
      <c r="AD29" s="12">
        <f t="shared" si="65"/>
        <v>-5.6425916091029649E-3</v>
      </c>
      <c r="AE29" s="13">
        <f t="shared" si="66"/>
        <v>-1.8812177011415E-2</v>
      </c>
    </row>
    <row r="30" spans="3:39" x14ac:dyDescent="0.45">
      <c r="Q30" t="str">
        <f t="shared" si="67"/>
        <v>Et2</v>
      </c>
      <c r="R30">
        <f>R6/0.3</f>
        <v>3000</v>
      </c>
      <c r="S30">
        <f t="shared" si="68"/>
        <v>3500</v>
      </c>
      <c r="T30">
        <f t="shared" si="68"/>
        <v>4000</v>
      </c>
      <c r="U30">
        <f t="shared" si="68"/>
        <v>4000</v>
      </c>
      <c r="Y30" s="3">
        <v>390000</v>
      </c>
      <c r="Z30" s="11">
        <f>SUM(Y30:$Y$35)/$Y$36</f>
        <v>0.34121083377588951</v>
      </c>
      <c r="AA30" s="3">
        <f t="shared" si="64"/>
        <v>1541.7099707912905</v>
      </c>
      <c r="AB30" s="11">
        <f>AA30-AB18</f>
        <v>0.15997079129033409</v>
      </c>
      <c r="AC30" s="9">
        <f>AA33-AA35</f>
        <v>478.70994423791819</v>
      </c>
      <c r="AD30" s="12">
        <f t="shared" si="65"/>
        <v>-0.24005576208179491</v>
      </c>
      <c r="AE30" s="13">
        <f t="shared" si="66"/>
        <v>-5.014639135269091E-2</v>
      </c>
    </row>
    <row r="31" spans="3:39" x14ac:dyDescent="0.45">
      <c r="Q31" t="str">
        <f t="shared" si="67"/>
        <v>G3 (V)</v>
      </c>
      <c r="R31">
        <f t="shared" si="67"/>
        <v>400</v>
      </c>
      <c r="S31">
        <f t="shared" si="67"/>
        <v>400</v>
      </c>
      <c r="T31">
        <f t="shared" si="67"/>
        <v>400</v>
      </c>
      <c r="U31">
        <f t="shared" si="67"/>
        <v>420</v>
      </c>
      <c r="Y31" s="3">
        <v>332000</v>
      </c>
      <c r="Z31" s="11">
        <f>SUM(Y31:$Y$35)/$Y$36</f>
        <v>0.28943175783324482</v>
      </c>
      <c r="AA31" s="3">
        <f t="shared" si="64"/>
        <v>1307.7539830058417</v>
      </c>
      <c r="AB31" s="11"/>
      <c r="AC31" s="9">
        <f>AA35</f>
        <v>599.88714816781737</v>
      </c>
      <c r="AD31" s="12">
        <f t="shared" si="65"/>
        <v>-0.11285183218262773</v>
      </c>
      <c r="AE31" s="13">
        <f t="shared" si="66"/>
        <v>-1.8812177011509779E-2</v>
      </c>
    </row>
    <row r="32" spans="3:39" x14ac:dyDescent="0.45">
      <c r="Q32" t="str">
        <f t="shared" si="67"/>
        <v>Et3</v>
      </c>
      <c r="R32">
        <f>R8/0.3</f>
        <v>100</v>
      </c>
      <c r="S32">
        <f t="shared" si="68"/>
        <v>100</v>
      </c>
      <c r="T32">
        <f t="shared" si="68"/>
        <v>100</v>
      </c>
      <c r="U32">
        <f t="shared" si="68"/>
        <v>100</v>
      </c>
      <c r="Y32" s="3">
        <v>50000</v>
      </c>
      <c r="Z32" s="11">
        <f>SUM(Y32:$Y$35)/$Y$36</f>
        <v>0.24535315985130113</v>
      </c>
      <c r="AA32" s="3">
        <f t="shared" si="64"/>
        <v>1108.5914498141265</v>
      </c>
      <c r="AB32" s="11">
        <f>AA32-AB19</f>
        <v>-0.35855018587358245</v>
      </c>
    </row>
    <row r="33" spans="17:35" x14ac:dyDescent="0.45">
      <c r="Q33" t="str">
        <f t="shared" si="67"/>
        <v>G4 (V)</v>
      </c>
      <c r="R33">
        <f t="shared" si="67"/>
        <v>465</v>
      </c>
      <c r="S33">
        <f t="shared" si="67"/>
        <v>465</v>
      </c>
      <c r="T33">
        <f t="shared" si="67"/>
        <v>465</v>
      </c>
      <c r="U33">
        <f t="shared" si="67"/>
        <v>465</v>
      </c>
      <c r="Y33" s="3">
        <v>511000</v>
      </c>
      <c r="Z33" s="11">
        <f>SUM(Y33:$Y$35)/$Y$36</f>
        <v>0.23871481678173129</v>
      </c>
      <c r="AA33" s="3">
        <f t="shared" si="64"/>
        <v>1078.5970924057356</v>
      </c>
      <c r="AB33" s="11">
        <f>AA33-AB20</f>
        <v>-0.35290759426447948</v>
      </c>
    </row>
    <row r="34" spans="17:35" x14ac:dyDescent="0.45">
      <c r="Q34" t="str">
        <f t="shared" si="67"/>
        <v>Ind</v>
      </c>
      <c r="R34">
        <f>R10/0.3</f>
        <v>1500</v>
      </c>
      <c r="S34">
        <f t="shared" si="68"/>
        <v>1750</v>
      </c>
      <c r="T34">
        <f t="shared" si="68"/>
        <v>2000</v>
      </c>
      <c r="U34">
        <f t="shared" si="68"/>
        <v>2000</v>
      </c>
      <c r="Y34" s="3">
        <v>287000</v>
      </c>
      <c r="Z34" s="11">
        <f>SUM(Y34:$Y$35)/$Y$36</f>
        <v>0.17087095061072757</v>
      </c>
      <c r="AA34" s="3">
        <f t="shared" si="64"/>
        <v>772.05475969198096</v>
      </c>
      <c r="AB34" s="11"/>
    </row>
    <row r="35" spans="17:35" x14ac:dyDescent="0.45">
      <c r="Q35" t="str">
        <f t="shared" si="67"/>
        <v>Total</v>
      </c>
      <c r="R35">
        <f t="shared" si="67"/>
        <v>3715</v>
      </c>
      <c r="S35">
        <f t="shared" si="67"/>
        <v>4090</v>
      </c>
      <c r="T35">
        <f t="shared" si="67"/>
        <v>4480</v>
      </c>
      <c r="U35">
        <f t="shared" si="67"/>
        <v>4475</v>
      </c>
      <c r="Y35" s="3">
        <v>1000000</v>
      </c>
      <c r="Z35" s="11">
        <f>SUM(Y35:$Y$35)/$Y$36</f>
        <v>0.13276686139139671</v>
      </c>
      <c r="AA35" s="3">
        <f t="shared" si="64"/>
        <v>599.88714816781737</v>
      </c>
      <c r="AB35" s="11">
        <f>AA35-AB21</f>
        <v>-0.11285183218262773</v>
      </c>
    </row>
    <row r="36" spans="17:35" x14ac:dyDescent="0.45">
      <c r="Q36" t="str">
        <f t="shared" si="67"/>
        <v>V</v>
      </c>
      <c r="R36" t="str">
        <f t="shared" si="67"/>
        <v>sphenix</v>
      </c>
      <c r="S36">
        <f t="shared" si="67"/>
        <v>0</v>
      </c>
      <c r="T36">
        <f t="shared" si="67"/>
        <v>0</v>
      </c>
      <c r="U36">
        <f t="shared" si="67"/>
        <v>0</v>
      </c>
      <c r="X36" t="s">
        <v>28</v>
      </c>
      <c r="Y36" s="3">
        <f>SUM(Y24:Y35)</f>
        <v>7532000</v>
      </c>
    </row>
    <row r="37" spans="17:35" x14ac:dyDescent="0.45">
      <c r="R37">
        <f t="shared" si="67"/>
        <v>1</v>
      </c>
      <c r="S37">
        <f t="shared" si="67"/>
        <v>2</v>
      </c>
      <c r="T37">
        <f t="shared" si="67"/>
        <v>3</v>
      </c>
      <c r="U37">
        <f t="shared" si="67"/>
        <v>4</v>
      </c>
      <c r="X37" t="s">
        <v>29</v>
      </c>
      <c r="Y37" s="3">
        <f>AB14</f>
        <v>4518.3500000000004</v>
      </c>
    </row>
    <row r="38" spans="17:35" x14ac:dyDescent="0.45">
      <c r="Q38" t="str">
        <f t="shared" si="67"/>
        <v>G1 Top</v>
      </c>
      <c r="R38">
        <f t="shared" si="67"/>
        <v>3715</v>
      </c>
      <c r="S38">
        <f t="shared" si="67"/>
        <v>4090</v>
      </c>
      <c r="T38">
        <f t="shared" si="67"/>
        <v>4480</v>
      </c>
      <c r="U38">
        <f t="shared" si="67"/>
        <v>4475</v>
      </c>
      <c r="X38" t="s">
        <v>30</v>
      </c>
    </row>
    <row r="39" spans="17:35" x14ac:dyDescent="0.45">
      <c r="Q39" t="str">
        <f t="shared" si="67"/>
        <v>G1 Bot</v>
      </c>
      <c r="R39">
        <f t="shared" si="67"/>
        <v>3465</v>
      </c>
      <c r="S39">
        <f t="shared" si="67"/>
        <v>3840</v>
      </c>
      <c r="T39">
        <f t="shared" si="67"/>
        <v>4215</v>
      </c>
      <c r="U39">
        <f t="shared" si="67"/>
        <v>4225</v>
      </c>
    </row>
    <row r="40" spans="17:35" x14ac:dyDescent="0.45">
      <c r="Q40" t="str">
        <f t="shared" si="67"/>
        <v>G2 Top</v>
      </c>
      <c r="R40">
        <f t="shared" si="67"/>
        <v>2565</v>
      </c>
      <c r="S40">
        <f t="shared" si="67"/>
        <v>2790</v>
      </c>
      <c r="T40">
        <f t="shared" si="67"/>
        <v>3015</v>
      </c>
      <c r="U40">
        <f t="shared" si="67"/>
        <v>3025</v>
      </c>
    </row>
    <row r="41" spans="17:35" x14ac:dyDescent="0.45">
      <c r="Q41" t="str">
        <f t="shared" si="67"/>
        <v>G2 Bot</v>
      </c>
      <c r="R41">
        <f t="shared" si="67"/>
        <v>2245</v>
      </c>
      <c r="S41">
        <f t="shared" si="67"/>
        <v>2470</v>
      </c>
      <c r="T41">
        <f t="shared" si="67"/>
        <v>2695</v>
      </c>
      <c r="U41">
        <f t="shared" si="67"/>
        <v>2715</v>
      </c>
      <c r="AB41" s="3" t="s">
        <v>36</v>
      </c>
      <c r="AC41" t="s">
        <v>37</v>
      </c>
      <c r="AD41" t="s">
        <v>39</v>
      </c>
      <c r="AE41" s="3" t="s">
        <v>28</v>
      </c>
      <c r="AF41" s="3" t="s">
        <v>30</v>
      </c>
      <c r="AG41" s="3" t="s">
        <v>40</v>
      </c>
      <c r="AH41" s="3" t="s">
        <v>41</v>
      </c>
    </row>
    <row r="42" spans="17:35" x14ac:dyDescent="0.45">
      <c r="Q42" t="str">
        <f t="shared" si="67"/>
        <v>G3 Top</v>
      </c>
      <c r="R42">
        <f t="shared" si="67"/>
        <v>1345</v>
      </c>
      <c r="S42">
        <f t="shared" si="67"/>
        <v>1420</v>
      </c>
      <c r="T42">
        <f t="shared" si="67"/>
        <v>1495</v>
      </c>
      <c r="U42">
        <f t="shared" si="67"/>
        <v>1515</v>
      </c>
      <c r="Y42" s="3">
        <v>75</v>
      </c>
      <c r="Z42" s="3">
        <f>Y42*4000000</f>
        <v>300000000</v>
      </c>
      <c r="AB42" s="3">
        <v>1000</v>
      </c>
      <c r="AC42">
        <v>45000</v>
      </c>
      <c r="AD42">
        <f>AB42/(AC42-AB42)*Z45</f>
        <v>26545454.545454547</v>
      </c>
      <c r="AE42" s="9">
        <f>Z45+AD42</f>
        <v>1194545454.5454545</v>
      </c>
      <c r="AF42">
        <f>AC42/AE42</f>
        <v>3.7671232876712332E-5</v>
      </c>
      <c r="AG42">
        <f>AF42*AF42*AE42</f>
        <v>1.695205479452055</v>
      </c>
      <c r="AH42">
        <f>AF42*AF42*AD42</f>
        <v>3.7671232876712334E-2</v>
      </c>
    </row>
    <row r="43" spans="17:35" x14ac:dyDescent="0.45">
      <c r="Q43" t="str">
        <f t="shared" si="67"/>
        <v>G3 Bot</v>
      </c>
      <c r="R43">
        <f t="shared" si="67"/>
        <v>945</v>
      </c>
      <c r="S43">
        <f t="shared" si="67"/>
        <v>1020</v>
      </c>
      <c r="T43">
        <f t="shared" si="67"/>
        <v>1095</v>
      </c>
      <c r="U43">
        <f t="shared" si="67"/>
        <v>1095</v>
      </c>
      <c r="Y43" s="3">
        <v>150</v>
      </c>
      <c r="Z43" s="3">
        <f t="shared" ref="Z43:Z44" si="69">Y43*4000000</f>
        <v>600000000</v>
      </c>
      <c r="AC43">
        <v>45000</v>
      </c>
      <c r="AD43">
        <v>20000000</v>
      </c>
      <c r="AE43" s="9">
        <f>AD43+Z45</f>
        <v>1188000000</v>
      </c>
      <c r="AF43">
        <f>AC43/AE43</f>
        <v>3.7878787878787879E-5</v>
      </c>
      <c r="AG43">
        <f>AF43*AF43*AE43</f>
        <v>1.7045454545454546</v>
      </c>
      <c r="AH43">
        <f>AF43*AF43*AD43</f>
        <v>2.869605142332415E-2</v>
      </c>
      <c r="AI43" t="s">
        <v>36</v>
      </c>
    </row>
    <row r="44" spans="17:35" x14ac:dyDescent="0.45">
      <c r="Q44" t="str">
        <f>Q20</f>
        <v>G4 Top</v>
      </c>
      <c r="R44">
        <f t="shared" ref="R44:U44" si="70">R20</f>
        <v>915</v>
      </c>
      <c r="S44">
        <f t="shared" si="70"/>
        <v>990</v>
      </c>
      <c r="T44">
        <f t="shared" si="70"/>
        <v>1065</v>
      </c>
      <c r="U44">
        <f t="shared" si="70"/>
        <v>1065</v>
      </c>
      <c r="Y44" s="3">
        <f>75-8</f>
        <v>67</v>
      </c>
      <c r="Z44" s="3">
        <f t="shared" si="69"/>
        <v>268000000</v>
      </c>
      <c r="AD44">
        <v>10000000</v>
      </c>
      <c r="AH44">
        <f>5000*5000/AD44</f>
        <v>2.5</v>
      </c>
      <c r="AI44">
        <f>5000/AD44*1000</f>
        <v>0.5</v>
      </c>
    </row>
    <row r="45" spans="17:35" x14ac:dyDescent="0.45">
      <c r="X45" t="s">
        <v>38</v>
      </c>
      <c r="Z45" s="3">
        <f>SUM(Z42:Z44)</f>
        <v>1168000000</v>
      </c>
      <c r="AD45">
        <v>20000000</v>
      </c>
      <c r="AH45">
        <f t="shared" ref="AH45:AH51" si="71">5000*5000/AD45</f>
        <v>1.25</v>
      </c>
      <c r="AI45">
        <f t="shared" ref="AI45:AI47" si="72">5000/AD45*1000</f>
        <v>0.25</v>
      </c>
    </row>
    <row r="46" spans="17:35" x14ac:dyDescent="0.45">
      <c r="AD46">
        <v>25000000</v>
      </c>
      <c r="AH46">
        <f t="shared" si="71"/>
        <v>1</v>
      </c>
      <c r="AI46">
        <f t="shared" si="72"/>
        <v>0.2</v>
      </c>
    </row>
    <row r="47" spans="17:35" x14ac:dyDescent="0.45">
      <c r="AD47">
        <v>30000000</v>
      </c>
      <c r="AH47">
        <f t="shared" si="71"/>
        <v>0.83333333333333337</v>
      </c>
      <c r="AI47">
        <f t="shared" si="72"/>
        <v>0.16666666666666666</v>
      </c>
    </row>
    <row r="48" spans="17:35" x14ac:dyDescent="0.45">
      <c r="AH48" t="e">
        <f t="shared" si="71"/>
        <v>#DIV/0!</v>
      </c>
    </row>
    <row r="49" spans="34:34" x14ac:dyDescent="0.45">
      <c r="AH49" t="e">
        <f t="shared" si="71"/>
        <v>#DIV/0!</v>
      </c>
    </row>
    <row r="50" spans="34:34" x14ac:dyDescent="0.45">
      <c r="AH50" t="e">
        <f t="shared" si="71"/>
        <v>#DIV/0!</v>
      </c>
    </row>
    <row r="51" spans="34:34" x14ac:dyDescent="0.45">
      <c r="AH51" t="e">
        <f t="shared" si="71"/>
        <v>#DIV/0!</v>
      </c>
    </row>
  </sheetData>
  <mergeCells count="1">
    <mergeCell ref="AE13:AM13"/>
  </mergeCells>
  <printOptions gridLines="1"/>
  <pageMargins left="0.7" right="0.7" top="0.75" bottom="0.75" header="0.3" footer="0.3"/>
  <pageSetup scale="1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majka</dc:creator>
  <cp:lastModifiedBy>Thomas Hemmick</cp:lastModifiedBy>
  <cp:lastPrinted>2019-06-19T22:41:58Z</cp:lastPrinted>
  <dcterms:created xsi:type="dcterms:W3CDTF">2019-06-19T21:10:30Z</dcterms:created>
  <dcterms:modified xsi:type="dcterms:W3CDTF">2021-06-01T11:02:14Z</dcterms:modified>
</cp:coreProperties>
</file>