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ta\Documents\Inventory 2020\New IGA\"/>
    </mc:Choice>
  </mc:AlternateContent>
  <xr:revisionPtr revIDLastSave="0" documentId="13_ncr:1_{EA54669D-FFED-4982-B50F-4686DB810F7A}" xr6:coauthVersionLast="47" xr6:coauthVersionMax="47" xr10:uidLastSave="{00000000-0000-0000-0000-000000000000}"/>
  <bookViews>
    <workbookView xWindow="28680" yWindow="-120" windowWidth="19440" windowHeight="15000" activeTab="1" xr2:uid="{1F09F372-CF5D-4544-BBCB-188E7AC6BB39}"/>
  </bookViews>
  <sheets>
    <sheet name="PQS_PIS_003" sheetId="2" r:id="rId1"/>
    <sheet name="PQS_PIS_004" sheetId="1" r:id="rId2"/>
  </sheets>
  <definedNames>
    <definedName name="_xlnm._FilterDatabase" localSheetId="0" hidden="1">PQS_PIS_003!$A$6:$AO$95</definedName>
    <definedName name="_xlnm._FilterDatabase" localSheetId="1" hidden="1">PQS_PIS_004!$B$5:$Z$91</definedName>
    <definedName name="Eqpt_list">PQS_PIS_003!$C$7:$C$186</definedName>
    <definedName name="PQS_freez">PQS_PIS_003!$AU$7:$AU$151</definedName>
    <definedName name="PQS_models">PQS_tbl[C]</definedName>
    <definedName name="PQS_refr">PQS_PIS_003!$AR$7:$AR$178</definedName>
    <definedName name="PQS_refr_solar">PQS_PIS_003!$AX$7:$AX$151</definedName>
    <definedName name="_xlnm.Print_Titles" localSheetId="0">PQS_PIS_003!$3:$6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86" i="2" l="1"/>
  <c r="AP186" i="2"/>
  <c r="AN186" i="2"/>
  <c r="AM186" i="2"/>
  <c r="AL186" i="2"/>
  <c r="AK186" i="2"/>
  <c r="AJ186" i="2"/>
  <c r="AI186" i="2"/>
  <c r="AH186" i="2"/>
  <c r="AG186" i="2"/>
  <c r="AF186" i="2"/>
  <c r="AS185" i="2"/>
  <c r="AP185" i="2"/>
  <c r="AN185" i="2"/>
  <c r="AM185" i="2"/>
  <c r="AL185" i="2"/>
  <c r="AK185" i="2"/>
  <c r="AJ185" i="2"/>
  <c r="AI185" i="2"/>
  <c r="AH185" i="2"/>
  <c r="AG185" i="2"/>
  <c r="AF185" i="2"/>
  <c r="AS184" i="2"/>
  <c r="AP184" i="2"/>
  <c r="AN184" i="2"/>
  <c r="AM184" i="2"/>
  <c r="AL184" i="2"/>
  <c r="AK184" i="2"/>
  <c r="AJ184" i="2"/>
  <c r="AI184" i="2"/>
  <c r="AH184" i="2"/>
  <c r="AG184" i="2"/>
  <c r="AF184" i="2"/>
  <c r="BB183" i="2"/>
  <c r="AS183" i="2"/>
  <c r="AP183" i="2"/>
  <c r="AN183" i="2"/>
  <c r="AM183" i="2"/>
  <c r="AL183" i="2"/>
  <c r="AK183" i="2"/>
  <c r="AJ183" i="2"/>
  <c r="AI183" i="2"/>
  <c r="AH183" i="2"/>
  <c r="AG183" i="2"/>
  <c r="AF183" i="2"/>
  <c r="BB182" i="2"/>
  <c r="AS182" i="2"/>
  <c r="AP182" i="2"/>
  <c r="AN182" i="2"/>
  <c r="AM182" i="2"/>
  <c r="AL182" i="2"/>
  <c r="AK182" i="2"/>
  <c r="AJ182" i="2"/>
  <c r="AI182" i="2"/>
  <c r="AH182" i="2"/>
  <c r="AG182" i="2"/>
  <c r="AF182" i="2"/>
  <c r="BB181" i="2"/>
  <c r="AP181" i="2"/>
  <c r="AN181" i="2"/>
  <c r="AM181" i="2"/>
  <c r="AL181" i="2"/>
  <c r="AK181" i="2"/>
  <c r="AJ181" i="2"/>
  <c r="AI181" i="2"/>
  <c r="AH181" i="2"/>
  <c r="AG181" i="2"/>
  <c r="AF181" i="2"/>
  <c r="BB180" i="2"/>
  <c r="AY180" i="2"/>
  <c r="AV180" i="2"/>
  <c r="AP180" i="2"/>
  <c r="AN180" i="2"/>
  <c r="AM180" i="2"/>
  <c r="AL180" i="2"/>
  <c r="AK180" i="2"/>
  <c r="AJ180" i="2"/>
  <c r="AI180" i="2"/>
  <c r="AH180" i="2"/>
  <c r="AG180" i="2"/>
  <c r="AF180" i="2"/>
  <c r="BB179" i="2"/>
  <c r="AY179" i="2"/>
  <c r="AV179" i="2"/>
  <c r="AP179" i="2"/>
  <c r="AN179" i="2"/>
  <c r="AM179" i="2"/>
  <c r="AL179" i="2"/>
  <c r="AK179" i="2"/>
  <c r="AJ179" i="2"/>
  <c r="AI179" i="2"/>
  <c r="AH179" i="2"/>
  <c r="AG179" i="2"/>
  <c r="AF179" i="2"/>
  <c r="AY178" i="2"/>
  <c r="AV178" i="2"/>
  <c r="AS178" i="2"/>
  <c r="AP178" i="2"/>
  <c r="AN178" i="2"/>
  <c r="AM178" i="2"/>
  <c r="AL178" i="2"/>
  <c r="AK178" i="2"/>
  <c r="AJ178" i="2"/>
  <c r="AI178" i="2"/>
  <c r="AH178" i="2"/>
  <c r="AG178" i="2"/>
  <c r="AF178" i="2"/>
  <c r="M178" i="2"/>
  <c r="BB177" i="2"/>
  <c r="AY177" i="2"/>
  <c r="AV177" i="2"/>
  <c r="AS177" i="2"/>
  <c r="AN177" i="2"/>
  <c r="AM177" i="2"/>
  <c r="AL177" i="2"/>
  <c r="AK177" i="2"/>
  <c r="AJ177" i="2"/>
  <c r="AI177" i="2"/>
  <c r="AH177" i="2"/>
  <c r="AG177" i="2"/>
  <c r="AF177" i="2"/>
  <c r="M177" i="2"/>
  <c r="BB176" i="2"/>
  <c r="AY176" i="2"/>
  <c r="AV176" i="2"/>
  <c r="AS176" i="2"/>
  <c r="AN176" i="2"/>
  <c r="AM176" i="2"/>
  <c r="AL176" i="2"/>
  <c r="AK176" i="2"/>
  <c r="AJ176" i="2"/>
  <c r="AI176" i="2"/>
  <c r="AH176" i="2"/>
  <c r="AG176" i="2"/>
  <c r="AF176" i="2"/>
  <c r="M176" i="2"/>
  <c r="L176" i="2"/>
  <c r="BB175" i="2"/>
  <c r="AY175" i="2"/>
  <c r="AV175" i="2"/>
  <c r="AS175" i="2"/>
  <c r="AN175" i="2"/>
  <c r="AM175" i="2"/>
  <c r="AL175" i="2"/>
  <c r="AK175" i="2"/>
  <c r="AJ175" i="2"/>
  <c r="AI175" i="2"/>
  <c r="AH175" i="2"/>
  <c r="AG175" i="2"/>
  <c r="AF175" i="2"/>
  <c r="BB174" i="2"/>
  <c r="AS174" i="2"/>
  <c r="AY174" i="2" s="1"/>
  <c r="AN174" i="2"/>
  <c r="AM174" i="2"/>
  <c r="AL174" i="2"/>
  <c r="AK174" i="2"/>
  <c r="AJ174" i="2"/>
  <c r="AI174" i="2"/>
  <c r="AH174" i="2"/>
  <c r="AG174" i="2"/>
  <c r="AF174" i="2"/>
  <c r="BB173" i="2"/>
  <c r="AY173" i="2"/>
  <c r="AV173" i="2"/>
  <c r="AS173" i="2"/>
  <c r="AN173" i="2"/>
  <c r="AM173" i="2"/>
  <c r="AL173" i="2"/>
  <c r="AK173" i="2"/>
  <c r="AJ173" i="2"/>
  <c r="AI173" i="2"/>
  <c r="AH173" i="2"/>
  <c r="AG173" i="2"/>
  <c r="AF173" i="2"/>
  <c r="BB172" i="2"/>
  <c r="AS172" i="2"/>
  <c r="AY172" i="2" s="1"/>
  <c r="AL172" i="2"/>
  <c r="AK172" i="2"/>
  <c r="AJ172" i="2"/>
  <c r="AI172" i="2"/>
  <c r="U172" i="2"/>
  <c r="AG172" i="2" s="1"/>
  <c r="M172" i="2"/>
  <c r="L172" i="2"/>
  <c r="BB171" i="2"/>
  <c r="AY171" i="2"/>
  <c r="AS171" i="2"/>
  <c r="AN171" i="2"/>
  <c r="AM171" i="2"/>
  <c r="AL171" i="2"/>
  <c r="AK171" i="2"/>
  <c r="AJ171" i="2"/>
  <c r="AI171" i="2"/>
  <c r="AH171" i="2"/>
  <c r="AG171" i="2"/>
  <c r="AF171" i="2"/>
  <c r="BB170" i="2"/>
  <c r="AS170" i="2"/>
  <c r="AY170" i="2" s="1"/>
  <c r="AN170" i="2"/>
  <c r="AM170" i="2"/>
  <c r="AL170" i="2"/>
  <c r="AK170" i="2"/>
  <c r="AJ170" i="2"/>
  <c r="AI170" i="2"/>
  <c r="AH170" i="2"/>
  <c r="AG170" i="2"/>
  <c r="AF170" i="2"/>
  <c r="BB169" i="2"/>
  <c r="AY169" i="2"/>
  <c r="AS169" i="2"/>
  <c r="AN169" i="2"/>
  <c r="AM169" i="2"/>
  <c r="AL169" i="2"/>
  <c r="AK169" i="2"/>
  <c r="AJ169" i="2"/>
  <c r="AI169" i="2"/>
  <c r="AH169" i="2"/>
  <c r="AG169" i="2"/>
  <c r="AF169" i="2"/>
  <c r="BB168" i="2"/>
  <c r="AY168" i="2"/>
  <c r="AV168" i="2"/>
  <c r="AS168" i="2"/>
  <c r="AN168" i="2"/>
  <c r="AM168" i="2"/>
  <c r="AL168" i="2"/>
  <c r="AK168" i="2"/>
  <c r="AJ168" i="2"/>
  <c r="AI168" i="2"/>
  <c r="AH168" i="2"/>
  <c r="AG168" i="2"/>
  <c r="AF168" i="2"/>
  <c r="BB167" i="2"/>
  <c r="AY167" i="2"/>
  <c r="AV167" i="2"/>
  <c r="AS167" i="2"/>
  <c r="AN167" i="2"/>
  <c r="AM167" i="2"/>
  <c r="AL167" i="2"/>
  <c r="AK167" i="2"/>
  <c r="AJ167" i="2"/>
  <c r="AI167" i="2"/>
  <c r="AH167" i="2"/>
  <c r="AG167" i="2"/>
  <c r="AF167" i="2"/>
  <c r="BB166" i="2"/>
  <c r="AY166" i="2"/>
  <c r="AV166" i="2"/>
  <c r="AS166" i="2"/>
  <c r="AN166" i="2"/>
  <c r="AM166" i="2"/>
  <c r="AL166" i="2"/>
  <c r="AK166" i="2"/>
  <c r="AJ166" i="2"/>
  <c r="AI166" i="2"/>
  <c r="AH166" i="2"/>
  <c r="AG166" i="2"/>
  <c r="AF166" i="2"/>
  <c r="U166" i="2"/>
  <c r="BB165" i="2"/>
  <c r="AY165" i="2"/>
  <c r="AV165" i="2"/>
  <c r="AS165" i="2"/>
  <c r="AN165" i="2"/>
  <c r="AM165" i="2"/>
  <c r="AL165" i="2"/>
  <c r="AK165" i="2"/>
  <c r="AJ165" i="2"/>
  <c r="AI165" i="2"/>
  <c r="AH165" i="2"/>
  <c r="AG165" i="2"/>
  <c r="U165" i="2"/>
  <c r="AF165" i="2" s="1"/>
  <c r="BB164" i="2"/>
  <c r="AY164" i="2"/>
  <c r="AV164" i="2"/>
  <c r="AS164" i="2"/>
  <c r="AN164" i="2"/>
  <c r="AM164" i="2"/>
  <c r="AL164" i="2"/>
  <c r="AK164" i="2"/>
  <c r="AJ164" i="2"/>
  <c r="AI164" i="2"/>
  <c r="AH164" i="2"/>
  <c r="AG164" i="2"/>
  <c r="AF164" i="2"/>
  <c r="BB163" i="2"/>
  <c r="AY163" i="2"/>
  <c r="AV163" i="2"/>
  <c r="AS163" i="2"/>
  <c r="AN163" i="2"/>
  <c r="AM163" i="2"/>
  <c r="AL163" i="2"/>
  <c r="AK163" i="2"/>
  <c r="AJ163" i="2"/>
  <c r="AI163" i="2"/>
  <c r="AH163" i="2"/>
  <c r="AG163" i="2"/>
  <c r="AF163" i="2"/>
  <c r="U163" i="2"/>
  <c r="BB162" i="2"/>
  <c r="AY162" i="2"/>
  <c r="AV162" i="2"/>
  <c r="AS162" i="2"/>
  <c r="AN162" i="2"/>
  <c r="AM162" i="2"/>
  <c r="AL162" i="2"/>
  <c r="AK162" i="2"/>
  <c r="AJ162" i="2"/>
  <c r="AI162" i="2"/>
  <c r="AH162" i="2"/>
  <c r="AG162" i="2"/>
  <c r="AF162" i="2"/>
  <c r="U162" i="2"/>
  <c r="BB161" i="2"/>
  <c r="AS161" i="2"/>
  <c r="AY161" i="2" s="1"/>
  <c r="AN161" i="2"/>
  <c r="AM161" i="2"/>
  <c r="AL161" i="2"/>
  <c r="AK161" i="2"/>
  <c r="AJ161" i="2"/>
  <c r="AI161" i="2"/>
  <c r="AH161" i="2"/>
  <c r="AG161" i="2"/>
  <c r="AF161" i="2"/>
  <c r="U161" i="2"/>
  <c r="BB160" i="2"/>
  <c r="AS160" i="2"/>
  <c r="AY160" i="2" s="1"/>
  <c r="AN160" i="2"/>
  <c r="AM160" i="2"/>
  <c r="AL160" i="2"/>
  <c r="AK160" i="2"/>
  <c r="AJ160" i="2"/>
  <c r="AI160" i="2"/>
  <c r="AH160" i="2"/>
  <c r="AG160" i="2"/>
  <c r="U160" i="2"/>
  <c r="AF160" i="2" s="1"/>
  <c r="BB159" i="2"/>
  <c r="AS159" i="2"/>
  <c r="AY159" i="2" s="1"/>
  <c r="AN159" i="2"/>
  <c r="AM159" i="2"/>
  <c r="AL159" i="2"/>
  <c r="AK159" i="2"/>
  <c r="AJ159" i="2"/>
  <c r="AI159" i="2"/>
  <c r="AH159" i="2"/>
  <c r="AG159" i="2"/>
  <c r="U159" i="2"/>
  <c r="AF159" i="2" s="1"/>
  <c r="BB158" i="2"/>
  <c r="AS158" i="2"/>
  <c r="AY158" i="2" s="1"/>
  <c r="AN158" i="2"/>
  <c r="AM158" i="2"/>
  <c r="AL158" i="2"/>
  <c r="AK158" i="2"/>
  <c r="AJ158" i="2"/>
  <c r="AI158" i="2"/>
  <c r="AH158" i="2"/>
  <c r="AG158" i="2"/>
  <c r="AF158" i="2"/>
  <c r="BB157" i="2"/>
  <c r="AY157" i="2"/>
  <c r="AV157" i="2"/>
  <c r="AS157" i="2"/>
  <c r="AN157" i="2"/>
  <c r="AM157" i="2"/>
  <c r="AL157" i="2"/>
  <c r="AK157" i="2"/>
  <c r="AJ157" i="2"/>
  <c r="AI157" i="2"/>
  <c r="AH157" i="2"/>
  <c r="AG157" i="2"/>
  <c r="AF157" i="2"/>
  <c r="BB156" i="2"/>
  <c r="AY156" i="2"/>
  <c r="AV156" i="2"/>
  <c r="AS156" i="2"/>
  <c r="AN156" i="2"/>
  <c r="AM156" i="2"/>
  <c r="AL156" i="2"/>
  <c r="AK156" i="2"/>
  <c r="AJ156" i="2"/>
  <c r="AI156" i="2"/>
  <c r="AH156" i="2"/>
  <c r="AG156" i="2"/>
  <c r="AF156" i="2"/>
  <c r="BB155" i="2"/>
  <c r="AS155" i="2"/>
  <c r="AY155" i="2" s="1"/>
  <c r="AN155" i="2"/>
  <c r="AM155" i="2"/>
  <c r="AL155" i="2"/>
  <c r="AK155" i="2"/>
  <c r="AJ155" i="2"/>
  <c r="AI155" i="2"/>
  <c r="AH155" i="2"/>
  <c r="AG155" i="2"/>
  <c r="AF155" i="2"/>
  <c r="BB154" i="2"/>
  <c r="AY154" i="2"/>
  <c r="AV154" i="2"/>
  <c r="AS154" i="2"/>
  <c r="AN154" i="2"/>
  <c r="AM154" i="2"/>
  <c r="AL154" i="2"/>
  <c r="AK154" i="2"/>
  <c r="AJ154" i="2"/>
  <c r="AI154" i="2"/>
  <c r="AH154" i="2"/>
  <c r="AG154" i="2"/>
  <c r="AF154" i="2"/>
  <c r="BB153" i="2"/>
  <c r="AY153" i="2"/>
  <c r="AV153" i="2"/>
  <c r="AS153" i="2"/>
  <c r="AN153" i="2"/>
  <c r="AM153" i="2"/>
  <c r="AL153" i="2"/>
  <c r="AK153" i="2"/>
  <c r="AJ153" i="2"/>
  <c r="AI153" i="2"/>
  <c r="AH153" i="2"/>
  <c r="AG153" i="2"/>
  <c r="AF153" i="2"/>
  <c r="BB152" i="2"/>
  <c r="AV152" i="2"/>
  <c r="AP152" i="2"/>
  <c r="AN152" i="2"/>
  <c r="AM152" i="2"/>
  <c r="AL152" i="2"/>
  <c r="AK152" i="2"/>
  <c r="AJ152" i="2"/>
  <c r="AI152" i="2"/>
  <c r="AH152" i="2"/>
  <c r="AG152" i="2"/>
  <c r="AF152" i="2"/>
  <c r="BB151" i="2"/>
  <c r="AY151" i="2"/>
  <c r="AS151" i="2"/>
  <c r="AN151" i="2"/>
  <c r="AM151" i="2"/>
  <c r="AL151" i="2"/>
  <c r="AK151" i="2"/>
  <c r="AJ151" i="2"/>
  <c r="AI151" i="2"/>
  <c r="AH151" i="2"/>
  <c r="AG151" i="2"/>
  <c r="AF151" i="2"/>
  <c r="BB150" i="2"/>
  <c r="AY150" i="2"/>
  <c r="AV150" i="2"/>
  <c r="AS150" i="2"/>
  <c r="AN150" i="2"/>
  <c r="AM150" i="2"/>
  <c r="AL150" i="2"/>
  <c r="AK150" i="2"/>
  <c r="AJ150" i="2"/>
  <c r="AI150" i="2"/>
  <c r="AH150" i="2"/>
  <c r="AG150" i="2"/>
  <c r="AF150" i="2"/>
  <c r="BB149" i="2"/>
  <c r="AY149" i="2"/>
  <c r="AV149" i="2"/>
  <c r="AS149" i="2"/>
  <c r="AN149" i="2"/>
  <c r="AM149" i="2"/>
  <c r="AL149" i="2"/>
  <c r="AK149" i="2"/>
  <c r="AJ149" i="2"/>
  <c r="AI149" i="2"/>
  <c r="AH149" i="2"/>
  <c r="AG149" i="2"/>
  <c r="AF149" i="2"/>
  <c r="BB148" i="2"/>
  <c r="AY148" i="2"/>
  <c r="AS148" i="2"/>
  <c r="AN148" i="2"/>
  <c r="AM148" i="2"/>
  <c r="AL148" i="2"/>
  <c r="AK148" i="2"/>
  <c r="AJ148" i="2"/>
  <c r="AI148" i="2"/>
  <c r="AH148" i="2"/>
  <c r="AG148" i="2"/>
  <c r="AF148" i="2"/>
  <c r="BB147" i="2"/>
  <c r="AY147" i="2"/>
  <c r="AV147" i="2"/>
  <c r="AS147" i="2"/>
  <c r="AN147" i="2"/>
  <c r="AM147" i="2"/>
  <c r="AL147" i="2"/>
  <c r="AK147" i="2"/>
  <c r="AJ147" i="2"/>
  <c r="AI147" i="2"/>
  <c r="AH147" i="2"/>
  <c r="AG147" i="2"/>
  <c r="AF147" i="2"/>
  <c r="BB146" i="2"/>
  <c r="AS146" i="2"/>
  <c r="AY146" i="2" s="1"/>
  <c r="AN146" i="2"/>
  <c r="AM146" i="2"/>
  <c r="AL146" i="2"/>
  <c r="AK146" i="2"/>
  <c r="AJ146" i="2"/>
  <c r="AI146" i="2"/>
  <c r="AH146" i="2"/>
  <c r="AG146" i="2"/>
  <c r="AF146" i="2"/>
  <c r="BB145" i="2"/>
  <c r="AS145" i="2"/>
  <c r="AY145" i="2" s="1"/>
  <c r="AN145" i="2"/>
  <c r="AM145" i="2"/>
  <c r="AL145" i="2"/>
  <c r="AK145" i="2"/>
  <c r="AJ145" i="2"/>
  <c r="AI145" i="2"/>
  <c r="AH145" i="2"/>
  <c r="AG145" i="2"/>
  <c r="AF145" i="2"/>
  <c r="BB144" i="2"/>
  <c r="AY144" i="2"/>
  <c r="AS144" i="2"/>
  <c r="AN144" i="2"/>
  <c r="AM144" i="2"/>
  <c r="AL144" i="2"/>
  <c r="AK144" i="2"/>
  <c r="AJ144" i="2"/>
  <c r="AI144" i="2"/>
  <c r="AH144" i="2"/>
  <c r="AG144" i="2"/>
  <c r="AF144" i="2"/>
  <c r="BB143" i="2"/>
  <c r="AY143" i="2"/>
  <c r="AS143" i="2"/>
  <c r="AN143" i="2"/>
  <c r="AM143" i="2"/>
  <c r="AL143" i="2"/>
  <c r="AK143" i="2"/>
  <c r="AJ143" i="2"/>
  <c r="AI143" i="2"/>
  <c r="AH143" i="2"/>
  <c r="AG143" i="2"/>
  <c r="AF143" i="2"/>
  <c r="BB142" i="2"/>
  <c r="AY142" i="2"/>
  <c r="AV142" i="2"/>
  <c r="AS142" i="2"/>
  <c r="AN142" i="2"/>
  <c r="AM142" i="2"/>
  <c r="AL142" i="2"/>
  <c r="AK142" i="2"/>
  <c r="AJ142" i="2"/>
  <c r="AI142" i="2"/>
  <c r="AH142" i="2"/>
  <c r="AG142" i="2"/>
  <c r="AF142" i="2"/>
  <c r="BB141" i="2"/>
  <c r="AY141" i="2"/>
  <c r="AV141" i="2"/>
  <c r="AS141" i="2"/>
  <c r="AN141" i="2"/>
  <c r="AM141" i="2"/>
  <c r="AL141" i="2"/>
  <c r="AK141" i="2"/>
  <c r="AJ141" i="2"/>
  <c r="AI141" i="2"/>
  <c r="AH141" i="2"/>
  <c r="AG141" i="2"/>
  <c r="AF141" i="2"/>
  <c r="BB140" i="2"/>
  <c r="AY140" i="2"/>
  <c r="AV140" i="2"/>
  <c r="AS140" i="2"/>
  <c r="AN140" i="2"/>
  <c r="AM140" i="2"/>
  <c r="AL140" i="2"/>
  <c r="AK140" i="2"/>
  <c r="AJ140" i="2"/>
  <c r="AI140" i="2"/>
  <c r="AH140" i="2"/>
  <c r="AG140" i="2"/>
  <c r="AF140" i="2"/>
  <c r="BB139" i="2"/>
  <c r="AP139" i="2"/>
  <c r="AV139" i="2" s="1"/>
  <c r="AN139" i="2"/>
  <c r="AM139" i="2"/>
  <c r="AL139" i="2"/>
  <c r="AK139" i="2"/>
  <c r="AJ139" i="2"/>
  <c r="AI139" i="2"/>
  <c r="AH139" i="2"/>
  <c r="AG139" i="2"/>
  <c r="AF139" i="2"/>
  <c r="BB138" i="2"/>
  <c r="AS138" i="2"/>
  <c r="AY138" i="2" s="1"/>
  <c r="AN138" i="2"/>
  <c r="AM138" i="2"/>
  <c r="AL138" i="2"/>
  <c r="AK138" i="2"/>
  <c r="AJ138" i="2"/>
  <c r="AI138" i="2"/>
  <c r="AH138" i="2"/>
  <c r="AG138" i="2"/>
  <c r="AF138" i="2"/>
  <c r="BB137" i="2"/>
  <c r="AS137" i="2"/>
  <c r="AY137" i="2" s="1"/>
  <c r="AN137" i="2"/>
  <c r="AL137" i="2"/>
  <c r="AK137" i="2"/>
  <c r="AJ137" i="2"/>
  <c r="AI137" i="2"/>
  <c r="AF137" i="2"/>
  <c r="U137" i="2"/>
  <c r="AG137" i="2" s="1"/>
  <c r="M137" i="2"/>
  <c r="L137" i="2"/>
  <c r="AM137" i="2" s="1"/>
  <c r="BB136" i="2"/>
  <c r="AY136" i="2"/>
  <c r="AV136" i="2"/>
  <c r="AS136" i="2"/>
  <c r="AN136" i="2"/>
  <c r="AM136" i="2"/>
  <c r="AL136" i="2"/>
  <c r="AK136" i="2"/>
  <c r="AJ136" i="2"/>
  <c r="AI136" i="2"/>
  <c r="AH136" i="2"/>
  <c r="AG136" i="2"/>
  <c r="AF136" i="2"/>
  <c r="BB135" i="2"/>
  <c r="AY135" i="2"/>
  <c r="AV135" i="2"/>
  <c r="AS135" i="2"/>
  <c r="AN135" i="2"/>
  <c r="AM135" i="2"/>
  <c r="AL135" i="2"/>
  <c r="AK135" i="2"/>
  <c r="AJ135" i="2"/>
  <c r="AI135" i="2"/>
  <c r="AH135" i="2"/>
  <c r="AG135" i="2"/>
  <c r="AF135" i="2"/>
  <c r="BB134" i="2"/>
  <c r="AY134" i="2"/>
  <c r="AV134" i="2"/>
  <c r="AS134" i="2"/>
  <c r="AN134" i="2"/>
  <c r="AM134" i="2"/>
  <c r="AL134" i="2"/>
  <c r="AK134" i="2"/>
  <c r="AJ134" i="2"/>
  <c r="AI134" i="2"/>
  <c r="AH134" i="2"/>
  <c r="AG134" i="2"/>
  <c r="AF134" i="2"/>
  <c r="BB133" i="2"/>
  <c r="AY133" i="2"/>
  <c r="AV133" i="2"/>
  <c r="AS133" i="2"/>
  <c r="AN133" i="2"/>
  <c r="AM133" i="2"/>
  <c r="AL133" i="2"/>
  <c r="AK133" i="2"/>
  <c r="AJ133" i="2"/>
  <c r="AI133" i="2"/>
  <c r="AH133" i="2"/>
  <c r="AG133" i="2"/>
  <c r="AF133" i="2"/>
  <c r="BB132" i="2"/>
  <c r="AY132" i="2"/>
  <c r="AV132" i="2"/>
  <c r="AS132" i="2"/>
  <c r="AN132" i="2"/>
  <c r="AM132" i="2"/>
  <c r="AL132" i="2"/>
  <c r="AK132" i="2"/>
  <c r="AJ132" i="2"/>
  <c r="AI132" i="2"/>
  <c r="AH132" i="2"/>
  <c r="AG132" i="2"/>
  <c r="AF132" i="2"/>
  <c r="BB131" i="2"/>
  <c r="AY131" i="2"/>
  <c r="AS131" i="2"/>
  <c r="AN131" i="2"/>
  <c r="AM131" i="2"/>
  <c r="AL131" i="2"/>
  <c r="AK131" i="2"/>
  <c r="AJ131" i="2"/>
  <c r="AI131" i="2"/>
  <c r="AH131" i="2"/>
  <c r="AG131" i="2"/>
  <c r="AF131" i="2"/>
  <c r="U131" i="2"/>
  <c r="BB130" i="2"/>
  <c r="AY130" i="2"/>
  <c r="AS130" i="2"/>
  <c r="AN130" i="2"/>
  <c r="AM130" i="2"/>
  <c r="AL130" i="2"/>
  <c r="AK130" i="2"/>
  <c r="AJ130" i="2"/>
  <c r="AI130" i="2"/>
  <c r="AH130" i="2"/>
  <c r="AG130" i="2"/>
  <c r="AF130" i="2"/>
  <c r="U130" i="2"/>
  <c r="M130" i="2"/>
  <c r="BB129" i="2"/>
  <c r="AY129" i="2"/>
  <c r="AS129" i="2"/>
  <c r="AN129" i="2"/>
  <c r="AM129" i="2"/>
  <c r="AL129" i="2"/>
  <c r="AK129" i="2"/>
  <c r="AJ129" i="2"/>
  <c r="AI129" i="2"/>
  <c r="AH129" i="2"/>
  <c r="AG129" i="2"/>
  <c r="AF129" i="2"/>
  <c r="BB128" i="2"/>
  <c r="AY128" i="2"/>
  <c r="AS128" i="2"/>
  <c r="AN128" i="2"/>
  <c r="AM128" i="2"/>
  <c r="AL128" i="2"/>
  <c r="AK128" i="2"/>
  <c r="AJ128" i="2"/>
  <c r="AI128" i="2"/>
  <c r="AH128" i="2"/>
  <c r="AG128" i="2"/>
  <c r="AF128" i="2"/>
  <c r="BB127" i="2"/>
  <c r="AS127" i="2"/>
  <c r="AY127" i="2" s="1"/>
  <c r="AN127" i="2"/>
  <c r="AM127" i="2"/>
  <c r="AL127" i="2"/>
  <c r="AK127" i="2"/>
  <c r="AJ127" i="2"/>
  <c r="AI127" i="2"/>
  <c r="AH127" i="2"/>
  <c r="AG127" i="2"/>
  <c r="AF127" i="2"/>
  <c r="U127" i="2"/>
  <c r="BB126" i="2"/>
  <c r="AP126" i="2"/>
  <c r="AV126" i="2" s="1"/>
  <c r="AN126" i="2"/>
  <c r="AM126" i="2"/>
  <c r="AL126" i="2"/>
  <c r="AK126" i="2"/>
  <c r="AJ126" i="2"/>
  <c r="AI126" i="2"/>
  <c r="AH126" i="2"/>
  <c r="AG126" i="2"/>
  <c r="AF126" i="2"/>
  <c r="U126" i="2"/>
  <c r="N126" i="2"/>
  <c r="M126" i="2"/>
  <c r="BB125" i="2"/>
  <c r="AY125" i="2"/>
  <c r="AV125" i="2"/>
  <c r="AS125" i="2"/>
  <c r="AN125" i="2"/>
  <c r="AM125" i="2"/>
  <c r="AL125" i="2"/>
  <c r="AK125" i="2"/>
  <c r="AJ125" i="2"/>
  <c r="AI125" i="2"/>
  <c r="AH125" i="2"/>
  <c r="AG125" i="2"/>
  <c r="U125" i="2"/>
  <c r="AF125" i="2" s="1"/>
  <c r="BB124" i="2"/>
  <c r="AY124" i="2"/>
  <c r="AV124" i="2"/>
  <c r="AP124" i="2"/>
  <c r="AL124" i="2"/>
  <c r="AK124" i="2"/>
  <c r="AJ124" i="2"/>
  <c r="AI124" i="2"/>
  <c r="AH124" i="2"/>
  <c r="AF124" i="2"/>
  <c r="U124" i="2"/>
  <c r="AG124" i="2" s="1"/>
  <c r="M124" i="2"/>
  <c r="L124" i="2"/>
  <c r="AN124" i="2" s="1"/>
  <c r="BB123" i="2"/>
  <c r="AY123" i="2"/>
  <c r="AV123" i="2"/>
  <c r="AS123" i="2"/>
  <c r="AL123" i="2"/>
  <c r="AK123" i="2"/>
  <c r="AJ123" i="2"/>
  <c r="AI123" i="2"/>
  <c r="AG123" i="2"/>
  <c r="AF123" i="2"/>
  <c r="U123" i="2"/>
  <c r="M123" i="2"/>
  <c r="L123" i="2"/>
  <c r="BB122" i="2"/>
  <c r="AS122" i="2"/>
  <c r="AY122" i="2" s="1"/>
  <c r="AN122" i="2"/>
  <c r="AM122" i="2"/>
  <c r="AL122" i="2"/>
  <c r="AK122" i="2"/>
  <c r="AJ122" i="2"/>
  <c r="AI122" i="2"/>
  <c r="AH122" i="2"/>
  <c r="AG122" i="2"/>
  <c r="U122" i="2"/>
  <c r="AF122" i="2" s="1"/>
  <c r="BB121" i="2"/>
  <c r="AS121" i="2"/>
  <c r="AY121" i="2" s="1"/>
  <c r="AN121" i="2"/>
  <c r="AM121" i="2"/>
  <c r="AL121" i="2"/>
  <c r="AK121" i="2"/>
  <c r="AJ121" i="2"/>
  <c r="AI121" i="2"/>
  <c r="AH121" i="2"/>
  <c r="AG121" i="2"/>
  <c r="AF121" i="2"/>
  <c r="U121" i="2"/>
  <c r="BB120" i="2"/>
  <c r="AS120" i="2"/>
  <c r="AY120" i="2" s="1"/>
  <c r="AN120" i="2"/>
  <c r="AM120" i="2"/>
  <c r="AL120" i="2"/>
  <c r="AK120" i="2"/>
  <c r="AJ120" i="2"/>
  <c r="AI120" i="2"/>
  <c r="AH120" i="2"/>
  <c r="AG120" i="2"/>
  <c r="U120" i="2"/>
  <c r="AF120" i="2" s="1"/>
  <c r="BB119" i="2"/>
  <c r="AY119" i="2"/>
  <c r="AV119" i="2"/>
  <c r="AS119" i="2"/>
  <c r="AN119" i="2"/>
  <c r="AM119" i="2"/>
  <c r="AL119" i="2"/>
  <c r="AK119" i="2"/>
  <c r="AJ119" i="2"/>
  <c r="AI119" i="2"/>
  <c r="AH119" i="2"/>
  <c r="AG119" i="2"/>
  <c r="U119" i="2"/>
  <c r="AF119" i="2" s="1"/>
  <c r="BB118" i="2"/>
  <c r="AY118" i="2"/>
  <c r="AV118" i="2"/>
  <c r="AS118" i="2"/>
  <c r="AN118" i="2"/>
  <c r="AM118" i="2"/>
  <c r="AL118" i="2"/>
  <c r="AK118" i="2"/>
  <c r="AJ118" i="2"/>
  <c r="AI118" i="2"/>
  <c r="AH118" i="2"/>
  <c r="AG118" i="2"/>
  <c r="U118" i="2"/>
  <c r="AF118" i="2" s="1"/>
  <c r="BB117" i="2"/>
  <c r="AY117" i="2"/>
  <c r="AV117" i="2"/>
  <c r="AS117" i="2"/>
  <c r="AN117" i="2"/>
  <c r="AM117" i="2"/>
  <c r="AL117" i="2"/>
  <c r="AK117" i="2"/>
  <c r="AJ117" i="2"/>
  <c r="AI117" i="2"/>
  <c r="AH117" i="2"/>
  <c r="AG117" i="2"/>
  <c r="U117" i="2"/>
  <c r="AF117" i="2" s="1"/>
  <c r="BB116" i="2"/>
  <c r="AY116" i="2"/>
  <c r="AV116" i="2"/>
  <c r="AS116" i="2"/>
  <c r="AN116" i="2"/>
  <c r="AM116" i="2"/>
  <c r="AL116" i="2"/>
  <c r="AK116" i="2"/>
  <c r="AJ116" i="2"/>
  <c r="AI116" i="2"/>
  <c r="AH116" i="2"/>
  <c r="AG116" i="2"/>
  <c r="U116" i="2"/>
  <c r="AF116" i="2" s="1"/>
  <c r="BB115" i="2"/>
  <c r="AY115" i="2"/>
  <c r="AV115" i="2"/>
  <c r="AS115" i="2"/>
  <c r="AN115" i="2"/>
  <c r="AM115" i="2"/>
  <c r="AL115" i="2"/>
  <c r="AK115" i="2"/>
  <c r="AJ115" i="2"/>
  <c r="AI115" i="2"/>
  <c r="AH115" i="2"/>
  <c r="AG115" i="2"/>
  <c r="U115" i="2"/>
  <c r="AF115" i="2" s="1"/>
  <c r="BB114" i="2"/>
  <c r="AY114" i="2"/>
  <c r="AV114" i="2"/>
  <c r="AP114" i="2"/>
  <c r="AN114" i="2"/>
  <c r="AM114" i="2"/>
  <c r="AL114" i="2"/>
  <c r="AK114" i="2"/>
  <c r="AJ114" i="2"/>
  <c r="AI114" i="2"/>
  <c r="AH114" i="2"/>
  <c r="AG114" i="2"/>
  <c r="AF114" i="2"/>
  <c r="BB113" i="2"/>
  <c r="AY113" i="2"/>
  <c r="AV113" i="2"/>
  <c r="AP113" i="2"/>
  <c r="AN113" i="2"/>
  <c r="AM113" i="2"/>
  <c r="AL113" i="2"/>
  <c r="AK113" i="2"/>
  <c r="AJ113" i="2"/>
  <c r="AI113" i="2"/>
  <c r="AH113" i="2"/>
  <c r="AG113" i="2"/>
  <c r="AF113" i="2"/>
  <c r="BB112" i="2"/>
  <c r="AS112" i="2"/>
  <c r="AY112" i="2" s="1"/>
  <c r="AN112" i="2"/>
  <c r="AM112" i="2"/>
  <c r="AL112" i="2"/>
  <c r="AK112" i="2"/>
  <c r="AJ112" i="2"/>
  <c r="AI112" i="2"/>
  <c r="AH112" i="2"/>
  <c r="AG112" i="2"/>
  <c r="U112" i="2"/>
  <c r="AF112" i="2" s="1"/>
  <c r="BB111" i="2"/>
  <c r="AS111" i="2"/>
  <c r="AY111" i="2" s="1"/>
  <c r="AN111" i="2"/>
  <c r="AM111" i="2"/>
  <c r="AL111" i="2"/>
  <c r="AK111" i="2"/>
  <c r="AJ111" i="2"/>
  <c r="AI111" i="2"/>
  <c r="AH111" i="2"/>
  <c r="AG111" i="2"/>
  <c r="U111" i="2"/>
  <c r="AF111" i="2" s="1"/>
  <c r="BB110" i="2"/>
  <c r="AS110" i="2"/>
  <c r="AY110" i="2" s="1"/>
  <c r="AN110" i="2"/>
  <c r="AM110" i="2"/>
  <c r="AL110" i="2"/>
  <c r="AK110" i="2"/>
  <c r="AJ110" i="2"/>
  <c r="AI110" i="2"/>
  <c r="AG110" i="2"/>
  <c r="U110" i="2"/>
  <c r="M110" i="2"/>
  <c r="BB109" i="2"/>
  <c r="AS109" i="2"/>
  <c r="AY109" i="2" s="1"/>
  <c r="AN109" i="2"/>
  <c r="AM109" i="2"/>
  <c r="AL109" i="2"/>
  <c r="AK109" i="2"/>
  <c r="AJ109" i="2"/>
  <c r="AI109" i="2"/>
  <c r="AH109" i="2"/>
  <c r="AG109" i="2"/>
  <c r="AF109" i="2"/>
  <c r="U109" i="2"/>
  <c r="BB108" i="2"/>
  <c r="AS108" i="2"/>
  <c r="AY108" i="2" s="1"/>
  <c r="AN108" i="2"/>
  <c r="AM108" i="2"/>
  <c r="AL108" i="2"/>
  <c r="AK108" i="2"/>
  <c r="AJ108" i="2"/>
  <c r="AI108" i="2"/>
  <c r="AH108" i="2"/>
  <c r="AG108" i="2"/>
  <c r="AF108" i="2"/>
  <c r="U108" i="2"/>
  <c r="BB107" i="2"/>
  <c r="AS107" i="2"/>
  <c r="AY107" i="2" s="1"/>
  <c r="AN107" i="2"/>
  <c r="AM107" i="2"/>
  <c r="AL107" i="2"/>
  <c r="AK107" i="2"/>
  <c r="AJ107" i="2"/>
  <c r="AI107" i="2"/>
  <c r="AH107" i="2"/>
  <c r="AG107" i="2"/>
  <c r="AF107" i="2"/>
  <c r="U107" i="2"/>
  <c r="BB106" i="2"/>
  <c r="AS106" i="2"/>
  <c r="AY106" i="2" s="1"/>
  <c r="AN106" i="2"/>
  <c r="AM106" i="2"/>
  <c r="AL106" i="2"/>
  <c r="AK106" i="2"/>
  <c r="AJ106" i="2"/>
  <c r="AI106" i="2"/>
  <c r="AH106" i="2"/>
  <c r="AG106" i="2"/>
  <c r="AF106" i="2"/>
  <c r="U106" i="2"/>
  <c r="BB105" i="2"/>
  <c r="AS105" i="2"/>
  <c r="AY105" i="2" s="1"/>
  <c r="AN105" i="2"/>
  <c r="AM105" i="2"/>
  <c r="AL105" i="2"/>
  <c r="AK105" i="2"/>
  <c r="AJ105" i="2"/>
  <c r="AI105" i="2"/>
  <c r="AH105" i="2"/>
  <c r="AG105" i="2"/>
  <c r="AF105" i="2"/>
  <c r="BB104" i="2"/>
  <c r="AY104" i="2"/>
  <c r="AV104" i="2"/>
  <c r="AS104" i="2"/>
  <c r="AN104" i="2"/>
  <c r="AM104" i="2"/>
  <c r="AL104" i="2"/>
  <c r="AK104" i="2"/>
  <c r="AJ104" i="2"/>
  <c r="AI104" i="2"/>
  <c r="AH104" i="2"/>
  <c r="AG104" i="2"/>
  <c r="U104" i="2"/>
  <c r="AF104" i="2" s="1"/>
  <c r="BB103" i="2"/>
  <c r="AS103" i="2"/>
  <c r="AY103" i="2" s="1"/>
  <c r="AN103" i="2"/>
  <c r="AM103" i="2"/>
  <c r="AL103" i="2"/>
  <c r="AK103" i="2"/>
  <c r="AJ103" i="2"/>
  <c r="AI103" i="2"/>
  <c r="AH103" i="2"/>
  <c r="AG103" i="2"/>
  <c r="AD103" i="2"/>
  <c r="AC103" i="2"/>
  <c r="U103" i="2"/>
  <c r="AF103" i="2" s="1"/>
  <c r="BB102" i="2"/>
  <c r="AY102" i="2"/>
  <c r="AS102" i="2"/>
  <c r="AN102" i="2"/>
  <c r="AM102" i="2"/>
  <c r="AL102" i="2"/>
  <c r="AK102" i="2"/>
  <c r="AJ102" i="2"/>
  <c r="AI102" i="2"/>
  <c r="AH102" i="2"/>
  <c r="AG102" i="2"/>
  <c r="AD102" i="2"/>
  <c r="AC102" i="2"/>
  <c r="U102" i="2"/>
  <c r="AF102" i="2" s="1"/>
  <c r="BB101" i="2"/>
  <c r="AY101" i="2"/>
  <c r="AS101" i="2"/>
  <c r="AN101" i="2"/>
  <c r="AM101" i="2"/>
  <c r="AL101" i="2"/>
  <c r="AK101" i="2"/>
  <c r="AJ101" i="2"/>
  <c r="AI101" i="2"/>
  <c r="AG101" i="2"/>
  <c r="AF101" i="2"/>
  <c r="U101" i="2"/>
  <c r="AH101" i="2" s="1"/>
  <c r="BB100" i="2"/>
  <c r="AY100" i="2"/>
  <c r="AV100" i="2"/>
  <c r="AS100" i="2"/>
  <c r="AN100" i="2"/>
  <c r="AM100" i="2"/>
  <c r="AL100" i="2"/>
  <c r="AK100" i="2"/>
  <c r="AJ100" i="2"/>
  <c r="AI100" i="2"/>
  <c r="AH100" i="2"/>
  <c r="AG100" i="2"/>
  <c r="AF100" i="2"/>
  <c r="U100" i="2"/>
  <c r="BB99" i="2"/>
  <c r="AY99" i="2"/>
  <c r="AV99" i="2"/>
  <c r="AS99" i="2"/>
  <c r="AN99" i="2"/>
  <c r="AM99" i="2"/>
  <c r="AL99" i="2"/>
  <c r="AK99" i="2"/>
  <c r="AJ99" i="2"/>
  <c r="AI99" i="2"/>
  <c r="AH99" i="2"/>
  <c r="AG99" i="2"/>
  <c r="AF99" i="2"/>
  <c r="U99" i="2"/>
  <c r="BB98" i="2"/>
  <c r="AY98" i="2"/>
  <c r="AS98" i="2"/>
  <c r="AN98" i="2"/>
  <c r="AM98" i="2"/>
  <c r="AL98" i="2"/>
  <c r="AK98" i="2"/>
  <c r="AJ98" i="2"/>
  <c r="AI98" i="2"/>
  <c r="AH98" i="2"/>
  <c r="AG98" i="2"/>
  <c r="AF98" i="2"/>
  <c r="U98" i="2"/>
  <c r="BB97" i="2"/>
  <c r="AY97" i="2"/>
  <c r="AV97" i="2"/>
  <c r="AS97" i="2"/>
  <c r="AN97" i="2"/>
  <c r="AM97" i="2"/>
  <c r="AL97" i="2"/>
  <c r="AK97" i="2"/>
  <c r="AJ97" i="2"/>
  <c r="AI97" i="2"/>
  <c r="AH97" i="2"/>
  <c r="AG97" i="2"/>
  <c r="AF97" i="2"/>
  <c r="BB96" i="2"/>
  <c r="AS96" i="2"/>
  <c r="AY96" i="2" s="1"/>
  <c r="AN96" i="2"/>
  <c r="AM96" i="2"/>
  <c r="AL96" i="2"/>
  <c r="AK96" i="2"/>
  <c r="AJ96" i="2"/>
  <c r="AI96" i="2"/>
  <c r="AH96" i="2"/>
  <c r="AG96" i="2"/>
  <c r="U96" i="2"/>
  <c r="AF96" i="2" s="1"/>
  <c r="M96" i="2"/>
  <c r="BB95" i="2"/>
  <c r="AY95" i="2"/>
  <c r="AS95" i="2"/>
  <c r="AN95" i="2"/>
  <c r="AM95" i="2"/>
  <c r="AL95" i="2"/>
  <c r="AK95" i="2"/>
  <c r="AJ95" i="2"/>
  <c r="AI95" i="2"/>
  <c r="AG95" i="2"/>
  <c r="X95" i="2"/>
  <c r="U95" i="2"/>
  <c r="AF95" i="2" s="1"/>
  <c r="M95" i="2"/>
  <c r="BB94" i="2"/>
  <c r="AS94" i="2"/>
  <c r="AY94" i="2" s="1"/>
  <c r="AN94" i="2"/>
  <c r="AM94" i="2"/>
  <c r="AL94" i="2"/>
  <c r="AK94" i="2"/>
  <c r="AJ94" i="2"/>
  <c r="AI94" i="2"/>
  <c r="AH94" i="2"/>
  <c r="AG94" i="2"/>
  <c r="AF94" i="2"/>
  <c r="BB93" i="2"/>
  <c r="AS93" i="2"/>
  <c r="AY93" i="2" s="1"/>
  <c r="AN93" i="2"/>
  <c r="AM93" i="2"/>
  <c r="AL93" i="2"/>
  <c r="AK93" i="2"/>
  <c r="AJ93" i="2"/>
  <c r="AI93" i="2"/>
  <c r="AH93" i="2"/>
  <c r="AG93" i="2"/>
  <c r="AF93" i="2"/>
  <c r="BB92" i="2"/>
  <c r="AY92" i="2"/>
  <c r="AS92" i="2"/>
  <c r="AN92" i="2"/>
  <c r="AM92" i="2"/>
  <c r="AL92" i="2"/>
  <c r="AK92" i="2"/>
  <c r="AJ92" i="2"/>
  <c r="AI92" i="2"/>
  <c r="AH92" i="2"/>
  <c r="AG92" i="2"/>
  <c r="AF92" i="2"/>
  <c r="BB91" i="2"/>
  <c r="AY91" i="2"/>
  <c r="AV91" i="2"/>
  <c r="AS91" i="2"/>
  <c r="AN91" i="2"/>
  <c r="AM91" i="2"/>
  <c r="AL91" i="2"/>
  <c r="AK91" i="2"/>
  <c r="AJ91" i="2"/>
  <c r="AI91" i="2"/>
  <c r="AH91" i="2"/>
  <c r="AG91" i="2"/>
  <c r="AF91" i="2"/>
  <c r="BB90" i="2"/>
  <c r="AY90" i="2"/>
  <c r="AS90" i="2"/>
  <c r="AN90" i="2"/>
  <c r="AM90" i="2"/>
  <c r="AL90" i="2"/>
  <c r="AK90" i="2"/>
  <c r="AJ90" i="2"/>
  <c r="AI90" i="2"/>
  <c r="AH90" i="2"/>
  <c r="AG90" i="2"/>
  <c r="U90" i="2"/>
  <c r="AF90" i="2" s="1"/>
  <c r="T90" i="2"/>
  <c r="BB89" i="2"/>
  <c r="AY89" i="2"/>
  <c r="AV89" i="2"/>
  <c r="AS89" i="2"/>
  <c r="AN89" i="2"/>
  <c r="AM89" i="2"/>
  <c r="AL89" i="2"/>
  <c r="AK89" i="2"/>
  <c r="AJ89" i="2"/>
  <c r="AI89" i="2"/>
  <c r="AH89" i="2"/>
  <c r="AG89" i="2"/>
  <c r="AF89" i="2"/>
  <c r="BB88" i="2"/>
  <c r="AY88" i="2"/>
  <c r="AS88" i="2"/>
  <c r="AN88" i="2"/>
  <c r="AM88" i="2"/>
  <c r="AL88" i="2"/>
  <c r="AK88" i="2"/>
  <c r="AJ88" i="2"/>
  <c r="AI88" i="2"/>
  <c r="AG88" i="2"/>
  <c r="U88" i="2"/>
  <c r="AH88" i="2" s="1"/>
  <c r="BB87" i="2"/>
  <c r="AY87" i="2"/>
  <c r="AV87" i="2"/>
  <c r="AS87" i="2"/>
  <c r="AN87" i="2"/>
  <c r="AM87" i="2"/>
  <c r="AL87" i="2"/>
  <c r="AK87" i="2"/>
  <c r="AJ87" i="2"/>
  <c r="AI87" i="2"/>
  <c r="AH87" i="2"/>
  <c r="AG87" i="2"/>
  <c r="AF87" i="2"/>
  <c r="BB86" i="2"/>
  <c r="AY86" i="2"/>
  <c r="AV86" i="2"/>
  <c r="AS86" i="2"/>
  <c r="AN86" i="2"/>
  <c r="AM86" i="2"/>
  <c r="AL86" i="2"/>
  <c r="AK86" i="2"/>
  <c r="AJ86" i="2"/>
  <c r="AI86" i="2"/>
  <c r="AH86" i="2"/>
  <c r="AG86" i="2"/>
  <c r="AF86" i="2"/>
  <c r="U86" i="2"/>
  <c r="BB85" i="2"/>
  <c r="AY85" i="2"/>
  <c r="AV85" i="2"/>
  <c r="AS85" i="2"/>
  <c r="AN85" i="2"/>
  <c r="AM85" i="2"/>
  <c r="AL85" i="2"/>
  <c r="AK85" i="2"/>
  <c r="AJ85" i="2"/>
  <c r="AI85" i="2"/>
  <c r="AH85" i="2"/>
  <c r="AG85" i="2"/>
  <c r="AF85" i="2"/>
  <c r="U85" i="2"/>
  <c r="BB84" i="2"/>
  <c r="AY84" i="2"/>
  <c r="AV84" i="2"/>
  <c r="AS84" i="2"/>
  <c r="AN84" i="2"/>
  <c r="AM84" i="2"/>
  <c r="AL84" i="2"/>
  <c r="AK84" i="2"/>
  <c r="AJ84" i="2"/>
  <c r="AI84" i="2"/>
  <c r="AH84" i="2"/>
  <c r="AG84" i="2"/>
  <c r="AF84" i="2"/>
  <c r="U84" i="2"/>
  <c r="BB83" i="2"/>
  <c r="AS83" i="2"/>
  <c r="AY83" i="2" s="1"/>
  <c r="AN83" i="2"/>
  <c r="AM83" i="2"/>
  <c r="AL83" i="2"/>
  <c r="AK83" i="2"/>
  <c r="AJ83" i="2"/>
  <c r="AI83" i="2"/>
  <c r="AH83" i="2"/>
  <c r="AG83" i="2"/>
  <c r="AF83" i="2"/>
  <c r="U83" i="2"/>
  <c r="BB82" i="2"/>
  <c r="AY82" i="2"/>
  <c r="AS82" i="2"/>
  <c r="AN82" i="2"/>
  <c r="AM82" i="2"/>
  <c r="AL82" i="2"/>
  <c r="AK82" i="2"/>
  <c r="AJ82" i="2"/>
  <c r="AI82" i="2"/>
  <c r="AH82" i="2"/>
  <c r="AG82" i="2"/>
  <c r="AF82" i="2"/>
  <c r="BB81" i="2"/>
  <c r="AY81" i="2"/>
  <c r="AS81" i="2"/>
  <c r="AN81" i="2"/>
  <c r="AM81" i="2"/>
  <c r="AL81" i="2"/>
  <c r="AK81" i="2"/>
  <c r="AJ81" i="2"/>
  <c r="AI81" i="2"/>
  <c r="AH81" i="2"/>
  <c r="AG81" i="2"/>
  <c r="AF81" i="2"/>
  <c r="U81" i="2"/>
  <c r="BB80" i="2"/>
  <c r="AY80" i="2"/>
  <c r="AS80" i="2"/>
  <c r="AN80" i="2"/>
  <c r="AM80" i="2"/>
  <c r="AL80" i="2"/>
  <c r="AK80" i="2"/>
  <c r="AJ80" i="2"/>
  <c r="AI80" i="2"/>
  <c r="AH80" i="2"/>
  <c r="AG80" i="2"/>
  <c r="AF80" i="2"/>
  <c r="U80" i="2"/>
  <c r="BB79" i="2"/>
  <c r="AY79" i="2"/>
  <c r="AS79" i="2"/>
  <c r="AN79" i="2"/>
  <c r="AM79" i="2"/>
  <c r="AL79" i="2"/>
  <c r="AK79" i="2"/>
  <c r="AJ79" i="2"/>
  <c r="AI79" i="2"/>
  <c r="AH79" i="2"/>
  <c r="AG79" i="2"/>
  <c r="AF79" i="2"/>
  <c r="U79" i="2"/>
  <c r="BB78" i="2"/>
  <c r="AY78" i="2"/>
  <c r="AV78" i="2"/>
  <c r="AP78" i="2"/>
  <c r="AN78" i="2"/>
  <c r="AM78" i="2"/>
  <c r="AL78" i="2"/>
  <c r="AK78" i="2"/>
  <c r="AJ78" i="2"/>
  <c r="AI78" i="2"/>
  <c r="AH78" i="2"/>
  <c r="AG78" i="2"/>
  <c r="AF78" i="2"/>
  <c r="U78" i="2"/>
  <c r="BB77" i="2"/>
  <c r="AY77" i="2"/>
  <c r="AV77" i="2"/>
  <c r="AP77" i="2"/>
  <c r="AN77" i="2"/>
  <c r="AM77" i="2"/>
  <c r="AL77" i="2"/>
  <c r="AK77" i="2"/>
  <c r="AJ77" i="2"/>
  <c r="AI77" i="2"/>
  <c r="AH77" i="2"/>
  <c r="AG77" i="2"/>
  <c r="AF77" i="2"/>
  <c r="U77" i="2"/>
  <c r="BB76" i="2"/>
  <c r="AY76" i="2"/>
  <c r="AV76" i="2"/>
  <c r="AP76" i="2"/>
  <c r="AN76" i="2"/>
  <c r="AM76" i="2"/>
  <c r="AL76" i="2"/>
  <c r="AK76" i="2"/>
  <c r="AJ76" i="2"/>
  <c r="AI76" i="2"/>
  <c r="AH76" i="2"/>
  <c r="AG76" i="2"/>
  <c r="AF76" i="2"/>
  <c r="U76" i="2"/>
  <c r="BB75" i="2"/>
  <c r="AY75" i="2"/>
  <c r="AV75" i="2"/>
  <c r="AS75" i="2"/>
  <c r="AN75" i="2"/>
  <c r="AM75" i="2"/>
  <c r="AL75" i="2"/>
  <c r="AK75" i="2"/>
  <c r="AJ75" i="2"/>
  <c r="AI75" i="2"/>
  <c r="AH75" i="2"/>
  <c r="AG75" i="2"/>
  <c r="AF75" i="2"/>
  <c r="U75" i="2"/>
  <c r="BB74" i="2"/>
  <c r="AY74" i="2"/>
  <c r="AV74" i="2"/>
  <c r="AS74" i="2"/>
  <c r="AN74" i="2"/>
  <c r="AM74" i="2"/>
  <c r="AL74" i="2"/>
  <c r="AK74" i="2"/>
  <c r="AJ74" i="2"/>
  <c r="AI74" i="2"/>
  <c r="AH74" i="2"/>
  <c r="AG74" i="2"/>
  <c r="AF74" i="2"/>
  <c r="U74" i="2"/>
  <c r="BB73" i="2"/>
  <c r="AY73" i="2"/>
  <c r="AS73" i="2"/>
  <c r="AN73" i="2"/>
  <c r="AM73" i="2"/>
  <c r="AL73" i="2"/>
  <c r="AK73" i="2"/>
  <c r="AJ73" i="2"/>
  <c r="AI73" i="2"/>
  <c r="AH73" i="2"/>
  <c r="AG73" i="2"/>
  <c r="AF73" i="2"/>
  <c r="BB72" i="2"/>
  <c r="AS72" i="2"/>
  <c r="AY72" i="2" s="1"/>
  <c r="AN72" i="2"/>
  <c r="AL72" i="2"/>
  <c r="AK72" i="2"/>
  <c r="AJ72" i="2"/>
  <c r="AH72" i="2"/>
  <c r="AG72" i="2"/>
  <c r="AF72" i="2"/>
  <c r="Q72" i="2"/>
  <c r="AM72" i="2" s="1"/>
  <c r="BB71" i="2"/>
  <c r="AY71" i="2"/>
  <c r="AV71" i="2"/>
  <c r="AS71" i="2"/>
  <c r="AN71" i="2"/>
  <c r="AM71" i="2"/>
  <c r="AL71" i="2"/>
  <c r="AK71" i="2"/>
  <c r="AJ71" i="2"/>
  <c r="AI71" i="2"/>
  <c r="AH71" i="2"/>
  <c r="AG71" i="2"/>
  <c r="AF71" i="2"/>
  <c r="U71" i="2"/>
  <c r="M71" i="2"/>
  <c r="BB70" i="2"/>
  <c r="AY70" i="2"/>
  <c r="AS70" i="2"/>
  <c r="AN70" i="2"/>
  <c r="AM70" i="2"/>
  <c r="AL70" i="2"/>
  <c r="AK70" i="2"/>
  <c r="AJ70" i="2"/>
  <c r="AI70" i="2"/>
  <c r="AH70" i="2"/>
  <c r="AG70" i="2"/>
  <c r="AF70" i="2"/>
  <c r="U70" i="2"/>
  <c r="BB69" i="2"/>
  <c r="AY69" i="2"/>
  <c r="AV69" i="2"/>
  <c r="AS69" i="2"/>
  <c r="AN69" i="2"/>
  <c r="AM69" i="2"/>
  <c r="AL69" i="2"/>
  <c r="AK69" i="2"/>
  <c r="AJ69" i="2"/>
  <c r="AI69" i="2"/>
  <c r="AH69" i="2"/>
  <c r="AG69" i="2"/>
  <c r="AF69" i="2"/>
  <c r="U69" i="2"/>
  <c r="BB68" i="2"/>
  <c r="AY68" i="2"/>
  <c r="AV68" i="2"/>
  <c r="AN68" i="2"/>
  <c r="AM68" i="2"/>
  <c r="AJ68" i="2"/>
  <c r="AI68" i="2"/>
  <c r="AH68" i="2"/>
  <c r="AG68" i="2"/>
  <c r="AF68" i="2"/>
  <c r="U68" i="2"/>
  <c r="J68" i="2"/>
  <c r="AL68" i="2" s="1"/>
  <c r="BB67" i="2"/>
  <c r="AY67" i="2"/>
  <c r="AV67" i="2"/>
  <c r="AS67" i="2"/>
  <c r="AN67" i="2"/>
  <c r="AM67" i="2"/>
  <c r="AL67" i="2"/>
  <c r="AK67" i="2"/>
  <c r="AJ67" i="2"/>
  <c r="AI67" i="2"/>
  <c r="AH67" i="2"/>
  <c r="AG67" i="2"/>
  <c r="AF67" i="2"/>
  <c r="BB66" i="2"/>
  <c r="AY66" i="2"/>
  <c r="AV66" i="2"/>
  <c r="AS66" i="2"/>
  <c r="AN66" i="2"/>
  <c r="AM66" i="2"/>
  <c r="AL66" i="2"/>
  <c r="AK66" i="2"/>
  <c r="AJ66" i="2"/>
  <c r="AI66" i="2"/>
  <c r="AH66" i="2"/>
  <c r="AG66" i="2"/>
  <c r="U66" i="2"/>
  <c r="AF66" i="2" s="1"/>
  <c r="BB65" i="2"/>
  <c r="AY65" i="2"/>
  <c r="AV65" i="2"/>
  <c r="AS65" i="2"/>
  <c r="AN65" i="2"/>
  <c r="AM65" i="2"/>
  <c r="AL65" i="2"/>
  <c r="AK65" i="2"/>
  <c r="AJ65" i="2"/>
  <c r="AI65" i="2"/>
  <c r="AH65" i="2"/>
  <c r="AG65" i="2"/>
  <c r="U65" i="2"/>
  <c r="AF65" i="2" s="1"/>
  <c r="BB64" i="2"/>
  <c r="AY64" i="2"/>
  <c r="AV64" i="2"/>
  <c r="AS64" i="2"/>
  <c r="AN64" i="2"/>
  <c r="AM64" i="2"/>
  <c r="AK64" i="2"/>
  <c r="AJ64" i="2"/>
  <c r="AI64" i="2"/>
  <c r="AG64" i="2"/>
  <c r="U64" i="2"/>
  <c r="AF64" i="2" s="1"/>
  <c r="J64" i="2"/>
  <c r="AL64" i="2" s="1"/>
  <c r="BB63" i="2"/>
  <c r="AY63" i="2"/>
  <c r="AS63" i="2"/>
  <c r="AN63" i="2"/>
  <c r="AM63" i="2"/>
  <c r="AL63" i="2"/>
  <c r="AK63" i="2"/>
  <c r="AJ63" i="2"/>
  <c r="AI63" i="2"/>
  <c r="AH63" i="2"/>
  <c r="AG63" i="2"/>
  <c r="AF63" i="2"/>
  <c r="U63" i="2"/>
  <c r="BB62" i="2"/>
  <c r="AN62" i="2"/>
  <c r="AM62" i="2"/>
  <c r="AJ62" i="2"/>
  <c r="AI62" i="2"/>
  <c r="AH62" i="2"/>
  <c r="AF62" i="2"/>
  <c r="U62" i="2"/>
  <c r="J62" i="2"/>
  <c r="AG62" i="2" s="1"/>
  <c r="BB61" i="2"/>
  <c r="AY61" i="2"/>
  <c r="AV61" i="2"/>
  <c r="AS61" i="2"/>
  <c r="AN61" i="2"/>
  <c r="AM61" i="2"/>
  <c r="AL61" i="2"/>
  <c r="AK61" i="2"/>
  <c r="AJ61" i="2"/>
  <c r="AI61" i="2"/>
  <c r="AH61" i="2"/>
  <c r="AG61" i="2"/>
  <c r="U61" i="2"/>
  <c r="AF61" i="2" s="1"/>
  <c r="BB60" i="2"/>
  <c r="AY60" i="2"/>
  <c r="AV60" i="2"/>
  <c r="AS60" i="2"/>
  <c r="AN60" i="2"/>
  <c r="AM60" i="2"/>
  <c r="AL60" i="2"/>
  <c r="AK60" i="2"/>
  <c r="AJ60" i="2"/>
  <c r="AI60" i="2"/>
  <c r="AH60" i="2"/>
  <c r="AG60" i="2"/>
  <c r="U60" i="2"/>
  <c r="AF60" i="2" s="1"/>
  <c r="BB59" i="2"/>
  <c r="AY59" i="2"/>
  <c r="AV59" i="2"/>
  <c r="AS59" i="2"/>
  <c r="AN59" i="2"/>
  <c r="AM59" i="2"/>
  <c r="AL59" i="2"/>
  <c r="AK59" i="2"/>
  <c r="AJ59" i="2"/>
  <c r="AI59" i="2"/>
  <c r="AH59" i="2"/>
  <c r="AG59" i="2"/>
  <c r="U59" i="2"/>
  <c r="AF59" i="2" s="1"/>
  <c r="BB58" i="2"/>
  <c r="AY58" i="2"/>
  <c r="AV58" i="2"/>
  <c r="AP58" i="2"/>
  <c r="AN58" i="2"/>
  <c r="AM58" i="2"/>
  <c r="AL58" i="2"/>
  <c r="AK58" i="2"/>
  <c r="AJ58" i="2"/>
  <c r="AI58" i="2"/>
  <c r="AG58" i="2"/>
  <c r="AF58" i="2"/>
  <c r="U58" i="2"/>
  <c r="AH58" i="2" s="1"/>
  <c r="BB57" i="2"/>
  <c r="AY57" i="2"/>
  <c r="AV57" i="2"/>
  <c r="AP57" i="2"/>
  <c r="AN57" i="2"/>
  <c r="AM57" i="2"/>
  <c r="AL57" i="2"/>
  <c r="AK57" i="2"/>
  <c r="AJ57" i="2"/>
  <c r="AI57" i="2"/>
  <c r="AG57" i="2"/>
  <c r="AF57" i="2"/>
  <c r="U57" i="2"/>
  <c r="AH57" i="2" s="1"/>
  <c r="BB56" i="2"/>
  <c r="AY56" i="2"/>
  <c r="AV56" i="2"/>
  <c r="AP56" i="2"/>
  <c r="AN56" i="2"/>
  <c r="AM56" i="2"/>
  <c r="AL56" i="2"/>
  <c r="AK56" i="2"/>
  <c r="AJ56" i="2"/>
  <c r="AI56" i="2"/>
  <c r="AG56" i="2"/>
  <c r="AF56" i="2"/>
  <c r="U56" i="2"/>
  <c r="AH56" i="2" s="1"/>
  <c r="BB55" i="2"/>
  <c r="AY55" i="2"/>
  <c r="AS55" i="2"/>
  <c r="AN55" i="2"/>
  <c r="AM55" i="2"/>
  <c r="AL55" i="2"/>
  <c r="AK55" i="2"/>
  <c r="AJ55" i="2"/>
  <c r="AI55" i="2"/>
  <c r="AG55" i="2"/>
  <c r="AF55" i="2"/>
  <c r="U55" i="2"/>
  <c r="AH55" i="2" s="1"/>
  <c r="BB54" i="2"/>
  <c r="AY54" i="2"/>
  <c r="AV54" i="2"/>
  <c r="AS54" i="2"/>
  <c r="AP54" i="2"/>
  <c r="AN54" i="2"/>
  <c r="AM54" i="2"/>
  <c r="AL54" i="2"/>
  <c r="AK54" i="2"/>
  <c r="AJ54" i="2"/>
  <c r="AI54" i="2"/>
  <c r="AH54" i="2"/>
  <c r="AG54" i="2"/>
  <c r="AF54" i="2"/>
  <c r="BB53" i="2"/>
  <c r="AY53" i="2"/>
  <c r="AV53" i="2"/>
  <c r="AS53" i="2"/>
  <c r="AP53" i="2"/>
  <c r="AN53" i="2"/>
  <c r="AM53" i="2"/>
  <c r="AL53" i="2"/>
  <c r="AK53" i="2"/>
  <c r="AJ53" i="2"/>
  <c r="AI53" i="2"/>
  <c r="AH53" i="2"/>
  <c r="AG53" i="2"/>
  <c r="AF53" i="2"/>
  <c r="BB52" i="2"/>
  <c r="AY52" i="2"/>
  <c r="AS52" i="2"/>
  <c r="AP52" i="2"/>
  <c r="AV52" i="2" s="1"/>
  <c r="AN52" i="2"/>
  <c r="AM52" i="2"/>
  <c r="AL52" i="2"/>
  <c r="AK52" i="2"/>
  <c r="AJ52" i="2"/>
  <c r="AI52" i="2"/>
  <c r="AH52" i="2"/>
  <c r="AG52" i="2"/>
  <c r="AF52" i="2"/>
  <c r="BB51" i="2"/>
  <c r="AY51" i="2"/>
  <c r="AV51" i="2"/>
  <c r="AS51" i="2"/>
  <c r="AP51" i="2"/>
  <c r="AN51" i="2"/>
  <c r="AM51" i="2"/>
  <c r="AL51" i="2"/>
  <c r="AK51" i="2"/>
  <c r="AJ51" i="2"/>
  <c r="AI51" i="2"/>
  <c r="AH51" i="2"/>
  <c r="AG51" i="2"/>
  <c r="AF51" i="2"/>
  <c r="BB50" i="2"/>
  <c r="AY50" i="2"/>
  <c r="AV50" i="2"/>
  <c r="AS50" i="2"/>
  <c r="AP50" i="2"/>
  <c r="AN50" i="2"/>
  <c r="AM50" i="2"/>
  <c r="AL50" i="2"/>
  <c r="AK50" i="2"/>
  <c r="AJ50" i="2"/>
  <c r="AI50" i="2"/>
  <c r="AH50" i="2"/>
  <c r="AG50" i="2"/>
  <c r="AF50" i="2"/>
  <c r="BB49" i="2"/>
  <c r="AY49" i="2"/>
  <c r="AV49" i="2"/>
  <c r="AS49" i="2"/>
  <c r="AP49" i="2"/>
  <c r="AN49" i="2"/>
  <c r="AM49" i="2"/>
  <c r="AL49" i="2"/>
  <c r="AK49" i="2"/>
  <c r="AJ49" i="2"/>
  <c r="AI49" i="2"/>
  <c r="AH49" i="2"/>
  <c r="AG49" i="2"/>
  <c r="AF49" i="2"/>
  <c r="BB48" i="2"/>
  <c r="AY48" i="2"/>
  <c r="AS48" i="2"/>
  <c r="AP48" i="2"/>
  <c r="AV48" i="2" s="1"/>
  <c r="AN48" i="2"/>
  <c r="AM48" i="2"/>
  <c r="AL48" i="2"/>
  <c r="AK48" i="2"/>
  <c r="AJ48" i="2"/>
  <c r="AI48" i="2"/>
  <c r="AH48" i="2"/>
  <c r="AG48" i="2"/>
  <c r="AF48" i="2"/>
  <c r="BB47" i="2"/>
  <c r="AS47" i="2"/>
  <c r="AY47" i="2" s="1"/>
  <c r="AP47" i="2"/>
  <c r="AV47" i="2" s="1"/>
  <c r="AN47" i="2"/>
  <c r="AM47" i="2"/>
  <c r="AL47" i="2"/>
  <c r="AK47" i="2"/>
  <c r="AJ47" i="2"/>
  <c r="AI47" i="2"/>
  <c r="AH47" i="2"/>
  <c r="AG47" i="2"/>
  <c r="AF47" i="2"/>
  <c r="BB46" i="2"/>
  <c r="AY46" i="2"/>
  <c r="AV46" i="2"/>
  <c r="AS46" i="2"/>
  <c r="AP46" i="2"/>
  <c r="AN46" i="2"/>
  <c r="AM46" i="2"/>
  <c r="AL46" i="2"/>
  <c r="AK46" i="2"/>
  <c r="AJ46" i="2"/>
  <c r="AI46" i="2"/>
  <c r="AH46" i="2"/>
  <c r="AG46" i="2"/>
  <c r="AF46" i="2"/>
  <c r="BB45" i="2"/>
  <c r="AY45" i="2"/>
  <c r="AV45" i="2"/>
  <c r="AS45" i="2"/>
  <c r="AP45" i="2"/>
  <c r="AN45" i="2"/>
  <c r="AM45" i="2"/>
  <c r="AL45" i="2"/>
  <c r="AK45" i="2"/>
  <c r="AJ45" i="2"/>
  <c r="AI45" i="2"/>
  <c r="AH45" i="2"/>
  <c r="AG45" i="2"/>
  <c r="AF45" i="2"/>
  <c r="BB44" i="2"/>
  <c r="AY44" i="2"/>
  <c r="AS44" i="2"/>
  <c r="AP44" i="2"/>
  <c r="AV44" i="2" s="1"/>
  <c r="AN44" i="2"/>
  <c r="AM44" i="2"/>
  <c r="AL44" i="2"/>
  <c r="AK44" i="2"/>
  <c r="AJ44" i="2"/>
  <c r="AI44" i="2"/>
  <c r="AH44" i="2"/>
  <c r="AG44" i="2"/>
  <c r="AF44" i="2"/>
  <c r="BB43" i="2"/>
  <c r="AY43" i="2"/>
  <c r="AV43" i="2"/>
  <c r="AS43" i="2"/>
  <c r="AP43" i="2"/>
  <c r="AN43" i="2"/>
  <c r="AM43" i="2"/>
  <c r="AL43" i="2"/>
  <c r="AK43" i="2"/>
  <c r="AJ43" i="2"/>
  <c r="AI43" i="2"/>
  <c r="AH43" i="2"/>
  <c r="AG43" i="2"/>
  <c r="AF43" i="2"/>
  <c r="BB42" i="2"/>
  <c r="AY42" i="2"/>
  <c r="AV42" i="2"/>
  <c r="AS42" i="2"/>
  <c r="AP42" i="2"/>
  <c r="AN42" i="2"/>
  <c r="AM42" i="2"/>
  <c r="AL42" i="2"/>
  <c r="AK42" i="2"/>
  <c r="AJ42" i="2"/>
  <c r="AI42" i="2"/>
  <c r="AH42" i="2"/>
  <c r="AG42" i="2"/>
  <c r="AF42" i="2"/>
  <c r="BB41" i="2"/>
  <c r="AY41" i="2"/>
  <c r="AV41" i="2"/>
  <c r="AS41" i="2"/>
  <c r="AP41" i="2"/>
  <c r="AN41" i="2"/>
  <c r="AM41" i="2"/>
  <c r="AL41" i="2"/>
  <c r="AK41" i="2"/>
  <c r="AJ41" i="2"/>
  <c r="AI41" i="2"/>
  <c r="AH41" i="2"/>
  <c r="AG41" i="2"/>
  <c r="AF41" i="2"/>
  <c r="BB40" i="2"/>
  <c r="AY40" i="2"/>
  <c r="AV40" i="2"/>
  <c r="AS40" i="2"/>
  <c r="AP40" i="2"/>
  <c r="AN40" i="2"/>
  <c r="AM40" i="2"/>
  <c r="AL40" i="2"/>
  <c r="AK40" i="2"/>
  <c r="AJ40" i="2"/>
  <c r="AI40" i="2"/>
  <c r="AH40" i="2"/>
  <c r="AG40" i="2"/>
  <c r="AF40" i="2"/>
  <c r="BB39" i="2"/>
  <c r="AY39" i="2"/>
  <c r="AV39" i="2"/>
  <c r="AS39" i="2"/>
  <c r="AP39" i="2"/>
  <c r="AN39" i="2"/>
  <c r="AM39" i="2"/>
  <c r="AL39" i="2"/>
  <c r="AK39" i="2"/>
  <c r="AJ39" i="2"/>
  <c r="AI39" i="2"/>
  <c r="AH39" i="2"/>
  <c r="AG39" i="2"/>
  <c r="AF39" i="2"/>
  <c r="BB38" i="2"/>
  <c r="AY38" i="2"/>
  <c r="AV38" i="2"/>
  <c r="AS38" i="2"/>
  <c r="AP38" i="2"/>
  <c r="AN38" i="2"/>
  <c r="AM38" i="2"/>
  <c r="AL38" i="2"/>
  <c r="AK38" i="2"/>
  <c r="AJ38" i="2"/>
  <c r="AI38" i="2"/>
  <c r="AH38" i="2"/>
  <c r="AG38" i="2"/>
  <c r="AF38" i="2"/>
  <c r="BB37" i="2"/>
  <c r="AY37" i="2"/>
  <c r="AV37" i="2"/>
  <c r="AS37" i="2"/>
  <c r="AP37" i="2"/>
  <c r="AN37" i="2"/>
  <c r="AM37" i="2"/>
  <c r="AL37" i="2"/>
  <c r="AK37" i="2"/>
  <c r="AJ37" i="2"/>
  <c r="AI37" i="2"/>
  <c r="AH37" i="2"/>
  <c r="AG37" i="2"/>
  <c r="AF37" i="2"/>
  <c r="BB36" i="2"/>
  <c r="AY36" i="2"/>
  <c r="AS36" i="2"/>
  <c r="AP36" i="2"/>
  <c r="AV36" i="2" s="1"/>
  <c r="AN36" i="2"/>
  <c r="AM36" i="2"/>
  <c r="AL36" i="2"/>
  <c r="AK36" i="2"/>
  <c r="AJ36" i="2"/>
  <c r="AI36" i="2"/>
  <c r="AH36" i="2"/>
  <c r="AG36" i="2"/>
  <c r="AF36" i="2"/>
  <c r="BB35" i="2"/>
  <c r="AS35" i="2"/>
  <c r="AY35" i="2" s="1"/>
  <c r="AP35" i="2"/>
  <c r="AV35" i="2" s="1"/>
  <c r="AN35" i="2"/>
  <c r="AM35" i="2"/>
  <c r="AL35" i="2"/>
  <c r="AK35" i="2"/>
  <c r="AJ35" i="2"/>
  <c r="AI35" i="2"/>
  <c r="AH35" i="2"/>
  <c r="AG35" i="2"/>
  <c r="AF35" i="2"/>
  <c r="BB34" i="2"/>
  <c r="AY34" i="2"/>
  <c r="AV34" i="2"/>
  <c r="AS34" i="2"/>
  <c r="AP34" i="2"/>
  <c r="AN34" i="2"/>
  <c r="AM34" i="2"/>
  <c r="AL34" i="2"/>
  <c r="AK34" i="2"/>
  <c r="AJ34" i="2"/>
  <c r="AI34" i="2"/>
  <c r="AH34" i="2"/>
  <c r="AG34" i="2"/>
  <c r="AF34" i="2"/>
  <c r="BB33" i="2"/>
  <c r="AY33" i="2"/>
  <c r="AV33" i="2"/>
  <c r="AS33" i="2"/>
  <c r="AP33" i="2"/>
  <c r="AN33" i="2"/>
  <c r="AM33" i="2"/>
  <c r="AL33" i="2"/>
  <c r="AK33" i="2"/>
  <c r="AJ33" i="2"/>
  <c r="AI33" i="2"/>
  <c r="AH33" i="2"/>
  <c r="AG33" i="2"/>
  <c r="AF33" i="2"/>
  <c r="BB32" i="2"/>
  <c r="AY32" i="2"/>
  <c r="AV32" i="2"/>
  <c r="AS32" i="2"/>
  <c r="AP32" i="2"/>
  <c r="AN32" i="2"/>
  <c r="AM32" i="2"/>
  <c r="AL32" i="2"/>
  <c r="AK32" i="2"/>
  <c r="AJ32" i="2"/>
  <c r="AI32" i="2"/>
  <c r="AH32" i="2"/>
  <c r="AG32" i="2"/>
  <c r="AF32" i="2"/>
  <c r="BB31" i="2"/>
  <c r="AY31" i="2"/>
  <c r="AV31" i="2"/>
  <c r="AS31" i="2"/>
  <c r="AP31" i="2"/>
  <c r="AN31" i="2"/>
  <c r="AM31" i="2"/>
  <c r="AL31" i="2"/>
  <c r="AK31" i="2"/>
  <c r="AJ31" i="2"/>
  <c r="AI31" i="2"/>
  <c r="AH31" i="2"/>
  <c r="AG31" i="2"/>
  <c r="AF31" i="2"/>
  <c r="BB30" i="2"/>
  <c r="AY30" i="2"/>
  <c r="AV30" i="2"/>
  <c r="AS30" i="2"/>
  <c r="AP30" i="2"/>
  <c r="AN30" i="2"/>
  <c r="AM30" i="2"/>
  <c r="AL30" i="2"/>
  <c r="AK30" i="2"/>
  <c r="AJ30" i="2"/>
  <c r="AI30" i="2"/>
  <c r="AH30" i="2"/>
  <c r="AG30" i="2"/>
  <c r="AF30" i="2"/>
  <c r="BB29" i="2"/>
  <c r="AY29" i="2"/>
  <c r="AV29" i="2"/>
  <c r="AS29" i="2"/>
  <c r="AP29" i="2"/>
  <c r="AN29" i="2"/>
  <c r="AM29" i="2"/>
  <c r="AL29" i="2"/>
  <c r="AK29" i="2"/>
  <c r="AJ29" i="2"/>
  <c r="AI29" i="2"/>
  <c r="AH29" i="2"/>
  <c r="AG29" i="2"/>
  <c r="AF29" i="2"/>
  <c r="BB28" i="2"/>
  <c r="AY28" i="2"/>
  <c r="AV28" i="2"/>
  <c r="AS28" i="2"/>
  <c r="AP28" i="2"/>
  <c r="AN28" i="2"/>
  <c r="AM28" i="2"/>
  <c r="AL28" i="2"/>
  <c r="AK28" i="2"/>
  <c r="AJ28" i="2"/>
  <c r="AI28" i="2"/>
  <c r="AH28" i="2"/>
  <c r="AG28" i="2"/>
  <c r="AF28" i="2"/>
  <c r="BB27" i="2"/>
  <c r="AY27" i="2"/>
  <c r="AV27" i="2"/>
  <c r="AS27" i="2"/>
  <c r="AP27" i="2"/>
  <c r="AN27" i="2"/>
  <c r="AM27" i="2"/>
  <c r="AL27" i="2"/>
  <c r="AK27" i="2"/>
  <c r="AJ27" i="2"/>
  <c r="AI27" i="2"/>
  <c r="AH27" i="2"/>
  <c r="AG27" i="2"/>
  <c r="AF27" i="2"/>
  <c r="BB26" i="2"/>
  <c r="AV26" i="2"/>
  <c r="AS26" i="2"/>
  <c r="AY26" i="2" s="1"/>
  <c r="AP26" i="2"/>
  <c r="AN26" i="2"/>
  <c r="AM26" i="2"/>
  <c r="AL26" i="2"/>
  <c r="AK26" i="2"/>
  <c r="AJ26" i="2"/>
  <c r="AI26" i="2"/>
  <c r="AH26" i="2"/>
  <c r="AG26" i="2"/>
  <c r="AF26" i="2"/>
  <c r="BB25" i="2"/>
  <c r="AY25" i="2"/>
  <c r="AV25" i="2"/>
  <c r="AS25" i="2"/>
  <c r="AP25" i="2"/>
  <c r="AN25" i="2"/>
  <c r="AM25" i="2"/>
  <c r="AL25" i="2"/>
  <c r="AK25" i="2"/>
  <c r="AJ25" i="2"/>
  <c r="AI25" i="2"/>
  <c r="AH25" i="2"/>
  <c r="AG25" i="2"/>
  <c r="AF25" i="2"/>
  <c r="BB24" i="2"/>
  <c r="AY24" i="2"/>
  <c r="AV24" i="2"/>
  <c r="AS24" i="2"/>
  <c r="AP24" i="2"/>
  <c r="AN24" i="2"/>
  <c r="AM24" i="2"/>
  <c r="AL24" i="2"/>
  <c r="AK24" i="2"/>
  <c r="AJ24" i="2"/>
  <c r="AI24" i="2"/>
  <c r="AH24" i="2"/>
  <c r="AG24" i="2"/>
  <c r="AF24" i="2"/>
  <c r="BB23" i="2"/>
  <c r="AY23" i="2"/>
  <c r="AV23" i="2"/>
  <c r="AS23" i="2"/>
  <c r="AP23" i="2"/>
  <c r="AN23" i="2"/>
  <c r="AM23" i="2"/>
  <c r="AL23" i="2"/>
  <c r="AK23" i="2"/>
  <c r="AJ23" i="2"/>
  <c r="AI23" i="2"/>
  <c r="AH23" i="2"/>
  <c r="AG23" i="2"/>
  <c r="AF23" i="2"/>
  <c r="BB22" i="2"/>
  <c r="AY22" i="2"/>
  <c r="AV22" i="2"/>
  <c r="AS22" i="2"/>
  <c r="AP22" i="2"/>
  <c r="AN22" i="2"/>
  <c r="AM22" i="2"/>
  <c r="AL22" i="2"/>
  <c r="AK22" i="2"/>
  <c r="AJ22" i="2"/>
  <c r="AI22" i="2"/>
  <c r="AH22" i="2"/>
  <c r="AG22" i="2"/>
  <c r="AF22" i="2"/>
  <c r="BB21" i="2"/>
  <c r="AV21" i="2"/>
  <c r="AS21" i="2"/>
  <c r="AY21" i="2" s="1"/>
  <c r="AP21" i="2"/>
  <c r="AN21" i="2"/>
  <c r="AM21" i="2"/>
  <c r="AL21" i="2"/>
  <c r="AK21" i="2"/>
  <c r="AJ21" i="2"/>
  <c r="AI21" i="2"/>
  <c r="AH21" i="2"/>
  <c r="AG21" i="2"/>
  <c r="AF21" i="2"/>
  <c r="BB20" i="2"/>
  <c r="AY20" i="2"/>
  <c r="AV20" i="2"/>
  <c r="AS20" i="2"/>
  <c r="AP20" i="2"/>
  <c r="AN20" i="2"/>
  <c r="AM20" i="2"/>
  <c r="AL20" i="2"/>
  <c r="AK20" i="2"/>
  <c r="AJ20" i="2"/>
  <c r="AI20" i="2"/>
  <c r="AH20" i="2"/>
  <c r="AG20" i="2"/>
  <c r="AF20" i="2"/>
  <c r="BB19" i="2"/>
  <c r="AY19" i="2"/>
  <c r="AV19" i="2"/>
  <c r="AS19" i="2"/>
  <c r="AP19" i="2"/>
  <c r="AN19" i="2"/>
  <c r="AM19" i="2"/>
  <c r="AL19" i="2"/>
  <c r="AK19" i="2"/>
  <c r="AJ19" i="2"/>
  <c r="AI19" i="2"/>
  <c r="AH19" i="2"/>
  <c r="AG19" i="2"/>
  <c r="AF19" i="2"/>
  <c r="BB18" i="2"/>
  <c r="AY18" i="2"/>
  <c r="AV18" i="2"/>
  <c r="AS18" i="2"/>
  <c r="AP18" i="2"/>
  <c r="AN18" i="2"/>
  <c r="AM18" i="2"/>
  <c r="AL18" i="2"/>
  <c r="AK18" i="2"/>
  <c r="AJ18" i="2"/>
  <c r="AI18" i="2"/>
  <c r="AH18" i="2"/>
  <c r="AG18" i="2"/>
  <c r="AF18" i="2"/>
  <c r="BB17" i="2"/>
  <c r="AY17" i="2"/>
  <c r="AV17" i="2"/>
  <c r="AS17" i="2"/>
  <c r="AP17" i="2"/>
  <c r="AN17" i="2"/>
  <c r="AM17" i="2"/>
  <c r="AL17" i="2"/>
  <c r="AK17" i="2"/>
  <c r="AJ17" i="2"/>
  <c r="AI17" i="2"/>
  <c r="AH17" i="2"/>
  <c r="AG17" i="2"/>
  <c r="AF17" i="2"/>
  <c r="BB16" i="2"/>
  <c r="AS16" i="2"/>
  <c r="AY16" i="2" s="1"/>
  <c r="AP16" i="2"/>
  <c r="AV16" i="2" s="1"/>
  <c r="AN16" i="2"/>
  <c r="AM16" i="2"/>
  <c r="AL16" i="2"/>
  <c r="AK16" i="2"/>
  <c r="AJ16" i="2"/>
  <c r="AI16" i="2"/>
  <c r="AH16" i="2"/>
  <c r="AG16" i="2"/>
  <c r="AF16" i="2"/>
  <c r="BB15" i="2"/>
  <c r="AY15" i="2"/>
  <c r="AV15" i="2"/>
  <c r="AS15" i="2"/>
  <c r="AP15" i="2"/>
  <c r="AN15" i="2"/>
  <c r="AM15" i="2"/>
  <c r="AL15" i="2"/>
  <c r="AK15" i="2"/>
  <c r="AJ15" i="2"/>
  <c r="AI15" i="2"/>
  <c r="AH15" i="2"/>
  <c r="AG15" i="2"/>
  <c r="AF15" i="2"/>
  <c r="BB14" i="2"/>
  <c r="AY14" i="2"/>
  <c r="AV14" i="2"/>
  <c r="AS14" i="2"/>
  <c r="AP14" i="2"/>
  <c r="AN14" i="2"/>
  <c r="AM14" i="2"/>
  <c r="AL14" i="2"/>
  <c r="AK14" i="2"/>
  <c r="AJ14" i="2"/>
  <c r="AI14" i="2"/>
  <c r="AH14" i="2"/>
  <c r="AG14" i="2"/>
  <c r="AF14" i="2"/>
  <c r="BB13" i="2"/>
  <c r="AY13" i="2"/>
  <c r="AV13" i="2"/>
  <c r="AS13" i="2"/>
  <c r="AP13" i="2"/>
  <c r="AN13" i="2"/>
  <c r="AM13" i="2"/>
  <c r="AL13" i="2"/>
  <c r="AK13" i="2"/>
  <c r="AJ13" i="2"/>
  <c r="AI13" i="2"/>
  <c r="AH13" i="2"/>
  <c r="AG13" i="2"/>
  <c r="AF13" i="2"/>
  <c r="BB12" i="2"/>
  <c r="AV12" i="2"/>
  <c r="AS12" i="2"/>
  <c r="AY12" i="2" s="1"/>
  <c r="AP12" i="2"/>
  <c r="AN12" i="2"/>
  <c r="AM12" i="2"/>
  <c r="AL12" i="2"/>
  <c r="AK12" i="2"/>
  <c r="AJ12" i="2"/>
  <c r="AI12" i="2"/>
  <c r="AH12" i="2"/>
  <c r="AG12" i="2"/>
  <c r="AF12" i="2"/>
  <c r="BB11" i="2"/>
  <c r="AY11" i="2"/>
  <c r="AS11" i="2"/>
  <c r="AP11" i="2"/>
  <c r="AV11" i="2" s="1"/>
  <c r="AN11" i="2"/>
  <c r="AM11" i="2"/>
  <c r="AL11" i="2"/>
  <c r="AK11" i="2"/>
  <c r="AJ11" i="2"/>
  <c r="AI11" i="2"/>
  <c r="AH11" i="2"/>
  <c r="AG11" i="2"/>
  <c r="AF11" i="2"/>
  <c r="BB10" i="2"/>
  <c r="AY10" i="2"/>
  <c r="AV10" i="2"/>
  <c r="AS10" i="2"/>
  <c r="AP10" i="2"/>
  <c r="AN10" i="2"/>
  <c r="AM10" i="2"/>
  <c r="AL10" i="2"/>
  <c r="AK10" i="2"/>
  <c r="AJ10" i="2"/>
  <c r="AI10" i="2"/>
  <c r="AH10" i="2"/>
  <c r="AG10" i="2"/>
  <c r="AF10" i="2"/>
  <c r="BB9" i="2"/>
  <c r="AY9" i="2"/>
  <c r="AV9" i="2"/>
  <c r="AS9" i="2"/>
  <c r="AP9" i="2"/>
  <c r="AO9" i="2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N9" i="2"/>
  <c r="AM9" i="2"/>
  <c r="AL9" i="2"/>
  <c r="AK9" i="2"/>
  <c r="AJ9" i="2"/>
  <c r="AI9" i="2"/>
  <c r="AH9" i="2"/>
  <c r="AG9" i="2"/>
  <c r="AF9" i="2"/>
  <c r="BB8" i="2"/>
  <c r="AY8" i="2"/>
  <c r="AV8" i="2"/>
  <c r="AS8" i="2"/>
  <c r="AP8" i="2"/>
  <c r="AO8" i="2"/>
  <c r="AN8" i="2"/>
  <c r="AM8" i="2"/>
  <c r="AL8" i="2"/>
  <c r="AK8" i="2"/>
  <c r="AJ8" i="2"/>
  <c r="AI8" i="2"/>
  <c r="AH8" i="2"/>
  <c r="AG8" i="2"/>
  <c r="AF8" i="2"/>
  <c r="BB7" i="2"/>
  <c r="AY7" i="2"/>
  <c r="AV7" i="2"/>
  <c r="AS7" i="2"/>
  <c r="AP7" i="2"/>
  <c r="AN7" i="2"/>
  <c r="AM7" i="2"/>
  <c r="AL7" i="2"/>
  <c r="AK7" i="2"/>
  <c r="AJ7" i="2"/>
  <c r="AI7" i="2"/>
  <c r="AH7" i="2"/>
  <c r="AG7" i="2"/>
  <c r="AF7" i="2"/>
  <c r="S1" i="2" a="1"/>
  <c r="S1" i="2" s="1"/>
  <c r="O1" i="2"/>
  <c r="O1" i="2" a="1"/>
  <c r="K1" i="2"/>
  <c r="Z92" i="1"/>
  <c r="X92" i="1"/>
  <c r="V92" i="1"/>
  <c r="W92" i="1" s="1"/>
  <c r="Z91" i="1"/>
  <c r="X91" i="1"/>
  <c r="V91" i="1"/>
  <c r="W91" i="1" s="1"/>
  <c r="Z90" i="1"/>
  <c r="X90" i="1"/>
  <c r="V90" i="1"/>
  <c r="W90" i="1" s="1"/>
  <c r="U90" i="1"/>
  <c r="T90" i="1"/>
  <c r="Z89" i="1"/>
  <c r="X89" i="1"/>
  <c r="V89" i="1"/>
  <c r="W89" i="1" s="1"/>
  <c r="T89" i="1"/>
  <c r="Z88" i="1"/>
  <c r="X88" i="1"/>
  <c r="V88" i="1"/>
  <c r="W88" i="1" s="1"/>
  <c r="T88" i="1"/>
  <c r="Z87" i="1"/>
  <c r="X87" i="1"/>
  <c r="V87" i="1"/>
  <c r="W87" i="1" s="1"/>
  <c r="Z86" i="1"/>
  <c r="X86" i="1"/>
  <c r="V86" i="1"/>
  <c r="W86" i="1" s="1"/>
  <c r="Z85" i="1"/>
  <c r="X85" i="1"/>
  <c r="V85" i="1"/>
  <c r="W85" i="1" s="1"/>
  <c r="Z84" i="1"/>
  <c r="X84" i="1"/>
  <c r="V84" i="1"/>
  <c r="W84" i="1" s="1"/>
  <c r="Z83" i="1"/>
  <c r="X83" i="1"/>
  <c r="V83" i="1"/>
  <c r="W83" i="1" s="1"/>
  <c r="T83" i="1"/>
  <c r="Z82" i="1"/>
  <c r="X82" i="1"/>
  <c r="W82" i="1"/>
  <c r="V82" i="1"/>
  <c r="T82" i="1"/>
  <c r="Z81" i="1"/>
  <c r="Y81" i="1"/>
  <c r="X81" i="1"/>
  <c r="V81" i="1"/>
  <c r="W81" i="1" s="1"/>
  <c r="T81" i="1"/>
  <c r="Z80" i="1"/>
  <c r="Y80" i="1"/>
  <c r="X80" i="1"/>
  <c r="V80" i="1"/>
  <c r="W80" i="1" s="1"/>
  <c r="Z79" i="1"/>
  <c r="Y79" i="1"/>
  <c r="X79" i="1"/>
  <c r="V79" i="1"/>
  <c r="W79" i="1" s="1"/>
  <c r="U79" i="1"/>
  <c r="Z78" i="1"/>
  <c r="Y78" i="1"/>
  <c r="V78" i="1"/>
  <c r="W78" i="1" s="1"/>
  <c r="U78" i="1"/>
  <c r="X78" i="1" s="1"/>
  <c r="Z77" i="1"/>
  <c r="Y77" i="1"/>
  <c r="X77" i="1"/>
  <c r="W77" i="1"/>
  <c r="V77" i="1"/>
  <c r="Z76" i="1"/>
  <c r="Y76" i="1"/>
  <c r="X76" i="1"/>
  <c r="W76" i="1"/>
  <c r="V76" i="1"/>
  <c r="Z75" i="1"/>
  <c r="Y75" i="1"/>
  <c r="X75" i="1"/>
  <c r="V75" i="1"/>
  <c r="W75" i="1" s="1"/>
  <c r="Z74" i="1"/>
  <c r="Y74" i="1"/>
  <c r="X74" i="1"/>
  <c r="V74" i="1"/>
  <c r="W74" i="1" s="1"/>
  <c r="Z73" i="1"/>
  <c r="Y73" i="1"/>
  <c r="X73" i="1"/>
  <c r="V73" i="1"/>
  <c r="W73" i="1" s="1"/>
  <c r="Z72" i="1"/>
  <c r="Y72" i="1"/>
  <c r="X72" i="1"/>
  <c r="V72" i="1"/>
  <c r="W72" i="1" s="1"/>
  <c r="T72" i="1"/>
  <c r="Z71" i="1"/>
  <c r="Y71" i="1"/>
  <c r="X71" i="1"/>
  <c r="V71" i="1"/>
  <c r="W71" i="1" s="1"/>
  <c r="Z70" i="1"/>
  <c r="Y70" i="1"/>
  <c r="X70" i="1"/>
  <c r="V70" i="1"/>
  <c r="W70" i="1" s="1"/>
  <c r="Z69" i="1"/>
  <c r="Y69" i="1"/>
  <c r="X69" i="1"/>
  <c r="V69" i="1"/>
  <c r="W69" i="1" s="1"/>
  <c r="Z68" i="1"/>
  <c r="Y68" i="1"/>
  <c r="X68" i="1"/>
  <c r="V68" i="1"/>
  <c r="W68" i="1" s="1"/>
  <c r="Z67" i="1"/>
  <c r="Y67" i="1"/>
  <c r="X67" i="1"/>
  <c r="W67" i="1"/>
  <c r="V67" i="1"/>
  <c r="Z66" i="1"/>
  <c r="Y66" i="1"/>
  <c r="X66" i="1"/>
  <c r="W66" i="1"/>
  <c r="V66" i="1"/>
  <c r="Z65" i="1"/>
  <c r="Y65" i="1"/>
  <c r="X65" i="1"/>
  <c r="W65" i="1"/>
  <c r="V65" i="1"/>
  <c r="Z64" i="1"/>
  <c r="Y64" i="1"/>
  <c r="X64" i="1"/>
  <c r="V64" i="1"/>
  <c r="W64" i="1" s="1"/>
  <c r="Z63" i="1"/>
  <c r="Y63" i="1"/>
  <c r="X63" i="1"/>
  <c r="V63" i="1"/>
  <c r="W63" i="1" s="1"/>
  <c r="Z62" i="1"/>
  <c r="Y62" i="1"/>
  <c r="X62" i="1"/>
  <c r="V62" i="1"/>
  <c r="W62" i="1" s="1"/>
  <c r="Z61" i="1"/>
  <c r="Y61" i="1"/>
  <c r="X61" i="1"/>
  <c r="V61" i="1"/>
  <c r="W61" i="1" s="1"/>
  <c r="Z60" i="1"/>
  <c r="Y60" i="1"/>
  <c r="X60" i="1"/>
  <c r="V60" i="1"/>
  <c r="W60" i="1" s="1"/>
  <c r="Z59" i="1"/>
  <c r="Y59" i="1"/>
  <c r="X59" i="1"/>
  <c r="W59" i="1"/>
  <c r="V59" i="1"/>
  <c r="Z58" i="1"/>
  <c r="Y58" i="1"/>
  <c r="X58" i="1"/>
  <c r="W58" i="1"/>
  <c r="V58" i="1"/>
  <c r="Z57" i="1"/>
  <c r="Y57" i="1"/>
  <c r="X57" i="1"/>
  <c r="W57" i="1"/>
  <c r="V57" i="1"/>
  <c r="Z56" i="1"/>
  <c r="Y56" i="1"/>
  <c r="X56" i="1"/>
  <c r="V56" i="1"/>
  <c r="W56" i="1" s="1"/>
  <c r="Z55" i="1"/>
  <c r="Y55" i="1"/>
  <c r="X55" i="1"/>
  <c r="V55" i="1"/>
  <c r="W55" i="1" s="1"/>
  <c r="Z54" i="1"/>
  <c r="Y54" i="1"/>
  <c r="X54" i="1"/>
  <c r="V54" i="1"/>
  <c r="W54" i="1" s="1"/>
  <c r="Z53" i="1"/>
  <c r="Y53" i="1"/>
  <c r="X53" i="1"/>
  <c r="V53" i="1"/>
  <c r="W53" i="1" s="1"/>
  <c r="Z52" i="1"/>
  <c r="Y52" i="1"/>
  <c r="X52" i="1"/>
  <c r="V52" i="1"/>
  <c r="W52" i="1" s="1"/>
  <c r="Z51" i="1"/>
  <c r="Y51" i="1"/>
  <c r="X51" i="1"/>
  <c r="W51" i="1"/>
  <c r="V51" i="1"/>
  <c r="Z50" i="1"/>
  <c r="Y50" i="1"/>
  <c r="X50" i="1"/>
  <c r="W50" i="1"/>
  <c r="V50" i="1"/>
  <c r="Z49" i="1"/>
  <c r="Y49" i="1"/>
  <c r="X49" i="1"/>
  <c r="W49" i="1"/>
  <c r="V49" i="1"/>
  <c r="Z48" i="1"/>
  <c r="Y48" i="1"/>
  <c r="X48" i="1"/>
  <c r="V48" i="1"/>
  <c r="W48" i="1" s="1"/>
  <c r="Z47" i="1"/>
  <c r="Y47" i="1"/>
  <c r="X47" i="1"/>
  <c r="V47" i="1"/>
  <c r="W47" i="1" s="1"/>
  <c r="Z46" i="1"/>
  <c r="Y46" i="1"/>
  <c r="X46" i="1"/>
  <c r="V46" i="1"/>
  <c r="W46" i="1" s="1"/>
  <c r="Z45" i="1"/>
  <c r="Y45" i="1"/>
  <c r="V45" i="1"/>
  <c r="W45" i="1" s="1"/>
  <c r="U45" i="1"/>
  <c r="X45" i="1" s="1"/>
  <c r="Z44" i="1"/>
  <c r="Y44" i="1"/>
  <c r="V44" i="1"/>
  <c r="W44" i="1" s="1"/>
  <c r="U44" i="1"/>
  <c r="X44" i="1" s="1"/>
  <c r="Z43" i="1"/>
  <c r="Y43" i="1"/>
  <c r="W43" i="1"/>
  <c r="V43" i="1"/>
  <c r="U43" i="1"/>
  <c r="X43" i="1" s="1"/>
  <c r="Z42" i="1"/>
  <c r="Y42" i="1"/>
  <c r="X42" i="1"/>
  <c r="W42" i="1"/>
  <c r="V42" i="1"/>
  <c r="U42" i="1"/>
  <c r="Z41" i="1"/>
  <c r="Y41" i="1"/>
  <c r="V41" i="1"/>
  <c r="W41" i="1" s="1"/>
  <c r="U41" i="1"/>
  <c r="X41" i="1" s="1"/>
  <c r="Z40" i="1"/>
  <c r="Y40" i="1"/>
  <c r="X40" i="1"/>
  <c r="V40" i="1"/>
  <c r="W40" i="1" s="1"/>
  <c r="Z39" i="1"/>
  <c r="Y39" i="1"/>
  <c r="X39" i="1"/>
  <c r="V39" i="1"/>
  <c r="W39" i="1" s="1"/>
  <c r="U39" i="1"/>
  <c r="Z38" i="1"/>
  <c r="Y38" i="1"/>
  <c r="X38" i="1"/>
  <c r="V38" i="1"/>
  <c r="W38" i="1" s="1"/>
  <c r="U38" i="1"/>
  <c r="Z37" i="1"/>
  <c r="Y37" i="1"/>
  <c r="W37" i="1"/>
  <c r="V37" i="1"/>
  <c r="U37" i="1"/>
  <c r="X37" i="1" s="1"/>
  <c r="Z36" i="1"/>
  <c r="Y36" i="1"/>
  <c r="X36" i="1"/>
  <c r="V36" i="1"/>
  <c r="W36" i="1" s="1"/>
  <c r="U36" i="1"/>
  <c r="Z35" i="1"/>
  <c r="Y35" i="1"/>
  <c r="X35" i="1"/>
  <c r="V35" i="1"/>
  <c r="W35" i="1" s="1"/>
  <c r="U35" i="1"/>
  <c r="Z34" i="1"/>
  <c r="Y34" i="1"/>
  <c r="X34" i="1"/>
  <c r="V34" i="1"/>
  <c r="W34" i="1" s="1"/>
  <c r="Z33" i="1"/>
  <c r="Y33" i="1"/>
  <c r="X33" i="1"/>
  <c r="V33" i="1"/>
  <c r="W33" i="1" s="1"/>
  <c r="Z32" i="1"/>
  <c r="Y32" i="1"/>
  <c r="X32" i="1"/>
  <c r="V32" i="1"/>
  <c r="W32" i="1" s="1"/>
  <c r="Z31" i="1"/>
  <c r="Y31" i="1"/>
  <c r="X31" i="1"/>
  <c r="V31" i="1"/>
  <c r="W31" i="1" s="1"/>
  <c r="Z30" i="1"/>
  <c r="Y30" i="1"/>
  <c r="X30" i="1"/>
  <c r="V30" i="1"/>
  <c r="W30" i="1" s="1"/>
  <c r="Z29" i="1"/>
  <c r="Y29" i="1"/>
  <c r="X29" i="1"/>
  <c r="W29" i="1"/>
  <c r="V29" i="1"/>
  <c r="Z28" i="1"/>
  <c r="Y28" i="1"/>
  <c r="X28" i="1"/>
  <c r="W28" i="1"/>
  <c r="V28" i="1"/>
  <c r="Z27" i="1"/>
  <c r="Y27" i="1"/>
  <c r="X27" i="1"/>
  <c r="W27" i="1"/>
  <c r="V27" i="1"/>
  <c r="Z26" i="1"/>
  <c r="Y26" i="1"/>
  <c r="X26" i="1"/>
  <c r="V26" i="1"/>
  <c r="W26" i="1" s="1"/>
  <c r="Z25" i="1"/>
  <c r="Y25" i="1"/>
  <c r="X25" i="1"/>
  <c r="V25" i="1"/>
  <c r="W25" i="1" s="1"/>
  <c r="Z24" i="1"/>
  <c r="Y24" i="1"/>
  <c r="X24" i="1"/>
  <c r="V24" i="1"/>
  <c r="W24" i="1" s="1"/>
  <c r="Z23" i="1"/>
  <c r="Y23" i="1"/>
  <c r="X23" i="1"/>
  <c r="V23" i="1"/>
  <c r="W23" i="1" s="1"/>
  <c r="Z22" i="1"/>
  <c r="Y22" i="1"/>
  <c r="X22" i="1"/>
  <c r="V22" i="1"/>
  <c r="W22" i="1" s="1"/>
  <c r="Z21" i="1"/>
  <c r="Y21" i="1"/>
  <c r="X21" i="1"/>
  <c r="W21" i="1"/>
  <c r="V21" i="1"/>
  <c r="Z20" i="1"/>
  <c r="Y20" i="1"/>
  <c r="X20" i="1"/>
  <c r="W20" i="1"/>
  <c r="V20" i="1"/>
  <c r="Z19" i="1"/>
  <c r="Y19" i="1"/>
  <c r="X19" i="1"/>
  <c r="W19" i="1"/>
  <c r="V19" i="1"/>
  <c r="Z18" i="1"/>
  <c r="Y18" i="1"/>
  <c r="X18" i="1"/>
  <c r="V18" i="1"/>
  <c r="W18" i="1" s="1"/>
  <c r="Z17" i="1"/>
  <c r="Y17" i="1"/>
  <c r="X17" i="1"/>
  <c r="V17" i="1"/>
  <c r="W17" i="1" s="1"/>
  <c r="Z16" i="1"/>
  <c r="Y16" i="1"/>
  <c r="X16" i="1"/>
  <c r="V16" i="1"/>
  <c r="W16" i="1" s="1"/>
  <c r="Z15" i="1"/>
  <c r="Y15" i="1"/>
  <c r="X15" i="1"/>
  <c r="V15" i="1"/>
  <c r="W15" i="1" s="1"/>
  <c r="Z14" i="1"/>
  <c r="Y14" i="1"/>
  <c r="X14" i="1"/>
  <c r="V14" i="1"/>
  <c r="W14" i="1" s="1"/>
  <c r="Z13" i="1"/>
  <c r="Y13" i="1"/>
  <c r="X13" i="1"/>
  <c r="W13" i="1"/>
  <c r="V13" i="1"/>
  <c r="Z12" i="1"/>
  <c r="Y12" i="1"/>
  <c r="X12" i="1"/>
  <c r="W12" i="1"/>
  <c r="V12" i="1"/>
  <c r="Z11" i="1"/>
  <c r="Y11" i="1"/>
  <c r="X11" i="1"/>
  <c r="W11" i="1"/>
  <c r="V11" i="1"/>
  <c r="Z10" i="1"/>
  <c r="Y10" i="1"/>
  <c r="X10" i="1"/>
  <c r="V10" i="1"/>
  <c r="W10" i="1" s="1"/>
  <c r="Z9" i="1"/>
  <c r="Y9" i="1"/>
  <c r="X9" i="1"/>
  <c r="V9" i="1"/>
  <c r="W9" i="1" s="1"/>
  <c r="Z8" i="1"/>
  <c r="Y8" i="1"/>
  <c r="X8" i="1"/>
  <c r="V8" i="1"/>
  <c r="W8" i="1" s="1"/>
  <c r="Z7" i="1"/>
  <c r="Y7" i="1"/>
  <c r="X7" i="1"/>
  <c r="V7" i="1"/>
  <c r="W7" i="1" s="1"/>
  <c r="Z6" i="1"/>
  <c r="Y6" i="1"/>
  <c r="X6" i="1"/>
  <c r="V6" i="1"/>
  <c r="W6" i="1" s="1"/>
  <c r="AP55" i="2" l="1"/>
  <c r="AO56" i="2"/>
  <c r="AH64" i="2"/>
  <c r="AK62" i="2"/>
  <c r="AS62" i="2"/>
  <c r="AY62" i="2" s="1"/>
  <c r="AI72" i="2"/>
  <c r="AL62" i="2"/>
  <c r="AK68" i="2"/>
  <c r="AS68" i="2"/>
  <c r="AH110" i="2"/>
  <c r="AF110" i="2"/>
  <c r="AH172" i="2"/>
  <c r="AN172" i="2"/>
  <c r="AM172" i="2"/>
  <c r="AF88" i="2"/>
  <c r="AH95" i="2"/>
  <c r="AM123" i="2"/>
  <c r="AH123" i="2"/>
  <c r="AN123" i="2"/>
  <c r="AM124" i="2"/>
  <c r="AH137" i="2"/>
  <c r="AF172" i="2"/>
  <c r="AV55" i="2" l="1"/>
  <c r="AO57" i="2"/>
  <c r="AS56" i="2"/>
  <c r="AO58" i="2" l="1"/>
  <c r="AS57" i="2"/>
  <c r="AO59" i="2" l="1"/>
  <c r="AS58" i="2"/>
  <c r="AP59" i="2" l="1"/>
  <c r="AO60" i="2"/>
  <c r="AP60" i="2" l="1"/>
  <c r="AO61" i="2"/>
  <c r="AO62" i="2" l="1"/>
  <c r="AP61" i="2"/>
  <c r="AO63" i="2" l="1"/>
  <c r="AP62" i="2"/>
  <c r="AV62" i="2" s="1"/>
  <c r="AP63" i="2" l="1"/>
  <c r="AO64" i="2"/>
  <c r="AP64" i="2" l="1"/>
  <c r="AO65" i="2"/>
  <c r="AV63" i="2"/>
  <c r="AP65" i="2" l="1"/>
  <c r="AO66" i="2"/>
  <c r="AO67" i="2" l="1"/>
  <c r="AP66" i="2"/>
  <c r="AP67" i="2" l="1"/>
  <c r="AO68" i="2"/>
  <c r="AP68" i="2" l="1"/>
  <c r="AO69" i="2"/>
  <c r="AP69" i="2" l="1"/>
  <c r="AO70" i="2"/>
  <c r="AO71" i="2" l="1"/>
  <c r="AP70" i="2"/>
  <c r="AV70" i="2" s="1"/>
  <c r="AP71" i="2" l="1"/>
  <c r="AO72" i="2"/>
  <c r="AP72" i="2" l="1"/>
  <c r="AV72" i="2" s="1"/>
  <c r="AO73" i="2"/>
  <c r="AP73" i="2" l="1"/>
  <c r="AV73" i="2" s="1"/>
  <c r="AO74" i="2"/>
  <c r="AP74" i="2" l="1"/>
  <c r="AO75" i="2"/>
  <c r="AP75" i="2" l="1"/>
  <c r="AO76" i="2"/>
  <c r="AS76" i="2" l="1"/>
  <c r="AO77" i="2"/>
  <c r="AS77" i="2" l="1"/>
  <c r="AO78" i="2"/>
  <c r="AS78" i="2" l="1"/>
  <c r="AO79" i="2"/>
  <c r="AP79" i="2" l="1"/>
  <c r="AV79" i="2" s="1"/>
  <c r="AO80" i="2"/>
  <c r="AP80" i="2" l="1"/>
  <c r="AV80" i="2" s="1"/>
  <c r="AO81" i="2"/>
  <c r="AO82" i="2" l="1"/>
  <c r="AP81" i="2"/>
  <c r="AV81" i="2" s="1"/>
  <c r="AO83" i="2" l="1"/>
  <c r="AP82" i="2"/>
  <c r="AV82" i="2" s="1"/>
  <c r="AP83" i="2" l="1"/>
  <c r="AV83" i="2" s="1"/>
  <c r="AO84" i="2"/>
  <c r="AO85" i="2" l="1"/>
  <c r="AP84" i="2"/>
  <c r="AO86" i="2" l="1"/>
  <c r="AP85" i="2"/>
  <c r="AO87" i="2" l="1"/>
  <c r="AP86" i="2"/>
  <c r="AP87" i="2" l="1"/>
  <c r="AO88" i="2"/>
  <c r="AP88" i="2" l="1"/>
  <c r="AV88" i="2" s="1"/>
  <c r="AO89" i="2"/>
  <c r="AO90" i="2" l="1"/>
  <c r="AP89" i="2"/>
  <c r="AP90" i="2" l="1"/>
  <c r="AV90" i="2" s="1"/>
  <c r="AO91" i="2"/>
  <c r="AO92" i="2" l="1"/>
  <c r="AP91" i="2"/>
  <c r="AO93" i="2" l="1"/>
  <c r="AP92" i="2"/>
  <c r="AV92" i="2" s="1"/>
  <c r="AO94" i="2" l="1"/>
  <c r="AP93" i="2"/>
  <c r="AV93" i="2" s="1"/>
  <c r="AP94" i="2" l="1"/>
  <c r="AV94" i="2" s="1"/>
  <c r="AO95" i="2"/>
  <c r="AO96" i="2" l="1"/>
  <c r="AP95" i="2"/>
  <c r="AV95" i="2" s="1"/>
  <c r="AO97" i="2" l="1"/>
  <c r="AP96" i="2"/>
  <c r="AV96" i="2" s="1"/>
  <c r="AP97" i="2" l="1"/>
  <c r="AO98" i="2"/>
  <c r="AP98" i="2" l="1"/>
  <c r="AV98" i="2" s="1"/>
  <c r="AO99" i="2"/>
  <c r="AP99" i="2" l="1"/>
  <c r="AO100" i="2"/>
  <c r="AP100" i="2" l="1"/>
  <c r="AO101" i="2"/>
  <c r="AP101" i="2" l="1"/>
  <c r="AV101" i="2" s="1"/>
  <c r="AO102" i="2"/>
  <c r="AO103" i="2" l="1"/>
  <c r="AP102" i="2"/>
  <c r="AV102" i="2" s="1"/>
  <c r="AP103" i="2" l="1"/>
  <c r="AV103" i="2" s="1"/>
  <c r="AO104" i="2"/>
  <c r="AP104" i="2" l="1"/>
  <c r="AO105" i="2"/>
  <c r="AP105" i="2" l="1"/>
  <c r="AV105" i="2" s="1"/>
  <c r="AO106" i="2"/>
  <c r="AP106" i="2" l="1"/>
  <c r="AV106" i="2" s="1"/>
  <c r="AO107" i="2"/>
  <c r="AP107" i="2" l="1"/>
  <c r="AV107" i="2" s="1"/>
  <c r="AO108" i="2"/>
  <c r="AP108" i="2" l="1"/>
  <c r="AV108" i="2" s="1"/>
  <c r="AO109" i="2"/>
  <c r="AO110" i="2" l="1"/>
  <c r="AP109" i="2"/>
  <c r="AV109" i="2" s="1"/>
  <c r="AP110" i="2" l="1"/>
  <c r="AV110" i="2" s="1"/>
  <c r="AO111" i="2"/>
  <c r="AP111" i="2" l="1"/>
  <c r="AV111" i="2" s="1"/>
  <c r="AO112" i="2"/>
  <c r="AP112" i="2" l="1"/>
  <c r="AV112" i="2" s="1"/>
  <c r="AO113" i="2"/>
  <c r="AS113" i="2" l="1"/>
  <c r="AO114" i="2"/>
  <c r="AS114" i="2" l="1"/>
  <c r="AO115" i="2"/>
  <c r="AP115" i="2" l="1"/>
  <c r="AO116" i="2"/>
  <c r="AP116" i="2" l="1"/>
  <c r="AO117" i="2"/>
  <c r="AP117" i="2" l="1"/>
  <c r="AO118" i="2"/>
  <c r="AP118" i="2" l="1"/>
  <c r="AO119" i="2"/>
  <c r="AO120" i="2" l="1"/>
  <c r="AP119" i="2"/>
  <c r="AO121" i="2" l="1"/>
  <c r="AP120" i="2"/>
  <c r="AV120" i="2" s="1"/>
  <c r="AO122" i="2" l="1"/>
  <c r="AP121" i="2"/>
  <c r="AV121" i="2" s="1"/>
  <c r="AO123" i="2" l="1"/>
  <c r="AP122" i="2"/>
  <c r="AV122" i="2" s="1"/>
  <c r="AO124" i="2" l="1"/>
  <c r="AP123" i="2"/>
  <c r="AS124" i="2" l="1"/>
  <c r="AO125" i="2"/>
  <c r="AO126" i="2" l="1"/>
  <c r="AP125" i="2"/>
  <c r="AO127" i="2" l="1"/>
  <c r="AS126" i="2"/>
  <c r="AY126" i="2" s="1"/>
  <c r="AO128" i="2" l="1"/>
  <c r="AP127" i="2"/>
  <c r="AV127" i="2" s="1"/>
  <c r="AP128" i="2" l="1"/>
  <c r="AV128" i="2" s="1"/>
  <c r="AO129" i="2"/>
  <c r="AO130" i="2" l="1"/>
  <c r="AP129" i="2"/>
  <c r="AV129" i="2" s="1"/>
  <c r="AP130" i="2" l="1"/>
  <c r="AV130" i="2" s="1"/>
  <c r="AO131" i="2"/>
  <c r="AP131" i="2" l="1"/>
  <c r="AV131" i="2" s="1"/>
  <c r="AO132" i="2"/>
  <c r="AP132" i="2" l="1"/>
  <c r="AO133" i="2"/>
  <c r="AP133" i="2" l="1"/>
  <c r="AO134" i="2"/>
  <c r="AP134" i="2" l="1"/>
  <c r="AO135" i="2"/>
  <c r="AO136" i="2" l="1"/>
  <c r="AP135" i="2"/>
  <c r="AO137" i="2" l="1"/>
  <c r="AP136" i="2"/>
  <c r="AP137" i="2" l="1"/>
  <c r="AV137" i="2" s="1"/>
  <c r="AO138" i="2"/>
  <c r="AO139" i="2" l="1"/>
  <c r="AP138" i="2"/>
  <c r="AV138" i="2" s="1"/>
  <c r="AO140" i="2" l="1"/>
  <c r="AS139" i="2"/>
  <c r="AY139" i="2" s="1"/>
  <c r="AP140" i="2" l="1"/>
  <c r="AO141" i="2"/>
  <c r="AP141" i="2" l="1"/>
  <c r="AO142" i="2"/>
  <c r="AP142" i="2" l="1"/>
  <c r="AO143" i="2"/>
  <c r="AP143" i="2" l="1"/>
  <c r="AV143" i="2" s="1"/>
  <c r="AO144" i="2"/>
  <c r="AP144" i="2" l="1"/>
  <c r="AV144" i="2" s="1"/>
  <c r="AO145" i="2"/>
  <c r="AP145" i="2" l="1"/>
  <c r="AV145" i="2" s="1"/>
  <c r="AO146" i="2"/>
  <c r="AO147" i="2" l="1"/>
  <c r="AP146" i="2"/>
  <c r="AV146" i="2" s="1"/>
  <c r="AO148" i="2" l="1"/>
  <c r="AP147" i="2"/>
  <c r="AP148" i="2" l="1"/>
  <c r="AV148" i="2" s="1"/>
  <c r="AO149" i="2"/>
  <c r="AP149" i="2" l="1"/>
  <c r="AO150" i="2"/>
  <c r="AP150" i="2" l="1"/>
  <c r="AO151" i="2"/>
  <c r="AP151" i="2" l="1"/>
  <c r="AV151" i="2" s="1"/>
  <c r="AO152" i="2"/>
  <c r="AO153" i="2" l="1"/>
  <c r="AS152" i="2"/>
  <c r="AY152" i="2" l="1"/>
  <c r="AT61" i="2"/>
  <c r="AU61" i="2" s="1"/>
  <c r="AT43" i="2"/>
  <c r="AU43" i="2" s="1"/>
  <c r="AT26" i="2"/>
  <c r="AU26" i="2" s="1"/>
  <c r="AT170" i="2"/>
  <c r="AT96" i="2"/>
  <c r="AU96" i="2" s="1"/>
  <c r="AT48" i="2"/>
  <c r="AU48" i="2" s="1"/>
  <c r="AT161" i="2"/>
  <c r="AT140" i="2"/>
  <c r="AU140" i="2" s="1"/>
  <c r="AT78" i="2"/>
  <c r="AU78" i="2" s="1"/>
  <c r="AT148" i="2"/>
  <c r="AU148" i="2" s="1"/>
  <c r="AT54" i="2"/>
  <c r="AU54" i="2" s="1"/>
  <c r="AT163" i="2"/>
  <c r="AT94" i="2"/>
  <c r="AU94" i="2" s="1"/>
  <c r="AT72" i="2"/>
  <c r="AU72" i="2" s="1"/>
  <c r="AT145" i="2"/>
  <c r="AU145" i="2" s="1"/>
  <c r="AT150" i="2"/>
  <c r="AU150" i="2" s="1"/>
  <c r="AT144" i="2"/>
  <c r="AU144" i="2" s="1"/>
  <c r="AT167" i="2"/>
  <c r="AT158" i="2"/>
  <c r="AT83" i="2"/>
  <c r="AU83" i="2" s="1"/>
  <c r="AT10" i="2"/>
  <c r="AU10" i="2" s="1"/>
  <c r="AT126" i="2"/>
  <c r="AU126" i="2" s="1"/>
  <c r="AT143" i="2"/>
  <c r="AU143" i="2" s="1"/>
  <c r="AT7" i="2"/>
  <c r="AU7" i="2" s="1"/>
  <c r="AT171" i="2"/>
  <c r="AT13" i="2"/>
  <c r="AU13" i="2" s="1"/>
  <c r="AT153" i="2"/>
  <c r="AT154" i="2"/>
  <c r="AT108" i="2"/>
  <c r="AU108" i="2" s="1"/>
  <c r="AT41" i="2"/>
  <c r="AU41" i="2" s="1"/>
  <c r="AT128" i="2"/>
  <c r="AU128" i="2" s="1"/>
  <c r="AT176" i="2"/>
  <c r="AT124" i="2"/>
  <c r="AU124" i="2" s="1"/>
  <c r="AT9" i="2"/>
  <c r="AU9" i="2" s="1"/>
  <c r="AT60" i="2"/>
  <c r="AU60" i="2" s="1"/>
  <c r="AT174" i="2"/>
  <c r="AT157" i="2"/>
  <c r="AT35" i="2"/>
  <c r="AU35" i="2" s="1"/>
  <c r="AT180" i="2"/>
  <c r="AT29" i="2"/>
  <c r="AU29" i="2" s="1"/>
  <c r="AT149" i="2"/>
  <c r="AU149" i="2" s="1"/>
  <c r="AT103" i="2"/>
  <c r="AU103" i="2" s="1"/>
  <c r="AT36" i="2"/>
  <c r="AU36" i="2" s="1"/>
  <c r="AT141" i="2"/>
  <c r="AU141" i="2" s="1"/>
  <c r="AT62" i="2"/>
  <c r="AU62" i="2" s="1"/>
  <c r="AT82" i="2"/>
  <c r="AU82" i="2" s="1"/>
  <c r="AT42" i="2"/>
  <c r="AU42" i="2" s="1"/>
  <c r="AT115" i="2"/>
  <c r="AU115" i="2" s="1"/>
  <c r="AT100" i="2"/>
  <c r="AU100" i="2" s="1"/>
  <c r="AT162" i="2"/>
  <c r="AT122" i="2"/>
  <c r="AU122" i="2" s="1"/>
  <c r="AT113" i="2"/>
  <c r="AU113" i="2" s="1"/>
  <c r="AT133" i="2"/>
  <c r="AU133" i="2" s="1"/>
  <c r="AT123" i="2"/>
  <c r="AU123" i="2" s="1"/>
  <c r="AT76" i="2"/>
  <c r="AU76" i="2" s="1"/>
  <c r="AT159" i="2"/>
  <c r="AT105" i="2"/>
  <c r="AU105" i="2" s="1"/>
  <c r="AT139" i="2"/>
  <c r="AU139" i="2" s="1"/>
  <c r="AT31" i="2"/>
  <c r="AU31" i="2" s="1"/>
  <c r="AT87" i="2"/>
  <c r="AU87" i="2" s="1"/>
  <c r="AT101" i="2"/>
  <c r="AU101" i="2" s="1"/>
  <c r="AT177" i="2"/>
  <c r="AT116" i="2"/>
  <c r="AU116" i="2" s="1"/>
  <c r="AT20" i="2"/>
  <c r="AU20" i="2" s="1"/>
  <c r="AT110" i="2"/>
  <c r="AU110" i="2" s="1"/>
  <c r="AT99" i="2"/>
  <c r="AU99" i="2" s="1"/>
  <c r="AT172" i="2"/>
  <c r="AT125" i="2"/>
  <c r="AU125" i="2" s="1"/>
  <c r="AT81" i="2"/>
  <c r="AU81" i="2" s="1"/>
  <c r="AT118" i="2"/>
  <c r="AU118" i="2" s="1"/>
  <c r="AT66" i="2"/>
  <c r="AU66" i="2" s="1"/>
  <c r="AT107" i="2"/>
  <c r="AU107" i="2" s="1"/>
  <c r="AT86" i="2"/>
  <c r="AU86" i="2" s="1"/>
  <c r="AT40" i="2"/>
  <c r="AU40" i="2" s="1"/>
  <c r="AT79" i="2"/>
  <c r="AU79" i="2" s="1"/>
  <c r="AT21" i="2"/>
  <c r="AU21" i="2" s="1"/>
  <c r="AT68" i="2"/>
  <c r="AU68" i="2" s="1"/>
  <c r="AT146" i="2"/>
  <c r="AU146" i="2" s="1"/>
  <c r="AT152" i="2"/>
  <c r="AT69" i="2"/>
  <c r="AU69" i="2" s="1"/>
  <c r="AT16" i="2"/>
  <c r="AU16" i="2" s="1"/>
  <c r="AT55" i="2"/>
  <c r="AU55" i="2" s="1"/>
  <c r="AT56" i="2"/>
  <c r="AU56" i="2" s="1"/>
  <c r="AT65" i="2"/>
  <c r="AU65" i="2" s="1"/>
  <c r="AT33" i="2"/>
  <c r="AU33" i="2" s="1"/>
  <c r="AT130" i="2"/>
  <c r="AU130" i="2" s="1"/>
  <c r="AT104" i="2"/>
  <c r="AU104" i="2" s="1"/>
  <c r="AT112" i="2"/>
  <c r="AU112" i="2" s="1"/>
  <c r="AT137" i="2"/>
  <c r="AU137" i="2" s="1"/>
  <c r="AT45" i="2"/>
  <c r="AU45" i="2" s="1"/>
  <c r="AT156" i="2"/>
  <c r="AT70" i="2"/>
  <c r="AU70" i="2" s="1"/>
  <c r="AT88" i="2"/>
  <c r="AU88" i="2" s="1"/>
  <c r="AT14" i="2"/>
  <c r="AU14" i="2" s="1"/>
  <c r="AT17" i="2"/>
  <c r="AU17" i="2" s="1"/>
  <c r="AT24" i="2"/>
  <c r="AU24" i="2" s="1"/>
  <c r="AT147" i="2"/>
  <c r="AU147" i="2" s="1"/>
  <c r="AT77" i="2"/>
  <c r="AU77" i="2" s="1"/>
  <c r="AT138" i="2"/>
  <c r="AU138" i="2" s="1"/>
  <c r="AT119" i="2"/>
  <c r="AU119" i="2" s="1"/>
  <c r="AT165" i="2"/>
  <c r="AT34" i="2"/>
  <c r="AU34" i="2" s="1"/>
  <c r="AT160" i="2"/>
  <c r="AT120" i="2"/>
  <c r="AU120" i="2" s="1"/>
  <c r="AT166" i="2"/>
  <c r="AT18" i="2"/>
  <c r="AU18" i="2" s="1"/>
  <c r="AT121" i="2"/>
  <c r="AU121" i="2" s="1"/>
  <c r="AT184" i="2"/>
  <c r="AT132" i="2"/>
  <c r="AU132" i="2" s="1"/>
  <c r="AT109" i="2"/>
  <c r="AU109" i="2" s="1"/>
  <c r="AT67" i="2"/>
  <c r="AU67" i="2" s="1"/>
  <c r="AT19" i="2"/>
  <c r="AU19" i="2" s="1"/>
  <c r="AT85" i="2"/>
  <c r="AU85" i="2" s="1"/>
  <c r="AT92" i="2"/>
  <c r="AU92" i="2" s="1"/>
  <c r="AT32" i="2"/>
  <c r="AU32" i="2" s="1"/>
  <c r="AT106" i="2"/>
  <c r="AU106" i="2" s="1"/>
  <c r="AT102" i="2"/>
  <c r="AU102" i="2" s="1"/>
  <c r="AT179" i="2"/>
  <c r="AT186" i="2"/>
  <c r="AT28" i="2"/>
  <c r="AU28" i="2" s="1"/>
  <c r="AT185" i="2"/>
  <c r="AT151" i="2"/>
  <c r="AU151" i="2" s="1"/>
  <c r="AT71" i="2"/>
  <c r="AU71" i="2" s="1"/>
  <c r="AT39" i="2"/>
  <c r="AU39" i="2" s="1"/>
  <c r="AT37" i="2"/>
  <c r="AU37" i="2" s="1"/>
  <c r="AT74" i="2"/>
  <c r="AU74" i="2" s="1"/>
  <c r="AT46" i="2"/>
  <c r="AU46" i="2" s="1"/>
  <c r="AT27" i="2"/>
  <c r="AU27" i="2" s="1"/>
  <c r="AT164" i="2"/>
  <c r="AT182" i="2"/>
  <c r="AT95" i="2"/>
  <c r="AU95" i="2" s="1"/>
  <c r="AT57" i="2"/>
  <c r="AU57" i="2" s="1"/>
  <c r="AT25" i="2"/>
  <c r="AU25" i="2" s="1"/>
  <c r="AT136" i="2"/>
  <c r="AU136" i="2" s="1"/>
  <c r="AT181" i="2"/>
  <c r="AT51" i="2"/>
  <c r="AU51" i="2" s="1"/>
  <c r="AT183" i="2"/>
  <c r="AT15" i="2"/>
  <c r="AU15" i="2" s="1"/>
  <c r="AT58" i="2"/>
  <c r="AU58" i="2" s="1"/>
  <c r="AT178" i="2"/>
  <c r="AT98" i="2"/>
  <c r="AU98" i="2" s="1"/>
  <c r="AT11" i="2"/>
  <c r="AU11" i="2" s="1"/>
  <c r="AT38" i="2"/>
  <c r="AU38" i="2" s="1"/>
  <c r="AT131" i="2"/>
  <c r="AU131" i="2" s="1"/>
  <c r="AT47" i="2"/>
  <c r="AU47" i="2" s="1"/>
  <c r="AT64" i="2"/>
  <c r="AU64" i="2" s="1"/>
  <c r="AT117" i="2"/>
  <c r="AU117" i="2" s="1"/>
  <c r="AT114" i="2"/>
  <c r="AU114" i="2" s="1"/>
  <c r="AT30" i="2"/>
  <c r="AU30" i="2" s="1"/>
  <c r="AT49" i="2"/>
  <c r="AU49" i="2" s="1"/>
  <c r="AT63" i="2"/>
  <c r="AU63" i="2" s="1"/>
  <c r="AT75" i="2"/>
  <c r="AU75" i="2" s="1"/>
  <c r="AT135" i="2"/>
  <c r="AU135" i="2" s="1"/>
  <c r="AT73" i="2"/>
  <c r="AU73" i="2" s="1"/>
  <c r="AT97" i="2"/>
  <c r="AU97" i="2" s="1"/>
  <c r="AT84" i="2"/>
  <c r="AU84" i="2" s="1"/>
  <c r="AT90" i="2"/>
  <c r="AU90" i="2" s="1"/>
  <c r="AT93" i="2"/>
  <c r="AU93" i="2" s="1"/>
  <c r="AT129" i="2"/>
  <c r="AU129" i="2" s="1"/>
  <c r="AT111" i="2"/>
  <c r="AU111" i="2" s="1"/>
  <c r="AT52" i="2"/>
  <c r="AU52" i="2" s="1"/>
  <c r="AT59" i="2"/>
  <c r="AU59" i="2" s="1"/>
  <c r="AT127" i="2"/>
  <c r="AU127" i="2" s="1"/>
  <c r="AT134" i="2"/>
  <c r="AU134" i="2" s="1"/>
  <c r="AT175" i="2"/>
  <c r="AT173" i="2"/>
  <c r="AT80" i="2"/>
  <c r="AU80" i="2" s="1"/>
  <c r="AT142" i="2"/>
  <c r="AU142" i="2" s="1"/>
  <c r="AT155" i="2"/>
  <c r="AT50" i="2"/>
  <c r="AU50" i="2" s="1"/>
  <c r="AT53" i="2"/>
  <c r="AU53" i="2" s="1"/>
  <c r="AT169" i="2"/>
  <c r="AT91" i="2"/>
  <c r="AU91" i="2" s="1"/>
  <c r="AT168" i="2"/>
  <c r="AT23" i="2"/>
  <c r="AU23" i="2" s="1"/>
  <c r="AT8" i="2"/>
  <c r="AU8" i="2" s="1"/>
  <c r="AT22" i="2"/>
  <c r="AU22" i="2" s="1"/>
  <c r="AT44" i="2"/>
  <c r="AU44" i="2" s="1"/>
  <c r="AT89" i="2"/>
  <c r="AU89" i="2" s="1"/>
  <c r="AT12" i="2"/>
  <c r="AU12" i="2" s="1"/>
  <c r="AP153" i="2"/>
  <c r="AO154" i="2"/>
  <c r="AO155" i="2" l="1"/>
  <c r="AP154" i="2"/>
  <c r="AZ20" i="2"/>
  <c r="BA20" i="2" s="1"/>
  <c r="AZ77" i="2"/>
  <c r="BA77" i="2" s="1"/>
  <c r="AZ90" i="2"/>
  <c r="BA90" i="2" s="1"/>
  <c r="AZ125" i="2"/>
  <c r="BA125" i="2" s="1"/>
  <c r="AZ119" i="2"/>
  <c r="BA119" i="2" s="1"/>
  <c r="AZ174" i="2"/>
  <c r="AZ139" i="2"/>
  <c r="BA139" i="2" s="1"/>
  <c r="AZ113" i="2"/>
  <c r="BA113" i="2" s="1"/>
  <c r="AZ79" i="2"/>
  <c r="BA79" i="2" s="1"/>
  <c r="AZ166" i="2"/>
  <c r="AZ65" i="2"/>
  <c r="BA65" i="2" s="1"/>
  <c r="AZ12" i="2"/>
  <c r="BA12" i="2" s="1"/>
  <c r="AZ59" i="2"/>
  <c r="BA59" i="2" s="1"/>
  <c r="AZ147" i="2"/>
  <c r="BA147" i="2" s="1"/>
  <c r="AZ158" i="2"/>
  <c r="AZ40" i="2"/>
  <c r="BA40" i="2" s="1"/>
  <c r="AZ141" i="2"/>
  <c r="BA141" i="2" s="1"/>
  <c r="AZ135" i="2"/>
  <c r="BA135" i="2" s="1"/>
  <c r="AZ132" i="2"/>
  <c r="BA132" i="2" s="1"/>
  <c r="AZ55" i="2"/>
  <c r="BA55" i="2" s="1"/>
  <c r="AZ68" i="2"/>
  <c r="BA68" i="2" s="1"/>
  <c r="AZ120" i="2"/>
  <c r="BA120" i="2" s="1"/>
  <c r="AZ80" i="2"/>
  <c r="BA80" i="2" s="1"/>
  <c r="AZ88" i="2"/>
  <c r="BA88" i="2" s="1"/>
  <c r="AZ149" i="2"/>
  <c r="BA149" i="2" s="1"/>
  <c r="AZ27" i="2"/>
  <c r="BA27" i="2" s="1"/>
  <c r="AZ165" i="2"/>
  <c r="AZ76" i="2"/>
  <c r="BA76" i="2" s="1"/>
  <c r="AZ107" i="2"/>
  <c r="BA107" i="2" s="1"/>
  <c r="AZ45" i="2"/>
  <c r="BA45" i="2" s="1"/>
  <c r="AZ50" i="2"/>
  <c r="BA50" i="2" s="1"/>
  <c r="AZ126" i="2"/>
  <c r="BA126" i="2" s="1"/>
  <c r="AZ117" i="2"/>
  <c r="BA117" i="2" s="1"/>
  <c r="AZ31" i="2"/>
  <c r="BA31" i="2" s="1"/>
  <c r="AZ154" i="2"/>
  <c r="AZ177" i="2"/>
  <c r="AZ26" i="2"/>
  <c r="BA26" i="2" s="1"/>
  <c r="AZ52" i="2"/>
  <c r="BA52" i="2" s="1"/>
  <c r="AZ89" i="2"/>
  <c r="BA89" i="2" s="1"/>
  <c r="AZ25" i="2"/>
  <c r="BA25" i="2" s="1"/>
  <c r="AZ35" i="2"/>
  <c r="BA35" i="2" s="1"/>
  <c r="AZ7" i="2"/>
  <c r="BA7" i="2" s="1"/>
  <c r="AZ180" i="2"/>
  <c r="AZ172" i="2"/>
  <c r="AZ86" i="2"/>
  <c r="BA86" i="2" s="1"/>
  <c r="AZ49" i="2"/>
  <c r="BA49" i="2" s="1"/>
  <c r="AZ72" i="2"/>
  <c r="BA72" i="2" s="1"/>
  <c r="AZ129" i="2"/>
  <c r="BA129" i="2" s="1"/>
  <c r="AZ18" i="2"/>
  <c r="BA18" i="2" s="1"/>
  <c r="AZ61" i="2"/>
  <c r="BA61" i="2" s="1"/>
  <c r="AZ32" i="2"/>
  <c r="BA32" i="2" s="1"/>
  <c r="AZ96" i="2"/>
  <c r="BA96" i="2" s="1"/>
  <c r="AZ30" i="2"/>
  <c r="BA30" i="2" s="1"/>
  <c r="AZ95" i="2"/>
  <c r="BA95" i="2" s="1"/>
  <c r="AZ168" i="2"/>
  <c r="AZ60" i="2"/>
  <c r="BA60" i="2" s="1"/>
  <c r="AZ161" i="2"/>
  <c r="AZ121" i="2"/>
  <c r="BA121" i="2" s="1"/>
  <c r="AZ130" i="2"/>
  <c r="BA130" i="2" s="1"/>
  <c r="AZ48" i="2"/>
  <c r="BA48" i="2" s="1"/>
  <c r="AZ106" i="2"/>
  <c r="BA106" i="2" s="1"/>
  <c r="AZ82" i="2"/>
  <c r="BA82" i="2" s="1"/>
  <c r="AZ13" i="2"/>
  <c r="BA13" i="2" s="1"/>
  <c r="AZ162" i="2"/>
  <c r="AZ38" i="2"/>
  <c r="BA38" i="2" s="1"/>
  <c r="AZ81" i="2"/>
  <c r="BA81" i="2" s="1"/>
  <c r="AZ164" i="2"/>
  <c r="AZ163" i="2"/>
  <c r="AZ151" i="2"/>
  <c r="BA151" i="2" s="1"/>
  <c r="AZ47" i="2"/>
  <c r="BA47" i="2" s="1"/>
  <c r="AZ157" i="2"/>
  <c r="AZ33" i="2"/>
  <c r="BA33" i="2" s="1"/>
  <c r="AZ167" i="2"/>
  <c r="AZ122" i="2"/>
  <c r="BA122" i="2" s="1"/>
  <c r="AZ111" i="2"/>
  <c r="BA111" i="2" s="1"/>
  <c r="AZ159" i="2"/>
  <c r="AZ67" i="2"/>
  <c r="BA67" i="2" s="1"/>
  <c r="AZ51" i="2"/>
  <c r="BA51" i="2" s="1"/>
  <c r="AZ10" i="2"/>
  <c r="BA10" i="2" s="1"/>
  <c r="AZ150" i="2"/>
  <c r="BA150" i="2" s="1"/>
  <c r="AZ109" i="2"/>
  <c r="BA109" i="2" s="1"/>
  <c r="AZ179" i="2"/>
  <c r="AZ145" i="2"/>
  <c r="BA145" i="2" s="1"/>
  <c r="AZ78" i="2"/>
  <c r="BA78" i="2" s="1"/>
  <c r="AZ71" i="2"/>
  <c r="BA71" i="2" s="1"/>
  <c r="AZ148" i="2"/>
  <c r="BA148" i="2" s="1"/>
  <c r="AZ152" i="2"/>
  <c r="AZ19" i="2"/>
  <c r="BA19" i="2" s="1"/>
  <c r="AZ108" i="2"/>
  <c r="BA108" i="2" s="1"/>
  <c r="AZ103" i="2"/>
  <c r="BA103" i="2" s="1"/>
  <c r="AZ144" i="2"/>
  <c r="BA144" i="2" s="1"/>
  <c r="AZ143" i="2"/>
  <c r="BA143" i="2" s="1"/>
  <c r="AZ156" i="2"/>
  <c r="AZ57" i="2"/>
  <c r="BA57" i="2" s="1"/>
  <c r="AZ34" i="2"/>
  <c r="BA34" i="2" s="1"/>
  <c r="AZ84" i="2"/>
  <c r="BA84" i="2" s="1"/>
  <c r="AZ110" i="2"/>
  <c r="BA110" i="2" s="1"/>
  <c r="AZ134" i="2"/>
  <c r="BA134" i="2" s="1"/>
  <c r="AZ62" i="2"/>
  <c r="BA62" i="2" s="1"/>
  <c r="AZ69" i="2"/>
  <c r="BA69" i="2" s="1"/>
  <c r="AZ124" i="2"/>
  <c r="BA124" i="2" s="1"/>
  <c r="AZ175" i="2"/>
  <c r="AZ93" i="2"/>
  <c r="BA93" i="2" s="1"/>
  <c r="AZ85" i="2"/>
  <c r="BA85" i="2" s="1"/>
  <c r="AZ102" i="2"/>
  <c r="BA102" i="2" s="1"/>
  <c r="AZ43" i="2"/>
  <c r="BA43" i="2" s="1"/>
  <c r="AZ114" i="2"/>
  <c r="BA114" i="2" s="1"/>
  <c r="AZ41" i="2"/>
  <c r="BA41" i="2" s="1"/>
  <c r="AZ176" i="2"/>
  <c r="AZ146" i="2"/>
  <c r="BA146" i="2" s="1"/>
  <c r="AZ9" i="2"/>
  <c r="BA9" i="2" s="1"/>
  <c r="AZ53" i="2"/>
  <c r="BA53" i="2" s="1"/>
  <c r="AZ64" i="2"/>
  <c r="BA64" i="2" s="1"/>
  <c r="AZ22" i="2"/>
  <c r="BA22" i="2" s="1"/>
  <c r="AZ66" i="2"/>
  <c r="BA66" i="2" s="1"/>
  <c r="AZ42" i="2"/>
  <c r="BA42" i="2" s="1"/>
  <c r="AZ92" i="2"/>
  <c r="BA92" i="2" s="1"/>
  <c r="AZ74" i="2"/>
  <c r="BA74" i="2" s="1"/>
  <c r="AZ63" i="2"/>
  <c r="BA63" i="2" s="1"/>
  <c r="AZ112" i="2"/>
  <c r="BA112" i="2" s="1"/>
  <c r="AZ133" i="2"/>
  <c r="BA133" i="2" s="1"/>
  <c r="AZ142" i="2"/>
  <c r="BA142" i="2" s="1"/>
  <c r="AZ91" i="2"/>
  <c r="BA91" i="2" s="1"/>
  <c r="AZ136" i="2"/>
  <c r="BA136" i="2" s="1"/>
  <c r="AZ128" i="2"/>
  <c r="BA128" i="2" s="1"/>
  <c r="AZ24" i="2"/>
  <c r="BA24" i="2" s="1"/>
  <c r="AZ21" i="2"/>
  <c r="BA21" i="2" s="1"/>
  <c r="AZ116" i="2"/>
  <c r="BA116" i="2" s="1"/>
  <c r="AZ105" i="2"/>
  <c r="BA105" i="2" s="1"/>
  <c r="AZ171" i="2"/>
  <c r="AZ28" i="2"/>
  <c r="BA28" i="2" s="1"/>
  <c r="AZ83" i="2"/>
  <c r="BA83" i="2" s="1"/>
  <c r="AZ127" i="2"/>
  <c r="BA127" i="2" s="1"/>
  <c r="AZ160" i="2"/>
  <c r="AZ140" i="2"/>
  <c r="BA140" i="2" s="1"/>
  <c r="AZ44" i="2"/>
  <c r="BA44" i="2" s="1"/>
  <c r="AZ11" i="2"/>
  <c r="BA11" i="2" s="1"/>
  <c r="AZ58" i="2"/>
  <c r="BA58" i="2" s="1"/>
  <c r="AZ36" i="2"/>
  <c r="BA36" i="2" s="1"/>
  <c r="AZ14" i="2"/>
  <c r="BA14" i="2" s="1"/>
  <c r="AZ131" i="2"/>
  <c r="BA131" i="2" s="1"/>
  <c r="AZ173" i="2"/>
  <c r="AZ100" i="2"/>
  <c r="BA100" i="2" s="1"/>
  <c r="AZ97" i="2"/>
  <c r="BA97" i="2" s="1"/>
  <c r="AZ118" i="2"/>
  <c r="BA118" i="2" s="1"/>
  <c r="AZ70" i="2"/>
  <c r="BA70" i="2" s="1"/>
  <c r="AZ73" i="2"/>
  <c r="BA73" i="2" s="1"/>
  <c r="AZ169" i="2"/>
  <c r="AZ17" i="2"/>
  <c r="BA17" i="2" s="1"/>
  <c r="AZ178" i="2"/>
  <c r="AZ155" i="2"/>
  <c r="AZ99" i="2"/>
  <c r="BA99" i="2" s="1"/>
  <c r="AZ54" i="2"/>
  <c r="BA54" i="2" s="1"/>
  <c r="AZ37" i="2"/>
  <c r="BA37" i="2" s="1"/>
  <c r="AZ15" i="2"/>
  <c r="BA15" i="2" s="1"/>
  <c r="AZ23" i="2"/>
  <c r="BA23" i="2" s="1"/>
  <c r="AZ138" i="2"/>
  <c r="BA138" i="2" s="1"/>
  <c r="AZ153" i="2"/>
  <c r="AZ56" i="2"/>
  <c r="BA56" i="2" s="1"/>
  <c r="AZ87" i="2"/>
  <c r="BA87" i="2" s="1"/>
  <c r="AZ115" i="2"/>
  <c r="BA115" i="2" s="1"/>
  <c r="AZ104" i="2"/>
  <c r="BA104" i="2" s="1"/>
  <c r="AZ170" i="2"/>
  <c r="AZ29" i="2"/>
  <c r="BA29" i="2" s="1"/>
  <c r="AZ101" i="2"/>
  <c r="BA101" i="2" s="1"/>
  <c r="AZ75" i="2"/>
  <c r="BA75" i="2" s="1"/>
  <c r="AZ8" i="2"/>
  <c r="BA8" i="2" s="1"/>
  <c r="AZ16" i="2"/>
  <c r="BA16" i="2" s="1"/>
  <c r="AZ137" i="2"/>
  <c r="BA137" i="2" s="1"/>
  <c r="AZ46" i="2"/>
  <c r="BA46" i="2" s="1"/>
  <c r="AZ94" i="2"/>
  <c r="BA94" i="2" s="1"/>
  <c r="AZ98" i="2"/>
  <c r="BA98" i="2" s="1"/>
  <c r="AZ39" i="2"/>
  <c r="BA39" i="2" s="1"/>
  <c r="AZ123" i="2"/>
  <c r="BA123" i="2" s="1"/>
  <c r="AP155" i="2" l="1"/>
  <c r="AV155" i="2" s="1"/>
  <c r="AO156" i="2"/>
  <c r="AO157" i="2" l="1"/>
  <c r="AP156" i="2"/>
  <c r="AP157" i="2" l="1"/>
  <c r="AO158" i="2"/>
  <c r="AO159" i="2" l="1"/>
  <c r="AP158" i="2"/>
  <c r="AV158" i="2" s="1"/>
  <c r="AO160" i="2" l="1"/>
  <c r="AP159" i="2"/>
  <c r="AV159" i="2" s="1"/>
  <c r="AP160" i="2" l="1"/>
  <c r="AV160" i="2" s="1"/>
  <c r="AO161" i="2"/>
  <c r="AO162" i="2" l="1"/>
  <c r="AP161" i="2"/>
  <c r="AV161" i="2" s="1"/>
  <c r="AP162" i="2" l="1"/>
  <c r="AO163" i="2"/>
  <c r="AO164" i="2" l="1"/>
  <c r="AP163" i="2"/>
  <c r="AO165" i="2" l="1"/>
  <c r="AP164" i="2"/>
  <c r="AP165" i="2" l="1"/>
  <c r="AO166" i="2"/>
  <c r="AO167" i="2" l="1"/>
  <c r="AP166" i="2"/>
  <c r="AP167" i="2" l="1"/>
  <c r="AO168" i="2"/>
  <c r="AO169" i="2" l="1"/>
  <c r="AP168" i="2"/>
  <c r="AP169" i="2" l="1"/>
  <c r="AV169" i="2" s="1"/>
  <c r="AO170" i="2"/>
  <c r="AO171" i="2" l="1"/>
  <c r="AP170" i="2"/>
  <c r="AV170" i="2" s="1"/>
  <c r="AP171" i="2" l="1"/>
  <c r="AV171" i="2" s="1"/>
  <c r="AO172" i="2"/>
  <c r="AP172" i="2" l="1"/>
  <c r="AV172" i="2" s="1"/>
  <c r="AO173" i="2"/>
  <c r="AO174" i="2" l="1"/>
  <c r="AP173" i="2"/>
  <c r="AP174" i="2" l="1"/>
  <c r="AV174" i="2" s="1"/>
  <c r="AO175" i="2"/>
  <c r="AO176" i="2" l="1"/>
  <c r="AP175" i="2"/>
  <c r="AW13" i="2"/>
  <c r="AX13" i="2" s="1"/>
  <c r="AW9" i="2"/>
  <c r="AX9" i="2" s="1"/>
  <c r="AW80" i="2"/>
  <c r="AX80" i="2" s="1"/>
  <c r="AW69" i="2"/>
  <c r="AX69" i="2" s="1"/>
  <c r="AW136" i="2"/>
  <c r="AX136" i="2" s="1"/>
  <c r="AW54" i="2"/>
  <c r="AX54" i="2" s="1"/>
  <c r="AW145" i="2"/>
  <c r="AX145" i="2" s="1"/>
  <c r="AW143" i="2"/>
  <c r="AX143" i="2" s="1"/>
  <c r="AW104" i="2"/>
  <c r="AX104" i="2" s="1"/>
  <c r="AW142" i="2"/>
  <c r="AX142" i="2" s="1"/>
  <c r="AW35" i="2"/>
  <c r="AX35" i="2" s="1"/>
  <c r="AW16" i="2"/>
  <c r="AX16" i="2" s="1"/>
  <c r="AW117" i="2"/>
  <c r="AX117" i="2" s="1"/>
  <c r="AW74" i="2"/>
  <c r="AX74" i="2" s="1"/>
  <c r="AW55" i="2"/>
  <c r="AX55" i="2" s="1"/>
  <c r="AW48" i="2"/>
  <c r="AX48" i="2" s="1"/>
  <c r="AW26" i="2"/>
  <c r="AX26" i="2" s="1"/>
  <c r="AW22" i="2"/>
  <c r="AX22" i="2" s="1"/>
  <c r="AW114" i="2"/>
  <c r="AX114" i="2" s="1"/>
  <c r="AW81" i="2"/>
  <c r="AX81" i="2" s="1"/>
  <c r="AW60" i="2"/>
  <c r="AX60" i="2" s="1"/>
  <c r="AW116" i="2"/>
  <c r="AX116" i="2" s="1"/>
  <c r="AW30" i="2"/>
  <c r="AX30" i="2" s="1"/>
  <c r="AW14" i="2"/>
  <c r="AX14" i="2" s="1"/>
  <c r="AW44" i="2"/>
  <c r="AX44" i="2" s="1"/>
  <c r="AW85" i="2"/>
  <c r="AX85" i="2" s="1"/>
  <c r="AW52" i="2"/>
  <c r="AX52" i="2" s="1"/>
  <c r="AW180" i="2"/>
  <c r="AW17" i="2"/>
  <c r="AX17" i="2" s="1"/>
  <c r="AW73" i="2"/>
  <c r="AX73" i="2" s="1"/>
  <c r="AW91" i="2"/>
  <c r="AX91" i="2" s="1"/>
  <c r="AW122" i="2"/>
  <c r="AX122" i="2" s="1"/>
  <c r="AW131" i="2"/>
  <c r="AX131" i="2" s="1"/>
  <c r="AW62" i="2"/>
  <c r="AX62" i="2" s="1"/>
  <c r="AW160" i="2"/>
  <c r="AW37" i="2"/>
  <c r="AX37" i="2" s="1"/>
  <c r="AW58" i="2"/>
  <c r="AX58" i="2" s="1"/>
  <c r="AW20" i="2"/>
  <c r="AX20" i="2" s="1"/>
  <c r="AW100" i="2"/>
  <c r="AX100" i="2" s="1"/>
  <c r="AW65" i="2"/>
  <c r="AX65" i="2" s="1"/>
  <c r="AW173" i="2"/>
  <c r="AW103" i="2"/>
  <c r="AX103" i="2" s="1"/>
  <c r="AW164" i="2"/>
  <c r="AW109" i="2"/>
  <c r="AX109" i="2" s="1"/>
  <c r="AW135" i="2"/>
  <c r="AX135" i="2" s="1"/>
  <c r="AW42" i="2"/>
  <c r="AX42" i="2" s="1"/>
  <c r="AW57" i="2"/>
  <c r="AX57" i="2" s="1"/>
  <c r="AW111" i="2"/>
  <c r="AX111" i="2" s="1"/>
  <c r="AW115" i="2"/>
  <c r="AX115" i="2" s="1"/>
  <c r="AW56" i="2"/>
  <c r="AX56" i="2" s="1"/>
  <c r="AW177" i="2"/>
  <c r="AW141" i="2"/>
  <c r="AX141" i="2" s="1"/>
  <c r="AW146" i="2"/>
  <c r="AX146" i="2" s="1"/>
  <c r="AW31" i="2"/>
  <c r="AX31" i="2" s="1"/>
  <c r="AW152" i="2"/>
  <c r="AW94" i="2"/>
  <c r="AX94" i="2" s="1"/>
  <c r="AW124" i="2"/>
  <c r="AX124" i="2" s="1"/>
  <c r="AW118" i="2"/>
  <c r="AX118" i="2" s="1"/>
  <c r="AW134" i="2"/>
  <c r="AX134" i="2" s="1"/>
  <c r="AW87" i="2"/>
  <c r="AX87" i="2" s="1"/>
  <c r="AW86" i="2"/>
  <c r="AX86" i="2" s="1"/>
  <c r="AW125" i="2"/>
  <c r="AX125" i="2" s="1"/>
  <c r="AW96" i="2"/>
  <c r="AX96" i="2" s="1"/>
  <c r="AW41" i="2"/>
  <c r="AX41" i="2" s="1"/>
  <c r="AW18" i="2"/>
  <c r="AX18" i="2" s="1"/>
  <c r="AW90" i="2"/>
  <c r="AX90" i="2" s="1"/>
  <c r="AW144" i="2"/>
  <c r="AX144" i="2" s="1"/>
  <c r="AW169" i="2"/>
  <c r="AW112" i="2"/>
  <c r="AX112" i="2" s="1"/>
  <c r="AW108" i="2"/>
  <c r="AX108" i="2" s="1"/>
  <c r="AW119" i="2"/>
  <c r="AX119" i="2" s="1"/>
  <c r="AW11" i="2"/>
  <c r="AX11" i="2" s="1"/>
  <c r="AW43" i="2"/>
  <c r="AX43" i="2" s="1"/>
  <c r="AW156" i="2"/>
  <c r="AW129" i="2"/>
  <c r="AX129" i="2" s="1"/>
  <c r="AW140" i="2"/>
  <c r="AX140" i="2" s="1"/>
  <c r="AW170" i="2"/>
  <c r="AW38" i="2"/>
  <c r="AX38" i="2" s="1"/>
  <c r="AW47" i="2"/>
  <c r="AX47" i="2" s="1"/>
  <c r="AW110" i="2"/>
  <c r="AX110" i="2" s="1"/>
  <c r="AW36" i="2"/>
  <c r="AX36" i="2" s="1"/>
  <c r="AW138" i="2"/>
  <c r="AX138" i="2" s="1"/>
  <c r="AW63" i="2"/>
  <c r="AX63" i="2" s="1"/>
  <c r="AW98" i="2"/>
  <c r="AX98" i="2" s="1"/>
  <c r="AW92" i="2"/>
  <c r="AX92" i="2" s="1"/>
  <c r="AW174" i="2"/>
  <c r="AW147" i="2"/>
  <c r="AX147" i="2" s="1"/>
  <c r="AW175" i="2"/>
  <c r="AW139" i="2"/>
  <c r="AX139" i="2" s="1"/>
  <c r="AW95" i="2"/>
  <c r="AX95" i="2" s="1"/>
  <c r="AW167" i="2"/>
  <c r="AW127" i="2"/>
  <c r="AX127" i="2" s="1"/>
  <c r="AW151" i="2"/>
  <c r="AX151" i="2" s="1"/>
  <c r="AW168" i="2"/>
  <c r="AW61" i="2"/>
  <c r="AX61" i="2" s="1"/>
  <c r="AW166" i="2"/>
  <c r="AW39" i="2"/>
  <c r="AX39" i="2" s="1"/>
  <c r="AW15" i="2"/>
  <c r="AX15" i="2" s="1"/>
  <c r="AW121" i="2"/>
  <c r="AX121" i="2" s="1"/>
  <c r="AW176" i="2"/>
  <c r="AW162" i="2"/>
  <c r="AW34" i="2"/>
  <c r="AX34" i="2" s="1"/>
  <c r="AW158" i="2"/>
  <c r="AW75" i="2"/>
  <c r="AX75" i="2" s="1"/>
  <c r="AW59" i="2"/>
  <c r="AX59" i="2" s="1"/>
  <c r="AW72" i="2"/>
  <c r="AX72" i="2" s="1"/>
  <c r="AW154" i="2"/>
  <c r="AW12" i="2"/>
  <c r="AX12" i="2" s="1"/>
  <c r="AW50" i="2"/>
  <c r="AX50" i="2" s="1"/>
  <c r="AW32" i="2"/>
  <c r="AX32" i="2" s="1"/>
  <c r="AW46" i="2"/>
  <c r="AX46" i="2" s="1"/>
  <c r="AW159" i="2"/>
  <c r="AW148" i="2"/>
  <c r="AX148" i="2" s="1"/>
  <c r="AW93" i="2"/>
  <c r="AX93" i="2" s="1"/>
  <c r="AW68" i="2"/>
  <c r="AX68" i="2" s="1"/>
  <c r="AW107" i="2"/>
  <c r="AX107" i="2" s="1"/>
  <c r="AW71" i="2"/>
  <c r="AX71" i="2" s="1"/>
  <c r="AW172" i="2"/>
  <c r="AW66" i="2"/>
  <c r="AX66" i="2" s="1"/>
  <c r="AW150" i="2"/>
  <c r="AX150" i="2" s="1"/>
  <c r="AW23" i="2"/>
  <c r="AX23" i="2" s="1"/>
  <c r="AW40" i="2"/>
  <c r="AX40" i="2" s="1"/>
  <c r="AW21" i="2"/>
  <c r="AX21" i="2" s="1"/>
  <c r="AW79" i="2"/>
  <c r="AX79" i="2" s="1"/>
  <c r="AW120" i="2"/>
  <c r="AX120" i="2" s="1"/>
  <c r="AW105" i="2"/>
  <c r="AX105" i="2" s="1"/>
  <c r="AW171" i="2"/>
  <c r="AW155" i="2"/>
  <c r="AW165" i="2"/>
  <c r="AW83" i="2"/>
  <c r="AX83" i="2" s="1"/>
  <c r="AW70" i="2"/>
  <c r="AX70" i="2" s="1"/>
  <c r="AW89" i="2"/>
  <c r="AX89" i="2" s="1"/>
  <c r="AW161" i="2"/>
  <c r="AW28" i="2"/>
  <c r="AX28" i="2" s="1"/>
  <c r="AW123" i="2"/>
  <c r="AX123" i="2" s="1"/>
  <c r="AW130" i="2"/>
  <c r="AX130" i="2" s="1"/>
  <c r="AW179" i="2"/>
  <c r="AW157" i="2"/>
  <c r="AW49" i="2"/>
  <c r="AX49" i="2" s="1"/>
  <c r="AW53" i="2"/>
  <c r="AX53" i="2" s="1"/>
  <c r="AW77" i="2"/>
  <c r="AX77" i="2" s="1"/>
  <c r="AW19" i="2"/>
  <c r="AX19" i="2" s="1"/>
  <c r="AW84" i="2"/>
  <c r="AX84" i="2" s="1"/>
  <c r="AW178" i="2"/>
  <c r="AW33" i="2"/>
  <c r="AX33" i="2" s="1"/>
  <c r="AW106" i="2"/>
  <c r="AX106" i="2" s="1"/>
  <c r="AW113" i="2"/>
  <c r="AX113" i="2" s="1"/>
  <c r="AW67" i="2"/>
  <c r="AX67" i="2" s="1"/>
  <c r="AW97" i="2"/>
  <c r="AX97" i="2" s="1"/>
  <c r="AW45" i="2"/>
  <c r="AX45" i="2" s="1"/>
  <c r="AW102" i="2"/>
  <c r="AX102" i="2" s="1"/>
  <c r="AW7" i="2"/>
  <c r="AX7" i="2" s="1"/>
  <c r="AW132" i="2"/>
  <c r="AX132" i="2" s="1"/>
  <c r="AW51" i="2"/>
  <c r="AX51" i="2" s="1"/>
  <c r="AW76" i="2"/>
  <c r="AX76" i="2" s="1"/>
  <c r="AW25" i="2"/>
  <c r="AX25" i="2" s="1"/>
  <c r="AW27" i="2"/>
  <c r="AX27" i="2" s="1"/>
  <c r="AW88" i="2"/>
  <c r="AX88" i="2" s="1"/>
  <c r="AW163" i="2"/>
  <c r="AW8" i="2"/>
  <c r="AX8" i="2" s="1"/>
  <c r="AW82" i="2"/>
  <c r="AX82" i="2" s="1"/>
  <c r="AW128" i="2"/>
  <c r="AX128" i="2" s="1"/>
  <c r="AW10" i="2"/>
  <c r="AX10" i="2" s="1"/>
  <c r="AW64" i="2"/>
  <c r="AX64" i="2" s="1"/>
  <c r="AW24" i="2"/>
  <c r="AX24" i="2" s="1"/>
  <c r="AW99" i="2"/>
  <c r="AX99" i="2" s="1"/>
  <c r="AW153" i="2"/>
  <c r="AW126" i="2"/>
  <c r="AX126" i="2" s="1"/>
  <c r="AW101" i="2"/>
  <c r="AX101" i="2" s="1"/>
  <c r="AW29" i="2"/>
  <c r="AX29" i="2" s="1"/>
  <c r="AW78" i="2"/>
  <c r="AX78" i="2" s="1"/>
  <c r="AW133" i="2"/>
  <c r="AX133" i="2" s="1"/>
  <c r="AW149" i="2"/>
  <c r="AX149" i="2" s="1"/>
  <c r="AW137" i="2"/>
  <c r="AX137" i="2" s="1"/>
  <c r="AP176" i="2" l="1"/>
  <c r="AO177" i="2"/>
  <c r="AP177" i="2" l="1"/>
  <c r="AO178" i="2"/>
  <c r="AO179" i="2" l="1"/>
  <c r="BB178" i="2"/>
  <c r="AQ59" i="2"/>
  <c r="AR59" i="2" s="1"/>
  <c r="AQ172" i="2"/>
  <c r="AR172" i="2" s="1"/>
  <c r="AQ11" i="2"/>
  <c r="AR11" i="2" s="1"/>
  <c r="AQ30" i="2"/>
  <c r="AR30" i="2" s="1"/>
  <c r="AQ15" i="2"/>
  <c r="AR15" i="2" s="1"/>
  <c r="AQ162" i="2"/>
  <c r="AR162" i="2" s="1"/>
  <c r="AQ185" i="2"/>
  <c r="AR185" i="2" s="1"/>
  <c r="AQ182" i="2"/>
  <c r="AR182" i="2" s="1"/>
  <c r="AQ177" i="2"/>
  <c r="AR177" i="2" s="1"/>
  <c r="AQ85" i="2"/>
  <c r="AR85" i="2" s="1"/>
  <c r="AQ33" i="2"/>
  <c r="AR33" i="2" s="1"/>
  <c r="AQ95" i="2"/>
  <c r="AR95" i="2" s="1"/>
  <c r="AQ179" i="2"/>
  <c r="AR179" i="2" s="1"/>
  <c r="AQ58" i="2"/>
  <c r="AR58" i="2" s="1"/>
  <c r="AQ168" i="2"/>
  <c r="AR168" i="2" s="1"/>
  <c r="AQ130" i="2"/>
  <c r="AR130" i="2" s="1"/>
  <c r="AQ126" i="2"/>
  <c r="AR126" i="2" s="1"/>
  <c r="AQ94" i="2"/>
  <c r="AR94" i="2" s="1"/>
  <c r="AQ125" i="2"/>
  <c r="AR125" i="2" s="1"/>
  <c r="AQ13" i="2"/>
  <c r="AR13" i="2" s="1"/>
  <c r="AQ146" i="2"/>
  <c r="AR146" i="2" s="1"/>
  <c r="AQ122" i="2"/>
  <c r="AR122" i="2" s="1"/>
  <c r="AQ164" i="2"/>
  <c r="AR164" i="2" s="1"/>
  <c r="AQ106" i="2"/>
  <c r="AR106" i="2" s="1"/>
  <c r="AQ123" i="2"/>
  <c r="AR123" i="2" s="1"/>
  <c r="AQ171" i="2"/>
  <c r="AR171" i="2" s="1"/>
  <c r="AQ61" i="2"/>
  <c r="AR61" i="2" s="1"/>
  <c r="AQ100" i="2"/>
  <c r="AR100" i="2" s="1"/>
  <c r="AQ186" i="2"/>
  <c r="AR186" i="2" s="1"/>
  <c r="AQ135" i="2"/>
  <c r="AR135" i="2" s="1"/>
  <c r="AQ114" i="2"/>
  <c r="AR114" i="2" s="1"/>
  <c r="AQ48" i="2"/>
  <c r="AR48" i="2" s="1"/>
  <c r="AQ178" i="2"/>
  <c r="AR178" i="2" s="1"/>
  <c r="AQ10" i="2"/>
  <c r="AR10" i="2" s="1"/>
  <c r="AQ142" i="2"/>
  <c r="AR142" i="2" s="1"/>
  <c r="AQ84" i="2"/>
  <c r="AR84" i="2" s="1"/>
  <c r="AQ49" i="2"/>
  <c r="AR49" i="2" s="1"/>
  <c r="AQ144" i="2"/>
  <c r="AR144" i="2" s="1"/>
  <c r="AQ119" i="2"/>
  <c r="AR119" i="2" s="1"/>
  <c r="AQ28" i="2"/>
  <c r="AR28" i="2" s="1"/>
  <c r="AQ167" i="2"/>
  <c r="AR167" i="2" s="1"/>
  <c r="AQ92" i="2"/>
  <c r="AR92" i="2" s="1"/>
  <c r="AQ103" i="2"/>
  <c r="AR103" i="2" s="1"/>
  <c r="AQ36" i="2"/>
  <c r="AR36" i="2" s="1"/>
  <c r="AQ104" i="2"/>
  <c r="AR104" i="2" s="1"/>
  <c r="AQ18" i="2"/>
  <c r="AR18" i="2" s="1"/>
  <c r="AQ86" i="2"/>
  <c r="AR86" i="2" s="1"/>
  <c r="AQ129" i="2"/>
  <c r="AR129" i="2" s="1"/>
  <c r="AQ21" i="2"/>
  <c r="AR21" i="2" s="1"/>
  <c r="AQ139" i="2"/>
  <c r="AR139" i="2" s="1"/>
  <c r="AQ170" i="2"/>
  <c r="AR170" i="2" s="1"/>
  <c r="AQ43" i="2"/>
  <c r="AR43" i="2" s="1"/>
  <c r="AQ175" i="2"/>
  <c r="AR175" i="2" s="1"/>
  <c r="AQ163" i="2"/>
  <c r="AR163" i="2" s="1"/>
  <c r="AQ99" i="2"/>
  <c r="AR99" i="2" s="1"/>
  <c r="AQ181" i="2"/>
  <c r="AR181" i="2" s="1"/>
  <c r="AQ27" i="2"/>
  <c r="AR27" i="2" s="1"/>
  <c r="AQ32" i="2"/>
  <c r="AR32" i="2" s="1"/>
  <c r="AQ113" i="2"/>
  <c r="AR113" i="2" s="1"/>
  <c r="AQ159" i="2"/>
  <c r="AR159" i="2" s="1"/>
  <c r="AQ120" i="2"/>
  <c r="AR120" i="2" s="1"/>
  <c r="AQ131" i="2"/>
  <c r="AR131" i="2" s="1"/>
  <c r="AQ140" i="2"/>
  <c r="AR140" i="2" s="1"/>
  <c r="AQ153" i="2"/>
  <c r="AR153" i="2" s="1"/>
  <c r="AQ17" i="2"/>
  <c r="AR17" i="2" s="1"/>
  <c r="AQ75" i="2"/>
  <c r="AR75" i="2" s="1"/>
  <c r="AQ117" i="2"/>
  <c r="AR117" i="2" s="1"/>
  <c r="AQ150" i="2"/>
  <c r="AR150" i="2" s="1"/>
  <c r="AQ57" i="2"/>
  <c r="AR57" i="2" s="1"/>
  <c r="AQ23" i="2"/>
  <c r="AR23" i="2" s="1"/>
  <c r="AQ16" i="2"/>
  <c r="AR16" i="2" s="1"/>
  <c r="AQ149" i="2"/>
  <c r="AR149" i="2" s="1"/>
  <c r="AQ116" i="2"/>
  <c r="AR116" i="2" s="1"/>
  <c r="AQ157" i="2"/>
  <c r="AR157" i="2" s="1"/>
  <c r="AQ109" i="2"/>
  <c r="AR109" i="2" s="1"/>
  <c r="AQ8" i="2"/>
  <c r="AR8" i="2" s="1"/>
  <c r="AQ174" i="2"/>
  <c r="AR174" i="2" s="1"/>
  <c r="AQ31" i="2"/>
  <c r="AR31" i="2" s="1"/>
  <c r="AQ108" i="2"/>
  <c r="AR108" i="2" s="1"/>
  <c r="AQ128" i="2"/>
  <c r="AR128" i="2" s="1"/>
  <c r="AQ180" i="2"/>
  <c r="AR180" i="2" s="1"/>
  <c r="AQ19" i="2"/>
  <c r="AR19" i="2" s="1"/>
  <c r="AQ91" i="2"/>
  <c r="AR91" i="2" s="1"/>
  <c r="AQ155" i="2"/>
  <c r="AR155" i="2" s="1"/>
  <c r="AQ47" i="2"/>
  <c r="AR47" i="2" s="1"/>
  <c r="AQ71" i="2"/>
  <c r="AR71" i="2" s="1"/>
  <c r="AQ25" i="2"/>
  <c r="AR25" i="2" s="1"/>
  <c r="AQ176" i="2"/>
  <c r="AR176" i="2" s="1"/>
  <c r="AQ88" i="2"/>
  <c r="AR88" i="2" s="1"/>
  <c r="AQ112" i="2"/>
  <c r="AR112" i="2" s="1"/>
  <c r="AQ121" i="2"/>
  <c r="AR121" i="2" s="1"/>
  <c r="AQ158" i="2"/>
  <c r="AR158" i="2" s="1"/>
  <c r="AQ72" i="2"/>
  <c r="AR72" i="2" s="1"/>
  <c r="AQ9" i="2"/>
  <c r="AR9" i="2" s="1"/>
  <c r="AQ98" i="2"/>
  <c r="AR98" i="2" s="1"/>
  <c r="AQ38" i="2"/>
  <c r="AR38" i="2" s="1"/>
  <c r="AQ138" i="2"/>
  <c r="AR138" i="2" s="1"/>
  <c r="AQ87" i="2"/>
  <c r="AR87" i="2" s="1"/>
  <c r="AQ35" i="2"/>
  <c r="AR35" i="2" s="1"/>
  <c r="AQ26" i="2"/>
  <c r="AR26" i="2" s="1"/>
  <c r="AQ156" i="2"/>
  <c r="AR156" i="2" s="1"/>
  <c r="AQ151" i="2"/>
  <c r="AR151" i="2" s="1"/>
  <c r="AQ141" i="2"/>
  <c r="AR141" i="2" s="1"/>
  <c r="AQ29" i="2"/>
  <c r="AR29" i="2" s="1"/>
  <c r="AQ69" i="2"/>
  <c r="AR69" i="2" s="1"/>
  <c r="AQ34" i="2"/>
  <c r="AR34" i="2" s="1"/>
  <c r="AQ37" i="2"/>
  <c r="AR37" i="2" s="1"/>
  <c r="AQ14" i="2"/>
  <c r="AR14" i="2" s="1"/>
  <c r="AQ127" i="2"/>
  <c r="AR127" i="2" s="1"/>
  <c r="AQ81" i="2"/>
  <c r="AR81" i="2" s="1"/>
  <c r="AQ154" i="2"/>
  <c r="AR154" i="2" s="1"/>
  <c r="AQ118" i="2"/>
  <c r="AR118" i="2" s="1"/>
  <c r="AQ134" i="2"/>
  <c r="AR134" i="2" s="1"/>
  <c r="AQ160" i="2"/>
  <c r="AR160" i="2" s="1"/>
  <c r="AQ65" i="2"/>
  <c r="AR65" i="2" s="1"/>
  <c r="AQ148" i="2"/>
  <c r="AR148" i="2" s="1"/>
  <c r="AQ89" i="2"/>
  <c r="AR89" i="2" s="1"/>
  <c r="AQ39" i="2"/>
  <c r="AR39" i="2" s="1"/>
  <c r="AQ45" i="2"/>
  <c r="AR45" i="2" s="1"/>
  <c r="AQ166" i="2"/>
  <c r="AR166" i="2" s="1"/>
  <c r="AQ101" i="2"/>
  <c r="AR101" i="2" s="1"/>
  <c r="AQ169" i="2"/>
  <c r="AR169" i="2" s="1"/>
  <c r="AQ53" i="2"/>
  <c r="AR53" i="2" s="1"/>
  <c r="AQ41" i="2"/>
  <c r="AR41" i="2" s="1"/>
  <c r="AQ54" i="2"/>
  <c r="AR54" i="2" s="1"/>
  <c r="AQ52" i="2"/>
  <c r="AR52" i="2" s="1"/>
  <c r="AQ183" i="2"/>
  <c r="AR183" i="2" s="1"/>
  <c r="AQ42" i="2"/>
  <c r="AR42" i="2" s="1"/>
  <c r="AQ124" i="2"/>
  <c r="AR124" i="2" s="1"/>
  <c r="AQ115" i="2"/>
  <c r="AR115" i="2" s="1"/>
  <c r="AQ77" i="2"/>
  <c r="AR77" i="2" s="1"/>
  <c r="AQ107" i="2"/>
  <c r="AR107" i="2" s="1"/>
  <c r="AQ62" i="2"/>
  <c r="AR62" i="2" s="1"/>
  <c r="AQ145" i="2"/>
  <c r="AR145" i="2" s="1"/>
  <c r="AQ90" i="2"/>
  <c r="AR90" i="2" s="1"/>
  <c r="AQ133" i="2"/>
  <c r="AR133" i="2" s="1"/>
  <c r="AQ143" i="2"/>
  <c r="AR143" i="2" s="1"/>
  <c r="AQ111" i="2"/>
  <c r="AR111" i="2" s="1"/>
  <c r="AQ20" i="2"/>
  <c r="AR20" i="2" s="1"/>
  <c r="AQ64" i="2"/>
  <c r="AR64" i="2" s="1"/>
  <c r="AQ105" i="2"/>
  <c r="AR105" i="2" s="1"/>
  <c r="AQ78" i="2"/>
  <c r="AR78" i="2" s="1"/>
  <c r="AQ93" i="2"/>
  <c r="AR93" i="2" s="1"/>
  <c r="AQ165" i="2"/>
  <c r="AR165" i="2" s="1"/>
  <c r="AQ66" i="2"/>
  <c r="AR66" i="2" s="1"/>
  <c r="AQ147" i="2"/>
  <c r="AR147" i="2" s="1"/>
  <c r="AQ83" i="2"/>
  <c r="AR83" i="2" s="1"/>
  <c r="AQ70" i="2"/>
  <c r="AR70" i="2" s="1"/>
  <c r="AQ82" i="2"/>
  <c r="AR82" i="2" s="1"/>
  <c r="AQ12" i="2"/>
  <c r="AR12" i="2" s="1"/>
  <c r="AQ96" i="2"/>
  <c r="AR96" i="2" s="1"/>
  <c r="AQ74" i="2"/>
  <c r="AR74" i="2" s="1"/>
  <c r="AQ44" i="2"/>
  <c r="AR44" i="2" s="1"/>
  <c r="AQ55" i="2"/>
  <c r="AR55" i="2" s="1"/>
  <c r="AQ67" i="2"/>
  <c r="AR67" i="2" s="1"/>
  <c r="AQ56" i="2"/>
  <c r="AR56" i="2" s="1"/>
  <c r="AQ63" i="2"/>
  <c r="AR63" i="2" s="1"/>
  <c r="AQ68" i="2"/>
  <c r="AR68" i="2" s="1"/>
  <c r="AQ137" i="2"/>
  <c r="AR137" i="2" s="1"/>
  <c r="AQ40" i="2"/>
  <c r="AR40" i="2" s="1"/>
  <c r="AQ97" i="2"/>
  <c r="AR97" i="2" s="1"/>
  <c r="AQ46" i="2"/>
  <c r="AR46" i="2" s="1"/>
  <c r="AQ152" i="2"/>
  <c r="AR152" i="2" s="1"/>
  <c r="AQ7" i="2"/>
  <c r="AR7" i="2" s="1"/>
  <c r="AQ51" i="2"/>
  <c r="AR51" i="2" s="1"/>
  <c r="AQ132" i="2"/>
  <c r="AR132" i="2" s="1"/>
  <c r="AQ50" i="2"/>
  <c r="AR50" i="2" s="1"/>
  <c r="AQ60" i="2"/>
  <c r="AR60" i="2" s="1"/>
  <c r="AQ79" i="2"/>
  <c r="AR79" i="2" s="1"/>
  <c r="AQ184" i="2"/>
  <c r="AR184" i="2" s="1"/>
  <c r="AQ76" i="2"/>
  <c r="AR76" i="2" s="1"/>
  <c r="AQ161" i="2"/>
  <c r="AR161" i="2" s="1"/>
  <c r="AQ110" i="2"/>
  <c r="AR110" i="2" s="1"/>
  <c r="AQ136" i="2"/>
  <c r="AR136" i="2" s="1"/>
  <c r="AQ80" i="2"/>
  <c r="AR80" i="2" s="1"/>
  <c r="AQ22" i="2"/>
  <c r="AR22" i="2" s="1"/>
  <c r="AQ73" i="2"/>
  <c r="AR73" i="2" s="1"/>
  <c r="AQ173" i="2"/>
  <c r="AR173" i="2" s="1"/>
  <c r="AQ102" i="2"/>
  <c r="AR102" i="2" s="1"/>
  <c r="AQ24" i="2"/>
  <c r="AR24" i="2" s="1"/>
  <c r="BC11" i="2" l="1"/>
  <c r="BD11" i="2" s="1"/>
  <c r="BC12" i="2"/>
  <c r="BD12" i="2" s="1"/>
  <c r="BC9" i="2"/>
  <c r="BD9" i="2" s="1"/>
  <c r="BC16" i="2"/>
  <c r="BD16" i="2" s="1"/>
  <c r="BC13" i="2"/>
  <c r="BD13" i="2" s="1"/>
  <c r="BC14" i="2"/>
  <c r="BD14" i="2" s="1"/>
  <c r="BC7" i="2"/>
  <c r="BD7" i="2" s="1"/>
  <c r="BC8" i="2"/>
  <c r="BD8" i="2" s="1"/>
  <c r="BC15" i="2"/>
  <c r="BD15" i="2" s="1"/>
  <c r="BC19" i="2"/>
  <c r="BD19" i="2" s="1"/>
  <c r="BC20" i="2"/>
  <c r="BD20" i="2" s="1"/>
  <c r="BC18" i="2"/>
  <c r="BD18" i="2" s="1"/>
  <c r="BC17" i="2"/>
  <c r="BD17" i="2" s="1"/>
  <c r="BC10" i="2"/>
  <c r="BD10" i="2" s="1"/>
  <c r="BC21" i="2"/>
  <c r="BD21" i="2" s="1"/>
  <c r="BC22" i="2"/>
  <c r="BD22" i="2" s="1"/>
  <c r="AO180" i="2"/>
  <c r="AS179" i="2"/>
  <c r="AO181" i="2" l="1"/>
  <c r="AS180" i="2"/>
  <c r="AO182" i="2" l="1"/>
  <c r="AO183" i="2" s="1"/>
  <c r="AO184" i="2" s="1"/>
  <c r="AO185" i="2" s="1"/>
  <c r="AO186" i="2" s="1"/>
  <c r="AS181" i="2"/>
</calcChain>
</file>

<file path=xl/sharedStrings.xml><?xml version="1.0" encoding="utf-8"?>
<sst xmlns="http://schemas.openxmlformats.org/spreadsheetml/2006/main" count="2186" uniqueCount="821">
  <si>
    <t>Index</t>
  </si>
  <si>
    <t>Sources: WHO/UNICEF Product Information Sheets, WHO/V&amp;B/00.12 and PQS catalogue dated August 2011</t>
  </si>
  <si>
    <t xml:space="preserve">PIS/PQS </t>
  </si>
  <si>
    <t>@+43°C</t>
  </si>
  <si>
    <t>@-20°C</t>
  </si>
  <si>
    <t>Code</t>
  </si>
  <si>
    <t>PIS E4/09</t>
  </si>
  <si>
    <t>Large vaccine cold box</t>
  </si>
  <si>
    <t>Ina ColdMed</t>
  </si>
  <si>
    <t>CB/INO/B3/90</t>
  </si>
  <si>
    <t>CB_large</t>
  </si>
  <si>
    <t>no data</t>
  </si>
  <si>
    <t>PIS E4/10</t>
  </si>
  <si>
    <t>small vaccine cold box</t>
  </si>
  <si>
    <t>CB/INO/C2/90</t>
  </si>
  <si>
    <t>CB_small</t>
  </si>
  <si>
    <t>PIS E4/18-M</t>
  </si>
  <si>
    <t>Large vaccine carrier</t>
  </si>
  <si>
    <t>Thermos</t>
  </si>
  <si>
    <t>3504 UN/CF</t>
  </si>
  <si>
    <t>VC_large</t>
  </si>
  <si>
    <t>PIS E4/19</t>
  </si>
  <si>
    <t>Polyfoam Packers</t>
  </si>
  <si>
    <t>EPI/PF/1.5</t>
  </si>
  <si>
    <t>PIS E4/20</t>
  </si>
  <si>
    <t>CB/INO/D1/90</t>
  </si>
  <si>
    <t>PIS E4/22</t>
  </si>
  <si>
    <t>Oyster International</t>
  </si>
  <si>
    <t>---</t>
  </si>
  <si>
    <t>PIS E4/34</t>
  </si>
  <si>
    <t>Beijing</t>
  </si>
  <si>
    <t>IA</t>
  </si>
  <si>
    <t>PIS E4/37-M</t>
  </si>
  <si>
    <t>Savopak Oy</t>
  </si>
  <si>
    <t>KR 48</t>
  </si>
  <si>
    <t>PIS E4/52-M</t>
  </si>
  <si>
    <t>Gio Style Spa</t>
  </si>
  <si>
    <t>PIS E4/53-M</t>
  </si>
  <si>
    <t>Small vaccine carrier</t>
  </si>
  <si>
    <t>Electrolux</t>
  </si>
  <si>
    <t>RCW 2/CF</t>
  </si>
  <si>
    <t>VC_small</t>
  </si>
  <si>
    <t>PIS E4/55-M</t>
  </si>
  <si>
    <t>True Pack</t>
  </si>
  <si>
    <t>T.P.001</t>
  </si>
  <si>
    <t>PIS E4/57-M</t>
  </si>
  <si>
    <t>Blow Kings</t>
  </si>
  <si>
    <t>55-CF</t>
  </si>
  <si>
    <t>0,3 &amp; 0,4</t>
  </si>
  <si>
    <t>PIS E4/67</t>
  </si>
  <si>
    <t xml:space="preserve">Inalsa </t>
  </si>
  <si>
    <t>IVC-3</t>
  </si>
  <si>
    <t>PIS E4/67-M</t>
  </si>
  <si>
    <t>Apex Continental</t>
  </si>
  <si>
    <t>IVC-9AF</t>
  </si>
  <si>
    <t>0,3&amp; 0,4&amp;0,6</t>
  </si>
  <si>
    <t>PIS E4/68-M</t>
  </si>
  <si>
    <t>IVC-8F</t>
  </si>
  <si>
    <t>PIS E4/70-M</t>
  </si>
  <si>
    <t>RCW 6/CF</t>
  </si>
  <si>
    <t>PIS E4/72-M</t>
  </si>
  <si>
    <t>ICB-11F</t>
  </si>
  <si>
    <t>PIS E4/75-M</t>
  </si>
  <si>
    <t>ICB-8F</t>
  </si>
  <si>
    <t>PIS E4/76-M</t>
  </si>
  <si>
    <t>CB/20/5U-CF</t>
  </si>
  <si>
    <t>PIS E4/77-M</t>
  </si>
  <si>
    <t>VC/42/MOD/2/CF</t>
  </si>
  <si>
    <t>PIS E4/78-M</t>
  </si>
  <si>
    <t>CB/5/2A/CF</t>
  </si>
  <si>
    <t>PIS E4/79</t>
  </si>
  <si>
    <t>Promociones LISA</t>
  </si>
  <si>
    <t>Losani 0,125 l</t>
  </si>
  <si>
    <t>PIS E4/80-M</t>
  </si>
  <si>
    <t>Small vaccine cold box</t>
  </si>
  <si>
    <t>PIS E4/81-M</t>
  </si>
  <si>
    <t>Nylex Packaging</t>
  </si>
  <si>
    <t>CFC free</t>
  </si>
  <si>
    <t>PIS E4/83-M</t>
  </si>
  <si>
    <t>BK-VC 1.6 - CF</t>
  </si>
  <si>
    <t>PIS E4/84-M</t>
  </si>
  <si>
    <t>Vaccine carrier for NID</t>
  </si>
  <si>
    <t>CIP Industries</t>
  </si>
  <si>
    <t>Frigivac for kick Polio</t>
  </si>
  <si>
    <t>PIS E4/86-M</t>
  </si>
  <si>
    <t>ICB-14F</t>
  </si>
  <si>
    <t>0,4 &amp; 0,6</t>
  </si>
  <si>
    <t>PIS E4/88-M</t>
  </si>
  <si>
    <t>CB/10 - CF</t>
  </si>
  <si>
    <t>PIS E4/89-M</t>
  </si>
  <si>
    <t>AOV International</t>
  </si>
  <si>
    <t>AVC-24</t>
  </si>
  <si>
    <t>PIS E4/94-M</t>
  </si>
  <si>
    <t>Termo-Kont</t>
  </si>
  <si>
    <t>TM8</t>
  </si>
  <si>
    <t>PIS E4/95-M</t>
  </si>
  <si>
    <t>TM35</t>
  </si>
  <si>
    <t>PIS E4/96-M</t>
  </si>
  <si>
    <t>TM52</t>
  </si>
  <si>
    <t>PIS E4/97-M</t>
  </si>
  <si>
    <t>LSR 50</t>
  </si>
  <si>
    <t>PIS E4/98-M</t>
  </si>
  <si>
    <t>SLR 100</t>
  </si>
  <si>
    <t>PQS E004/001</t>
  </si>
  <si>
    <t>Coldpack SA</t>
  </si>
  <si>
    <t>7lt D</t>
  </si>
  <si>
    <t>0.6 &amp; 0.4</t>
  </si>
  <si>
    <t>PQS E004/002</t>
  </si>
  <si>
    <t>Dometic</t>
  </si>
  <si>
    <t>RCW 4</t>
  </si>
  <si>
    <t>0.6 &amp; 0.3</t>
  </si>
  <si>
    <t>PQS E004/003</t>
  </si>
  <si>
    <t>RCW 8</t>
  </si>
  <si>
    <t>PQS E004/004</t>
  </si>
  <si>
    <t>RCW 12</t>
  </si>
  <si>
    <t>PQS E004/005</t>
  </si>
  <si>
    <t>RCW 25</t>
  </si>
  <si>
    <t>PQS E004/006</t>
  </si>
  <si>
    <t>LCB-8A</t>
  </si>
  <si>
    <t>PQS E004/007</t>
  </si>
  <si>
    <t>ADVC-24</t>
  </si>
  <si>
    <t>PQS E004/008</t>
  </si>
  <si>
    <t>AVC-44</t>
  </si>
  <si>
    <t>PQS E004/009</t>
  </si>
  <si>
    <t>AVC-46</t>
  </si>
  <si>
    <t>PQS E004/010</t>
  </si>
  <si>
    <t>Apex International</t>
  </si>
  <si>
    <t>AICB-444L</t>
  </si>
  <si>
    <t>PQS E004/011</t>
  </si>
  <si>
    <t>AIDVC-24</t>
  </si>
  <si>
    <t>PQS E004/012</t>
  </si>
  <si>
    <t>AIVC-44</t>
  </si>
  <si>
    <t>PQS E004/013</t>
  </si>
  <si>
    <t>Nilkamal</t>
  </si>
  <si>
    <t>RCB 444L</t>
  </si>
  <si>
    <t>PQS E004/014</t>
  </si>
  <si>
    <t>ACB-444L</t>
  </si>
  <si>
    <t>PQS E004/015</t>
  </si>
  <si>
    <t>ACB-503L</t>
  </si>
  <si>
    <t>PQS E004/016</t>
  </si>
  <si>
    <t>ACB-324SS</t>
  </si>
  <si>
    <t>PQS E004/017</t>
  </si>
  <si>
    <t>ACB-246LS</t>
  </si>
  <si>
    <t>PQS E004/018</t>
  </si>
  <si>
    <t>CB/12-CF</t>
  </si>
  <si>
    <t>PQS E004/019</t>
  </si>
  <si>
    <t>CB/55-CF</t>
  </si>
  <si>
    <t>PQS E004/020</t>
  </si>
  <si>
    <t>BK-VC 2.6-CF</t>
  </si>
  <si>
    <t>PQS E004/021</t>
  </si>
  <si>
    <t>BK-VC 1.7-CF</t>
  </si>
  <si>
    <t>PQS E004/022</t>
  </si>
  <si>
    <t>VDC-24-CF</t>
  </si>
  <si>
    <t>PQS E004/023</t>
  </si>
  <si>
    <t>ACB-264SL</t>
  </si>
  <si>
    <t>PQS E004/024</t>
  </si>
  <si>
    <t>ACB-316L</t>
  </si>
  <si>
    <t>57..7</t>
  </si>
  <si>
    <t>PQS E004/025</t>
  </si>
  <si>
    <t>CB/20-CF</t>
  </si>
  <si>
    <t>PQS E004/026</t>
  </si>
  <si>
    <t>RCB 246 LS</t>
  </si>
  <si>
    <t>PQS E004/027</t>
  </si>
  <si>
    <t>RCB 324 SS</t>
  </si>
  <si>
    <t>PQS E004/028</t>
  </si>
  <si>
    <t>SR 0.9L</t>
  </si>
  <si>
    <t>PQS E004/029</t>
  </si>
  <si>
    <t>LR 1.5L</t>
  </si>
  <si>
    <t>PQS E004/030</t>
  </si>
  <si>
    <t>AICB 243S</t>
  </si>
  <si>
    <t>PQS E004/031</t>
  </si>
  <si>
    <t>AICB 503S</t>
  </si>
  <si>
    <t>PQS E004/032</t>
  </si>
  <si>
    <t>Gio'Style</t>
  </si>
  <si>
    <t>PQS E004/041</t>
  </si>
  <si>
    <t>Long term storage</t>
  </si>
  <si>
    <t>Aucma</t>
  </si>
  <si>
    <t>ARKTEK-YBC-5</t>
  </si>
  <si>
    <t>LTS</t>
  </si>
  <si>
    <t>PQS E004/042</t>
  </si>
  <si>
    <t>EBARA CO. Ltd.</t>
  </si>
  <si>
    <t>EBT-30</t>
  </si>
  <si>
    <t>70.3</t>
  </si>
  <si>
    <t>0.4</t>
  </si>
  <si>
    <t>16</t>
  </si>
  <si>
    <t>PQS E004/043</t>
  </si>
  <si>
    <t>Blowkings</t>
  </si>
  <si>
    <t>BK-VC 3.4 -CF</t>
  </si>
  <si>
    <t>28.0</t>
  </si>
  <si>
    <t>0.6</t>
  </si>
  <si>
    <t>4</t>
  </si>
  <si>
    <t>PQS E004/044</t>
  </si>
  <si>
    <t>AIVC-44LR</t>
  </si>
  <si>
    <t>18.8</t>
  </si>
  <si>
    <t>PQS E004/045</t>
  </si>
  <si>
    <t>AICB-156L</t>
  </si>
  <si>
    <t>99.7</t>
  </si>
  <si>
    <t>15</t>
  </si>
  <si>
    <t>PQS E004/046</t>
  </si>
  <si>
    <t>AICB-316L</t>
  </si>
  <si>
    <t>243.9</t>
  </si>
  <si>
    <t>31</t>
  </si>
  <si>
    <t>PQS E004/047</t>
  </si>
  <si>
    <t>AIVC-46</t>
  </si>
  <si>
    <t>27.5</t>
  </si>
  <si>
    <t>0.3</t>
  </si>
  <si>
    <t>PQS E004/048</t>
  </si>
  <si>
    <t xml:space="preserve">B Medical Systems Sarl </t>
  </si>
  <si>
    <t>RCW1</t>
  </si>
  <si>
    <t>42.6</t>
  </si>
  <si>
    <t>3</t>
  </si>
  <si>
    <t>PQS E004/049</t>
  </si>
  <si>
    <t>Nilkamal Limited</t>
  </si>
  <si>
    <t>BCVC43A</t>
  </si>
  <si>
    <t>19.4</t>
  </si>
  <si>
    <t>PQS E004/050</t>
  </si>
  <si>
    <t>Freeze-Preventive Vaccine carrier Long range</t>
  </si>
  <si>
    <t>AOV International LLP</t>
  </si>
  <si>
    <t>AFVC-46</t>
  </si>
  <si>
    <t>28.8</t>
  </si>
  <si>
    <t>PQS E004/051</t>
  </si>
  <si>
    <t>Qingdao Leff International Trading Co Ltd</t>
  </si>
  <si>
    <t>FFVC-1.7L</t>
  </si>
  <si>
    <t>FF_VC_large</t>
  </si>
  <si>
    <t>28.5</t>
  </si>
  <si>
    <t>PQS E004/052</t>
  </si>
  <si>
    <t>BK-VC-FF 1.6L</t>
  </si>
  <si>
    <t>27.2</t>
  </si>
  <si>
    <t>PQS E004/053</t>
  </si>
  <si>
    <t>BCVC44B</t>
  </si>
  <si>
    <t>19.5</t>
  </si>
  <si>
    <t>PQS E004/054</t>
  </si>
  <si>
    <t>BDVC44</t>
  </si>
  <si>
    <t>20</t>
  </si>
  <si>
    <t>PQS E004/055</t>
  </si>
  <si>
    <t>BDVC46</t>
  </si>
  <si>
    <t>29.2</t>
  </si>
  <si>
    <t>PQS E004/056</t>
  </si>
  <si>
    <t>RCB244SS</t>
  </si>
  <si>
    <t>24</t>
  </si>
  <si>
    <t>PQS E004/057</t>
  </si>
  <si>
    <t>Freeze-Free Vaccine cold box Long range</t>
  </si>
  <si>
    <t>FFCB-15L</t>
  </si>
  <si>
    <t>FF_CB_large</t>
  </si>
  <si>
    <t>PQS E004/058</t>
  </si>
  <si>
    <t>Freeze-Free Vaccine carrier Long range</t>
  </si>
  <si>
    <t>BCVC46LFF</t>
  </si>
  <si>
    <t>PQS E004/059</t>
  </si>
  <si>
    <t>B Medical Systems Sarl</t>
  </si>
  <si>
    <t>FF_VC_small</t>
  </si>
  <si>
    <t>PQS E004/060</t>
  </si>
  <si>
    <t>Vaccine carrier Long range</t>
  </si>
  <si>
    <t>Rajas Enterprises</t>
  </si>
  <si>
    <t>RE0333VC</t>
  </si>
  <si>
    <t>PQS E004/061</t>
  </si>
  <si>
    <t>Vaccine carrier short range</t>
  </si>
  <si>
    <t>PARACOAT PRODUCTS LTD</t>
  </si>
  <si>
    <t>2CPCPVC-001</t>
  </si>
  <si>
    <t>http://apps.who.int/immunization_standards/vaccine_quality/pqs_catalogue/categorypage.aspx?id_cat=17</t>
  </si>
  <si>
    <t>No. of PQS equipment:</t>
  </si>
  <si>
    <t>No. of PIS equipment:</t>
  </si>
  <si>
    <t>Designation</t>
  </si>
  <si>
    <t>Manufacturer (make)</t>
  </si>
  <si>
    <t>Models</t>
  </si>
  <si>
    <t>Code PQS</t>
  </si>
  <si>
    <t>Type</t>
  </si>
  <si>
    <t>Refrigerant</t>
  </si>
  <si>
    <t>Temperature Zone</t>
  </si>
  <si>
    <t>Freeze protection Grade</t>
  </si>
  <si>
    <t>(+5°C)</t>
  </si>
  <si>
    <t>(-20°C)</t>
  </si>
  <si>
    <t>(-86°C)</t>
  </si>
  <si>
    <t>kg ice/24hrs at 32°C with vaccines</t>
  </si>
  <si>
    <t>Waterpack storage capacity (No. 0.6 waterpacks)</t>
  </si>
  <si>
    <t>Cold Holdover Time</t>
  </si>
  <si>
    <t>Warm Holdover Time</t>
  </si>
  <si>
    <t>Electrical power (Watts)</t>
  </si>
  <si>
    <t>electricity (kWh/24hrs)</t>
  </si>
  <si>
    <t>Gaz (kg/24hrs)</t>
  </si>
  <si>
    <t>Kerosene (litres/24hrs)</t>
  </si>
  <si>
    <t>Price currency</t>
  </si>
  <si>
    <t>Price in US$</t>
  </si>
  <si>
    <t>Year of price</t>
  </si>
  <si>
    <t>H (cm)</t>
  </si>
  <si>
    <t>W (cm)</t>
  </si>
  <si>
    <t>L (cm)</t>
  </si>
  <si>
    <t>Shipping volume (m3)</t>
  </si>
  <si>
    <t>Shipping weight (kg)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</si>
  <si>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</si>
  <si>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</si>
  <si>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</si>
  <si>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</si>
  <si>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</si>
  <si>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</si>
  <si>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</si>
  <si>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</si>
  <si>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</si>
  <si>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</si>
  <si>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</si>
  <si>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</si>
  <si>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</si>
  <si>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</si>
  <si>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</si>
  <si>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</si>
  <si>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</si>
  <si>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</si>
  <si>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</si>
  <si>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</si>
  <si>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</si>
  <si>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</si>
  <si>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</si>
  <si>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</si>
  <si>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</si>
  <si>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</si>
  <si>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</si>
  <si>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</si>
  <si>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</si>
  <si>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</si>
  <si>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</si>
  <si>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</si>
  <si>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</si>
  <si>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</si>
  <si>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</si>
  <si>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</si>
  <si>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</si>
  <si>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</si>
  <si>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</si>
  <si>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</si>
  <si>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PQS</t>
  </si>
  <si>
    <t>PQS_refr</t>
  </si>
  <si>
    <t>PQS_freez</t>
  </si>
  <si>
    <t>PQS_refr_solar</t>
  </si>
  <si>
    <t>PQS_freez_solar</t>
  </si>
  <si>
    <t>PQS_ult</t>
  </si>
  <si>
    <t>refrigerator</t>
  </si>
  <si>
    <t>RCW 42 EG/CF</t>
  </si>
  <si>
    <t>PIS E3/21-M</t>
  </si>
  <si>
    <t xml:space="preserve"> ARF</t>
  </si>
  <si>
    <t>NH3</t>
  </si>
  <si>
    <t>Temp</t>
  </si>
  <si>
    <t>++</t>
  </si>
  <si>
    <t>RCW 42 EK/CF</t>
  </si>
  <si>
    <t>PIS E3/22-M</t>
  </si>
  <si>
    <t>ARF</t>
  </si>
  <si>
    <t>icelined refrigerator</t>
  </si>
  <si>
    <t>TCW 1152/CF</t>
  </si>
  <si>
    <t>PIS E3/24-M</t>
  </si>
  <si>
    <t>ILRF</t>
  </si>
  <si>
    <t>R134a</t>
  </si>
  <si>
    <t>Hot</t>
  </si>
  <si>
    <t>refrigerator &amp; freezer</t>
  </si>
  <si>
    <t>RCW 42AC/CF</t>
  </si>
  <si>
    <t>PIS E3/30-M</t>
  </si>
  <si>
    <t>CRF</t>
  </si>
  <si>
    <t>RCW 42DC/CF</t>
  </si>
  <si>
    <t>PIS E3/31-M</t>
  </si>
  <si>
    <t>SBRF</t>
  </si>
  <si>
    <t>BP Solar</t>
  </si>
  <si>
    <t>VR50F</t>
  </si>
  <si>
    <t>PIS E3/37-M</t>
  </si>
  <si>
    <t>Vestfrost</t>
  </si>
  <si>
    <t>MK144</t>
  </si>
  <si>
    <t>PIS E3/57-M</t>
  </si>
  <si>
    <t>ILR</t>
  </si>
  <si>
    <t>TCW 1990</t>
  </si>
  <si>
    <t>PIS E3/62-M</t>
  </si>
  <si>
    <t>LEC RefrigerationPLC</t>
  </si>
  <si>
    <t>VC 139 F</t>
  </si>
  <si>
    <t>PIS E3/64-M</t>
  </si>
  <si>
    <t>Norcoast</t>
  </si>
  <si>
    <t>NRC 30-10</t>
  </si>
  <si>
    <t>PIS E3/65-M</t>
  </si>
  <si>
    <t>Fortum AES</t>
  </si>
  <si>
    <t>CFS49 ISI</t>
  </si>
  <si>
    <t>PIS E3/70-M</t>
  </si>
  <si>
    <t>Icepack freezer</t>
  </si>
  <si>
    <t>FCW 20 EG/CF</t>
  </si>
  <si>
    <t>PIS E3/72-M</t>
  </si>
  <si>
    <t>FCW 20 EK/CF</t>
  </si>
  <si>
    <t>PIS E3/73-M</t>
  </si>
  <si>
    <t>MK074</t>
  </si>
  <si>
    <t>PIS E3/75-M</t>
  </si>
  <si>
    <t>Sun Frost</t>
  </si>
  <si>
    <t>RFVB-134a</t>
  </si>
  <si>
    <t>PIS E3/77-M</t>
  </si>
  <si>
    <t>Dulas</t>
  </si>
  <si>
    <t>VC-150 F</t>
  </si>
  <si>
    <t>PIS E3/79-M</t>
  </si>
  <si>
    <t>TFW800</t>
  </si>
  <si>
    <t>PIS E3/80-M</t>
  </si>
  <si>
    <t>CF</t>
  </si>
  <si>
    <t>MK204</t>
  </si>
  <si>
    <t>PIS E3/81-M</t>
  </si>
  <si>
    <t>MK304</t>
  </si>
  <si>
    <t>PIS E3/82-M</t>
  </si>
  <si>
    <t>TATA BP Solar</t>
  </si>
  <si>
    <t>TBP VR 50</t>
  </si>
  <si>
    <t>PIS E3/83</t>
  </si>
  <si>
    <t>Sibir</t>
  </si>
  <si>
    <t>V 170 GE</t>
  </si>
  <si>
    <t>PIS E3/84-M</t>
  </si>
  <si>
    <t>V 170 EK</t>
  </si>
  <si>
    <t>PIS E3/85-M</t>
  </si>
  <si>
    <t>V 110 GE</t>
  </si>
  <si>
    <t>PIS E3/86-M</t>
  </si>
  <si>
    <t>V 110 KE</t>
  </si>
  <si>
    <t>PIS E3/87-M</t>
  </si>
  <si>
    <t>RCW 50 EG/CF</t>
  </si>
  <si>
    <t>PIS E3/88-M</t>
  </si>
  <si>
    <t>Zero Appliances</t>
  </si>
  <si>
    <t>PR 245 K/E</t>
  </si>
  <si>
    <t>PIS E3/89-M</t>
  </si>
  <si>
    <t>GR 245 G/E</t>
  </si>
  <si>
    <t>PIS E3/90-M</t>
  </si>
  <si>
    <t>RCW 50 EK</t>
  </si>
  <si>
    <t>PIS E3/91-M</t>
  </si>
  <si>
    <t>Model 120-30</t>
  </si>
  <si>
    <t>PIS E3/92-M</t>
  </si>
  <si>
    <t>RCW 50DC/CF</t>
  </si>
  <si>
    <t>PIS E3/93-M</t>
  </si>
  <si>
    <t>RCW 50 AC</t>
  </si>
  <si>
    <t>PIS E3/94-M</t>
  </si>
  <si>
    <t>PF 230 IP KE</t>
  </si>
  <si>
    <t>PIS E3/95-M</t>
  </si>
  <si>
    <t>Vaccine/icepack freezer</t>
  </si>
  <si>
    <t>MF114</t>
  </si>
  <si>
    <t>PIS E3/96-M</t>
  </si>
  <si>
    <t>MF214</t>
  </si>
  <si>
    <t>PIS E3/97-M</t>
  </si>
  <si>
    <t>MF314</t>
  </si>
  <si>
    <t>PIS E3/98-M</t>
  </si>
  <si>
    <t>FCW 300</t>
  </si>
  <si>
    <t>PIS E3/99-M</t>
  </si>
  <si>
    <t>FCW 200</t>
  </si>
  <si>
    <t>PIS E3/100-M</t>
  </si>
  <si>
    <t>Solamatic</t>
  </si>
  <si>
    <t>PVR150</t>
  </si>
  <si>
    <t>PIS E3/101-M</t>
  </si>
  <si>
    <t>GR 265 G/E</t>
  </si>
  <si>
    <t>PIS E3/102-M</t>
  </si>
  <si>
    <t>VC-65 F</t>
  </si>
  <si>
    <t>PIS E3/103-M</t>
  </si>
  <si>
    <t>Kyocera Solar</t>
  </si>
  <si>
    <t>VaccPack XL 2100</t>
  </si>
  <si>
    <t>PIS E3/104-M</t>
  </si>
  <si>
    <t>VaccPack XL 6000</t>
  </si>
  <si>
    <t>PIS E3/105-M</t>
  </si>
  <si>
    <t>Bright Light Solar</t>
  </si>
  <si>
    <t>PS65</t>
  </si>
  <si>
    <t>PIS E3/106-M</t>
  </si>
  <si>
    <t>TCW 3000</t>
  </si>
  <si>
    <t>PIS E3/107-M</t>
  </si>
  <si>
    <t>PR 265 K/E</t>
  </si>
  <si>
    <t>PIS E3/108-M</t>
  </si>
  <si>
    <t>PS40</t>
  </si>
  <si>
    <t>PIS E3/109-M</t>
  </si>
  <si>
    <t>PT. Dilihan Glory</t>
  </si>
  <si>
    <t>DOVLINE</t>
  </si>
  <si>
    <t>PIS E3/110-M</t>
  </si>
  <si>
    <t>icelined refrigerator &amp; vac/icepack freezer</t>
  </si>
  <si>
    <t>TCW 2000</t>
  </si>
  <si>
    <t>PIS E3/111-M</t>
  </si>
  <si>
    <t>Vaccine refrigerator or icepack freezer</t>
  </si>
  <si>
    <t>B Medical Systems Sarl (Dometic)</t>
  </si>
  <si>
    <t>TCW 2000 DC</t>
  </si>
  <si>
    <t>PQS E003/001</t>
  </si>
  <si>
    <t>Grade A</t>
  </si>
  <si>
    <t>Haier</t>
  </si>
  <si>
    <t>HBD-116</t>
  </si>
  <si>
    <t>PQS E003/002</t>
  </si>
  <si>
    <t>N/A</t>
  </si>
  <si>
    <t>HBD-286</t>
  </si>
  <si>
    <t>PQS E003/003</t>
  </si>
  <si>
    <t>TFW 800</t>
  </si>
  <si>
    <t>PQS E003/004</t>
  </si>
  <si>
    <t>HBC-70</t>
  </si>
  <si>
    <t>PQS E003/005</t>
  </si>
  <si>
    <t>Not Tested</t>
  </si>
  <si>
    <t>HBC-200</t>
  </si>
  <si>
    <t>PQS E003/006</t>
  </si>
  <si>
    <t>MK 304</t>
  </si>
  <si>
    <t>PQS E003/007</t>
  </si>
  <si>
    <t>TCW 3000 DC</t>
  </si>
  <si>
    <t>PQS E003/008</t>
  </si>
  <si>
    <t>SBRorF</t>
  </si>
  <si>
    <t>Refrigerator</t>
  </si>
  <si>
    <t>MKS 044</t>
  </si>
  <si>
    <t>PQS E003/009</t>
  </si>
  <si>
    <t>SDR</t>
  </si>
  <si>
    <t>R600a</t>
  </si>
  <si>
    <t>icelined refrigerator - water-pack freezer</t>
  </si>
  <si>
    <t>MKF 074</t>
  </si>
  <si>
    <t>PQS E003/010</t>
  </si>
  <si>
    <t>MK 204</t>
  </si>
  <si>
    <t>PQS E003/011</t>
  </si>
  <si>
    <t>MK 404</t>
  </si>
  <si>
    <t>PQS E003/012</t>
  </si>
  <si>
    <t>True Energy</t>
  </si>
  <si>
    <t>BLF100AC</t>
  </si>
  <si>
    <t>PQS E003/013*</t>
  </si>
  <si>
    <t>ice-lined refrigerator/icepack freezer</t>
  </si>
  <si>
    <t>TCW 2000 AC</t>
  </si>
  <si>
    <t>PQS E003/014</t>
  </si>
  <si>
    <t>HBC-340</t>
  </si>
  <si>
    <t>PQS E003/015*</t>
  </si>
  <si>
    <t>Refrigerator-icepack freezer</t>
  </si>
  <si>
    <t>PS65i</t>
  </si>
  <si>
    <t>PQS E003/016*</t>
  </si>
  <si>
    <t>TCW 3000 AC</t>
  </si>
  <si>
    <t>PQS E003/017</t>
  </si>
  <si>
    <t>Solar direct drive refrigerator witout battery</t>
  </si>
  <si>
    <t>BLF100 DC</t>
  </si>
  <si>
    <t>PQS E003/019*</t>
  </si>
  <si>
    <t>SunDanzer</t>
  </si>
  <si>
    <t>BFRV55</t>
  </si>
  <si>
    <t>PQS E003/020</t>
  </si>
  <si>
    <t>VLS 400 Greenline</t>
  </si>
  <si>
    <t>PQS E003/021</t>
  </si>
  <si>
    <t>MK 144</t>
  </si>
  <si>
    <t>PQS E003/022</t>
  </si>
  <si>
    <t>MF 314</t>
  </si>
  <si>
    <t>PQS E003/023</t>
  </si>
  <si>
    <t>MF 114</t>
  </si>
  <si>
    <t>PQS E003/024</t>
  </si>
  <si>
    <t>MF 214</t>
  </si>
  <si>
    <t>PQS E003/025</t>
  </si>
  <si>
    <t>Solaire refrigerator &amp; freezer</t>
  </si>
  <si>
    <t>VC 65-2</t>
  </si>
  <si>
    <t>PQS E003/026</t>
  </si>
  <si>
    <t>VC 150-2</t>
  </si>
  <si>
    <t>PQS E003/027</t>
  </si>
  <si>
    <t>Solaire refrigerator</t>
  </si>
  <si>
    <t>VC 200-1</t>
  </si>
  <si>
    <t>PQS E003/028</t>
  </si>
  <si>
    <t>SBR</t>
  </si>
  <si>
    <t>HTC-60</t>
  </si>
  <si>
    <t>PQS E003/029</t>
  </si>
  <si>
    <t>TCW 3000 SDD</t>
  </si>
  <si>
    <t>PQS E003/030</t>
  </si>
  <si>
    <t>VLS 200 Greenline</t>
  </si>
  <si>
    <t>PQS E003/031</t>
  </si>
  <si>
    <t>VLS 300 Greenline</t>
  </si>
  <si>
    <t>PQS E003/032</t>
  </si>
  <si>
    <t>VLS 350 Greenline</t>
  </si>
  <si>
    <t>PQS E003/033</t>
  </si>
  <si>
    <t>HBC-110</t>
  </si>
  <si>
    <t>PQS E003/034</t>
  </si>
  <si>
    <t>TCW 2000 SDD</t>
  </si>
  <si>
    <t>PQS E003/035</t>
  </si>
  <si>
    <t>SDRF</t>
  </si>
  <si>
    <t>ZLF 100AC</t>
  </si>
  <si>
    <t>PQS E003/036</t>
  </si>
  <si>
    <t>Solar direct drive refrigerator and/or freezer</t>
  </si>
  <si>
    <t>ZLF 100DC</t>
  </si>
  <si>
    <t>PQS E003/037</t>
  </si>
  <si>
    <t>PQS E003/038</t>
  </si>
  <si>
    <t>BFRV 15 SDD</t>
  </si>
  <si>
    <t>PQS E003/039</t>
  </si>
  <si>
    <t>VC 200 SDD</t>
  </si>
  <si>
    <t>PQS E003/040</t>
  </si>
  <si>
    <t>Solar direct drive refrigerator</t>
  </si>
  <si>
    <t>Vestfrost Solutions</t>
  </si>
  <si>
    <t>VLS 054 SDD Greenline</t>
  </si>
  <si>
    <t>PQS E003/041</t>
  </si>
  <si>
    <t>Solar direct drive combined refrigerator/freezer</t>
  </si>
  <si>
    <t>TCW 40 SDD</t>
  </si>
  <si>
    <t>PQS E003/042</t>
  </si>
  <si>
    <t>TCW 2043 SDD</t>
  </si>
  <si>
    <t>PQS E003/043</t>
  </si>
  <si>
    <t>ZLF 150AC</t>
  </si>
  <si>
    <t>PQS E003/044</t>
  </si>
  <si>
    <t>TCW 3043 SDD</t>
  </si>
  <si>
    <t>PQS E003/045</t>
  </si>
  <si>
    <t>Godrej &amp; Boyce MFG. Co. Ltd.</t>
  </si>
  <si>
    <t>GVR 50 AC</t>
  </si>
  <si>
    <t>PQS E003/046</t>
  </si>
  <si>
    <t>GVR 100 AC</t>
  </si>
  <si>
    <t>PQS E003/047</t>
  </si>
  <si>
    <t>Solar direct drive refrigerator/freezer</t>
  </si>
  <si>
    <t>VC150SDD</t>
  </si>
  <si>
    <t>PQS E003/048</t>
  </si>
  <si>
    <t>GVR 50 SDD</t>
  </si>
  <si>
    <t>PQS E003/049</t>
  </si>
  <si>
    <t>GVR 100 SDD</t>
  </si>
  <si>
    <t>PQS E003/050</t>
  </si>
  <si>
    <t>ZLF30AC</t>
  </si>
  <si>
    <t>PQS E003/051</t>
  </si>
  <si>
    <t>ZLF150DC</t>
  </si>
  <si>
    <t>PQS E003/052</t>
  </si>
  <si>
    <t>VLS 094 SDD Greenline</t>
  </si>
  <si>
    <t>PQS E003/053</t>
  </si>
  <si>
    <t>VLS 154 SDD Greenline</t>
  </si>
  <si>
    <t>PQS E003/054</t>
  </si>
  <si>
    <t>ZLF30DC SDD</t>
  </si>
  <si>
    <t>PQS E003/055</t>
  </si>
  <si>
    <t>temp</t>
  </si>
  <si>
    <t>Solar direct drive, ancillary battery refrigerator</t>
  </si>
  <si>
    <t>HTC-60H</t>
  </si>
  <si>
    <t>PQS E003/056</t>
  </si>
  <si>
    <t>Solar battery powered combo refrigerator &amp; freezer</t>
  </si>
  <si>
    <t>HTCD-160</t>
  </si>
  <si>
    <t>PQS E003/057</t>
  </si>
  <si>
    <t>Dulas VC 110 SDD</t>
  </si>
  <si>
    <t>PQS E003/058</t>
  </si>
  <si>
    <t>Dulas VC88 SDD</t>
  </si>
  <si>
    <t>PQS E003/059</t>
  </si>
  <si>
    <t>Vaccine/waterpacks freezer</t>
  </si>
  <si>
    <t>AUCMA</t>
  </si>
  <si>
    <t>DW-25W147</t>
  </si>
  <si>
    <t>PQS E003/060</t>
  </si>
  <si>
    <t>DW-25W300</t>
  </si>
  <si>
    <t>PQS E003/061</t>
  </si>
  <si>
    <t>Icelined refrigerator</t>
  </si>
  <si>
    <t>VLS 200A Greenline</t>
  </si>
  <si>
    <t>PQS E003/062</t>
  </si>
  <si>
    <t>VLS 300A Greenline</t>
  </si>
  <si>
    <t>PQS E003/063</t>
  </si>
  <si>
    <t>VLS 350A Greenline</t>
  </si>
  <si>
    <t>PQS E003/064</t>
  </si>
  <si>
    <t>VLS 400A Greenline</t>
  </si>
  <si>
    <t>PQS E003/065</t>
  </si>
  <si>
    <t>TCW 4000 AC</t>
  </si>
  <si>
    <t>PQS E003/066</t>
  </si>
  <si>
    <t>TCW 15R SDD</t>
  </si>
  <si>
    <t>PQS E003/067</t>
  </si>
  <si>
    <t>TCW 40R SDD</t>
  </si>
  <si>
    <t>PQS E003/068</t>
  </si>
  <si>
    <t>VLS 024 SDD Greenline</t>
  </si>
  <si>
    <t>PQS E003/069</t>
  </si>
  <si>
    <t>Combined icelined refrigerator/waterpacks freezer</t>
  </si>
  <si>
    <t>VLS 064 RF</t>
  </si>
  <si>
    <t>PQS E003/070</t>
  </si>
  <si>
    <t>Waterpacks freezer</t>
  </si>
  <si>
    <t>TFW 3000 AC</t>
  </si>
  <si>
    <t>PQS E003/071</t>
  </si>
  <si>
    <t>WPF</t>
  </si>
  <si>
    <t>R290</t>
  </si>
  <si>
    <t>VC 225 ILR</t>
  </si>
  <si>
    <t>PQS E003/072</t>
  </si>
  <si>
    <t>Solar Direct drive freezer</t>
  </si>
  <si>
    <t>TFW 40 SDD</t>
  </si>
  <si>
    <t>PQS E003/073</t>
  </si>
  <si>
    <t>SDF</t>
  </si>
  <si>
    <t>Solar Direct drive combined refrigerator/freezer</t>
  </si>
  <si>
    <t>HTCD 90 SDD</t>
  </si>
  <si>
    <t>PQS E003/074</t>
  </si>
  <si>
    <t>Solar Direct drive refrigerator</t>
  </si>
  <si>
    <t>HTC 40 SDD</t>
  </si>
  <si>
    <t>PQS E003/075</t>
  </si>
  <si>
    <t>HTC 110 SDD</t>
  </si>
  <si>
    <t>PQS E003/076</t>
  </si>
  <si>
    <t>TCW 15 SDD</t>
  </si>
  <si>
    <t>PQS E003/077</t>
  </si>
  <si>
    <t>VC50 SDD</t>
  </si>
  <si>
    <t>PQS E003/078</t>
  </si>
  <si>
    <t>CFD-50</t>
  </si>
  <si>
    <t>PQS E003/079</t>
  </si>
  <si>
    <t>Ice-lined refrigerator</t>
  </si>
  <si>
    <t>GVR 51 LITE AC</t>
  </si>
  <si>
    <t>PQS E003/080</t>
  </si>
  <si>
    <t>GVR 75 Lite</t>
  </si>
  <si>
    <t>PQS E003/081</t>
  </si>
  <si>
    <t>GVR 99 Lite</t>
  </si>
  <si>
    <t>PQS E003/082</t>
  </si>
  <si>
    <t>GVR 225 AC</t>
  </si>
  <si>
    <t>PQS E003/083</t>
  </si>
  <si>
    <t>VC 60 SDD-1</t>
  </si>
  <si>
    <t>PQS E003/084</t>
  </si>
  <si>
    <t>VC 30 SDD</t>
  </si>
  <si>
    <t>PQS E003/085</t>
  </si>
  <si>
    <t>Solar direct drive freezer</t>
  </si>
  <si>
    <t>HTD-40</t>
  </si>
  <si>
    <t>PQS E003/086</t>
  </si>
  <si>
    <t>HBC-260</t>
  </si>
  <si>
    <t>PQS E003/087</t>
  </si>
  <si>
    <t>HBC-150</t>
  </si>
  <si>
    <t>PQS E003/088</t>
  </si>
  <si>
    <t>HBC-80</t>
  </si>
  <si>
    <t>PQS E003/089</t>
  </si>
  <si>
    <t>Ultra 16 SDD</t>
  </si>
  <si>
    <t>PQS E003/090</t>
  </si>
  <si>
    <t>Solar direct drive refrigerator and freezer</t>
  </si>
  <si>
    <t>VLS 026 RF Green Line</t>
  </si>
  <si>
    <t>PQS E003/091</t>
  </si>
  <si>
    <t>VLS 056 RF SDD</t>
  </si>
  <si>
    <t>PQS E003/092</t>
  </si>
  <si>
    <t>TCW 4000 SDD</t>
  </si>
  <si>
    <t>PQS E003/093</t>
  </si>
  <si>
    <t>VLS 500A AC</t>
  </si>
  <si>
    <t>PQS E003/094</t>
  </si>
  <si>
    <t>Solar direct drive refrigerator or freezer</t>
  </si>
  <si>
    <t>GVR 55 FF DC</t>
  </si>
  <si>
    <t>PQS E003/095</t>
  </si>
  <si>
    <t>ZLF80AC</t>
  </si>
  <si>
    <t>PQS E003/096</t>
  </si>
  <si>
    <t>HBCD-90</t>
  </si>
  <si>
    <t>PQS E003/097</t>
  </si>
  <si>
    <t>CFD-50 SDD</t>
  </si>
  <si>
    <t>PQS E003/098</t>
  </si>
  <si>
    <t>VFS 048 SDD</t>
  </si>
  <si>
    <t>PQS E003/099</t>
  </si>
  <si>
    <t>TCW 40R AC</t>
  </si>
  <si>
    <t>PQS E003/100</t>
  </si>
  <si>
    <t>TCW 80 AC</t>
  </si>
  <si>
    <t>PQS E003/101</t>
  </si>
  <si>
    <t>HTC-112</t>
  </si>
  <si>
    <t>PQS E003/102</t>
  </si>
  <si>
    <t>GVR 55 FF AC</t>
  </si>
  <si>
    <t>PQS E003/103</t>
  </si>
  <si>
    <t>Combined icelined refrigerator</t>
  </si>
  <si>
    <t>GVR 25 Lite</t>
  </si>
  <si>
    <t>PQS E003/104</t>
  </si>
  <si>
    <t>GVR 25 Lite DC</t>
  </si>
  <si>
    <t>PQS E003/105</t>
  </si>
  <si>
    <t>VLS 054A SDD Greenline</t>
  </si>
  <si>
    <t>PQS E003/106</t>
  </si>
  <si>
    <t>VLS 094A SDD Greenline</t>
  </si>
  <si>
    <t>PQS E003/107</t>
  </si>
  <si>
    <t>VLS 154A SDD Greenline</t>
  </si>
  <si>
    <t>PQS E003/108</t>
  </si>
  <si>
    <t>VLS 204A</t>
  </si>
  <si>
    <t>PQS E003/109</t>
  </si>
  <si>
    <t>VLS 304A AC</t>
  </si>
  <si>
    <t>PQS E003/110</t>
  </si>
  <si>
    <t>VLS 354A AC</t>
  </si>
  <si>
    <t>PQS E003/111</t>
  </si>
  <si>
    <t>VLS 404A AC</t>
  </si>
  <si>
    <t>PQS E003/112</t>
  </si>
  <si>
    <t>VLS 504A AC</t>
  </si>
  <si>
    <t>PQS E003/113</t>
  </si>
  <si>
    <t>HBC-120</t>
  </si>
  <si>
    <t>PQS E003/114</t>
  </si>
  <si>
    <t>HBC-240</t>
  </si>
  <si>
    <t>PQS E003/115</t>
  </si>
  <si>
    <t>Solar Direct Drive Refrigerator</t>
  </si>
  <si>
    <t>HTC-120</t>
  </si>
  <si>
    <t>PQS E003/116</t>
  </si>
  <si>
    <t>HTC-240</t>
  </si>
  <si>
    <t>PQS E003/117</t>
  </si>
  <si>
    <t>ARKTEK YBC-10 SDD</t>
  </si>
  <si>
    <t>PQS E003/118</t>
  </si>
  <si>
    <t>VLS 076 SDD</t>
  </si>
  <si>
    <t>PQS E003/119</t>
  </si>
  <si>
    <t>VLS 174A AC</t>
  </si>
  <si>
    <t>PQS E003/120</t>
  </si>
  <si>
    <t>IRL</t>
  </si>
  <si>
    <t>TCW 80-SDD</t>
  </si>
  <si>
    <t>PQS E003/121</t>
  </si>
  <si>
    <t>Coolfinity Medical B.V.</t>
  </si>
  <si>
    <t>IceVolt 300P</t>
  </si>
  <si>
    <t>PQS E003/122</t>
  </si>
  <si>
    <t>#R290</t>
  </si>
  <si>
    <t xml:space="preserve"> TCW 120 AC</t>
  </si>
  <si>
    <t>PQS E003/123</t>
  </si>
  <si>
    <t>Solar direct drive combined refrigerator/freeze</t>
  </si>
  <si>
    <t xml:space="preserve"> TCW 120 SDD</t>
  </si>
  <si>
    <t>PQS E003/124</t>
  </si>
  <si>
    <t>Vaccine Freezer - Ultralow Temperature Storage</t>
  </si>
  <si>
    <t>U201</t>
  </si>
  <si>
    <t>PQS E003/125</t>
  </si>
  <si>
    <t>ULTF</t>
  </si>
  <si>
    <t>#rR290</t>
  </si>
  <si>
    <t>NA</t>
  </si>
  <si>
    <t>Vaccine freezer</t>
  </si>
  <si>
    <t>HBD-86</t>
  </si>
  <si>
    <t>PQS E003/126</t>
  </si>
  <si>
    <t>Western Refrigeration</t>
  </si>
  <si>
    <t>VFW140H-HC</t>
  </si>
  <si>
    <t>PQS E003/127</t>
  </si>
  <si>
    <t>VFW310H-HC</t>
  </si>
  <si>
    <t>PQS E003/128</t>
  </si>
  <si>
    <t>Non Refrigerator</t>
  </si>
  <si>
    <t>Non-PQS ILR-36</t>
  </si>
  <si>
    <t>Non-PQS ILR-70</t>
  </si>
  <si>
    <t>Non-PQS ILR-100</t>
  </si>
  <si>
    <t>Non-PQS ILR-150</t>
  </si>
  <si>
    <t>Non-PQS ILR-200</t>
  </si>
  <si>
    <t>Refrigerator and freezer database</t>
  </si>
  <si>
    <t>Indicator per unit volume</t>
  </si>
  <si>
    <t>Equipment identification</t>
  </si>
  <si>
    <t>Net storage capacity (litres)</t>
  </si>
  <si>
    <t>Waterpack production capacities</t>
  </si>
  <si>
    <t>Holdover time (hours)</t>
  </si>
  <si>
    <t>Power consumption</t>
  </si>
  <si>
    <t>Price characteristics</t>
  </si>
  <si>
    <t xml:space="preserve">Gross volumes (litres) </t>
  </si>
  <si>
    <t>External dimensions (cm)</t>
  </si>
  <si>
    <t>Shipping characteristics</t>
  </si>
  <si>
    <t>Investment cost</t>
  </si>
  <si>
    <t>Energy consumption</t>
  </si>
  <si>
    <t>weight (kg)</t>
  </si>
  <si>
    <t>refrigeration ($/litre)</t>
  </si>
  <si>
    <t>Icepack freezing ($/kg)</t>
  </si>
  <si>
    <t>refrigeration (kWh/litre)</t>
  </si>
  <si>
    <t>refrigeration (litre/litre)</t>
  </si>
  <si>
    <t>freezing (kWh/litre)</t>
  </si>
  <si>
    <t>freezing (litre/litre)</t>
  </si>
  <si>
    <t>Nbr. of products listed:</t>
  </si>
  <si>
    <t>Passive container database</t>
  </si>
  <si>
    <t xml:space="preserve">No user action required </t>
  </si>
  <si>
    <t>Nbr of products listed:</t>
  </si>
  <si>
    <t>Vaccine storage</t>
  </si>
  <si>
    <t>Weight (kg)</t>
  </si>
  <si>
    <t>Vaccine storage dimensions</t>
  </si>
  <si>
    <t>Water-packs required</t>
  </si>
  <si>
    <t>Cold life</t>
  </si>
  <si>
    <t>Warm life</t>
  </si>
  <si>
    <t>Cool life</t>
  </si>
  <si>
    <t>Price</t>
  </si>
  <si>
    <t>External volume (litres)</t>
  </si>
  <si>
    <t>Bulking factor</t>
  </si>
  <si>
    <t>Make</t>
  </si>
  <si>
    <t>Model</t>
  </si>
  <si>
    <t>Type ref</t>
  </si>
  <si>
    <t>capacity (l)</t>
  </si>
  <si>
    <t>loaded</t>
  </si>
  <si>
    <t>empty</t>
  </si>
  <si>
    <t>Number</t>
  </si>
  <si>
    <t>FOB ($)</t>
  </si>
  <si>
    <t>(Ext vol/ vax capacity)</t>
  </si>
  <si>
    <t>(-70°C)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</si>
</sst>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0.0"/>
    <numFmt numFmtId="166" formatCode="#,##0.00;[Red]#,##0.00"/>
    <numFmt numFmtId="167" formatCode="#,##0;[Red]#,##0"/>
    <numFmt numFmtId="168" formatCode="#,##0.0;[Red]#,##0.0"/>
    <numFmt numFmtId="169" formatCode="0.000"/>
    <numFmt numFmtId="170" formatCode="[$€-2]\ #,##0.0"/>
    <numFmt numFmtId="171" formatCode="_-&quot;$&quot;* #,##0.0_-;\-&quot;$&quot;* #,##0.0_-;_-&quot;$&quot;* &quot;-&quot;?_-;_-@_-"/>
  </numFmts>
  <fonts count="36" x14ac:knownFonts="1">
    <font>
      <sz val="10"/>
      <name val="Arial"/>
    </font>
    <font>
      <b/>
      <sz val="16"/>
      <color indexed="9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9"/>
      <name val="Calibri"/>
      <family val="2"/>
      <scheme val="minor"/>
    </font>
    <font>
      <u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10"/>
      <name val="Calibri"/>
      <family val="2"/>
      <scheme val="minor"/>
    </font>
    <font>
      <u/>
      <sz val="9"/>
      <color indexed="12"/>
      <name val="Calibri"/>
      <family val="2"/>
      <scheme val="minor"/>
    </font>
    <font>
      <i/>
      <sz val="8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indexed="9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b/>
      <sz val="12"/>
      <color indexed="9"/>
      <name val="Calibri"/>
      <family val="2"/>
    </font>
    <font>
      <sz val="8"/>
      <name val="Calibri"/>
      <family val="2"/>
    </font>
    <font>
      <b/>
      <sz val="11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  <font>
      <b/>
      <sz val="10"/>
      <color rgb="FF0033CC"/>
      <name val="Calibri"/>
      <family val="2"/>
      <scheme val="minor"/>
    </font>
    <font>
      <b/>
      <sz val="9"/>
      <color rgb="FF0033CC"/>
      <name val="Calibri"/>
      <family val="2"/>
      <scheme val="minor"/>
    </font>
    <font>
      <sz val="9"/>
      <color rgb="FF0033CC"/>
      <name val="Calibri"/>
      <family val="2"/>
      <scheme val="minor"/>
    </font>
    <font>
      <sz val="10"/>
      <color rgb="FF0033CC"/>
      <name val="Calibri"/>
      <family val="2"/>
      <scheme val="minor"/>
    </font>
    <font>
      <sz val="9"/>
      <name val="Arial Narrow"/>
      <family val="2"/>
    </font>
    <font>
      <b/>
      <sz val="8"/>
      <name val="Calibri"/>
      <family val="2"/>
      <scheme val="minor"/>
    </font>
    <font>
      <b/>
      <sz val="10"/>
      <color rgb="FF0033CC"/>
      <name val="Arial Narrow"/>
      <family val="2"/>
    </font>
    <font>
      <b/>
      <sz val="9"/>
      <color rgb="FF0033CC"/>
      <name val="Arial Narrow"/>
      <family val="2"/>
    </font>
    <font>
      <sz val="9"/>
      <color rgb="FF0033CC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22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/>
    <xf numFmtId="166" fontId="4" fillId="2" borderId="0" xfId="0" applyNumberFormat="1" applyFont="1" applyFill="1"/>
    <xf numFmtId="167" fontId="4" fillId="2" borderId="0" xfId="0" applyNumberFormat="1" applyFont="1" applyFill="1"/>
    <xf numFmtId="167" fontId="3" fillId="2" borderId="0" xfId="1" applyNumberFormat="1" applyFont="1" applyFill="1" applyAlignment="1" applyProtection="1">
      <alignment vertical="center"/>
    </xf>
    <xf numFmtId="2" fontId="6" fillId="2" borderId="0" xfId="0" applyNumberFormat="1" applyFont="1" applyFill="1" applyAlignment="1">
      <alignment horizontal="right" vertical="center"/>
    </xf>
    <xf numFmtId="2" fontId="3" fillId="2" borderId="0" xfId="1" applyNumberFormat="1" applyFont="1" applyFill="1" applyBorder="1" applyAlignment="1" applyProtection="1">
      <alignment horizontal="right" vertical="center"/>
    </xf>
    <xf numFmtId="0" fontId="3" fillId="2" borderId="0" xfId="1" applyFont="1" applyFill="1" applyAlignment="1" applyProtection="1">
      <alignment horizontal="center" vertical="center"/>
    </xf>
    <xf numFmtId="0" fontId="4" fillId="2" borderId="0" xfId="0" applyFont="1" applyFill="1"/>
    <xf numFmtId="0" fontId="2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3" borderId="0" xfId="0" applyFont="1" applyFill="1" applyAlignment="1">
      <alignment horizontal="left"/>
    </xf>
    <xf numFmtId="165" fontId="8" fillId="3" borderId="0" xfId="0" applyNumberFormat="1" applyFont="1" applyFill="1"/>
    <xf numFmtId="166" fontId="8" fillId="3" borderId="0" xfId="0" applyNumberFormat="1" applyFont="1" applyFill="1"/>
    <xf numFmtId="165" fontId="8" fillId="3" borderId="0" xfId="0" applyNumberFormat="1" applyFont="1" applyFill="1" applyAlignment="1">
      <alignment horizontal="right"/>
    </xf>
    <xf numFmtId="1" fontId="8" fillId="4" borderId="1" xfId="0" applyNumberFormat="1" applyFont="1" applyFill="1" applyBorder="1"/>
    <xf numFmtId="167" fontId="8" fillId="3" borderId="0" xfId="0" applyNumberFormat="1" applyFont="1" applyFill="1"/>
    <xf numFmtId="2" fontId="8" fillId="3" borderId="0" xfId="0" applyNumberFormat="1" applyFont="1" applyFill="1" applyAlignment="1">
      <alignment horizontal="right"/>
    </xf>
    <xf numFmtId="0" fontId="2" fillId="3" borderId="0" xfId="0" applyFont="1" applyFill="1"/>
    <xf numFmtId="0" fontId="8" fillId="0" borderId="0" xfId="0" applyFont="1"/>
    <xf numFmtId="0" fontId="10" fillId="2" borderId="2" xfId="0" applyFont="1" applyFill="1" applyBorder="1" applyAlignment="1">
      <alignment horizontal="centerContinuous" vertical="center"/>
    </xf>
    <xf numFmtId="0" fontId="10" fillId="2" borderId="3" xfId="0" applyFont="1" applyFill="1" applyBorder="1" applyAlignment="1">
      <alignment horizontal="centerContinuous" vertical="center"/>
    </xf>
    <xf numFmtId="165" fontId="10" fillId="2" borderId="4" xfId="0" applyNumberFormat="1" applyFont="1" applyFill="1" applyBorder="1" applyAlignment="1">
      <alignment horizontal="center" vertical="center"/>
    </xf>
    <xf numFmtId="166" fontId="10" fillId="2" borderId="4" xfId="0" applyNumberFormat="1" applyFont="1" applyFill="1" applyBorder="1" applyAlignment="1">
      <alignment horizontal="centerContinuous" vertical="center"/>
    </xf>
    <xf numFmtId="165" fontId="10" fillId="2" borderId="3" xfId="0" applyNumberFormat="1" applyFont="1" applyFill="1" applyBorder="1" applyAlignment="1">
      <alignment horizontal="centerContinuous" vertical="center"/>
    </xf>
    <xf numFmtId="165" fontId="10" fillId="2" borderId="2" xfId="0" applyNumberFormat="1" applyFont="1" applyFill="1" applyBorder="1" applyAlignment="1">
      <alignment horizontal="centerContinuous" vertical="center"/>
    </xf>
    <xf numFmtId="165" fontId="10" fillId="2" borderId="5" xfId="0" applyNumberFormat="1" applyFont="1" applyFill="1" applyBorder="1" applyAlignment="1">
      <alignment horizontal="centerContinuous" vertical="center"/>
    </xf>
    <xf numFmtId="0" fontId="10" fillId="2" borderId="4" xfId="0" applyFont="1" applyFill="1" applyBorder="1" applyAlignment="1">
      <alignment horizontal="center" vertical="center"/>
    </xf>
    <xf numFmtId="2" fontId="10" fillId="2" borderId="5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165" fontId="6" fillId="2" borderId="7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165" fontId="10" fillId="2" borderId="3" xfId="0" applyNumberFormat="1" applyFont="1" applyFill="1" applyBorder="1" applyAlignment="1">
      <alignment horizontal="center" vertical="center"/>
    </xf>
    <xf numFmtId="166" fontId="10" fillId="2" borderId="4" xfId="0" applyNumberFormat="1" applyFont="1" applyFill="1" applyBorder="1" applyAlignment="1">
      <alignment horizontal="center" vertical="center"/>
    </xf>
    <xf numFmtId="166" fontId="10" fillId="2" borderId="5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quotePrefix="1" applyFont="1" applyFill="1" applyBorder="1" applyAlignment="1">
      <alignment horizontal="center" vertical="center"/>
    </xf>
    <xf numFmtId="165" fontId="10" fillId="2" borderId="8" xfId="0" quotePrefix="1" applyNumberFormat="1" applyFont="1" applyFill="1" applyBorder="1" applyAlignment="1">
      <alignment horizontal="center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1" fillId="2" borderId="4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165" fontId="10" fillId="2" borderId="12" xfId="0" applyNumberFormat="1" applyFont="1" applyFill="1" applyBorder="1" applyAlignment="1">
      <alignment horizontal="center" vertical="center"/>
    </xf>
    <xf numFmtId="166" fontId="10" fillId="2" borderId="10" xfId="0" applyNumberFormat="1" applyFont="1" applyFill="1" applyBorder="1" applyAlignment="1">
      <alignment horizontal="center" vertical="center"/>
    </xf>
    <xf numFmtId="166" fontId="10" fillId="2" borderId="11" xfId="0" applyNumberFormat="1" applyFont="1" applyFill="1" applyBorder="1" applyAlignment="1">
      <alignment horizontal="center" vertical="center"/>
    </xf>
    <xf numFmtId="165" fontId="10" fillId="2" borderId="10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quotePrefix="1" applyFont="1" applyFill="1" applyBorder="1" applyAlignment="1">
      <alignment horizontal="center" vertical="center"/>
    </xf>
    <xf numFmtId="2" fontId="10" fillId="2" borderId="11" xfId="0" applyNumberFormat="1" applyFont="1" applyFill="1" applyBorder="1" applyAlignment="1">
      <alignment horizontal="right" vertical="center"/>
    </xf>
    <xf numFmtId="0" fontId="11" fillId="2" borderId="10" xfId="0" applyFont="1" applyFill="1" applyBorder="1" applyAlignment="1">
      <alignment vertical="center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3" xfId="0" applyFont="1" applyBorder="1" applyProtection="1">
      <protection locked="0"/>
    </xf>
    <xf numFmtId="165" fontId="8" fillId="0" borderId="13" xfId="0" applyNumberFormat="1" applyFont="1" applyBorder="1" applyAlignment="1" applyProtection="1">
      <alignment horizontal="center"/>
      <protection locked="0"/>
    </xf>
    <xf numFmtId="166" fontId="8" fillId="0" borderId="13" xfId="0" applyNumberFormat="1" applyFont="1" applyBorder="1" applyAlignment="1" applyProtection="1">
      <alignment horizontal="center"/>
      <protection locked="0"/>
    </xf>
    <xf numFmtId="165" fontId="8" fillId="0" borderId="13" xfId="0" applyNumberFormat="1" applyFont="1" applyBorder="1" applyProtection="1">
      <protection locked="0"/>
    </xf>
    <xf numFmtId="168" fontId="8" fillId="0" borderId="13" xfId="0" applyNumberFormat="1" applyFont="1" applyBorder="1" applyAlignment="1" applyProtection="1">
      <alignment horizontal="center"/>
      <protection locked="0"/>
    </xf>
    <xf numFmtId="167" fontId="8" fillId="0" borderId="13" xfId="0" applyNumberFormat="1" applyFont="1" applyBorder="1" applyAlignment="1" applyProtection="1">
      <alignment horizontal="center"/>
      <protection locked="0"/>
    </xf>
    <xf numFmtId="2" fontId="8" fillId="0" borderId="13" xfId="0" applyNumberFormat="1" applyFont="1" applyBorder="1" applyAlignment="1" applyProtection="1">
      <alignment horizontal="right"/>
      <protection locked="0"/>
    </xf>
    <xf numFmtId="168" fontId="8" fillId="5" borderId="14" xfId="0" applyNumberFormat="1" applyFont="1" applyFill="1" applyBorder="1" applyAlignment="1">
      <alignment horizontal="center"/>
    </xf>
    <xf numFmtId="2" fontId="8" fillId="5" borderId="13" xfId="0" applyNumberFormat="1" applyFont="1" applyFill="1" applyBorder="1"/>
    <xf numFmtId="169" fontId="8" fillId="5" borderId="13" xfId="0" applyNumberFormat="1" applyFont="1" applyFill="1" applyBorder="1"/>
    <xf numFmtId="165" fontId="8" fillId="5" borderId="13" xfId="0" applyNumberFormat="1" applyFont="1" applyFill="1" applyBorder="1"/>
    <xf numFmtId="165" fontId="12" fillId="0" borderId="14" xfId="0" applyNumberFormat="1" applyFont="1" applyBorder="1" applyAlignment="1" applyProtection="1">
      <alignment horizontal="right"/>
      <protection locked="0"/>
    </xf>
    <xf numFmtId="0" fontId="8" fillId="0" borderId="13" xfId="0" quotePrefix="1" applyFont="1" applyBorder="1" applyAlignment="1" applyProtection="1">
      <alignment horizontal="left"/>
      <protection locked="0"/>
    </xf>
    <xf numFmtId="165" fontId="12" fillId="0" borderId="13" xfId="0" applyNumberFormat="1" applyFont="1" applyBorder="1" applyAlignment="1" applyProtection="1">
      <alignment horizontal="right"/>
      <protection locked="0"/>
    </xf>
    <xf numFmtId="165" fontId="12" fillId="0" borderId="13" xfId="0" applyNumberFormat="1" applyFont="1" applyBorder="1" applyProtection="1">
      <protection locked="0"/>
    </xf>
    <xf numFmtId="0" fontId="12" fillId="0" borderId="13" xfId="0" applyFont="1" applyBorder="1" applyAlignment="1" applyProtection="1">
      <alignment horizontal="left"/>
      <protection locked="0"/>
    </xf>
    <xf numFmtId="0" fontId="12" fillId="0" borderId="13" xfId="0" applyFont="1" applyBorder="1" applyProtection="1">
      <protection locked="0"/>
    </xf>
    <xf numFmtId="165" fontId="12" fillId="0" borderId="13" xfId="0" applyNumberFormat="1" applyFont="1" applyBorder="1" applyAlignment="1" applyProtection="1">
      <alignment horizontal="center"/>
      <protection locked="0"/>
    </xf>
    <xf numFmtId="166" fontId="12" fillId="0" borderId="13" xfId="0" applyNumberFormat="1" applyFont="1" applyBorder="1" applyAlignment="1" applyProtection="1">
      <alignment horizontal="center"/>
      <protection locked="0"/>
    </xf>
    <xf numFmtId="168" fontId="12" fillId="0" borderId="13" xfId="0" applyNumberFormat="1" applyFont="1" applyBorder="1" applyAlignment="1" applyProtection="1">
      <alignment horizontal="center"/>
      <protection locked="0"/>
    </xf>
    <xf numFmtId="167" fontId="12" fillId="0" borderId="13" xfId="0" applyNumberFormat="1" applyFont="1" applyBorder="1" applyAlignment="1" applyProtection="1">
      <alignment horizontal="center"/>
      <protection locked="0"/>
    </xf>
    <xf numFmtId="168" fontId="12" fillId="0" borderId="14" xfId="0" applyNumberFormat="1" applyFont="1" applyBorder="1" applyAlignment="1" applyProtection="1">
      <alignment horizontal="center"/>
      <protection locked="0"/>
    </xf>
    <xf numFmtId="165" fontId="12" fillId="0" borderId="14" xfId="0" applyNumberFormat="1" applyFont="1" applyBorder="1" applyAlignment="1" applyProtection="1">
      <alignment horizontal="center"/>
      <protection locked="0"/>
    </xf>
    <xf numFmtId="2" fontId="8" fillId="0" borderId="0" xfId="0" applyNumberFormat="1" applyFont="1" applyAlignment="1">
      <alignment horizontal="right"/>
    </xf>
    <xf numFmtId="168" fontId="12" fillId="5" borderId="14" xfId="0" applyNumberFormat="1" applyFont="1" applyFill="1" applyBorder="1" applyAlignment="1">
      <alignment horizontal="center"/>
    </xf>
    <xf numFmtId="0" fontId="8" fillId="0" borderId="15" xfId="0" applyFont="1" applyBorder="1" applyProtection="1">
      <protection locked="0"/>
    </xf>
    <xf numFmtId="0" fontId="8" fillId="0" borderId="15" xfId="0" applyFont="1" applyBorder="1" applyAlignment="1" applyProtection="1">
      <alignment horizontal="left"/>
      <protection locked="0"/>
    </xf>
    <xf numFmtId="165" fontId="8" fillId="0" borderId="15" xfId="0" applyNumberFormat="1" applyFont="1" applyBorder="1" applyAlignment="1" applyProtection="1">
      <alignment horizontal="center"/>
      <protection locked="0"/>
    </xf>
    <xf numFmtId="166" fontId="8" fillId="0" borderId="15" xfId="0" applyNumberFormat="1" applyFont="1" applyBorder="1" applyAlignment="1" applyProtection="1">
      <alignment horizontal="center"/>
      <protection locked="0"/>
    </xf>
    <xf numFmtId="165" fontId="8" fillId="0" borderId="15" xfId="0" applyNumberFormat="1" applyFont="1" applyBorder="1" applyProtection="1">
      <protection locked="0"/>
    </xf>
    <xf numFmtId="168" fontId="8" fillId="0" borderId="15" xfId="0" applyNumberFormat="1" applyFont="1" applyBorder="1" applyAlignment="1" applyProtection="1">
      <alignment horizontal="center"/>
      <protection locked="0"/>
    </xf>
    <xf numFmtId="167" fontId="8" fillId="0" borderId="15" xfId="0" applyNumberFormat="1" applyFont="1" applyBorder="1" applyAlignment="1" applyProtection="1">
      <alignment horizontal="center"/>
      <protection locked="0"/>
    </xf>
    <xf numFmtId="2" fontId="8" fillId="0" borderId="15" xfId="0" applyNumberFormat="1" applyFont="1" applyBorder="1" applyAlignment="1" applyProtection="1">
      <alignment horizontal="right"/>
      <protection locked="0"/>
    </xf>
    <xf numFmtId="168" fontId="8" fillId="5" borderId="15" xfId="0" applyNumberFormat="1" applyFont="1" applyFill="1" applyBorder="1" applyAlignment="1">
      <alignment horizontal="center"/>
    </xf>
    <xf numFmtId="2" fontId="8" fillId="5" borderId="15" xfId="0" applyNumberFormat="1" applyFont="1" applyFill="1" applyBorder="1"/>
    <xf numFmtId="169" fontId="8" fillId="5" borderId="15" xfId="0" applyNumberFormat="1" applyFont="1" applyFill="1" applyBorder="1"/>
    <xf numFmtId="165" fontId="8" fillId="5" borderId="15" xfId="0" applyNumberFormat="1" applyFont="1" applyFill="1" applyBorder="1"/>
    <xf numFmtId="0" fontId="12" fillId="0" borderId="14" xfId="0" applyFont="1" applyBorder="1" applyAlignment="1" applyProtection="1">
      <alignment horizontal="left"/>
      <protection locked="0"/>
    </xf>
    <xf numFmtId="0" fontId="12" fillId="0" borderId="14" xfId="0" applyFont="1" applyBorder="1" applyProtection="1">
      <protection locked="0"/>
    </xf>
    <xf numFmtId="166" fontId="12" fillId="0" borderId="14" xfId="0" applyNumberFormat="1" applyFont="1" applyBorder="1" applyAlignment="1" applyProtection="1">
      <alignment horizontal="center"/>
      <protection locked="0"/>
    </xf>
    <xf numFmtId="165" fontId="12" fillId="0" borderId="14" xfId="0" applyNumberFormat="1" applyFont="1" applyBorder="1" applyProtection="1">
      <protection locked="0"/>
    </xf>
    <xf numFmtId="167" fontId="12" fillId="0" borderId="14" xfId="0" applyNumberFormat="1" applyFont="1" applyBorder="1" applyAlignment="1" applyProtection="1">
      <alignment horizontal="center"/>
      <protection locked="0"/>
    </xf>
    <xf numFmtId="2" fontId="12" fillId="0" borderId="14" xfId="0" applyNumberFormat="1" applyFont="1" applyBorder="1" applyAlignment="1" applyProtection="1">
      <alignment horizontal="right"/>
      <protection locked="0"/>
    </xf>
    <xf numFmtId="2" fontId="8" fillId="5" borderId="14" xfId="0" applyNumberFormat="1" applyFont="1" applyFill="1" applyBorder="1"/>
    <xf numFmtId="169" fontId="8" fillId="5" borderId="14" xfId="0" applyNumberFormat="1" applyFont="1" applyFill="1" applyBorder="1"/>
    <xf numFmtId="165" fontId="8" fillId="5" borderId="14" xfId="0" applyNumberFormat="1" applyFont="1" applyFill="1" applyBorder="1"/>
    <xf numFmtId="2" fontId="12" fillId="0" borderId="13" xfId="0" applyNumberFormat="1" applyFont="1" applyBorder="1" applyAlignment="1" applyProtection="1">
      <alignment horizontal="right"/>
      <protection locked="0"/>
    </xf>
    <xf numFmtId="0" fontId="12" fillId="0" borderId="13" xfId="0" quotePrefix="1" applyFont="1" applyBorder="1" applyAlignment="1" applyProtection="1">
      <alignment horizontal="left"/>
      <protection locked="0"/>
    </xf>
    <xf numFmtId="165" fontId="8" fillId="0" borderId="13" xfId="0" applyNumberFormat="1" applyFont="1" applyBorder="1" applyAlignment="1" applyProtection="1">
      <alignment horizontal="right"/>
      <protection locked="0"/>
    </xf>
    <xf numFmtId="2" fontId="8" fillId="5" borderId="13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13" fillId="0" borderId="0" xfId="1" applyFont="1" applyAlignment="1" applyProtection="1"/>
    <xf numFmtId="0" fontId="7" fillId="0" borderId="0" xfId="0" applyFont="1"/>
    <xf numFmtId="0" fontId="8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2" applyFont="1" applyAlignment="1">
      <alignment horizontal="right"/>
    </xf>
    <xf numFmtId="0" fontId="14" fillId="3" borderId="0" xfId="2" applyFont="1" applyFill="1"/>
    <xf numFmtId="167" fontId="8" fillId="0" borderId="0" xfId="0" applyNumberFormat="1" applyFont="1"/>
    <xf numFmtId="0" fontId="16" fillId="0" borderId="0" xfId="0" applyFont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 applyAlignment="1">
      <alignment horizontal="left"/>
    </xf>
    <xf numFmtId="0" fontId="19" fillId="2" borderId="0" xfId="0" applyFont="1" applyFill="1"/>
    <xf numFmtId="167" fontId="19" fillId="2" borderId="0" xfId="0" applyNumberFormat="1" applyFont="1" applyFill="1"/>
    <xf numFmtId="0" fontId="20" fillId="0" borderId="0" xfId="0" applyFont="1"/>
    <xf numFmtId="0" fontId="21" fillId="2" borderId="16" xfId="0" applyFont="1" applyFill="1" applyBorder="1" applyAlignment="1">
      <alignment horizontal="centerContinuous"/>
    </xf>
    <xf numFmtId="0" fontId="21" fillId="2" borderId="6" xfId="0" applyFont="1" applyFill="1" applyBorder="1" applyAlignment="1">
      <alignment horizontal="centerContinuous"/>
    </xf>
    <xf numFmtId="0" fontId="21" fillId="2" borderId="7" xfId="0" applyFont="1" applyFill="1" applyBorder="1" applyAlignment="1">
      <alignment horizontal="centerContinuous"/>
    </xf>
    <xf numFmtId="0" fontId="22" fillId="0" borderId="0" xfId="0" applyFont="1"/>
    <xf numFmtId="0" fontId="23" fillId="6" borderId="3" xfId="2" applyFont="1" applyFill="1" applyBorder="1" applyAlignment="1">
      <alignment horizontal="centerContinuous" vertical="center"/>
    </xf>
    <xf numFmtId="0" fontId="23" fillId="6" borderId="2" xfId="2" applyFont="1" applyFill="1" applyBorder="1" applyAlignment="1">
      <alignment horizontal="centerContinuous" vertical="center"/>
    </xf>
    <xf numFmtId="0" fontId="24" fillId="0" borderId="0" xfId="0" applyFont="1" applyAlignment="1">
      <alignment vertical="center"/>
    </xf>
    <xf numFmtId="0" fontId="11" fillId="4" borderId="16" xfId="2" applyFont="1" applyFill="1" applyBorder="1" applyAlignment="1">
      <alignment horizontal="centerContinuous" vertical="center"/>
    </xf>
    <xf numFmtId="0" fontId="11" fillId="4" borderId="7" xfId="2" applyFont="1" applyFill="1" applyBorder="1" applyAlignment="1">
      <alignment horizontal="centerContinuous" vertical="center"/>
    </xf>
    <xf numFmtId="0" fontId="11" fillId="4" borderId="3" xfId="2" applyFont="1" applyFill="1" applyBorder="1" applyAlignment="1">
      <alignment horizontal="centerContinuous" vertical="center"/>
    </xf>
    <xf numFmtId="0" fontId="11" fillId="4" borderId="5" xfId="2" applyFont="1" applyFill="1" applyBorder="1" applyAlignment="1">
      <alignment horizontal="centerContinuous" vertical="center"/>
    </xf>
    <xf numFmtId="0" fontId="25" fillId="0" borderId="0" xfId="0" applyFont="1" applyAlignment="1">
      <alignment vertical="center"/>
    </xf>
    <xf numFmtId="0" fontId="26" fillId="6" borderId="17" xfId="2" applyFont="1" applyFill="1" applyBorder="1"/>
    <xf numFmtId="0" fontId="26" fillId="6" borderId="10" xfId="2" applyFont="1" applyFill="1" applyBorder="1"/>
    <xf numFmtId="0" fontId="27" fillId="6" borderId="10" xfId="2" applyFont="1" applyFill="1" applyBorder="1" applyAlignment="1">
      <alignment horizontal="left" wrapText="1"/>
    </xf>
    <xf numFmtId="0" fontId="27" fillId="6" borderId="10" xfId="2" applyFont="1" applyFill="1" applyBorder="1" applyAlignment="1">
      <alignment horizontal="left" textRotation="90" wrapText="1"/>
    </xf>
    <xf numFmtId="0" fontId="28" fillId="6" borderId="10" xfId="2" applyFont="1" applyFill="1" applyBorder="1" applyAlignment="1">
      <alignment horizontal="left" textRotation="90" wrapText="1"/>
    </xf>
    <xf numFmtId="0" fontId="29" fillId="6" borderId="10" xfId="2" quotePrefix="1" applyFont="1" applyFill="1" applyBorder="1" applyAlignment="1">
      <alignment horizontal="center" wrapText="1"/>
    </xf>
    <xf numFmtId="0" fontId="29" fillId="6" borderId="10" xfId="2" applyFont="1" applyFill="1" applyBorder="1" applyAlignment="1">
      <alignment horizontal="center" textRotation="90" wrapText="1"/>
    </xf>
    <xf numFmtId="0" fontId="29" fillId="6" borderId="11" xfId="2" applyFont="1" applyFill="1" applyBorder="1" applyAlignment="1">
      <alignment horizontal="center" textRotation="90" wrapText="1"/>
    </xf>
    <xf numFmtId="0" fontId="29" fillId="6" borderId="1" xfId="2" applyFont="1" applyFill="1" applyBorder="1" applyAlignment="1">
      <alignment horizontal="center" textRotation="90" wrapText="1"/>
    </xf>
    <xf numFmtId="0" fontId="30" fillId="4" borderId="1" xfId="0" applyFont="1" applyFill="1" applyBorder="1" applyAlignment="1">
      <alignment horizontal="center" textRotation="90" wrapText="1"/>
    </xf>
    <xf numFmtId="0" fontId="16" fillId="0" borderId="0" xfId="2" applyFont="1" applyAlignment="1">
      <alignment vertical="center"/>
    </xf>
    <xf numFmtId="0" fontId="31" fillId="0" borderId="16" xfId="2" applyFont="1" applyBorder="1" applyAlignment="1">
      <alignment horizontal="centerContinuous" vertical="center"/>
    </xf>
    <xf numFmtId="0" fontId="31" fillId="0" borderId="6" xfId="2" applyFont="1" applyBorder="1" applyAlignment="1">
      <alignment horizontal="centerContinuous" vertical="center"/>
    </xf>
    <xf numFmtId="0" fontId="31" fillId="0" borderId="6" xfId="2" applyFont="1" applyBorder="1" applyAlignment="1">
      <alignment horizontal="center" vertical="center"/>
    </xf>
    <xf numFmtId="0" fontId="31" fillId="0" borderId="6" xfId="2" applyFont="1" applyBorder="1" applyAlignment="1">
      <alignment horizontal="centerContinuous" vertical="center" wrapText="1"/>
    </xf>
    <xf numFmtId="0" fontId="32" fillId="6" borderId="17" xfId="2" applyFont="1" applyFill="1" applyBorder="1"/>
    <xf numFmtId="0" fontId="32" fillId="6" borderId="10" xfId="2" applyFont="1" applyFill="1" applyBorder="1"/>
    <xf numFmtId="0" fontId="33" fillId="6" borderId="10" xfId="2" applyFont="1" applyFill="1" applyBorder="1" applyAlignment="1">
      <alignment horizontal="left" wrapText="1"/>
    </xf>
    <xf numFmtId="0" fontId="34" fillId="6" borderId="10" xfId="2" applyFont="1" applyFill="1" applyBorder="1" applyAlignment="1">
      <alignment horizontal="left" wrapText="1"/>
    </xf>
    <xf numFmtId="0" fontId="33" fillId="6" borderId="11" xfId="2" applyFont="1" applyFill="1" applyBorder="1" applyAlignment="1">
      <alignment horizontal="left" wrapText="1"/>
    </xf>
    <xf numFmtId="0" fontId="33" fillId="6" borderId="12" xfId="2" applyFont="1" applyFill="1" applyBorder="1" applyAlignment="1">
      <alignment horizontal="left" wrapText="1"/>
    </xf>
    <xf numFmtId="0" fontId="30" fillId="4" borderId="1" xfId="0" applyFont="1" applyFill="1" applyBorder="1" applyAlignment="1">
      <alignment horizontal="center" wrapText="1"/>
    </xf>
    <xf numFmtId="0" fontId="25" fillId="0" borderId="0" xfId="0" applyFont="1"/>
    <xf numFmtId="0" fontId="8" fillId="0" borderId="18" xfId="0" applyFont="1" applyBorder="1" applyAlignment="1" applyProtection="1">
      <alignment horizontal="left"/>
      <protection locked="0"/>
    </xf>
    <xf numFmtId="0" fontId="8" fillId="0" borderId="19" xfId="0" applyFont="1" applyBorder="1" applyProtection="1">
      <protection locked="0"/>
    </xf>
    <xf numFmtId="0" fontId="8" fillId="0" borderId="19" xfId="0" applyFont="1" applyBorder="1" applyAlignment="1" applyProtection="1">
      <alignment horizontal="left"/>
      <protection locked="0"/>
    </xf>
    <xf numFmtId="0" fontId="8" fillId="0" borderId="19" xfId="0" applyFont="1" applyBorder="1" applyAlignment="1" applyProtection="1">
      <alignment horizontal="center"/>
      <protection locked="0"/>
    </xf>
    <xf numFmtId="165" fontId="8" fillId="0" borderId="19" xfId="0" applyNumberFormat="1" applyFont="1" applyBorder="1" applyAlignment="1" applyProtection="1">
      <alignment horizontal="center"/>
      <protection locked="0"/>
    </xf>
    <xf numFmtId="2" fontId="8" fillId="0" borderId="19" xfId="0" applyNumberFormat="1" applyFont="1" applyBorder="1" applyAlignment="1" applyProtection="1">
      <alignment horizontal="center"/>
      <protection locked="0"/>
    </xf>
    <xf numFmtId="164" fontId="8" fillId="0" borderId="19" xfId="0" applyNumberFormat="1" applyFont="1" applyBorder="1" applyProtection="1">
      <protection locked="0"/>
    </xf>
    <xf numFmtId="1" fontId="8" fillId="0" borderId="19" xfId="0" applyNumberFormat="1" applyFont="1" applyBorder="1" applyProtection="1">
      <protection locked="0"/>
    </xf>
    <xf numFmtId="165" fontId="8" fillId="0" borderId="20" xfId="0" applyNumberFormat="1" applyFont="1" applyBorder="1" applyAlignment="1" applyProtection="1">
      <alignment horizontal="center"/>
      <protection locked="0"/>
    </xf>
    <xf numFmtId="165" fontId="8" fillId="0" borderId="14" xfId="0" applyNumberFormat="1" applyFont="1" applyBorder="1" applyAlignment="1" applyProtection="1">
      <alignment horizontal="center"/>
      <protection locked="0"/>
    </xf>
    <xf numFmtId="2" fontId="25" fillId="0" borderId="19" xfId="0" applyNumberFormat="1" applyFont="1" applyBorder="1"/>
    <xf numFmtId="169" fontId="25" fillId="0" borderId="19" xfId="0" applyNumberFormat="1" applyFont="1" applyBorder="1"/>
    <xf numFmtId="0" fontId="24" fillId="0" borderId="0" xfId="0" applyFont="1"/>
    <xf numFmtId="0" fontId="8" fillId="0" borderId="21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center"/>
      <protection locked="0"/>
    </xf>
    <xf numFmtId="2" fontId="8" fillId="0" borderId="13" xfId="0" applyNumberFormat="1" applyFont="1" applyBorder="1" applyAlignment="1" applyProtection="1">
      <alignment horizontal="center"/>
      <protection locked="0"/>
    </xf>
    <xf numFmtId="164" fontId="8" fillId="0" borderId="13" xfId="0" applyNumberFormat="1" applyFont="1" applyBorder="1" applyProtection="1">
      <protection locked="0"/>
    </xf>
    <xf numFmtId="1" fontId="8" fillId="0" borderId="13" xfId="0" applyNumberFormat="1" applyFont="1" applyBorder="1" applyProtection="1">
      <protection locked="0"/>
    </xf>
    <xf numFmtId="165" fontId="8" fillId="0" borderId="22" xfId="0" applyNumberFormat="1" applyFont="1" applyBorder="1" applyAlignment="1" applyProtection="1">
      <alignment horizontal="center"/>
      <protection locked="0"/>
    </xf>
    <xf numFmtId="2" fontId="25" fillId="0" borderId="13" xfId="0" applyNumberFormat="1" applyFont="1" applyBorder="1"/>
    <xf numFmtId="169" fontId="25" fillId="0" borderId="13" xfId="0" applyNumberFormat="1" applyFont="1" applyBorder="1"/>
    <xf numFmtId="170" fontId="8" fillId="0" borderId="13" xfId="0" applyNumberFormat="1" applyFont="1" applyBorder="1" applyAlignment="1" applyProtection="1">
      <alignment horizontal="center"/>
      <protection locked="0"/>
    </xf>
    <xf numFmtId="171" fontId="8" fillId="0" borderId="13" xfId="0" applyNumberFormat="1" applyFont="1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horizontal="left"/>
      <protection locked="0"/>
    </xf>
    <xf numFmtId="0" fontId="8" fillId="0" borderId="24" xfId="0" applyFont="1" applyBorder="1" applyProtection="1">
      <protection locked="0"/>
    </xf>
    <xf numFmtId="0" fontId="8" fillId="0" borderId="24" xfId="0" applyFont="1" applyBorder="1" applyAlignment="1" applyProtection="1">
      <alignment horizontal="left"/>
      <protection locked="0"/>
    </xf>
    <xf numFmtId="0" fontId="8" fillId="0" borderId="24" xfId="0" applyFont="1" applyBorder="1" applyAlignment="1" applyProtection="1">
      <alignment horizontal="center"/>
      <protection locked="0"/>
    </xf>
    <xf numFmtId="165" fontId="8" fillId="0" borderId="24" xfId="0" applyNumberFormat="1" applyFont="1" applyBorder="1" applyAlignment="1" applyProtection="1">
      <alignment horizontal="center"/>
      <protection locked="0"/>
    </xf>
    <xf numFmtId="2" fontId="8" fillId="0" borderId="24" xfId="0" applyNumberFormat="1" applyFont="1" applyBorder="1" applyAlignment="1" applyProtection="1">
      <alignment horizontal="center"/>
      <protection locked="0"/>
    </xf>
    <xf numFmtId="164" fontId="8" fillId="0" borderId="24" xfId="0" applyNumberFormat="1" applyFont="1" applyBorder="1" applyProtection="1">
      <protection locked="0"/>
    </xf>
    <xf numFmtId="1" fontId="8" fillId="0" borderId="24" xfId="0" applyNumberFormat="1" applyFont="1" applyBorder="1" applyProtection="1">
      <protection locked="0"/>
    </xf>
    <xf numFmtId="165" fontId="8" fillId="0" borderId="25" xfId="0" applyNumberFormat="1" applyFont="1" applyBorder="1" applyAlignment="1" applyProtection="1">
      <alignment horizontal="center"/>
      <protection locked="0"/>
    </xf>
    <xf numFmtId="0" fontId="35" fillId="0" borderId="0" xfId="0" applyFont="1"/>
    <xf numFmtId="0" fontId="8" fillId="0" borderId="23" xfId="0" applyFont="1" applyBorder="1" applyProtection="1">
      <protection locked="0"/>
    </xf>
    <xf numFmtId="165" fontId="8" fillId="0" borderId="24" xfId="0" applyNumberFormat="1" applyFont="1" applyBorder="1" applyAlignment="1" applyProtection="1">
      <alignment horizontal="center" wrapText="1"/>
      <protection locked="0"/>
    </xf>
    <xf numFmtId="0" fontId="8" fillId="7" borderId="23" xfId="0" applyFont="1" applyFill="1" applyBorder="1" applyAlignment="1" applyProtection="1">
      <alignment horizontal="left"/>
      <protection locked="0"/>
    </xf>
    <xf numFmtId="0" fontId="8" fillId="7" borderId="24" xfId="0" applyFont="1" applyFill="1" applyBorder="1" applyAlignment="1" applyProtection="1">
      <alignment horizontal="left"/>
      <protection locked="0"/>
    </xf>
    <xf numFmtId="0" fontId="8" fillId="7" borderId="24" xfId="0" applyFont="1" applyFill="1" applyBorder="1" applyAlignment="1" applyProtection="1">
      <alignment horizontal="center"/>
      <protection locked="0"/>
    </xf>
    <xf numFmtId="165" fontId="8" fillId="7" borderId="24" xfId="0" applyNumberFormat="1" applyFont="1" applyFill="1" applyBorder="1" applyAlignment="1" applyProtection="1">
      <alignment horizontal="center"/>
      <protection locked="0"/>
    </xf>
    <xf numFmtId="2" fontId="8" fillId="7" borderId="24" xfId="0" applyNumberFormat="1" applyFont="1" applyFill="1" applyBorder="1" applyAlignment="1" applyProtection="1">
      <alignment horizontal="center"/>
      <protection locked="0"/>
    </xf>
    <xf numFmtId="164" fontId="8" fillId="7" borderId="24" xfId="0" applyNumberFormat="1" applyFont="1" applyFill="1" applyBorder="1" applyProtection="1">
      <protection locked="0"/>
    </xf>
    <xf numFmtId="1" fontId="8" fillId="7" borderId="24" xfId="0" applyNumberFormat="1" applyFont="1" applyFill="1" applyBorder="1" applyProtection="1">
      <protection locked="0"/>
    </xf>
    <xf numFmtId="165" fontId="8" fillId="7" borderId="25" xfId="0" applyNumberFormat="1" applyFont="1" applyFill="1" applyBorder="1" applyAlignment="1" applyProtection="1">
      <alignment horizontal="center"/>
      <protection locked="0"/>
    </xf>
    <xf numFmtId="0" fontId="35" fillId="0" borderId="0" xfId="0" applyFont="1" applyAlignment="1">
      <alignment horizontal="left"/>
    </xf>
    <xf numFmtId="167" fontId="35" fillId="0" borderId="0" xfId="0" applyNumberFormat="1" applyFont="1"/>
    <xf numFmtId="0" fontId="11" fillId="6" borderId="16" xfId="2" applyFont="1" applyFill="1" applyBorder="1" applyAlignment="1">
      <alignment horizontal="center" vertical="center" wrapText="1"/>
    </xf>
    <xf numFmtId="0" fontId="11" fillId="6" borderId="6" xfId="2" applyFont="1" applyFill="1" applyBorder="1" applyAlignment="1">
      <alignment horizontal="center" vertical="center" wrapText="1"/>
    </xf>
    <xf numFmtId="0" fontId="11" fillId="6" borderId="7" xfId="2" applyFont="1" applyFill="1" applyBorder="1" applyAlignment="1">
      <alignment horizontal="center" vertical="center" wrapText="1"/>
    </xf>
    <xf numFmtId="0" fontId="11" fillId="6" borderId="16" xfId="2" applyFont="1" applyFill="1" applyBorder="1" applyAlignment="1">
      <alignment horizontal="center" vertical="center"/>
    </xf>
    <xf numFmtId="0" fontId="11" fillId="6" borderId="6" xfId="2" applyFont="1" applyFill="1" applyBorder="1" applyAlignment="1">
      <alignment horizontal="center" vertical="center"/>
    </xf>
    <xf numFmtId="0" fontId="11" fillId="6" borderId="7" xfId="2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 2" xfId="2" xr:uid="{305DC79B-C519-4BA7-BAB9-7C7EA3E88942}"/>
  </cellStyles>
  <dxfs count="66">
    <dxf>
      <fill>
        <patternFill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&quot;$&quot;#,##0_);\(&quot;$&quot;#,##0\)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33CC"/>
        <name val="Arial Narrow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ill>
        <patternFill>
          <bgColor indexed="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4C7E8C-7313-4E25-9144-CB79F17C062F}"/>
            </a:ext>
          </a:extLst>
        </xdr:cNvPr>
        <xdr:cNvSpPr>
          <a:spLocks noChangeArrowheads="1"/>
        </xdr:cNvSpPr>
      </xdr:nvSpPr>
      <xdr:spPr bwMode="auto">
        <a:xfrm>
          <a:off x="3524250" y="0"/>
          <a:ext cx="2847975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26F30-7974-48A3-8540-36D332B329BD}" name="PQS_tbl" displayName="PQS_tbl" ref="A6:AE186" totalsRowShown="0" headerRowDxfId="35" dataDxfId="33" headerRowBorderDxfId="34" tableBorderDxfId="32" headerRowCellStyle="Normal 2 2">
  <autoFilter ref="A6:AE186" xr:uid="{00000000-0009-0000-0100-000001000000}"/>
  <tableColumns count="31">
    <tableColumn id="1" xr3:uid="{C2D23177-796E-404C-A716-67DDF6877CA7}" name="A" dataDxfId="31"/>
    <tableColumn id="2" xr3:uid="{1429B315-23AF-4B1F-BE29-3A754EB766AD}" name="B" dataDxfId="30"/>
    <tableColumn id="3" xr3:uid="{35F3591C-7DC2-4A98-9F0B-A05222C0AA45}" name="C" dataDxfId="29"/>
    <tableColumn id="4" xr3:uid="{0040859D-3109-4E3D-9012-E49D91EEC40F}" name="D" dataDxfId="28"/>
    <tableColumn id="5" xr3:uid="{B55E13DF-0993-4CE6-B0B1-5DA80BA3B241}" name="E" dataDxfId="27"/>
    <tableColumn id="6" xr3:uid="{106A30A8-32FF-4889-A480-B51C8A1DE76C}" name="F" dataDxfId="26"/>
    <tableColumn id="7" xr3:uid="{7CAEBADD-8131-490F-A163-577BFDF34059}" name="G" dataDxfId="25"/>
    <tableColumn id="27" xr3:uid="{94CEAD63-E34F-45CE-9BCA-05920361051D}" name="H" dataDxfId="24"/>
    <tableColumn id="8" xr3:uid="{0D298D0D-3C76-411D-9870-D6D0D3875941}" name="I" dataDxfId="23"/>
    <tableColumn id="9" xr3:uid="{A7C1D1CB-9715-4215-A28E-262C40A2C93D}" name="J" dataDxfId="22"/>
    <tableColumn id="30" xr3:uid="{B7994FF7-3000-4E80-B55F-1DA7FD48B768}" name="K" dataDxfId="21"/>
    <tableColumn id="10" xr3:uid="{3E5CDE38-B9AD-453A-A890-1897F0F36BB9}" name="L" dataDxfId="20"/>
    <tableColumn id="11" xr3:uid="{8CE7B34A-3029-4008-B3DB-99E753823AC9}" name="M" dataDxfId="19"/>
    <tableColumn id="12" xr3:uid="{BB590562-B7A8-4E3C-8373-FE3DB4A290D2}" name="N" dataDxfId="18"/>
    <tableColumn id="13" xr3:uid="{16EE8DD4-CF48-453A-A57D-26951E85BAB5}" name="O" dataDxfId="17"/>
    <tableColumn id="28" xr3:uid="{6A86BA5B-2566-465B-9B5C-F937B8FB5C2F}" name="P" dataDxfId="16"/>
    <tableColumn id="14" xr3:uid="{3BEA9333-F255-4258-BBA5-C287F1B6D2D2}" name="Q" dataDxfId="15"/>
    <tableColumn id="15" xr3:uid="{D186F032-8025-419F-A177-3CF48BB9BA62}" name="R" dataDxfId="14"/>
    <tableColumn id="16" xr3:uid="{634A06EB-D258-4E4E-9F4D-3D6DCA899399}" name="S" dataDxfId="13"/>
    <tableColumn id="17" xr3:uid="{661576EA-579F-4E87-B1B4-6197CC9FD9B8}" name="T" dataDxfId="12"/>
    <tableColumn id="18" xr3:uid="{1E758ECA-4FA1-4542-9939-8A83F74D4AAB}" name="U" dataDxfId="11"/>
    <tableColumn id="19" xr3:uid="{B07FB072-72BF-463C-94B7-82528485DD6F}" name="V" dataDxfId="10"/>
    <tableColumn id="20" xr3:uid="{7F70214E-0F91-4A30-AC0C-8744A18C1B95}" name="W" dataDxfId="9"/>
    <tableColumn id="21" xr3:uid="{1CC62740-2B81-4F87-8209-1AF49D1013CA}" name="X" dataDxfId="8"/>
    <tableColumn id="31" xr3:uid="{CDE8A920-F829-434B-9754-5DB639F7256C}" name="Y" dataDxfId="7"/>
    <tableColumn id="22" xr3:uid="{500FD135-6221-42DB-BD58-80ECC4AD7631}" name="Z" dataDxfId="6"/>
    <tableColumn id="23" xr3:uid="{41B78514-37D9-4D32-91A6-7AB06EDDEDD4}" name="AA" dataDxfId="5"/>
    <tableColumn id="24" xr3:uid="{B6444D47-71A1-45E1-B168-E627DDC003AC}" name="AB" dataDxfId="4"/>
    <tableColumn id="25" xr3:uid="{008D9D37-9EAC-43D7-923D-B2E5CCC8575B}" name="AC" dataDxfId="3"/>
    <tableColumn id="26" xr3:uid="{D57F998D-566B-46DF-9E44-905F10F6250D}" name="AD" dataDxfId="2"/>
    <tableColumn id="29" xr3:uid="{59F283EC-6FF0-4C60-A2CB-7E133523BE30}" name="A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ho.int/immunization_standards/vaccine_quality/pqs_catalogue/categorypage.aspx?id_cat=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5E95-8399-4A8A-A7AB-E7F27ADF58FA}">
  <dimension ref="A1:BD186"/>
  <sheetViews>
    <sheetView showGridLines="0" zoomScaleNormal="100" workbookViewId="0">
      <pane xSplit="11" ySplit="6" topLeftCell="Y22" activePane="bottomRight" state="frozen"/>
      <selection pane="topRight" activeCell="L1" sqref="L1"/>
      <selection pane="bottomLeft" activeCell="A7" sqref="A7"/>
      <selection pane="bottomRight" activeCell="J11" sqref="J11"/>
    </sheetView>
  </sheetViews>
  <sheetFormatPr defaultColWidth="11.33203125" defaultRowHeight="13.8" x14ac:dyDescent="0.25"/>
  <cols>
    <col min="1" max="1" width="27.6640625" style="198" customWidth="1"/>
    <col min="2" max="2" width="22" style="198" bestFit="1" customWidth="1"/>
    <col min="3" max="3" width="18.6640625" style="209" customWidth="1"/>
    <col min="4" max="4" width="13.5546875" style="209" bestFit="1" customWidth="1"/>
    <col min="5" max="5" width="6.5546875" style="209" bestFit="1" customWidth="1"/>
    <col min="6" max="6" width="5.5546875" style="198" bestFit="1" customWidth="1"/>
    <col min="7" max="7" width="7.6640625" style="198" bestFit="1" customWidth="1"/>
    <col min="8" max="11" width="7.6640625" style="198" customWidth="1"/>
    <col min="12" max="12" width="9.6640625" style="210" customWidth="1"/>
    <col min="13" max="13" width="10.6640625" style="210" customWidth="1"/>
    <col min="14" max="14" width="7.6640625" style="210" customWidth="1"/>
    <col min="15" max="15" width="7.6640625" style="210" bestFit="1" customWidth="1"/>
    <col min="16" max="19" width="6.6640625" style="210" customWidth="1"/>
    <col min="20" max="20" width="8.109375" style="210" bestFit="1" customWidth="1"/>
    <col min="21" max="21" width="9" style="210" bestFit="1" customWidth="1"/>
    <col min="22" max="22" width="5.33203125" style="210" bestFit="1" customWidth="1"/>
    <col min="23" max="25" width="7.88671875" style="210" customWidth="1"/>
    <col min="26" max="26" width="5.6640625" style="210" bestFit="1" customWidth="1"/>
    <col min="27" max="27" width="5.33203125" style="210" bestFit="1" customWidth="1"/>
    <col min="28" max="28" width="5.6640625" style="210" bestFit="1" customWidth="1"/>
    <col min="29" max="30" width="7.88671875" style="210" bestFit="1" customWidth="1"/>
    <col min="31" max="31" width="4.6640625" style="198" customWidth="1"/>
    <col min="32" max="34" width="5.6640625" style="198" customWidth="1"/>
    <col min="35" max="35" width="6.109375" style="198" bestFit="1" customWidth="1"/>
    <col min="36" max="36" width="5.33203125" style="198" bestFit="1" customWidth="1"/>
    <col min="37" max="37" width="6.109375" style="198" bestFit="1" customWidth="1"/>
    <col min="38" max="38" width="5.33203125" style="198" bestFit="1" customWidth="1"/>
    <col min="39" max="39" width="5.5546875" style="198" bestFit="1" customWidth="1"/>
    <col min="40" max="40" width="4.88671875" style="198" bestFit="1" customWidth="1"/>
    <col min="41" max="41" width="2.6640625" style="165" customWidth="1"/>
    <col min="42" max="42" width="3.33203125" style="165" customWidth="1"/>
    <col min="43" max="43" width="2.6640625" style="165" customWidth="1"/>
    <col min="44" max="44" width="14.109375" style="165" customWidth="1"/>
    <col min="45" max="45" width="3.33203125" style="165" customWidth="1"/>
    <col min="46" max="46" width="2.6640625" style="165" customWidth="1"/>
    <col min="47" max="47" width="14.109375" style="165" customWidth="1"/>
    <col min="48" max="48" width="3.6640625" style="198" bestFit="1" customWidth="1"/>
    <col min="49" max="49" width="3.109375" style="198" bestFit="1" customWidth="1"/>
    <col min="50" max="50" width="11.5546875" style="198" bestFit="1" customWidth="1"/>
    <col min="51" max="51" width="11.33203125" style="198"/>
    <col min="52" max="52" width="3.109375" style="198" bestFit="1" customWidth="1"/>
    <col min="53" max="53" width="11.33203125" style="198"/>
    <col min="54" max="54" width="3.44140625" style="198" bestFit="1" customWidth="1"/>
    <col min="55" max="55" width="2.88671875" style="198" bestFit="1" customWidth="1"/>
    <col min="56" max="16384" width="11.33203125" style="198"/>
  </cols>
  <sheetData>
    <row r="1" spans="1:56" s="26" customFormat="1" ht="12" x14ac:dyDescent="0.25">
      <c r="A1" s="117" t="s">
        <v>258</v>
      </c>
      <c r="B1" s="118"/>
      <c r="C1" s="119"/>
      <c r="D1" s="119"/>
      <c r="J1" s="120" t="s">
        <v>797</v>
      </c>
      <c r="K1" s="16">
        <f>COUNTIF(PQS_tbl[D],"*")</f>
        <v>180</v>
      </c>
      <c r="M1" s="121"/>
      <c r="N1" s="121" t="s">
        <v>259</v>
      </c>
      <c r="O1" s="122">
        <f t="array" ref="O1">COUNT(IF(LEFT($D$7:$D$186,3)="PQS",1))</f>
        <v>127</v>
      </c>
      <c r="R1" s="121" t="s">
        <v>260</v>
      </c>
      <c r="S1" s="122">
        <f t="array" ref="S1">COUNT(IF(LEFT($D$7:$D$186,3)="PIS",1))</f>
        <v>48</v>
      </c>
      <c r="V1" s="123"/>
      <c r="W1" s="123"/>
      <c r="X1" s="123"/>
      <c r="Y1" s="123"/>
      <c r="Z1" s="123"/>
      <c r="AA1" s="123"/>
      <c r="AB1" s="123"/>
      <c r="AC1" s="123"/>
      <c r="AD1" s="123"/>
      <c r="AO1" s="124"/>
      <c r="AP1" s="124"/>
      <c r="AQ1" s="124"/>
      <c r="AR1" s="124"/>
      <c r="AS1" s="124"/>
      <c r="AT1" s="124"/>
      <c r="AU1" s="124"/>
    </row>
    <row r="2" spans="1:56" s="130" customFormat="1" ht="21" x14ac:dyDescent="0.4">
      <c r="A2" s="125" t="s">
        <v>777</v>
      </c>
      <c r="B2" s="126"/>
      <c r="C2" s="127"/>
      <c r="D2" s="127"/>
      <c r="E2" s="127"/>
      <c r="F2" s="128"/>
      <c r="G2" s="128"/>
      <c r="H2" s="128"/>
      <c r="I2" s="128"/>
      <c r="J2" s="128"/>
      <c r="K2" s="128"/>
      <c r="L2" s="129"/>
      <c r="M2" s="129"/>
      <c r="N2" s="127" t="s">
        <v>0</v>
      </c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F2" s="131" t="s">
        <v>778</v>
      </c>
      <c r="AG2" s="132"/>
      <c r="AH2" s="132"/>
      <c r="AI2" s="132"/>
      <c r="AJ2" s="132"/>
      <c r="AK2" s="132"/>
      <c r="AL2" s="132"/>
      <c r="AM2" s="132"/>
      <c r="AN2" s="133"/>
      <c r="AO2" s="134"/>
      <c r="AP2" s="134"/>
      <c r="AQ2" s="134"/>
      <c r="AR2" s="134"/>
      <c r="AS2" s="134"/>
      <c r="AT2" s="134"/>
      <c r="AU2" s="134"/>
    </row>
    <row r="3" spans="1:56" s="137" customFormat="1" ht="42" customHeight="1" x14ac:dyDescent="0.25">
      <c r="A3" s="135" t="s">
        <v>779</v>
      </c>
      <c r="B3" s="136"/>
      <c r="C3" s="136"/>
      <c r="D3" s="136"/>
      <c r="E3" s="136"/>
      <c r="F3" s="136"/>
      <c r="G3" s="136"/>
      <c r="H3" s="136"/>
      <c r="I3" s="211" t="s">
        <v>780</v>
      </c>
      <c r="J3" s="212"/>
      <c r="K3" s="213"/>
      <c r="L3" s="211" t="s">
        <v>781</v>
      </c>
      <c r="M3" s="213"/>
      <c r="N3" s="211" t="s">
        <v>782</v>
      </c>
      <c r="O3" s="213"/>
      <c r="P3" s="211" t="s">
        <v>783</v>
      </c>
      <c r="Q3" s="212"/>
      <c r="R3" s="212"/>
      <c r="S3" s="213"/>
      <c r="T3" s="214" t="s">
        <v>784</v>
      </c>
      <c r="U3" s="215"/>
      <c r="V3" s="216"/>
      <c r="W3" s="211" t="s">
        <v>785</v>
      </c>
      <c r="X3" s="212"/>
      <c r="Y3" s="213"/>
      <c r="Z3" s="211" t="s">
        <v>786</v>
      </c>
      <c r="AA3" s="212"/>
      <c r="AB3" s="213"/>
      <c r="AC3" s="211" t="s">
        <v>787</v>
      </c>
      <c r="AD3" s="213"/>
      <c r="AF3" s="138" t="s">
        <v>788</v>
      </c>
      <c r="AG3" s="139"/>
      <c r="AH3" s="139"/>
      <c r="AI3" s="140" t="s">
        <v>789</v>
      </c>
      <c r="AJ3" s="141"/>
      <c r="AK3" s="141"/>
      <c r="AL3" s="141"/>
      <c r="AM3" s="141"/>
      <c r="AN3" s="141"/>
      <c r="AO3" s="142"/>
      <c r="AP3" s="142"/>
      <c r="AQ3" s="142"/>
      <c r="AR3" s="142"/>
      <c r="AS3" s="142"/>
      <c r="AT3" s="142"/>
      <c r="AU3" s="142"/>
    </row>
    <row r="4" spans="1:56" s="153" customFormat="1" ht="87" customHeight="1" x14ac:dyDescent="0.3">
      <c r="A4" s="143" t="s">
        <v>261</v>
      </c>
      <c r="B4" s="144" t="s">
        <v>262</v>
      </c>
      <c r="C4" s="144" t="s">
        <v>263</v>
      </c>
      <c r="D4" s="145" t="s">
        <v>264</v>
      </c>
      <c r="E4" s="145" t="s">
        <v>265</v>
      </c>
      <c r="F4" s="146" t="s">
        <v>266</v>
      </c>
      <c r="G4" s="146" t="s">
        <v>267</v>
      </c>
      <c r="H4" s="147" t="s">
        <v>268</v>
      </c>
      <c r="I4" s="148" t="s">
        <v>269</v>
      </c>
      <c r="J4" s="148" t="s">
        <v>270</v>
      </c>
      <c r="K4" s="148" t="s">
        <v>820</v>
      </c>
      <c r="L4" s="149" t="s">
        <v>272</v>
      </c>
      <c r="M4" s="149" t="s">
        <v>273</v>
      </c>
      <c r="N4" s="149" t="s">
        <v>274</v>
      </c>
      <c r="O4" s="149" t="s">
        <v>275</v>
      </c>
      <c r="P4" s="150" t="s">
        <v>276</v>
      </c>
      <c r="Q4" s="150" t="s">
        <v>277</v>
      </c>
      <c r="R4" s="150" t="s">
        <v>278</v>
      </c>
      <c r="S4" s="150" t="s">
        <v>279</v>
      </c>
      <c r="T4" s="150" t="s">
        <v>280</v>
      </c>
      <c r="U4" s="149" t="s">
        <v>281</v>
      </c>
      <c r="V4" s="150" t="s">
        <v>282</v>
      </c>
      <c r="W4" s="148" t="s">
        <v>269</v>
      </c>
      <c r="X4" s="148" t="s">
        <v>270</v>
      </c>
      <c r="Y4" s="148" t="s">
        <v>271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51" t="s">
        <v>287</v>
      </c>
      <c r="AE4" s="137"/>
      <c r="AF4" s="152" t="s">
        <v>790</v>
      </c>
      <c r="AG4" s="152" t="s">
        <v>788</v>
      </c>
      <c r="AH4" s="152" t="s">
        <v>791</v>
      </c>
      <c r="AI4" s="152" t="s">
        <v>792</v>
      </c>
      <c r="AJ4" s="152" t="s">
        <v>789</v>
      </c>
      <c r="AK4" s="152" t="s">
        <v>793</v>
      </c>
      <c r="AL4" s="152" t="s">
        <v>794</v>
      </c>
      <c r="AM4" s="152" t="s">
        <v>795</v>
      </c>
      <c r="AN4" s="152" t="s">
        <v>796</v>
      </c>
    </row>
    <row r="5" spans="1:56" s="153" customFormat="1" ht="1.2" customHeight="1" x14ac:dyDescent="0.25">
      <c r="A5" s="154"/>
      <c r="B5" s="155"/>
      <c r="C5" s="155"/>
      <c r="D5" s="155"/>
      <c r="E5" s="155"/>
      <c r="F5" s="156"/>
      <c r="G5" s="156"/>
      <c r="H5" s="156"/>
      <c r="I5" s="157"/>
      <c r="J5" s="157"/>
      <c r="K5" s="157"/>
      <c r="L5" s="157"/>
      <c r="M5" s="157"/>
      <c r="N5" s="157"/>
      <c r="O5" s="157"/>
      <c r="P5" s="157"/>
      <c r="Q5" s="155"/>
      <c r="R5" s="155"/>
      <c r="S5" s="155"/>
      <c r="T5" s="155"/>
      <c r="U5" s="155"/>
      <c r="V5" s="155"/>
      <c r="W5" s="157"/>
      <c r="X5" s="157"/>
      <c r="Y5" s="157"/>
      <c r="Z5" s="155"/>
      <c r="AA5" s="155"/>
      <c r="AB5" s="155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</row>
    <row r="6" spans="1:56" s="137" customFormat="1" x14ac:dyDescent="0.3">
      <c r="A6" s="158" t="s">
        <v>288</v>
      </c>
      <c r="B6" s="159" t="s">
        <v>289</v>
      </c>
      <c r="C6" s="159" t="s">
        <v>290</v>
      </c>
      <c r="D6" s="160" t="s">
        <v>291</v>
      </c>
      <c r="E6" s="160" t="s">
        <v>292</v>
      </c>
      <c r="F6" s="160" t="s">
        <v>293</v>
      </c>
      <c r="G6" s="160" t="s">
        <v>294</v>
      </c>
      <c r="H6" s="161" t="s">
        <v>295</v>
      </c>
      <c r="I6" s="160" t="s">
        <v>296</v>
      </c>
      <c r="J6" s="160" t="s">
        <v>297</v>
      </c>
      <c r="K6" s="160" t="s">
        <v>298</v>
      </c>
      <c r="L6" s="160" t="s">
        <v>299</v>
      </c>
      <c r="M6" s="160" t="s">
        <v>300</v>
      </c>
      <c r="N6" s="160" t="s">
        <v>301</v>
      </c>
      <c r="O6" s="162" t="s">
        <v>302</v>
      </c>
      <c r="P6" s="162" t="s">
        <v>303</v>
      </c>
      <c r="Q6" s="162" t="s">
        <v>304</v>
      </c>
      <c r="R6" s="162" t="s">
        <v>305</v>
      </c>
      <c r="S6" s="162" t="s">
        <v>306</v>
      </c>
      <c r="T6" s="160" t="s">
        <v>307</v>
      </c>
      <c r="U6" s="162" t="s">
        <v>308</v>
      </c>
      <c r="V6" s="160" t="s">
        <v>309</v>
      </c>
      <c r="W6" s="160" t="s">
        <v>310</v>
      </c>
      <c r="X6" s="160" t="s">
        <v>311</v>
      </c>
      <c r="Y6" s="160" t="s">
        <v>312</v>
      </c>
      <c r="Z6" s="160" t="s">
        <v>313</v>
      </c>
      <c r="AA6" s="160" t="s">
        <v>314</v>
      </c>
      <c r="AB6" s="160" t="s">
        <v>315</v>
      </c>
      <c r="AC6" s="163" t="s">
        <v>316</v>
      </c>
      <c r="AD6" s="160" t="s">
        <v>317</v>
      </c>
      <c r="AE6" s="160" t="s">
        <v>318</v>
      </c>
      <c r="AF6" s="164" t="s">
        <v>319</v>
      </c>
      <c r="AG6" s="164" t="s">
        <v>320</v>
      </c>
      <c r="AH6" s="164" t="s">
        <v>321</v>
      </c>
      <c r="AI6" s="164" t="s">
        <v>322</v>
      </c>
      <c r="AJ6" s="164" t="s">
        <v>323</v>
      </c>
      <c r="AK6" s="164" t="s">
        <v>324</v>
      </c>
      <c r="AL6" s="164" t="s">
        <v>325</v>
      </c>
      <c r="AM6" s="164" t="s">
        <v>326</v>
      </c>
      <c r="AN6" s="164" t="s">
        <v>327</v>
      </c>
      <c r="AO6" s="142"/>
      <c r="AP6" s="165" t="s">
        <v>328</v>
      </c>
      <c r="AQ6" s="142"/>
      <c r="AR6" s="165" t="s">
        <v>329</v>
      </c>
      <c r="AS6" s="165" t="s">
        <v>328</v>
      </c>
      <c r="AT6" s="142"/>
      <c r="AU6" s="165" t="s">
        <v>330</v>
      </c>
      <c r="AV6" s="165" t="s">
        <v>331</v>
      </c>
      <c r="AW6" s="142"/>
      <c r="AX6" s="165" t="s">
        <v>331</v>
      </c>
      <c r="AY6" s="165" t="s">
        <v>332</v>
      </c>
      <c r="AZ6" s="142"/>
      <c r="BA6" s="165" t="s">
        <v>332</v>
      </c>
      <c r="BB6" s="165" t="s">
        <v>328</v>
      </c>
      <c r="BC6" s="142"/>
      <c r="BD6" s="165" t="s">
        <v>333</v>
      </c>
    </row>
    <row r="7" spans="1:56" s="178" customFormat="1" x14ac:dyDescent="0.3">
      <c r="A7" s="166" t="s">
        <v>334</v>
      </c>
      <c r="B7" s="167" t="s">
        <v>39</v>
      </c>
      <c r="C7" s="168" t="s">
        <v>335</v>
      </c>
      <c r="D7" s="168" t="s">
        <v>336</v>
      </c>
      <c r="E7" s="169" t="s">
        <v>337</v>
      </c>
      <c r="F7" s="169" t="s">
        <v>338</v>
      </c>
      <c r="G7" s="169" t="s">
        <v>339</v>
      </c>
      <c r="H7" s="169"/>
      <c r="I7" s="170">
        <v>10.5</v>
      </c>
      <c r="J7" s="170">
        <v>1.6</v>
      </c>
      <c r="K7" s="170"/>
      <c r="L7" s="170">
        <v>1.1294117647058823</v>
      </c>
      <c r="M7" s="170"/>
      <c r="N7" s="171" t="s">
        <v>340</v>
      </c>
      <c r="O7" s="171"/>
      <c r="P7" s="171"/>
      <c r="Q7" s="170">
        <v>2.52</v>
      </c>
      <c r="R7" s="170"/>
      <c r="S7" s="170"/>
      <c r="T7" s="170">
        <v>899</v>
      </c>
      <c r="U7" s="172">
        <v>899</v>
      </c>
      <c r="V7" s="173"/>
      <c r="W7" s="170"/>
      <c r="X7" s="170"/>
      <c r="Y7" s="170"/>
      <c r="Z7" s="170"/>
      <c r="AA7" s="170"/>
      <c r="AB7" s="170"/>
      <c r="AC7" s="170"/>
      <c r="AD7" s="174"/>
      <c r="AE7" s="175" t="s">
        <v>301</v>
      </c>
      <c r="AF7" s="176">
        <f t="shared" ref="AF7:AG38" si="0">IF(I7="","",$U7/I7)</f>
        <v>85.61904761904762</v>
      </c>
      <c r="AG7" s="176">
        <f t="shared" si="0"/>
        <v>561.875</v>
      </c>
      <c r="AH7" s="176">
        <f t="shared" ref="AH7:AH65" si="1">IF(L7="","",$U7/L7)</f>
        <v>795.98958333333337</v>
      </c>
      <c r="AI7" s="177">
        <f t="shared" ref="AI7:AI65" si="2">IF(OR(I7="",Q7=""),"",Q7/I7)</f>
        <v>0.24</v>
      </c>
      <c r="AJ7" s="177" t="str">
        <f t="shared" ref="AJ7:AJ65" si="3">IF(OR(I7="",S7=""),"",S7/I7)</f>
        <v/>
      </c>
      <c r="AK7" s="177">
        <f t="shared" ref="AK7:AK65" si="4">IF(OR(J7="",Q7=""),"",Q7/J7)</f>
        <v>1.575</v>
      </c>
      <c r="AL7" s="177" t="str">
        <f t="shared" ref="AL7:AL65" si="5">IF(OR(J7="",S7=""),"",S7/J7)</f>
        <v/>
      </c>
      <c r="AM7" s="177">
        <f t="shared" ref="AM7:AM65" si="6">IF(OR(L7="",Q7=""),"",Q7/L7)</f>
        <v>2.2312500000000002</v>
      </c>
      <c r="AN7" s="177" t="str">
        <f t="shared" ref="AN7:AN65" si="7">IF(OR(L7="",S7=""),"",S7/L7)</f>
        <v/>
      </c>
      <c r="AO7" s="165">
        <v>1</v>
      </c>
      <c r="AP7" s="165" t="str">
        <f>IF(AND(LEFT(PQS_tbl[[#This Row],[D]],3)=$AP$6,PQS_tbl[[#This Row],[I]]&gt;0),$AO7,"")</f>
        <v/>
      </c>
      <c r="AQ7" s="165">
        <f>IFERROR(SMALL($AP$7:AP$182,ROWS($AP$7:AP7)),"")</f>
        <v>49</v>
      </c>
      <c r="AR7" s="165" t="str">
        <f>IFERROR(INDEX(PQS_tbl[C],AQ7),"")</f>
        <v>TCW 2000 DC</v>
      </c>
      <c r="AS7" s="165" t="str">
        <f>IF(AND(LEFT(PQS_tbl[[#This Row],[D]],3)=$AS$6,PQS_tbl[[#This Row],[I]]=0,PQS_tbl[[#This Row],[J]]&gt;0),$AO7,"")</f>
        <v/>
      </c>
      <c r="AT7" s="165">
        <f>IFERROR(SMALL($AS$7:AS$178,ROWS($AS$7:AS7)),"")</f>
        <v>50</v>
      </c>
      <c r="AU7" s="165" t="str">
        <f>IFERROR(INDEX(PQS_tbl[C],AT7),"")</f>
        <v>HBD-116</v>
      </c>
      <c r="AV7" s="165" t="str">
        <f>IF(LEFT(PQS_tbl[[#This Row],[E]],1)="S",$AP7,"")</f>
        <v/>
      </c>
      <c r="AW7" s="165">
        <f>IFERROR(SMALL($AV$7:AV$178,ROWS($AV$7:AV7)),"")</f>
        <v>49</v>
      </c>
      <c r="AX7" s="165" t="str">
        <f>IFERROR(INDEX(PQS_tbl[C],AW7),"")</f>
        <v>TCW 2000 DC</v>
      </c>
      <c r="AY7" s="165" t="str">
        <f>IF(LEFT(PQS_tbl[[#This Row],[E]],1)="S",$AS7,"")</f>
        <v/>
      </c>
      <c r="AZ7" s="165">
        <f>IFERROR(SMALL($AY$7:AY$178,ROWS($AY$7:AY7)),"")</f>
        <v>120</v>
      </c>
      <c r="BA7" s="165" t="str">
        <f>IFERROR(INDEX(PQS_tbl[C],AZ7),"")</f>
        <v>TFW 40 SDD</v>
      </c>
      <c r="BB7" s="165" t="str">
        <f>IF(AND(LEFT(PQS_tbl[[#This Row],[D]],3)=$BB$6,PQS_tbl[[#This Row],[K]]&gt;0),$AO7,"")</f>
        <v/>
      </c>
      <c r="BC7" s="165">
        <f>IFERROR(SMALL($BB$7:BB$178,ROWS($BB$7:BB7)),"")</f>
        <v>172</v>
      </c>
      <c r="BD7" s="165" t="str">
        <f>IFERROR(INDEX(PQS_tbl[C],BC7),"")</f>
        <v>U201</v>
      </c>
    </row>
    <row r="8" spans="1:56" s="178" customFormat="1" x14ac:dyDescent="0.3">
      <c r="A8" s="179" t="s">
        <v>334</v>
      </c>
      <c r="B8" s="62" t="s">
        <v>39</v>
      </c>
      <c r="C8" s="61" t="s">
        <v>341</v>
      </c>
      <c r="D8" s="61" t="s">
        <v>342</v>
      </c>
      <c r="E8" s="180" t="s">
        <v>343</v>
      </c>
      <c r="F8" s="180" t="s">
        <v>338</v>
      </c>
      <c r="G8" s="180" t="s">
        <v>339</v>
      </c>
      <c r="H8" s="180"/>
      <c r="I8" s="63">
        <v>18.2</v>
      </c>
      <c r="J8" s="63">
        <v>1.2</v>
      </c>
      <c r="K8" s="63"/>
      <c r="L8" s="63">
        <v>0.98666666666666669</v>
      </c>
      <c r="M8" s="63"/>
      <c r="N8" s="181">
        <v>12.5</v>
      </c>
      <c r="O8" s="181"/>
      <c r="P8" s="181"/>
      <c r="Q8" s="63">
        <v>1.6</v>
      </c>
      <c r="R8" s="63"/>
      <c r="S8" s="63">
        <v>0.7</v>
      </c>
      <c r="T8" s="63">
        <v>1063</v>
      </c>
      <c r="U8" s="182">
        <v>1063</v>
      </c>
      <c r="V8" s="183"/>
      <c r="W8" s="63"/>
      <c r="X8" s="63"/>
      <c r="Y8" s="63"/>
      <c r="Z8" s="63"/>
      <c r="AA8" s="63"/>
      <c r="AB8" s="63"/>
      <c r="AC8" s="63"/>
      <c r="AD8" s="184"/>
      <c r="AE8" s="63"/>
      <c r="AF8" s="185">
        <f t="shared" si="0"/>
        <v>58.406593406593409</v>
      </c>
      <c r="AG8" s="185">
        <f t="shared" si="0"/>
        <v>885.83333333333337</v>
      </c>
      <c r="AH8" s="185">
        <f t="shared" si="1"/>
        <v>1077.3648648648648</v>
      </c>
      <c r="AI8" s="186">
        <f t="shared" si="2"/>
        <v>8.7912087912087919E-2</v>
      </c>
      <c r="AJ8" s="186">
        <f t="shared" si="3"/>
        <v>3.8461538461538464E-2</v>
      </c>
      <c r="AK8" s="186">
        <f t="shared" si="4"/>
        <v>1.3333333333333335</v>
      </c>
      <c r="AL8" s="186">
        <f t="shared" si="5"/>
        <v>0.58333333333333337</v>
      </c>
      <c r="AM8" s="186">
        <f t="shared" si="6"/>
        <v>1.6216216216216217</v>
      </c>
      <c r="AN8" s="186">
        <f t="shared" si="7"/>
        <v>0.70945945945945943</v>
      </c>
      <c r="AO8" s="165">
        <f>AO7+1</f>
        <v>2</v>
      </c>
      <c r="AP8" s="165" t="str">
        <f>IF(AND(LEFT(PQS_tbl[[#This Row],[D]],3)=$AP$6,PQS_tbl[[#This Row],[I]]&gt;0),$AO8,"")</f>
        <v/>
      </c>
      <c r="AQ8" s="165">
        <f>IFERROR(SMALL($AP$7:AP$182,ROWS($AP$7:AP8)),"")</f>
        <v>53</v>
      </c>
      <c r="AR8" s="165" t="str">
        <f>IFERROR(INDEX(PQS_tbl[C],AQ8),"")</f>
        <v>HBC-70</v>
      </c>
      <c r="AS8" s="165" t="str">
        <f>IF(AND(LEFT(PQS_tbl[[#This Row],[D]],3)=$AS$6,PQS_tbl[[#This Row],[I]]=0,PQS_tbl[[#This Row],[J]]&gt;0),$AO8,"")</f>
        <v/>
      </c>
      <c r="AT8" s="165">
        <f>IFERROR(SMALL($AS$7:AS$178,ROWS($AS$7:AS8)),"")</f>
        <v>51</v>
      </c>
      <c r="AU8" s="165" t="str">
        <f>IFERROR(INDEX(PQS_tbl[C],AT8),"")</f>
        <v>HBD-286</v>
      </c>
      <c r="AV8" s="165" t="str">
        <f>IF(LEFT(PQS_tbl[[#This Row],[E]],1)="S",$AP8,"")</f>
        <v/>
      </c>
      <c r="AW8" s="165">
        <f>IFERROR(SMALL($AV$7:AV$178,ROWS($AV$7:AV8)),"")</f>
        <v>56</v>
      </c>
      <c r="AX8" s="165" t="str">
        <f>IFERROR(INDEX(PQS_tbl[C],AW8),"")</f>
        <v>TCW 3000 DC</v>
      </c>
      <c r="AY8" s="165" t="str">
        <f>IF(LEFT(PQS_tbl[[#This Row],[E]],1)="S",$AS8,"")</f>
        <v/>
      </c>
      <c r="AZ8" s="165">
        <f>IFERROR(SMALL($AY$7:AY$178,ROWS($AY$7:AY8)),"")</f>
        <v>133</v>
      </c>
      <c r="BA8" s="165" t="str">
        <f>IFERROR(INDEX(PQS_tbl[C],AZ8),"")</f>
        <v>HTD-40</v>
      </c>
      <c r="BB8" s="165" t="str">
        <f>IF(AND(LEFT(PQS_tbl[[#This Row],[D]],3)=$BB$6,PQS_tbl[[#This Row],[K]]&gt;0),$AO8,"")</f>
        <v/>
      </c>
      <c r="BC8" s="165" t="str">
        <f>IFERROR(SMALL($BB$7:BB$178,ROWS($BB$7:BB8)),"")</f>
        <v/>
      </c>
      <c r="BD8" s="165" t="str">
        <f>IFERROR(INDEX(PQS_tbl[C],BC8),"")</f>
        <v/>
      </c>
    </row>
    <row r="9" spans="1:56" s="178" customFormat="1" x14ac:dyDescent="0.3">
      <c r="A9" s="179" t="s">
        <v>344</v>
      </c>
      <c r="B9" s="62" t="s">
        <v>39</v>
      </c>
      <c r="C9" s="61" t="s">
        <v>345</v>
      </c>
      <c r="D9" s="61" t="s">
        <v>346</v>
      </c>
      <c r="E9" s="180" t="s">
        <v>347</v>
      </c>
      <c r="F9" s="180" t="s">
        <v>348</v>
      </c>
      <c r="G9" s="180" t="s">
        <v>349</v>
      </c>
      <c r="H9" s="180"/>
      <c r="I9" s="63">
        <v>169</v>
      </c>
      <c r="J9" s="63"/>
      <c r="K9" s="63"/>
      <c r="L9" s="63">
        <v>2.0571428571428569</v>
      </c>
      <c r="M9" s="63"/>
      <c r="N9" s="181">
        <v>23.7</v>
      </c>
      <c r="O9" s="181"/>
      <c r="P9" s="181"/>
      <c r="Q9" s="63">
        <v>4.09</v>
      </c>
      <c r="R9" s="63"/>
      <c r="S9" s="63"/>
      <c r="T9" s="63">
        <v>1453</v>
      </c>
      <c r="U9" s="182">
        <v>1453</v>
      </c>
      <c r="V9" s="183"/>
      <c r="W9" s="63"/>
      <c r="X9" s="63"/>
      <c r="Y9" s="63"/>
      <c r="Z9" s="63"/>
      <c r="AA9" s="63"/>
      <c r="AB9" s="63"/>
      <c r="AC9" s="63"/>
      <c r="AD9" s="184"/>
      <c r="AE9" s="63"/>
      <c r="AF9" s="185">
        <f t="shared" si="0"/>
        <v>8.5976331360946752</v>
      </c>
      <c r="AG9" s="185" t="str">
        <f t="shared" si="0"/>
        <v/>
      </c>
      <c r="AH9" s="185">
        <f t="shared" si="1"/>
        <v>706.31944444444457</v>
      </c>
      <c r="AI9" s="186">
        <f t="shared" si="2"/>
        <v>2.4201183431952662E-2</v>
      </c>
      <c r="AJ9" s="186" t="str">
        <f t="shared" si="3"/>
        <v/>
      </c>
      <c r="AK9" s="186" t="str">
        <f t="shared" si="4"/>
        <v/>
      </c>
      <c r="AL9" s="186" t="str">
        <f t="shared" si="5"/>
        <v/>
      </c>
      <c r="AM9" s="186">
        <f t="shared" si="6"/>
        <v>1.9881944444444446</v>
      </c>
      <c r="AN9" s="186" t="str">
        <f t="shared" si="7"/>
        <v/>
      </c>
      <c r="AO9" s="165">
        <f t="shared" ref="AO9:AO72" si="8">AO8+1</f>
        <v>3</v>
      </c>
      <c r="AP9" s="165" t="str">
        <f>IF(AND(LEFT(PQS_tbl[[#This Row],[D]],3)=$AP$6,PQS_tbl[[#This Row],[I]]&gt;0),$AO9,"")</f>
        <v/>
      </c>
      <c r="AQ9" s="165">
        <f>IFERROR(SMALL($AP$7:AP$182,ROWS($AP$7:AP9)),"")</f>
        <v>54</v>
      </c>
      <c r="AR9" s="165" t="str">
        <f>IFERROR(INDEX(PQS_tbl[C],AQ9),"")</f>
        <v>HBC-200</v>
      </c>
      <c r="AS9" s="165" t="str">
        <f>IF(AND(LEFT(PQS_tbl[[#This Row],[D]],3)=$AS$6,PQS_tbl[[#This Row],[I]]=0,PQS_tbl[[#This Row],[J]]&gt;0),$AO9,"")</f>
        <v/>
      </c>
      <c r="AT9" s="165">
        <f>IFERROR(SMALL($AS$7:AS$178,ROWS($AS$7:AS9)),"")</f>
        <v>52</v>
      </c>
      <c r="AU9" s="165" t="str">
        <f>IFERROR(INDEX(PQS_tbl[C],AT9),"")</f>
        <v>TFW 800</v>
      </c>
      <c r="AV9" s="165" t="str">
        <f>IF(LEFT(PQS_tbl[[#This Row],[E]],1)="S",$AP9,"")</f>
        <v/>
      </c>
      <c r="AW9" s="165">
        <f>IFERROR(SMALL($AV$7:AV$178,ROWS($AV$7:AV9)),"")</f>
        <v>57</v>
      </c>
      <c r="AX9" s="165" t="str">
        <f>IFERROR(INDEX(PQS_tbl[C],AW9),"")</f>
        <v>MKS 044</v>
      </c>
      <c r="AY9" s="165" t="str">
        <f>IF(LEFT(PQS_tbl[[#This Row],[E]],1)="S",$AS9,"")</f>
        <v/>
      </c>
      <c r="AZ9" s="165">
        <f>IFERROR(SMALL($AY$7:AY$178,ROWS($AY$7:AY9)),"")</f>
        <v>146</v>
      </c>
      <c r="BA9" s="165" t="str">
        <f>IFERROR(INDEX(PQS_tbl[C],AZ9),"")</f>
        <v>VFS 048 SDD</v>
      </c>
      <c r="BB9" s="165" t="str">
        <f>IF(AND(LEFT(PQS_tbl[[#This Row],[D]],3)=$BB$6,PQS_tbl[[#This Row],[K]]&gt;0),$AO9,"")</f>
        <v/>
      </c>
      <c r="BC9" s="165" t="str">
        <f>IFERROR(SMALL($BB$7:BB$178,ROWS($BB$7:BB9)),"")</f>
        <v/>
      </c>
      <c r="BD9" s="165" t="str">
        <f>IFERROR(INDEX(PQS_tbl[C],BC9),"")</f>
        <v/>
      </c>
    </row>
    <row r="10" spans="1:56" s="178" customFormat="1" x14ac:dyDescent="0.3">
      <c r="A10" s="179" t="s">
        <v>350</v>
      </c>
      <c r="B10" s="62" t="s">
        <v>39</v>
      </c>
      <c r="C10" s="61" t="s">
        <v>351</v>
      </c>
      <c r="D10" s="61" t="s">
        <v>352</v>
      </c>
      <c r="E10" s="180" t="s">
        <v>353</v>
      </c>
      <c r="F10" s="180" t="s">
        <v>348</v>
      </c>
      <c r="G10" s="180" t="s">
        <v>349</v>
      </c>
      <c r="H10" s="180"/>
      <c r="I10" s="63">
        <v>12</v>
      </c>
      <c r="J10" s="63">
        <v>12</v>
      </c>
      <c r="K10" s="63"/>
      <c r="L10" s="63">
        <v>2.1</v>
      </c>
      <c r="M10" s="63"/>
      <c r="N10" s="181">
        <v>6</v>
      </c>
      <c r="O10" s="181"/>
      <c r="P10" s="181"/>
      <c r="Q10" s="63"/>
      <c r="R10" s="63"/>
      <c r="S10" s="63"/>
      <c r="T10" s="63">
        <v>1153.6400000000001</v>
      </c>
      <c r="U10" s="182">
        <v>1153.6400000000001</v>
      </c>
      <c r="V10" s="183"/>
      <c r="W10" s="63"/>
      <c r="X10" s="63"/>
      <c r="Y10" s="63"/>
      <c r="Z10" s="63"/>
      <c r="AA10" s="63"/>
      <c r="AB10" s="63"/>
      <c r="AC10" s="63"/>
      <c r="AD10" s="184"/>
      <c r="AE10" s="63"/>
      <c r="AF10" s="185">
        <f t="shared" si="0"/>
        <v>96.13666666666667</v>
      </c>
      <c r="AG10" s="185">
        <f t="shared" si="0"/>
        <v>96.13666666666667</v>
      </c>
      <c r="AH10" s="185">
        <f t="shared" si="1"/>
        <v>549.35238095238094</v>
      </c>
      <c r="AI10" s="186" t="str">
        <f t="shared" si="2"/>
        <v/>
      </c>
      <c r="AJ10" s="186" t="str">
        <f t="shared" si="3"/>
        <v/>
      </c>
      <c r="AK10" s="186" t="str">
        <f t="shared" si="4"/>
        <v/>
      </c>
      <c r="AL10" s="186" t="str">
        <f t="shared" si="5"/>
        <v/>
      </c>
      <c r="AM10" s="186" t="str">
        <f t="shared" si="6"/>
        <v/>
      </c>
      <c r="AN10" s="186" t="str">
        <f t="shared" si="7"/>
        <v/>
      </c>
      <c r="AO10" s="165">
        <f t="shared" si="8"/>
        <v>4</v>
      </c>
      <c r="AP10" s="165" t="str">
        <f>IF(AND(LEFT(PQS_tbl[[#This Row],[D]],3)=$AP$6,PQS_tbl[[#This Row],[I]]&gt;0),$AO10,"")</f>
        <v/>
      </c>
      <c r="AQ10" s="165">
        <f>IFERROR(SMALL($AP$7:AP$182,ROWS($AP$7:AP10)),"")</f>
        <v>55</v>
      </c>
      <c r="AR10" s="165" t="str">
        <f>IFERROR(INDEX(PQS_tbl[C],AQ10),"")</f>
        <v>MK 304</v>
      </c>
      <c r="AS10" s="165" t="str">
        <f>IF(AND(LEFT(PQS_tbl[[#This Row],[D]],3)=$AS$6,PQS_tbl[[#This Row],[I]]=0,PQS_tbl[[#This Row],[J]]&gt;0),$AO10,"")</f>
        <v/>
      </c>
      <c r="AT10" s="165">
        <f>IFERROR(SMALL($AS$7:AS$178,ROWS($AS$7:AS10)),"")</f>
        <v>70</v>
      </c>
      <c r="AU10" s="165" t="str">
        <f>IFERROR(INDEX(PQS_tbl[C],AT10),"")</f>
        <v>MF 314</v>
      </c>
      <c r="AV10" s="165" t="str">
        <f>IF(LEFT(PQS_tbl[[#This Row],[E]],1)="S",$AP10,"")</f>
        <v/>
      </c>
      <c r="AW10" s="165">
        <f>IFERROR(SMALL($AV$7:AV$178,ROWS($AV$7:AV10)),"")</f>
        <v>64</v>
      </c>
      <c r="AX10" s="165" t="str">
        <f>IFERROR(INDEX(PQS_tbl[C],AW10),"")</f>
        <v>PS65i</v>
      </c>
      <c r="AY10" s="165" t="str">
        <f>IF(LEFT(PQS_tbl[[#This Row],[E]],1)="S",$AS10,"")</f>
        <v/>
      </c>
      <c r="AZ10" s="165" t="str">
        <f>IFERROR(SMALL($AY$7:AY$178,ROWS($AY$7:AY10)),"")</f>
        <v/>
      </c>
      <c r="BA10" s="165" t="str">
        <f>IFERROR(INDEX(PQS_tbl[C],AZ10),"")</f>
        <v/>
      </c>
      <c r="BB10" s="165" t="str">
        <f>IF(AND(LEFT(PQS_tbl[[#This Row],[D]],3)=$BB$6,PQS_tbl[[#This Row],[K]]&gt;0),$AO10,"")</f>
        <v/>
      </c>
      <c r="BC10" s="165" t="str">
        <f>IFERROR(SMALL($BB$7:BB$178,ROWS($BB$7:BB10)),"")</f>
        <v/>
      </c>
      <c r="BD10" s="165" t="str">
        <f>IFERROR(INDEX(PQS_tbl[C],BC10),"")</f>
        <v/>
      </c>
    </row>
    <row r="11" spans="1:56" s="178" customFormat="1" x14ac:dyDescent="0.3">
      <c r="A11" s="179" t="s">
        <v>350</v>
      </c>
      <c r="B11" s="62" t="s">
        <v>39</v>
      </c>
      <c r="C11" s="61" t="s">
        <v>354</v>
      </c>
      <c r="D11" s="61" t="s">
        <v>355</v>
      </c>
      <c r="E11" s="180" t="s">
        <v>356</v>
      </c>
      <c r="F11" s="180" t="s">
        <v>348</v>
      </c>
      <c r="G11" s="180" t="s">
        <v>349</v>
      </c>
      <c r="H11" s="180"/>
      <c r="I11" s="63">
        <v>14</v>
      </c>
      <c r="J11" s="63">
        <v>14</v>
      </c>
      <c r="K11" s="63"/>
      <c r="L11" s="63">
        <v>2.4</v>
      </c>
      <c r="M11" s="63"/>
      <c r="N11" s="181">
        <v>5.5</v>
      </c>
      <c r="O11" s="181"/>
      <c r="P11" s="181"/>
      <c r="Q11" s="63">
        <v>0.6</v>
      </c>
      <c r="R11" s="63"/>
      <c r="S11" s="63"/>
      <c r="T11" s="63">
        <v>1308.18</v>
      </c>
      <c r="U11" s="182">
        <v>1308.18</v>
      </c>
      <c r="V11" s="183"/>
      <c r="W11" s="63"/>
      <c r="X11" s="63"/>
      <c r="Y11" s="63"/>
      <c r="Z11" s="63"/>
      <c r="AA11" s="63"/>
      <c r="AB11" s="63"/>
      <c r="AC11" s="63"/>
      <c r="AD11" s="184"/>
      <c r="AE11" s="63"/>
      <c r="AF11" s="185">
        <f t="shared" si="0"/>
        <v>93.441428571428574</v>
      </c>
      <c r="AG11" s="185">
        <f t="shared" si="0"/>
        <v>93.441428571428574</v>
      </c>
      <c r="AH11" s="185">
        <f t="shared" si="1"/>
        <v>545.07500000000005</v>
      </c>
      <c r="AI11" s="186">
        <f t="shared" si="2"/>
        <v>4.2857142857142858E-2</v>
      </c>
      <c r="AJ11" s="186" t="str">
        <f t="shared" si="3"/>
        <v/>
      </c>
      <c r="AK11" s="186">
        <f t="shared" si="4"/>
        <v>4.2857142857142858E-2</v>
      </c>
      <c r="AL11" s="186" t="str">
        <f t="shared" si="5"/>
        <v/>
      </c>
      <c r="AM11" s="186">
        <f t="shared" si="6"/>
        <v>0.25</v>
      </c>
      <c r="AN11" s="186" t="str">
        <f t="shared" si="7"/>
        <v/>
      </c>
      <c r="AO11" s="165">
        <f t="shared" si="8"/>
        <v>5</v>
      </c>
      <c r="AP11" s="165" t="str">
        <f>IF(AND(LEFT(PQS_tbl[[#This Row],[D]],3)=$AP$6,PQS_tbl[[#This Row],[I]]&gt;0),$AO11,"")</f>
        <v/>
      </c>
      <c r="AQ11" s="165">
        <f>IFERROR(SMALL($AP$7:AP$182,ROWS($AP$7:AP11)),"")</f>
        <v>56</v>
      </c>
      <c r="AR11" s="165" t="str">
        <f>IFERROR(INDEX(PQS_tbl[C],AQ11),"")</f>
        <v>TCW 3000 DC</v>
      </c>
      <c r="AS11" s="165" t="str">
        <f>IF(AND(LEFT(PQS_tbl[[#This Row],[D]],3)=$AS$6,PQS_tbl[[#This Row],[I]]=0,PQS_tbl[[#This Row],[J]]&gt;0),$AO11,"")</f>
        <v/>
      </c>
      <c r="AT11" s="165">
        <f>IFERROR(SMALL($AS$7:AS$178,ROWS($AS$7:AS11)),"")</f>
        <v>71</v>
      </c>
      <c r="AU11" s="165" t="str">
        <f>IFERROR(INDEX(PQS_tbl[C],AT11),"")</f>
        <v>MF 114</v>
      </c>
      <c r="AV11" s="165" t="str">
        <f>IF(LEFT(PQS_tbl[[#This Row],[E]],1)="S",$AP11,"")</f>
        <v/>
      </c>
      <c r="AW11" s="165">
        <f>IFERROR(SMALL($AV$7:AV$178,ROWS($AV$7:AV11)),"")</f>
        <v>66</v>
      </c>
      <c r="AX11" s="165" t="str">
        <f>IFERROR(INDEX(PQS_tbl[C],AW11),"")</f>
        <v>BLF100 DC</v>
      </c>
      <c r="AY11" s="165" t="str">
        <f>IF(LEFT(PQS_tbl[[#This Row],[E]],1)="S",$AS11,"")</f>
        <v/>
      </c>
      <c r="AZ11" s="165" t="str">
        <f>IFERROR(SMALL($AY$7:AY$178,ROWS($AY$7:AY11)),"")</f>
        <v/>
      </c>
      <c r="BA11" s="165" t="str">
        <f>IFERROR(INDEX(PQS_tbl[C],AZ11),"")</f>
        <v/>
      </c>
      <c r="BB11" s="165" t="str">
        <f>IF(AND(LEFT(PQS_tbl[[#This Row],[D]],3)=$BB$6,PQS_tbl[[#This Row],[K]]&gt;0),$AO11,"")</f>
        <v/>
      </c>
      <c r="BC11" s="165" t="str">
        <f>IFERROR(SMALL($BB$7:BB$178,ROWS($BB$7:BB11)),"")</f>
        <v/>
      </c>
      <c r="BD11" s="165" t="str">
        <f>IFERROR(INDEX(PQS_tbl[C],BC11),"")</f>
        <v/>
      </c>
    </row>
    <row r="12" spans="1:56" s="178" customFormat="1" x14ac:dyDescent="0.3">
      <c r="A12" s="179" t="s">
        <v>350</v>
      </c>
      <c r="B12" s="62" t="s">
        <v>357</v>
      </c>
      <c r="C12" s="61" t="s">
        <v>358</v>
      </c>
      <c r="D12" s="61" t="s">
        <v>359</v>
      </c>
      <c r="E12" s="180" t="s">
        <v>356</v>
      </c>
      <c r="F12" s="180" t="s">
        <v>348</v>
      </c>
      <c r="G12" s="180" t="s">
        <v>349</v>
      </c>
      <c r="H12" s="180"/>
      <c r="I12" s="63">
        <v>17.5</v>
      </c>
      <c r="J12" s="63">
        <v>5</v>
      </c>
      <c r="K12" s="63"/>
      <c r="L12" s="63">
        <v>2.4</v>
      </c>
      <c r="M12" s="63"/>
      <c r="N12" s="181">
        <v>3.5</v>
      </c>
      <c r="O12" s="181"/>
      <c r="P12" s="181"/>
      <c r="Q12" s="63">
        <v>1.7</v>
      </c>
      <c r="R12" s="63"/>
      <c r="S12" s="63"/>
      <c r="T12" s="63">
        <v>4524</v>
      </c>
      <c r="U12" s="182">
        <v>4524</v>
      </c>
      <c r="V12" s="183"/>
      <c r="W12" s="63"/>
      <c r="X12" s="63"/>
      <c r="Y12" s="63"/>
      <c r="Z12" s="63"/>
      <c r="AA12" s="63"/>
      <c r="AB12" s="63"/>
      <c r="AC12" s="63"/>
      <c r="AD12" s="184"/>
      <c r="AE12" s="63"/>
      <c r="AF12" s="185">
        <f t="shared" si="0"/>
        <v>258.51428571428573</v>
      </c>
      <c r="AG12" s="185">
        <f t="shared" si="0"/>
        <v>904.8</v>
      </c>
      <c r="AH12" s="185">
        <f t="shared" si="1"/>
        <v>1885</v>
      </c>
      <c r="AI12" s="186">
        <f t="shared" si="2"/>
        <v>9.7142857142857142E-2</v>
      </c>
      <c r="AJ12" s="186" t="str">
        <f t="shared" si="3"/>
        <v/>
      </c>
      <c r="AK12" s="186">
        <f t="shared" si="4"/>
        <v>0.33999999999999997</v>
      </c>
      <c r="AL12" s="186" t="str">
        <f t="shared" si="5"/>
        <v/>
      </c>
      <c r="AM12" s="186">
        <f t="shared" si="6"/>
        <v>0.70833333333333337</v>
      </c>
      <c r="AN12" s="186" t="str">
        <f t="shared" si="7"/>
        <v/>
      </c>
      <c r="AO12" s="165">
        <f t="shared" si="8"/>
        <v>6</v>
      </c>
      <c r="AP12" s="165" t="str">
        <f>IF(AND(LEFT(PQS_tbl[[#This Row],[D]],3)=$AP$6,PQS_tbl[[#This Row],[I]]&gt;0),$AO12,"")</f>
        <v/>
      </c>
      <c r="AQ12" s="165">
        <f>IFERROR(SMALL($AP$7:AP$182,ROWS($AP$7:AP12)),"")</f>
        <v>57</v>
      </c>
      <c r="AR12" s="165" t="str">
        <f>IFERROR(INDEX(PQS_tbl[C],AQ12),"")</f>
        <v>MKS 044</v>
      </c>
      <c r="AS12" s="165" t="str">
        <f>IF(AND(LEFT(PQS_tbl[[#This Row],[D]],3)=$AS$6,PQS_tbl[[#This Row],[I]]=0,PQS_tbl[[#This Row],[J]]&gt;0),$AO12,"")</f>
        <v/>
      </c>
      <c r="AT12" s="165">
        <f>IFERROR(SMALL($AS$7:AS$178,ROWS($AS$7:AS12)),"")</f>
        <v>72</v>
      </c>
      <c r="AU12" s="165" t="str">
        <f>IFERROR(INDEX(PQS_tbl[C],AT12),"")</f>
        <v>MF 214</v>
      </c>
      <c r="AV12" s="165" t="str">
        <f>IF(LEFT(PQS_tbl[[#This Row],[E]],1)="S",$AP12,"")</f>
        <v/>
      </c>
      <c r="AW12" s="165">
        <f>IFERROR(SMALL($AV$7:AV$178,ROWS($AV$7:AV12)),"")</f>
        <v>67</v>
      </c>
      <c r="AX12" s="165" t="str">
        <f>IFERROR(INDEX(PQS_tbl[C],AW12),"")</f>
        <v>BFRV55</v>
      </c>
      <c r="AY12" s="165" t="str">
        <f>IF(LEFT(PQS_tbl[[#This Row],[E]],1)="S",$AS12,"")</f>
        <v/>
      </c>
      <c r="AZ12" s="165" t="str">
        <f>IFERROR(SMALL($AY$7:AY$178,ROWS($AY$7:AY12)),"")</f>
        <v/>
      </c>
      <c r="BA12" s="165" t="str">
        <f>IFERROR(INDEX(PQS_tbl[C],AZ12),"")</f>
        <v/>
      </c>
      <c r="BB12" s="165" t="str">
        <f>IF(AND(LEFT(PQS_tbl[[#This Row],[D]],3)=$BB$6,PQS_tbl[[#This Row],[K]]&gt;0),$AO12,"")</f>
        <v/>
      </c>
      <c r="BC12" s="165" t="str">
        <f>IFERROR(SMALL($BB$7:BB$178,ROWS($BB$7:BB12)),"")</f>
        <v/>
      </c>
      <c r="BD12" s="165" t="str">
        <f>IFERROR(INDEX(PQS_tbl[C],BC12),"")</f>
        <v/>
      </c>
    </row>
    <row r="13" spans="1:56" s="178" customFormat="1" x14ac:dyDescent="0.3">
      <c r="A13" s="179" t="s">
        <v>344</v>
      </c>
      <c r="B13" s="62" t="s">
        <v>360</v>
      </c>
      <c r="C13" s="61" t="s">
        <v>361</v>
      </c>
      <c r="D13" s="61" t="s">
        <v>362</v>
      </c>
      <c r="E13" s="180" t="s">
        <v>363</v>
      </c>
      <c r="F13" s="180" t="s">
        <v>348</v>
      </c>
      <c r="G13" s="180" t="s">
        <v>349</v>
      </c>
      <c r="H13" s="180"/>
      <c r="I13" s="63">
        <v>45</v>
      </c>
      <c r="J13" s="63"/>
      <c r="K13" s="63"/>
      <c r="L13" s="63"/>
      <c r="M13" s="63"/>
      <c r="N13" s="181">
        <v>45</v>
      </c>
      <c r="O13" s="181"/>
      <c r="P13" s="181"/>
      <c r="Q13" s="63">
        <v>1.07</v>
      </c>
      <c r="R13" s="63"/>
      <c r="S13" s="63"/>
      <c r="T13" s="63">
        <v>386</v>
      </c>
      <c r="U13" s="182">
        <v>386</v>
      </c>
      <c r="V13" s="183"/>
      <c r="W13" s="63"/>
      <c r="X13" s="63"/>
      <c r="Y13" s="63"/>
      <c r="Z13" s="63"/>
      <c r="AA13" s="63"/>
      <c r="AB13" s="63"/>
      <c r="AC13" s="63"/>
      <c r="AD13" s="184"/>
      <c r="AE13" s="63"/>
      <c r="AF13" s="185">
        <f t="shared" si="0"/>
        <v>8.5777777777777775</v>
      </c>
      <c r="AG13" s="185" t="str">
        <f t="shared" si="0"/>
        <v/>
      </c>
      <c r="AH13" s="185" t="str">
        <f t="shared" si="1"/>
        <v/>
      </c>
      <c r="AI13" s="186">
        <f t="shared" si="2"/>
        <v>2.377777777777778E-2</v>
      </c>
      <c r="AJ13" s="186" t="str">
        <f t="shared" si="3"/>
        <v/>
      </c>
      <c r="AK13" s="186" t="str">
        <f t="shared" si="4"/>
        <v/>
      </c>
      <c r="AL13" s="186" t="str">
        <f t="shared" si="5"/>
        <v/>
      </c>
      <c r="AM13" s="186" t="str">
        <f t="shared" si="6"/>
        <v/>
      </c>
      <c r="AN13" s="186" t="str">
        <f t="shared" si="7"/>
        <v/>
      </c>
      <c r="AO13" s="165">
        <f t="shared" si="8"/>
        <v>7</v>
      </c>
      <c r="AP13" s="165" t="str">
        <f>IF(AND(LEFT(PQS_tbl[[#This Row],[D]],3)=$AP$6,PQS_tbl[[#This Row],[I]]&gt;0),$AO13,"")</f>
        <v/>
      </c>
      <c r="AQ13" s="165">
        <f>IFERROR(SMALL($AP$7:AP$182,ROWS($AP$7:AP13)),"")</f>
        <v>58</v>
      </c>
      <c r="AR13" s="165" t="str">
        <f>IFERROR(INDEX(PQS_tbl[C],AQ13),"")</f>
        <v>MKF 074</v>
      </c>
      <c r="AS13" s="165" t="str">
        <f>IF(AND(LEFT(PQS_tbl[[#This Row],[D]],3)=$AS$6,PQS_tbl[[#This Row],[I]]=0,PQS_tbl[[#This Row],[J]]&gt;0),$AO13,"")</f>
        <v/>
      </c>
      <c r="AT13" s="165">
        <f>IFERROR(SMALL($AS$7:AS$178,ROWS($AS$7:AS13)),"")</f>
        <v>107</v>
      </c>
      <c r="AU13" s="165" t="str">
        <f>IFERROR(INDEX(PQS_tbl[C],AT13),"")</f>
        <v>DW-25W147</v>
      </c>
      <c r="AV13" s="165" t="str">
        <f>IF(LEFT(PQS_tbl[[#This Row],[E]],1)="S",$AP13,"")</f>
        <v/>
      </c>
      <c r="AW13" s="165">
        <f>IFERROR(SMALL($AV$7:AV$178,ROWS($AV$7:AV13)),"")</f>
        <v>73</v>
      </c>
      <c r="AX13" s="165" t="str">
        <f>IFERROR(INDEX(PQS_tbl[C],AW13),"")</f>
        <v>VC 65-2</v>
      </c>
      <c r="AY13" s="165" t="str">
        <f>IF(LEFT(PQS_tbl[[#This Row],[E]],1)="S",$AS13,"")</f>
        <v/>
      </c>
      <c r="AZ13" s="165" t="str">
        <f>IFERROR(SMALL($AY$7:AY$178,ROWS($AY$7:AY13)),"")</f>
        <v/>
      </c>
      <c r="BA13" s="165" t="str">
        <f>IFERROR(INDEX(PQS_tbl[C],AZ13),"")</f>
        <v/>
      </c>
      <c r="BB13" s="165" t="str">
        <f>IF(AND(LEFT(PQS_tbl[[#This Row],[D]],3)=$BB$6,PQS_tbl[[#This Row],[K]]&gt;0),$AO13,"")</f>
        <v/>
      </c>
      <c r="BC13" s="165" t="str">
        <f>IFERROR(SMALL($BB$7:BB$178,ROWS($BB$7:BB13)),"")</f>
        <v/>
      </c>
      <c r="BD13" s="165" t="str">
        <f>IFERROR(INDEX(PQS_tbl[C],BC13),"")</f>
        <v/>
      </c>
    </row>
    <row r="14" spans="1:56" s="178" customFormat="1" x14ac:dyDescent="0.3">
      <c r="A14" s="179" t="s">
        <v>344</v>
      </c>
      <c r="B14" s="62" t="s">
        <v>39</v>
      </c>
      <c r="C14" s="61" t="s">
        <v>364</v>
      </c>
      <c r="D14" s="61" t="s">
        <v>365</v>
      </c>
      <c r="E14" s="180" t="s">
        <v>347</v>
      </c>
      <c r="F14" s="180" t="s">
        <v>348</v>
      </c>
      <c r="G14" s="180" t="s">
        <v>349</v>
      </c>
      <c r="H14" s="180"/>
      <c r="I14" s="63">
        <v>37.5</v>
      </c>
      <c r="J14" s="63"/>
      <c r="K14" s="63"/>
      <c r="L14" s="63">
        <v>16.457142857142856</v>
      </c>
      <c r="M14" s="63"/>
      <c r="N14" s="181">
        <v>38</v>
      </c>
      <c r="O14" s="181"/>
      <c r="P14" s="181"/>
      <c r="Q14" s="63">
        <v>1.92</v>
      </c>
      <c r="R14" s="63"/>
      <c r="S14" s="63"/>
      <c r="T14" s="63">
        <v>1070</v>
      </c>
      <c r="U14" s="182">
        <v>1070</v>
      </c>
      <c r="V14" s="183"/>
      <c r="W14" s="63"/>
      <c r="X14" s="63"/>
      <c r="Y14" s="63"/>
      <c r="Z14" s="63"/>
      <c r="AA14" s="63"/>
      <c r="AB14" s="63"/>
      <c r="AC14" s="63"/>
      <c r="AD14" s="184"/>
      <c r="AE14" s="63"/>
      <c r="AF14" s="185">
        <f t="shared" si="0"/>
        <v>28.533333333333335</v>
      </c>
      <c r="AG14" s="185" t="str">
        <f t="shared" si="0"/>
        <v/>
      </c>
      <c r="AH14" s="185">
        <f t="shared" si="1"/>
        <v>65.017361111111114</v>
      </c>
      <c r="AI14" s="186">
        <f t="shared" si="2"/>
        <v>5.1199999999999996E-2</v>
      </c>
      <c r="AJ14" s="186" t="str">
        <f t="shared" si="3"/>
        <v/>
      </c>
      <c r="AK14" s="186" t="str">
        <f t="shared" si="4"/>
        <v/>
      </c>
      <c r="AL14" s="186" t="str">
        <f t="shared" si="5"/>
        <v/>
      </c>
      <c r="AM14" s="186">
        <f t="shared" si="6"/>
        <v>0.11666666666666667</v>
      </c>
      <c r="AN14" s="186" t="str">
        <f t="shared" si="7"/>
        <v/>
      </c>
      <c r="AO14" s="165">
        <f t="shared" si="8"/>
        <v>8</v>
      </c>
      <c r="AP14" s="165" t="str">
        <f>IF(AND(LEFT(PQS_tbl[[#This Row],[D]],3)=$AP$6,PQS_tbl[[#This Row],[I]]&gt;0),$AO14,"")</f>
        <v/>
      </c>
      <c r="AQ14" s="165">
        <f>IFERROR(SMALL($AP$7:AP$182,ROWS($AP$7:AP14)),"")</f>
        <v>59</v>
      </c>
      <c r="AR14" s="165" t="str">
        <f>IFERROR(INDEX(PQS_tbl[C],AQ14),"")</f>
        <v>MK 204</v>
      </c>
      <c r="AS14" s="165" t="str">
        <f>IF(AND(LEFT(PQS_tbl[[#This Row],[D]],3)=$AS$6,PQS_tbl[[#This Row],[I]]=0,PQS_tbl[[#This Row],[J]]&gt;0),$AO14,"")</f>
        <v/>
      </c>
      <c r="AT14" s="165">
        <f>IFERROR(SMALL($AS$7:AS$178,ROWS($AS$7:AS14)),"")</f>
        <v>108</v>
      </c>
      <c r="AU14" s="165" t="str">
        <f>IFERROR(INDEX(PQS_tbl[C],AT14),"")</f>
        <v>DW-25W300</v>
      </c>
      <c r="AV14" s="165" t="str">
        <f>IF(LEFT(PQS_tbl[[#This Row],[E]],1)="S",$AP14,"")</f>
        <v/>
      </c>
      <c r="AW14" s="165">
        <f>IFERROR(SMALL($AV$7:AV$178,ROWS($AV$7:AV14)),"")</f>
        <v>74</v>
      </c>
      <c r="AX14" s="165" t="str">
        <f>IFERROR(INDEX(PQS_tbl[C],AW14),"")</f>
        <v>VC 150-2</v>
      </c>
      <c r="AY14" s="165" t="str">
        <f>IF(LEFT(PQS_tbl[[#This Row],[E]],1)="S",$AS14,"")</f>
        <v/>
      </c>
      <c r="AZ14" s="165" t="str">
        <f>IFERROR(SMALL($AY$7:AY$178,ROWS($AY$7:AY14)),"")</f>
        <v/>
      </c>
      <c r="BA14" s="165" t="str">
        <f>IFERROR(INDEX(PQS_tbl[C],AZ14),"")</f>
        <v/>
      </c>
      <c r="BB14" s="165" t="str">
        <f>IF(AND(LEFT(PQS_tbl[[#This Row],[D]],3)=$BB$6,PQS_tbl[[#This Row],[K]]&gt;0),$AO14,"")</f>
        <v/>
      </c>
      <c r="BC14" s="165" t="str">
        <f>IFERROR(SMALL($BB$7:BB$178,ROWS($BB$7:BB14)),"")</f>
        <v/>
      </c>
      <c r="BD14" s="165" t="str">
        <f>IFERROR(INDEX(PQS_tbl[C],BC14),"")</f>
        <v/>
      </c>
    </row>
    <row r="15" spans="1:56" s="178" customFormat="1" x14ac:dyDescent="0.3">
      <c r="A15" s="179" t="s">
        <v>344</v>
      </c>
      <c r="B15" s="62" t="s">
        <v>366</v>
      </c>
      <c r="C15" s="61" t="s">
        <v>367</v>
      </c>
      <c r="D15" s="61" t="s">
        <v>368</v>
      </c>
      <c r="E15" s="180" t="s">
        <v>363</v>
      </c>
      <c r="F15" s="180" t="s">
        <v>348</v>
      </c>
      <c r="G15" s="180" t="s">
        <v>349</v>
      </c>
      <c r="H15" s="180"/>
      <c r="I15" s="63">
        <v>107.5</v>
      </c>
      <c r="J15" s="63"/>
      <c r="K15" s="63"/>
      <c r="L15" s="63"/>
      <c r="M15" s="63"/>
      <c r="N15" s="181">
        <v>21</v>
      </c>
      <c r="O15" s="181"/>
      <c r="P15" s="181"/>
      <c r="Q15" s="63">
        <v>1.92</v>
      </c>
      <c r="R15" s="63"/>
      <c r="S15" s="63"/>
      <c r="T15" s="63">
        <v>1556</v>
      </c>
      <c r="U15" s="182">
        <v>1556</v>
      </c>
      <c r="V15" s="183"/>
      <c r="W15" s="63"/>
      <c r="X15" s="63"/>
      <c r="Y15" s="63"/>
      <c r="Z15" s="63"/>
      <c r="AA15" s="63"/>
      <c r="AB15" s="63"/>
      <c r="AC15" s="63"/>
      <c r="AD15" s="184"/>
      <c r="AE15" s="63"/>
      <c r="AF15" s="185">
        <f t="shared" si="0"/>
        <v>14.474418604651163</v>
      </c>
      <c r="AG15" s="185" t="str">
        <f t="shared" si="0"/>
        <v/>
      </c>
      <c r="AH15" s="185" t="str">
        <f t="shared" si="1"/>
        <v/>
      </c>
      <c r="AI15" s="186">
        <f t="shared" si="2"/>
        <v>1.7860465116279069E-2</v>
      </c>
      <c r="AJ15" s="186" t="str">
        <f t="shared" si="3"/>
        <v/>
      </c>
      <c r="AK15" s="186" t="str">
        <f t="shared" si="4"/>
        <v/>
      </c>
      <c r="AL15" s="186" t="str">
        <f t="shared" si="5"/>
        <v/>
      </c>
      <c r="AM15" s="186" t="str">
        <f t="shared" si="6"/>
        <v/>
      </c>
      <c r="AN15" s="186" t="str">
        <f t="shared" si="7"/>
        <v/>
      </c>
      <c r="AO15" s="165">
        <f t="shared" si="8"/>
        <v>9</v>
      </c>
      <c r="AP15" s="165" t="str">
        <f>IF(AND(LEFT(PQS_tbl[[#This Row],[D]],3)=$AP$6,PQS_tbl[[#This Row],[I]]&gt;0),$AO15,"")</f>
        <v/>
      </c>
      <c r="AQ15" s="165">
        <f>IFERROR(SMALL($AP$7:AP$182,ROWS($AP$7:AP15)),"")</f>
        <v>60</v>
      </c>
      <c r="AR15" s="165" t="str">
        <f>IFERROR(INDEX(PQS_tbl[C],AQ15),"")</f>
        <v>MK 404</v>
      </c>
      <c r="AS15" s="165" t="str">
        <f>IF(AND(LEFT(PQS_tbl[[#This Row],[D]],3)=$AS$6,PQS_tbl[[#This Row],[I]]=0,PQS_tbl[[#This Row],[J]]&gt;0),$AO15,"")</f>
        <v/>
      </c>
      <c r="AT15" s="165">
        <f>IFERROR(SMALL($AS$7:AS$178,ROWS($AS$7:AS15)),"")</f>
        <v>118</v>
      </c>
      <c r="AU15" s="165" t="str">
        <f>IFERROR(INDEX(PQS_tbl[C],AT15),"")</f>
        <v>TFW 3000 AC</v>
      </c>
      <c r="AV15" s="165" t="str">
        <f>IF(LEFT(PQS_tbl[[#This Row],[E]],1)="S",$AP15,"")</f>
        <v/>
      </c>
      <c r="AW15" s="165">
        <f>IFERROR(SMALL($AV$7:AV$178,ROWS($AV$7:AV15)),"")</f>
        <v>75</v>
      </c>
      <c r="AX15" s="165" t="str">
        <f>IFERROR(INDEX(PQS_tbl[C],AW15),"")</f>
        <v>VC 200-1</v>
      </c>
      <c r="AY15" s="165" t="str">
        <f>IF(LEFT(PQS_tbl[[#This Row],[E]],1)="S",$AS15,"")</f>
        <v/>
      </c>
      <c r="AZ15" s="165" t="str">
        <f>IFERROR(SMALL($AY$7:AY$178,ROWS($AY$7:AY15)),"")</f>
        <v/>
      </c>
      <c r="BA15" s="165" t="str">
        <f>IFERROR(INDEX(PQS_tbl[C],AZ15),"")</f>
        <v/>
      </c>
      <c r="BB15" s="165" t="str">
        <f>IF(AND(LEFT(PQS_tbl[[#This Row],[D]],3)=$BB$6,PQS_tbl[[#This Row],[K]]&gt;0),$AO15,"")</f>
        <v/>
      </c>
      <c r="BC15" s="165" t="str">
        <f>IFERROR(SMALL($BB$7:BB$178,ROWS($BB$7:BB15)),"")</f>
        <v/>
      </c>
      <c r="BD15" s="165" t="str">
        <f>IFERROR(INDEX(PQS_tbl[C],BC15),"")</f>
        <v/>
      </c>
    </row>
    <row r="16" spans="1:56" s="178" customFormat="1" x14ac:dyDescent="0.3">
      <c r="A16" s="179" t="s">
        <v>350</v>
      </c>
      <c r="B16" s="62" t="s">
        <v>369</v>
      </c>
      <c r="C16" s="61" t="s">
        <v>370</v>
      </c>
      <c r="D16" s="61" t="s">
        <v>371</v>
      </c>
      <c r="E16" s="180" t="s">
        <v>356</v>
      </c>
      <c r="F16" s="180" t="s">
        <v>348</v>
      </c>
      <c r="G16" s="180" t="s">
        <v>349</v>
      </c>
      <c r="H16" s="180"/>
      <c r="I16" s="63">
        <v>15.5</v>
      </c>
      <c r="J16" s="63">
        <v>12.2</v>
      </c>
      <c r="K16" s="63"/>
      <c r="L16" s="63">
        <v>2.8</v>
      </c>
      <c r="M16" s="63"/>
      <c r="N16" s="181">
        <v>4.0999999999999996</v>
      </c>
      <c r="O16" s="181"/>
      <c r="P16" s="181"/>
      <c r="Q16" s="63">
        <v>0.85</v>
      </c>
      <c r="R16" s="63"/>
      <c r="S16" s="63"/>
      <c r="T16" s="63">
        <v>1900</v>
      </c>
      <c r="U16" s="182">
        <v>1900</v>
      </c>
      <c r="V16" s="183"/>
      <c r="W16" s="63"/>
      <c r="X16" s="63"/>
      <c r="Y16" s="63"/>
      <c r="Z16" s="63"/>
      <c r="AA16" s="63"/>
      <c r="AB16" s="63"/>
      <c r="AC16" s="63"/>
      <c r="AD16" s="184"/>
      <c r="AE16" s="63"/>
      <c r="AF16" s="185">
        <f t="shared" si="0"/>
        <v>122.58064516129032</v>
      </c>
      <c r="AG16" s="185">
        <f t="shared" si="0"/>
        <v>155.73770491803279</v>
      </c>
      <c r="AH16" s="185">
        <f t="shared" si="1"/>
        <v>678.57142857142867</v>
      </c>
      <c r="AI16" s="186">
        <f t="shared" si="2"/>
        <v>5.4838709677419356E-2</v>
      </c>
      <c r="AJ16" s="186" t="str">
        <f t="shared" si="3"/>
        <v/>
      </c>
      <c r="AK16" s="186">
        <f t="shared" si="4"/>
        <v>6.9672131147540992E-2</v>
      </c>
      <c r="AL16" s="186" t="str">
        <f t="shared" si="5"/>
        <v/>
      </c>
      <c r="AM16" s="186">
        <f t="shared" si="6"/>
        <v>0.3035714285714286</v>
      </c>
      <c r="AN16" s="186" t="str">
        <f t="shared" si="7"/>
        <v/>
      </c>
      <c r="AO16" s="165">
        <f t="shared" si="8"/>
        <v>10</v>
      </c>
      <c r="AP16" s="165" t="str">
        <f>IF(AND(LEFT(PQS_tbl[[#This Row],[D]],3)=$AP$6,PQS_tbl[[#This Row],[I]]&gt;0),$AO16,"")</f>
        <v/>
      </c>
      <c r="AQ16" s="165">
        <f>IFERROR(SMALL($AP$7:AP$182,ROWS($AP$7:AP16)),"")</f>
        <v>61</v>
      </c>
      <c r="AR16" s="165" t="str">
        <f>IFERROR(INDEX(PQS_tbl[C],AQ16),"")</f>
        <v>BLF100AC</v>
      </c>
      <c r="AS16" s="165" t="str">
        <f>IF(AND(LEFT(PQS_tbl[[#This Row],[D]],3)=$AS$6,PQS_tbl[[#This Row],[I]]=0,PQS_tbl[[#This Row],[J]]&gt;0),$AO16,"")</f>
        <v/>
      </c>
      <c r="AT16" s="165">
        <f>IFERROR(SMALL($AS$7:AS$178,ROWS($AS$7:AS16)),"")</f>
        <v>120</v>
      </c>
      <c r="AU16" s="165" t="str">
        <f>IFERROR(INDEX(PQS_tbl[C],AT16),"")</f>
        <v>TFW 40 SDD</v>
      </c>
      <c r="AV16" s="165" t="str">
        <f>IF(LEFT(PQS_tbl[[#This Row],[E]],1)="S",$AP16,"")</f>
        <v/>
      </c>
      <c r="AW16" s="165">
        <f>IFERROR(SMALL($AV$7:AV$178,ROWS($AV$7:AV16)),"")</f>
        <v>76</v>
      </c>
      <c r="AX16" s="165" t="str">
        <f>IFERROR(INDEX(PQS_tbl[C],AW16),"")</f>
        <v>HTC-60</v>
      </c>
      <c r="AY16" s="165" t="str">
        <f>IF(LEFT(PQS_tbl[[#This Row],[E]],1)="S",$AS16,"")</f>
        <v/>
      </c>
      <c r="AZ16" s="165" t="str">
        <f>IFERROR(SMALL($AY$7:AY$178,ROWS($AY$7:AY16)),"")</f>
        <v/>
      </c>
      <c r="BA16" s="165" t="str">
        <f>IFERROR(INDEX(PQS_tbl[C],AZ16),"")</f>
        <v/>
      </c>
      <c r="BB16" s="165" t="str">
        <f>IF(AND(LEFT(PQS_tbl[[#This Row],[D]],3)=$BB$6,PQS_tbl[[#This Row],[K]]&gt;0),$AO16,"")</f>
        <v/>
      </c>
      <c r="BC16" s="165" t="str">
        <f>IFERROR(SMALL($BB$7:BB$178,ROWS($BB$7:BB16)),"")</f>
        <v/>
      </c>
      <c r="BD16" s="165" t="str">
        <f>IFERROR(INDEX(PQS_tbl[C],BC16),"")</f>
        <v/>
      </c>
    </row>
    <row r="17" spans="1:56" s="178" customFormat="1" x14ac:dyDescent="0.3">
      <c r="A17" s="179" t="s">
        <v>350</v>
      </c>
      <c r="B17" s="62" t="s">
        <v>372</v>
      </c>
      <c r="C17" s="61" t="s">
        <v>373</v>
      </c>
      <c r="D17" s="61" t="s">
        <v>374</v>
      </c>
      <c r="E17" s="180" t="s">
        <v>356</v>
      </c>
      <c r="F17" s="180" t="s">
        <v>348</v>
      </c>
      <c r="G17" s="180" t="s">
        <v>349</v>
      </c>
      <c r="H17" s="180"/>
      <c r="I17" s="63">
        <v>20</v>
      </c>
      <c r="J17" s="63">
        <v>4.8</v>
      </c>
      <c r="K17" s="63"/>
      <c r="L17" s="63">
        <v>3.6</v>
      </c>
      <c r="M17" s="63"/>
      <c r="N17" s="181">
        <v>6</v>
      </c>
      <c r="O17" s="181"/>
      <c r="P17" s="181"/>
      <c r="Q17" s="63">
        <v>0.41</v>
      </c>
      <c r="R17" s="63"/>
      <c r="S17" s="63"/>
      <c r="T17" s="63">
        <v>3200</v>
      </c>
      <c r="U17" s="182">
        <v>3200</v>
      </c>
      <c r="V17" s="183"/>
      <c r="W17" s="63"/>
      <c r="X17" s="63"/>
      <c r="Y17" s="63"/>
      <c r="Z17" s="63"/>
      <c r="AA17" s="63"/>
      <c r="AB17" s="63"/>
      <c r="AC17" s="63"/>
      <c r="AD17" s="184"/>
      <c r="AE17" s="63"/>
      <c r="AF17" s="185">
        <f t="shared" si="0"/>
        <v>160</v>
      </c>
      <c r="AG17" s="185">
        <f t="shared" si="0"/>
        <v>666.66666666666674</v>
      </c>
      <c r="AH17" s="185">
        <f t="shared" si="1"/>
        <v>888.88888888888891</v>
      </c>
      <c r="AI17" s="186">
        <f t="shared" si="2"/>
        <v>2.0499999999999997E-2</v>
      </c>
      <c r="AJ17" s="186" t="str">
        <f t="shared" si="3"/>
        <v/>
      </c>
      <c r="AK17" s="186">
        <f t="shared" si="4"/>
        <v>8.5416666666666669E-2</v>
      </c>
      <c r="AL17" s="186" t="str">
        <f t="shared" si="5"/>
        <v/>
      </c>
      <c r="AM17" s="186">
        <f t="shared" si="6"/>
        <v>0.11388888888888887</v>
      </c>
      <c r="AN17" s="186" t="str">
        <f t="shared" si="7"/>
        <v/>
      </c>
      <c r="AO17" s="165">
        <f t="shared" si="8"/>
        <v>11</v>
      </c>
      <c r="AP17" s="165" t="str">
        <f>IF(AND(LEFT(PQS_tbl[[#This Row],[D]],3)=$AP$6,PQS_tbl[[#This Row],[I]]&gt;0),$AO17,"")</f>
        <v/>
      </c>
      <c r="AQ17" s="165">
        <f>IFERROR(SMALL($AP$7:AP$182,ROWS($AP$7:AP17)),"")</f>
        <v>62</v>
      </c>
      <c r="AR17" s="165" t="str">
        <f>IFERROR(INDEX(PQS_tbl[C],AQ17),"")</f>
        <v>TCW 2000 AC</v>
      </c>
      <c r="AS17" s="165" t="str">
        <f>IF(AND(LEFT(PQS_tbl[[#This Row],[D]],3)=$AS$6,PQS_tbl[[#This Row],[I]]=0,PQS_tbl[[#This Row],[J]]&gt;0),$AO17,"")</f>
        <v/>
      </c>
      <c r="AT17" s="165">
        <f>IFERROR(SMALL($AS$7:AS$178,ROWS($AS$7:AS17)),"")</f>
        <v>133</v>
      </c>
      <c r="AU17" s="165" t="str">
        <f>IFERROR(INDEX(PQS_tbl[C],AT17),"")</f>
        <v>HTD-40</v>
      </c>
      <c r="AV17" s="165" t="str">
        <f>IF(LEFT(PQS_tbl[[#This Row],[E]],1)="S",$AP17,"")</f>
        <v/>
      </c>
      <c r="AW17" s="165">
        <f>IFERROR(SMALL($AV$7:AV$178,ROWS($AV$7:AV17)),"")</f>
        <v>77</v>
      </c>
      <c r="AX17" s="165" t="str">
        <f>IFERROR(INDEX(PQS_tbl[C],AW17),"")</f>
        <v>TCW 3000 SDD</v>
      </c>
      <c r="AY17" s="165" t="str">
        <f>IF(LEFT(PQS_tbl[[#This Row],[E]],1)="S",$AS17,"")</f>
        <v/>
      </c>
      <c r="AZ17" s="165" t="str">
        <f>IFERROR(SMALL($AY$7:AY$178,ROWS($AY$7:AY17)),"")</f>
        <v/>
      </c>
      <c r="BA17" s="165" t="str">
        <f>IFERROR(INDEX(PQS_tbl[C],AZ17),"")</f>
        <v/>
      </c>
      <c r="BB17" s="165" t="str">
        <f>IF(AND(LEFT(PQS_tbl[[#This Row],[D]],3)=$BB$6,PQS_tbl[[#This Row],[K]]&gt;0),$AO17,"")</f>
        <v/>
      </c>
      <c r="BC17" s="165" t="str">
        <f>IFERROR(SMALL($BB$7:BB$178,ROWS($BB$7:BB17)),"")</f>
        <v/>
      </c>
      <c r="BD17" s="165" t="str">
        <f>IFERROR(INDEX(PQS_tbl[C],BC17),"")</f>
        <v/>
      </c>
    </row>
    <row r="18" spans="1:56" s="178" customFormat="1" x14ac:dyDescent="0.3">
      <c r="A18" s="179" t="s">
        <v>375</v>
      </c>
      <c r="B18" s="62" t="s">
        <v>39</v>
      </c>
      <c r="C18" s="61" t="s">
        <v>376</v>
      </c>
      <c r="D18" s="61" t="s">
        <v>377</v>
      </c>
      <c r="E18" s="180" t="s">
        <v>319</v>
      </c>
      <c r="F18" s="180" t="s">
        <v>338</v>
      </c>
      <c r="G18" s="180" t="s">
        <v>339</v>
      </c>
      <c r="H18" s="180"/>
      <c r="I18" s="63"/>
      <c r="J18" s="63">
        <v>14</v>
      </c>
      <c r="K18" s="63"/>
      <c r="L18" s="63">
        <v>2.4</v>
      </c>
      <c r="M18" s="63"/>
      <c r="N18" s="181" t="s">
        <v>340</v>
      </c>
      <c r="O18" s="181"/>
      <c r="P18" s="181"/>
      <c r="Q18" s="63">
        <v>2.9</v>
      </c>
      <c r="R18" s="63">
        <v>0.6</v>
      </c>
      <c r="S18" s="63"/>
      <c r="T18" s="63">
        <v>688.18</v>
      </c>
      <c r="U18" s="182">
        <v>688.18</v>
      </c>
      <c r="V18" s="183"/>
      <c r="W18" s="63"/>
      <c r="X18" s="63"/>
      <c r="Y18" s="63"/>
      <c r="Z18" s="63"/>
      <c r="AA18" s="63"/>
      <c r="AB18" s="63"/>
      <c r="AC18" s="63"/>
      <c r="AD18" s="184"/>
      <c r="AE18" s="63"/>
      <c r="AF18" s="185" t="str">
        <f t="shared" si="0"/>
        <v/>
      </c>
      <c r="AG18" s="185">
        <f t="shared" si="0"/>
        <v>49.155714285714282</v>
      </c>
      <c r="AH18" s="185">
        <f t="shared" si="1"/>
        <v>286.74166666666667</v>
      </c>
      <c r="AI18" s="186" t="str">
        <f t="shared" si="2"/>
        <v/>
      </c>
      <c r="AJ18" s="186" t="str">
        <f t="shared" si="3"/>
        <v/>
      </c>
      <c r="AK18" s="186">
        <f t="shared" si="4"/>
        <v>0.20714285714285713</v>
      </c>
      <c r="AL18" s="186" t="str">
        <f t="shared" si="5"/>
        <v/>
      </c>
      <c r="AM18" s="186">
        <f t="shared" si="6"/>
        <v>1.2083333333333333</v>
      </c>
      <c r="AN18" s="186" t="str">
        <f t="shared" si="7"/>
        <v/>
      </c>
      <c r="AO18" s="165">
        <f t="shared" si="8"/>
        <v>12</v>
      </c>
      <c r="AP18" s="165" t="str">
        <f>IF(AND(LEFT(PQS_tbl[[#This Row],[D]],3)=$AP$6,PQS_tbl[[#This Row],[I]]&gt;0),$AO18,"")</f>
        <v/>
      </c>
      <c r="AQ18" s="165">
        <f>IFERROR(SMALL($AP$7:AP$182,ROWS($AP$7:AP18)),"")</f>
        <v>63</v>
      </c>
      <c r="AR18" s="165" t="str">
        <f>IFERROR(INDEX(PQS_tbl[C],AQ18),"")</f>
        <v>HBC-340</v>
      </c>
      <c r="AS18" s="165" t="str">
        <f>IF(AND(LEFT(PQS_tbl[[#This Row],[D]],3)=$AS$6,PQS_tbl[[#This Row],[I]]=0,PQS_tbl[[#This Row],[J]]&gt;0),$AO18,"")</f>
        <v/>
      </c>
      <c r="AT18" s="165">
        <f>IFERROR(SMALL($AS$7:AS$178,ROWS($AS$7:AS18)),"")</f>
        <v>146</v>
      </c>
      <c r="AU18" s="165" t="str">
        <f>IFERROR(INDEX(PQS_tbl[C],AT18),"")</f>
        <v>VFS 048 SDD</v>
      </c>
      <c r="AV18" s="165" t="str">
        <f>IF(LEFT(PQS_tbl[[#This Row],[E]],1)="S",$AP18,"")</f>
        <v/>
      </c>
      <c r="AW18" s="165">
        <f>IFERROR(SMALL($AV$7:AV$178,ROWS($AV$7:AV18)),"")</f>
        <v>82</v>
      </c>
      <c r="AX18" s="165" t="str">
        <f>IFERROR(INDEX(PQS_tbl[C],AW18),"")</f>
        <v>TCW 2000 SDD</v>
      </c>
      <c r="AY18" s="165" t="str">
        <f>IF(LEFT(PQS_tbl[[#This Row],[E]],1)="S",$AS18,"")</f>
        <v/>
      </c>
      <c r="AZ18" s="165" t="str">
        <f>IFERROR(SMALL($AY$7:AY$178,ROWS($AY$7:AY18)),"")</f>
        <v/>
      </c>
      <c r="BA18" s="165" t="str">
        <f>IFERROR(INDEX(PQS_tbl[C],AZ18),"")</f>
        <v/>
      </c>
      <c r="BB18" s="165" t="str">
        <f>IF(AND(LEFT(PQS_tbl[[#This Row],[D]],3)=$BB$6,PQS_tbl[[#This Row],[K]]&gt;0),$AO18,"")</f>
        <v/>
      </c>
      <c r="BC18" s="165" t="str">
        <f>IFERROR(SMALL($BB$7:BB$178,ROWS($BB$7:BB18)),"")</f>
        <v/>
      </c>
      <c r="BD18" s="165" t="str">
        <f>IFERROR(INDEX(PQS_tbl[C],BC18),"")</f>
        <v/>
      </c>
    </row>
    <row r="19" spans="1:56" s="178" customFormat="1" x14ac:dyDescent="0.3">
      <c r="A19" s="179" t="s">
        <v>375</v>
      </c>
      <c r="B19" s="62" t="s">
        <v>39</v>
      </c>
      <c r="C19" s="61" t="s">
        <v>378</v>
      </c>
      <c r="D19" s="61" t="s">
        <v>379</v>
      </c>
      <c r="E19" s="180" t="s">
        <v>319</v>
      </c>
      <c r="F19" s="180" t="s">
        <v>338</v>
      </c>
      <c r="G19" s="180" t="s">
        <v>339</v>
      </c>
      <c r="H19" s="180"/>
      <c r="I19" s="63"/>
      <c r="J19" s="63">
        <v>14</v>
      </c>
      <c r="K19" s="63"/>
      <c r="L19" s="63">
        <v>2.4</v>
      </c>
      <c r="M19" s="63"/>
      <c r="N19" s="181">
        <v>11</v>
      </c>
      <c r="O19" s="181"/>
      <c r="P19" s="181"/>
      <c r="Q19" s="63">
        <v>2.7</v>
      </c>
      <c r="R19" s="63"/>
      <c r="S19" s="63">
        <v>0.65</v>
      </c>
      <c r="T19" s="63">
        <v>841</v>
      </c>
      <c r="U19" s="182">
        <v>841</v>
      </c>
      <c r="V19" s="183"/>
      <c r="W19" s="63"/>
      <c r="X19" s="63"/>
      <c r="Y19" s="63"/>
      <c r="Z19" s="63"/>
      <c r="AA19" s="63"/>
      <c r="AB19" s="63"/>
      <c r="AC19" s="63"/>
      <c r="AD19" s="184"/>
      <c r="AE19" s="63"/>
      <c r="AF19" s="185" t="str">
        <f t="shared" si="0"/>
        <v/>
      </c>
      <c r="AG19" s="185">
        <f t="shared" si="0"/>
        <v>60.071428571428569</v>
      </c>
      <c r="AH19" s="185">
        <f t="shared" si="1"/>
        <v>350.41666666666669</v>
      </c>
      <c r="AI19" s="186" t="str">
        <f t="shared" si="2"/>
        <v/>
      </c>
      <c r="AJ19" s="186" t="str">
        <f t="shared" si="3"/>
        <v/>
      </c>
      <c r="AK19" s="186">
        <f t="shared" si="4"/>
        <v>0.19285714285714287</v>
      </c>
      <c r="AL19" s="186">
        <f t="shared" si="5"/>
        <v>4.642857142857143E-2</v>
      </c>
      <c r="AM19" s="186">
        <f t="shared" si="6"/>
        <v>1.1250000000000002</v>
      </c>
      <c r="AN19" s="186">
        <f t="shared" si="7"/>
        <v>0.27083333333333337</v>
      </c>
      <c r="AO19" s="165">
        <f t="shared" si="8"/>
        <v>13</v>
      </c>
      <c r="AP19" s="165" t="str">
        <f>IF(AND(LEFT(PQS_tbl[[#This Row],[D]],3)=$AP$6,PQS_tbl[[#This Row],[I]]&gt;0),$AO19,"")</f>
        <v/>
      </c>
      <c r="AQ19" s="165">
        <f>IFERROR(SMALL($AP$7:AP$182,ROWS($AP$7:AP19)),"")</f>
        <v>64</v>
      </c>
      <c r="AR19" s="165" t="str">
        <f>IFERROR(INDEX(PQS_tbl[C],AQ19),"")</f>
        <v>PS65i</v>
      </c>
      <c r="AS19" s="165" t="str">
        <f>IF(AND(LEFT(PQS_tbl[[#This Row],[D]],3)=$AS$6,PQS_tbl[[#This Row],[I]]=0,PQS_tbl[[#This Row],[J]]&gt;0),$AO19,"")</f>
        <v/>
      </c>
      <c r="AT19" s="165" t="str">
        <f>IFERROR(SMALL($AS$7:AS$178,ROWS($AS$7:AS19)),"")</f>
        <v/>
      </c>
      <c r="AU19" s="165" t="str">
        <f>IFERROR(INDEX(PQS_tbl[C],AT19),"")</f>
        <v/>
      </c>
      <c r="AV19" s="165" t="str">
        <f>IF(LEFT(PQS_tbl[[#This Row],[E]],1)="S",$AP19,"")</f>
        <v/>
      </c>
      <c r="AW19" s="165">
        <f>IFERROR(SMALL($AV$7:AV$178,ROWS($AV$7:AV19)),"")</f>
        <v>84</v>
      </c>
      <c r="AX19" s="165" t="str">
        <f>IFERROR(INDEX(PQS_tbl[C],AW19),"")</f>
        <v>ZLF 100DC</v>
      </c>
      <c r="AY19" s="165" t="str">
        <f>IF(LEFT(PQS_tbl[[#This Row],[E]],1)="S",$AS19,"")</f>
        <v/>
      </c>
      <c r="AZ19" s="165" t="str">
        <f>IFERROR(SMALL($AY$7:AY$178,ROWS($AY$7:AY19)),"")</f>
        <v/>
      </c>
      <c r="BA19" s="165" t="str">
        <f>IFERROR(INDEX(PQS_tbl[C],AZ19),"")</f>
        <v/>
      </c>
      <c r="BB19" s="165" t="str">
        <f>IF(AND(LEFT(PQS_tbl[[#This Row],[D]],3)=$BB$6,PQS_tbl[[#This Row],[K]]&gt;0),$AO19,"")</f>
        <v/>
      </c>
      <c r="BC19" s="165" t="str">
        <f>IFERROR(SMALL($BB$7:BB$178,ROWS($BB$7:BB19)),"")</f>
        <v/>
      </c>
      <c r="BD19" s="165" t="str">
        <f>IFERROR(INDEX(PQS_tbl[C],BC19),"")</f>
        <v/>
      </c>
    </row>
    <row r="20" spans="1:56" s="178" customFormat="1" x14ac:dyDescent="0.3">
      <c r="A20" s="179" t="s">
        <v>344</v>
      </c>
      <c r="B20" s="62" t="s">
        <v>360</v>
      </c>
      <c r="C20" s="61" t="s">
        <v>380</v>
      </c>
      <c r="D20" s="61" t="s">
        <v>381</v>
      </c>
      <c r="E20" s="180" t="s">
        <v>347</v>
      </c>
      <c r="F20" s="180" t="s">
        <v>348</v>
      </c>
      <c r="G20" s="180" t="s">
        <v>349</v>
      </c>
      <c r="H20" s="180"/>
      <c r="I20" s="63">
        <v>20</v>
      </c>
      <c r="J20" s="63"/>
      <c r="K20" s="63"/>
      <c r="L20" s="63">
        <v>3</v>
      </c>
      <c r="M20" s="63"/>
      <c r="N20" s="181">
        <v>32.5</v>
      </c>
      <c r="O20" s="181"/>
      <c r="P20" s="181"/>
      <c r="Q20" s="63">
        <v>1.62</v>
      </c>
      <c r="R20" s="63"/>
      <c r="S20" s="63"/>
      <c r="T20" s="63">
        <v>507</v>
      </c>
      <c r="U20" s="182">
        <v>507</v>
      </c>
      <c r="V20" s="183"/>
      <c r="W20" s="63"/>
      <c r="X20" s="63"/>
      <c r="Y20" s="63"/>
      <c r="Z20" s="63"/>
      <c r="AA20" s="63"/>
      <c r="AB20" s="63"/>
      <c r="AC20" s="63"/>
      <c r="AD20" s="184"/>
      <c r="AE20" s="63"/>
      <c r="AF20" s="185">
        <f t="shared" si="0"/>
        <v>25.35</v>
      </c>
      <c r="AG20" s="185" t="str">
        <f t="shared" si="0"/>
        <v/>
      </c>
      <c r="AH20" s="185">
        <f t="shared" si="1"/>
        <v>169</v>
      </c>
      <c r="AI20" s="186">
        <f t="shared" si="2"/>
        <v>8.1000000000000003E-2</v>
      </c>
      <c r="AJ20" s="186" t="str">
        <f t="shared" si="3"/>
        <v/>
      </c>
      <c r="AK20" s="186" t="str">
        <f t="shared" si="4"/>
        <v/>
      </c>
      <c r="AL20" s="186" t="str">
        <f t="shared" si="5"/>
        <v/>
      </c>
      <c r="AM20" s="186">
        <f t="shared" si="6"/>
        <v>0.54</v>
      </c>
      <c r="AN20" s="186" t="str">
        <f t="shared" si="7"/>
        <v/>
      </c>
      <c r="AO20" s="165">
        <f t="shared" si="8"/>
        <v>14</v>
      </c>
      <c r="AP20" s="165" t="str">
        <f>IF(AND(LEFT(PQS_tbl[[#This Row],[D]],3)=$AP$6,PQS_tbl[[#This Row],[I]]&gt;0),$AO20,"")</f>
        <v/>
      </c>
      <c r="AQ20" s="165">
        <f>IFERROR(SMALL($AP$7:AP$182,ROWS($AP$7:AP20)),"")</f>
        <v>65</v>
      </c>
      <c r="AR20" s="165" t="str">
        <f>IFERROR(INDEX(PQS_tbl[C],AQ20),"")</f>
        <v>TCW 3000 AC</v>
      </c>
      <c r="AS20" s="165" t="str">
        <f>IF(AND(LEFT(PQS_tbl[[#This Row],[D]],3)=$AS$6,PQS_tbl[[#This Row],[I]]=0,PQS_tbl[[#This Row],[J]]&gt;0),$AO20,"")</f>
        <v/>
      </c>
      <c r="AT20" s="165" t="str">
        <f>IFERROR(SMALL($AS$7:AS$178,ROWS($AS$7:AS20)),"")</f>
        <v/>
      </c>
      <c r="AU20" s="165" t="str">
        <f>IFERROR(INDEX(PQS_tbl[C],AT20),"")</f>
        <v/>
      </c>
      <c r="AV20" s="165" t="str">
        <f>IF(LEFT(PQS_tbl[[#This Row],[E]],1)="S",$AP20,"")</f>
        <v/>
      </c>
      <c r="AW20" s="165">
        <f>IFERROR(SMALL($AV$7:AV$178,ROWS($AV$7:AV20)),"")</f>
        <v>86</v>
      </c>
      <c r="AX20" s="165" t="str">
        <f>IFERROR(INDEX(PQS_tbl[C],AW20),"")</f>
        <v>BFRV 15 SDD</v>
      </c>
      <c r="AY20" s="165" t="str">
        <f>IF(LEFT(PQS_tbl[[#This Row],[E]],1)="S",$AS20,"")</f>
        <v/>
      </c>
      <c r="AZ20" s="165" t="str">
        <f>IFERROR(SMALL($AY$7:AY$178,ROWS($AY$7:AY20)),"")</f>
        <v/>
      </c>
      <c r="BA20" s="165" t="str">
        <f>IFERROR(INDEX(PQS_tbl[C],AZ20),"")</f>
        <v/>
      </c>
      <c r="BB20" s="165" t="str">
        <f>IF(AND(LEFT(PQS_tbl[[#This Row],[D]],3)=$BB$6,PQS_tbl[[#This Row],[K]]&gt;0),$AO20,"")</f>
        <v/>
      </c>
      <c r="BC20" s="165" t="str">
        <f>IFERROR(SMALL($BB$7:BB$178,ROWS($BB$7:BB20)),"")</f>
        <v/>
      </c>
      <c r="BD20" s="165" t="str">
        <f>IFERROR(INDEX(PQS_tbl[C],BC20),"")</f>
        <v/>
      </c>
    </row>
    <row r="21" spans="1:56" s="178" customFormat="1" x14ac:dyDescent="0.3">
      <c r="A21" s="179" t="s">
        <v>350</v>
      </c>
      <c r="B21" s="62" t="s">
        <v>382</v>
      </c>
      <c r="C21" s="61" t="s">
        <v>383</v>
      </c>
      <c r="D21" s="61" t="s">
        <v>384</v>
      </c>
      <c r="E21" s="180" t="s">
        <v>356</v>
      </c>
      <c r="F21" s="180" t="s">
        <v>348</v>
      </c>
      <c r="G21" s="180" t="s">
        <v>349</v>
      </c>
      <c r="H21" s="180"/>
      <c r="I21" s="63">
        <v>38.700000000000003</v>
      </c>
      <c r="J21" s="63">
        <v>32.5</v>
      </c>
      <c r="K21" s="63"/>
      <c r="L21" s="63">
        <v>2.2999999999999998</v>
      </c>
      <c r="M21" s="63"/>
      <c r="N21" s="181">
        <v>3</v>
      </c>
      <c r="O21" s="181"/>
      <c r="P21" s="181"/>
      <c r="Q21" s="63">
        <v>0.64</v>
      </c>
      <c r="R21" s="63"/>
      <c r="S21" s="63"/>
      <c r="T21" s="63">
        <v>3800</v>
      </c>
      <c r="U21" s="182">
        <v>3800</v>
      </c>
      <c r="V21" s="183"/>
      <c r="W21" s="63"/>
      <c r="X21" s="63"/>
      <c r="Y21" s="63"/>
      <c r="Z21" s="63"/>
      <c r="AA21" s="63"/>
      <c r="AB21" s="63"/>
      <c r="AC21" s="63"/>
      <c r="AD21" s="184"/>
      <c r="AE21" s="63"/>
      <c r="AF21" s="185">
        <f t="shared" si="0"/>
        <v>98.191214470284237</v>
      </c>
      <c r="AG21" s="185">
        <f t="shared" si="0"/>
        <v>116.92307692307692</v>
      </c>
      <c r="AH21" s="185">
        <f t="shared" si="1"/>
        <v>1652.1739130434785</v>
      </c>
      <c r="AI21" s="186">
        <f t="shared" si="2"/>
        <v>1.6537467700258397E-2</v>
      </c>
      <c r="AJ21" s="186" t="str">
        <f t="shared" si="3"/>
        <v/>
      </c>
      <c r="AK21" s="186">
        <f t="shared" si="4"/>
        <v>1.9692307692307693E-2</v>
      </c>
      <c r="AL21" s="186" t="str">
        <f t="shared" si="5"/>
        <v/>
      </c>
      <c r="AM21" s="186">
        <f t="shared" si="6"/>
        <v>0.27826086956521739</v>
      </c>
      <c r="AN21" s="186" t="str">
        <f t="shared" si="7"/>
        <v/>
      </c>
      <c r="AO21" s="165">
        <f t="shared" si="8"/>
        <v>15</v>
      </c>
      <c r="AP21" s="165" t="str">
        <f>IF(AND(LEFT(PQS_tbl[[#This Row],[D]],3)=$AP$6,PQS_tbl[[#This Row],[I]]&gt;0),$AO21,"")</f>
        <v/>
      </c>
      <c r="AQ21" s="165">
        <f>IFERROR(SMALL($AP$7:AP$182,ROWS($AP$7:AP21)),"")</f>
        <v>66</v>
      </c>
      <c r="AR21" s="165" t="str">
        <f>IFERROR(INDEX(PQS_tbl[C],AQ21),"")</f>
        <v>BLF100 DC</v>
      </c>
      <c r="AS21" s="165" t="str">
        <f>IF(AND(LEFT(PQS_tbl[[#This Row],[D]],3)=$AS$6,PQS_tbl[[#This Row],[I]]=0,PQS_tbl[[#This Row],[J]]&gt;0),$AO21,"")</f>
        <v/>
      </c>
      <c r="AT21" s="165" t="str">
        <f>IFERROR(SMALL($AS$7:AS$178,ROWS($AS$7:AS21)),"")</f>
        <v/>
      </c>
      <c r="AU21" s="165" t="str">
        <f>IFERROR(INDEX(PQS_tbl[C],AT21),"")</f>
        <v/>
      </c>
      <c r="AV21" s="165" t="str">
        <f>IF(LEFT(PQS_tbl[[#This Row],[E]],1)="S",$AP21,"")</f>
        <v/>
      </c>
      <c r="AW21" s="165">
        <f>IFERROR(SMALL($AV$7:AV$178,ROWS($AV$7:AV21)),"")</f>
        <v>87</v>
      </c>
      <c r="AX21" s="165" t="str">
        <f>IFERROR(INDEX(PQS_tbl[C],AW21),"")</f>
        <v>VC 200 SDD</v>
      </c>
      <c r="AY21" s="165" t="str">
        <f>IF(LEFT(PQS_tbl[[#This Row],[E]],1)="S",$AS21,"")</f>
        <v/>
      </c>
      <c r="AZ21" s="165" t="str">
        <f>IFERROR(SMALL($AY$7:AY$178,ROWS($AY$7:AY21)),"")</f>
        <v/>
      </c>
      <c r="BA21" s="165" t="str">
        <f>IFERROR(INDEX(PQS_tbl[C],AZ21),"")</f>
        <v/>
      </c>
      <c r="BB21" s="165" t="str">
        <f>IF(AND(LEFT(PQS_tbl[[#This Row],[D]],3)=$BB$6,PQS_tbl[[#This Row],[K]]&gt;0),$AO21,"")</f>
        <v/>
      </c>
      <c r="BC21" s="165" t="str">
        <f>IFERROR(SMALL($BB$7:BB$178,ROWS($BB$7:BB21)),"")</f>
        <v/>
      </c>
      <c r="BD21" s="165" t="str">
        <f>IFERROR(INDEX(PQS_tbl[C],BC21),"")</f>
        <v/>
      </c>
    </row>
    <row r="22" spans="1:56" s="178" customFormat="1" x14ac:dyDescent="0.3">
      <c r="A22" s="179" t="s">
        <v>350</v>
      </c>
      <c r="B22" s="62" t="s">
        <v>385</v>
      </c>
      <c r="C22" s="61" t="s">
        <v>386</v>
      </c>
      <c r="D22" s="61" t="s">
        <v>387</v>
      </c>
      <c r="E22" s="180" t="s">
        <v>356</v>
      </c>
      <c r="F22" s="180" t="s">
        <v>348</v>
      </c>
      <c r="G22" s="180" t="s">
        <v>349</v>
      </c>
      <c r="H22" s="180"/>
      <c r="I22" s="63">
        <v>85</v>
      </c>
      <c r="J22" s="63">
        <v>14.4</v>
      </c>
      <c r="K22" s="63"/>
      <c r="L22" s="63">
        <v>8.6999999999999993</v>
      </c>
      <c r="M22" s="63"/>
      <c r="N22" s="181">
        <v>4.5999999999999996</v>
      </c>
      <c r="O22" s="181"/>
      <c r="P22" s="181"/>
      <c r="Q22" s="63">
        <v>2.4</v>
      </c>
      <c r="R22" s="63"/>
      <c r="S22" s="63"/>
      <c r="T22" s="63">
        <v>2441</v>
      </c>
      <c r="U22" s="182">
        <v>2441</v>
      </c>
      <c r="V22" s="183"/>
      <c r="W22" s="63"/>
      <c r="X22" s="63"/>
      <c r="Y22" s="63"/>
      <c r="Z22" s="63"/>
      <c r="AA22" s="63"/>
      <c r="AB22" s="63"/>
      <c r="AC22" s="63"/>
      <c r="AD22" s="184"/>
      <c r="AE22" s="63"/>
      <c r="AF22" s="185">
        <f t="shared" si="0"/>
        <v>28.71764705882353</v>
      </c>
      <c r="AG22" s="185">
        <f t="shared" si="0"/>
        <v>169.51388888888889</v>
      </c>
      <c r="AH22" s="185">
        <f t="shared" si="1"/>
        <v>280.5747126436782</v>
      </c>
      <c r="AI22" s="186">
        <f t="shared" si="2"/>
        <v>2.8235294117647056E-2</v>
      </c>
      <c r="AJ22" s="186" t="str">
        <f t="shared" si="3"/>
        <v/>
      </c>
      <c r="AK22" s="186">
        <f t="shared" si="4"/>
        <v>0.16666666666666666</v>
      </c>
      <c r="AL22" s="186" t="str">
        <f t="shared" si="5"/>
        <v/>
      </c>
      <c r="AM22" s="186">
        <f t="shared" si="6"/>
        <v>0.27586206896551724</v>
      </c>
      <c r="AN22" s="186" t="str">
        <f t="shared" si="7"/>
        <v/>
      </c>
      <c r="AO22" s="165">
        <f t="shared" si="8"/>
        <v>16</v>
      </c>
      <c r="AP22" s="165" t="str">
        <f>IF(AND(LEFT(PQS_tbl[[#This Row],[D]],3)=$AP$6,PQS_tbl[[#This Row],[I]]&gt;0),$AO22,"")</f>
        <v/>
      </c>
      <c r="AQ22" s="165">
        <f>IFERROR(SMALL($AP$7:AP$182,ROWS($AP$7:AP22)),"")</f>
        <v>67</v>
      </c>
      <c r="AR22" s="165" t="str">
        <f>IFERROR(INDEX(PQS_tbl[C],AQ22),"")</f>
        <v>BFRV55</v>
      </c>
      <c r="AS22" s="165" t="str">
        <f>IF(AND(LEFT(PQS_tbl[[#This Row],[D]],3)=$AS$6,PQS_tbl[[#This Row],[I]]=0,PQS_tbl[[#This Row],[J]]&gt;0),$AO22,"")</f>
        <v/>
      </c>
      <c r="AT22" s="165" t="str">
        <f>IFERROR(SMALL($AS$7:AS$178,ROWS($AS$7:AS22)),"")</f>
        <v/>
      </c>
      <c r="AU22" s="165" t="str">
        <f>IFERROR(INDEX(PQS_tbl[C],AT22),"")</f>
        <v/>
      </c>
      <c r="AV22" s="165" t="str">
        <f>IF(LEFT(PQS_tbl[[#This Row],[E]],1)="S",$AP22,"")</f>
        <v/>
      </c>
      <c r="AW22" s="165">
        <f>IFERROR(SMALL($AV$7:AV$178,ROWS($AV$7:AV22)),"")</f>
        <v>88</v>
      </c>
      <c r="AX22" s="165" t="str">
        <f>IFERROR(INDEX(PQS_tbl[C],AW22),"")</f>
        <v>VLS 054 SDD Greenline</v>
      </c>
      <c r="AY22" s="165" t="str">
        <f>IF(LEFT(PQS_tbl[[#This Row],[E]],1)="S",$AS22,"")</f>
        <v/>
      </c>
      <c r="AZ22" s="165" t="str">
        <f>IFERROR(SMALL($AY$7:AY$178,ROWS($AY$7:AY22)),"")</f>
        <v/>
      </c>
      <c r="BA22" s="165" t="str">
        <f>IFERROR(INDEX(PQS_tbl[C],AZ22),"")</f>
        <v/>
      </c>
      <c r="BB22" s="165" t="str">
        <f>IF(AND(LEFT(PQS_tbl[[#This Row],[D]],3)=$BB$6,PQS_tbl[[#This Row],[K]]&gt;0),$AO22,"")</f>
        <v/>
      </c>
      <c r="BC22" s="165" t="str">
        <f>IFERROR(SMALL($BB$7:BB$178,ROWS($BB$7:BB22)),"")</f>
        <v/>
      </c>
      <c r="BD22" s="165" t="str">
        <f>IFERROR(INDEX(PQS_tbl[C],BC22),"")</f>
        <v/>
      </c>
    </row>
    <row r="23" spans="1:56" s="178" customFormat="1" x14ac:dyDescent="0.3">
      <c r="A23" s="179" t="s">
        <v>375</v>
      </c>
      <c r="B23" s="62" t="s">
        <v>39</v>
      </c>
      <c r="C23" s="61" t="s">
        <v>388</v>
      </c>
      <c r="D23" s="61" t="s">
        <v>389</v>
      </c>
      <c r="E23" s="180" t="s">
        <v>390</v>
      </c>
      <c r="F23" s="180" t="s">
        <v>348</v>
      </c>
      <c r="G23" s="180" t="s">
        <v>349</v>
      </c>
      <c r="H23" s="180"/>
      <c r="I23" s="63"/>
      <c r="J23" s="63">
        <v>145</v>
      </c>
      <c r="K23" s="63"/>
      <c r="L23" s="63">
        <v>18.642857142857142</v>
      </c>
      <c r="M23" s="63"/>
      <c r="N23" s="181">
        <v>14</v>
      </c>
      <c r="O23" s="181"/>
      <c r="P23" s="181"/>
      <c r="Q23" s="63">
        <v>5.77</v>
      </c>
      <c r="R23" s="63"/>
      <c r="S23" s="63"/>
      <c r="T23" s="63">
        <v>1433</v>
      </c>
      <c r="U23" s="182">
        <v>1433</v>
      </c>
      <c r="V23" s="183"/>
      <c r="W23" s="63"/>
      <c r="X23" s="63"/>
      <c r="Y23" s="63"/>
      <c r="Z23" s="63"/>
      <c r="AA23" s="63"/>
      <c r="AB23" s="63"/>
      <c r="AC23" s="63"/>
      <c r="AD23" s="184"/>
      <c r="AE23" s="63"/>
      <c r="AF23" s="185" t="str">
        <f t="shared" si="0"/>
        <v/>
      </c>
      <c r="AG23" s="185">
        <f t="shared" si="0"/>
        <v>9.8827586206896552</v>
      </c>
      <c r="AH23" s="185">
        <f t="shared" si="1"/>
        <v>76.865900383141764</v>
      </c>
      <c r="AI23" s="186" t="str">
        <f t="shared" si="2"/>
        <v/>
      </c>
      <c r="AJ23" s="186" t="str">
        <f t="shared" si="3"/>
        <v/>
      </c>
      <c r="AK23" s="186">
        <f t="shared" si="4"/>
        <v>3.9793103448275857E-2</v>
      </c>
      <c r="AL23" s="186" t="str">
        <f t="shared" si="5"/>
        <v/>
      </c>
      <c r="AM23" s="186">
        <f t="shared" si="6"/>
        <v>0.30950191570881225</v>
      </c>
      <c r="AN23" s="186" t="str">
        <f t="shared" si="7"/>
        <v/>
      </c>
      <c r="AO23" s="165">
        <f t="shared" si="8"/>
        <v>17</v>
      </c>
      <c r="AP23" s="165" t="str">
        <f>IF(AND(LEFT(PQS_tbl[[#This Row],[D]],3)=$AP$6,PQS_tbl[[#This Row],[I]]&gt;0),$AO23,"")</f>
        <v/>
      </c>
      <c r="AQ23" s="165">
        <f>IFERROR(SMALL($AP$7:AP$182,ROWS($AP$7:AP23)),"")</f>
        <v>68</v>
      </c>
      <c r="AR23" s="165" t="str">
        <f>IFERROR(INDEX(PQS_tbl[C],AQ23),"")</f>
        <v>VLS 400 Greenline</v>
      </c>
      <c r="AS23" s="165" t="str">
        <f>IF(AND(LEFT(PQS_tbl[[#This Row],[D]],3)=$AS$6,PQS_tbl[[#This Row],[I]]=0,PQS_tbl[[#This Row],[J]]&gt;0),$AO23,"")</f>
        <v/>
      </c>
      <c r="AT23" s="165" t="str">
        <f>IFERROR(SMALL($AS$7:AS$178,ROWS($AS$7:AS23)),"")</f>
        <v/>
      </c>
      <c r="AU23" s="165" t="str">
        <f>IFERROR(INDEX(PQS_tbl[C],AT23),"")</f>
        <v/>
      </c>
      <c r="AV23" s="165" t="str">
        <f>IF(LEFT(PQS_tbl[[#This Row],[E]],1)="S",$AP23,"")</f>
        <v/>
      </c>
      <c r="AW23" s="165">
        <f>IFERROR(SMALL($AV$7:AV$178,ROWS($AV$7:AV23)),"")</f>
        <v>89</v>
      </c>
      <c r="AX23" s="165" t="str">
        <f>IFERROR(INDEX(PQS_tbl[C],AW23),"")</f>
        <v>TCW 40 SDD</v>
      </c>
      <c r="AY23" s="165" t="str">
        <f>IF(LEFT(PQS_tbl[[#This Row],[E]],1)="S",$AS23,"")</f>
        <v/>
      </c>
      <c r="AZ23" s="165" t="str">
        <f>IFERROR(SMALL($AY$7:AY$178,ROWS($AY$7:AY23)),"")</f>
        <v/>
      </c>
      <c r="BA23" s="165" t="str">
        <f>IFERROR(INDEX(PQS_tbl[C],AZ23),"")</f>
        <v/>
      </c>
      <c r="BB23" s="165" t="str">
        <f>IF(AND(LEFT(PQS_tbl[[#This Row],[D]],3)=$BB$6,PQS_tbl[[#This Row],[K]]&gt;0),$AO23,"")</f>
        <v/>
      </c>
    </row>
    <row r="24" spans="1:56" s="178" customFormat="1" x14ac:dyDescent="0.3">
      <c r="A24" s="179" t="s">
        <v>344</v>
      </c>
      <c r="B24" s="62" t="s">
        <v>360</v>
      </c>
      <c r="C24" s="61" t="s">
        <v>391</v>
      </c>
      <c r="D24" s="61" t="s">
        <v>392</v>
      </c>
      <c r="E24" s="180" t="s">
        <v>363</v>
      </c>
      <c r="F24" s="180" t="s">
        <v>348</v>
      </c>
      <c r="G24" s="180" t="s">
        <v>349</v>
      </c>
      <c r="H24" s="180"/>
      <c r="I24" s="63">
        <v>63</v>
      </c>
      <c r="J24" s="63"/>
      <c r="K24" s="63"/>
      <c r="L24" s="63"/>
      <c r="M24" s="63"/>
      <c r="N24" s="181">
        <v>46</v>
      </c>
      <c r="O24" s="181"/>
      <c r="P24" s="181"/>
      <c r="Q24" s="63">
        <v>1.41</v>
      </c>
      <c r="R24" s="63"/>
      <c r="S24" s="63"/>
      <c r="T24" s="63">
        <v>450</v>
      </c>
      <c r="U24" s="182">
        <v>450</v>
      </c>
      <c r="V24" s="183"/>
      <c r="W24" s="63"/>
      <c r="X24" s="63"/>
      <c r="Y24" s="63"/>
      <c r="Z24" s="63"/>
      <c r="AA24" s="63"/>
      <c r="AB24" s="63"/>
      <c r="AC24" s="63"/>
      <c r="AD24" s="184"/>
      <c r="AE24" s="63"/>
      <c r="AF24" s="185">
        <f t="shared" si="0"/>
        <v>7.1428571428571432</v>
      </c>
      <c r="AG24" s="185" t="str">
        <f t="shared" si="0"/>
        <v/>
      </c>
      <c r="AH24" s="185" t="str">
        <f t="shared" si="1"/>
        <v/>
      </c>
      <c r="AI24" s="186">
        <f t="shared" si="2"/>
        <v>2.238095238095238E-2</v>
      </c>
      <c r="AJ24" s="186" t="str">
        <f t="shared" si="3"/>
        <v/>
      </c>
      <c r="AK24" s="186" t="str">
        <f t="shared" si="4"/>
        <v/>
      </c>
      <c r="AL24" s="186" t="str">
        <f t="shared" si="5"/>
        <v/>
      </c>
      <c r="AM24" s="186" t="str">
        <f t="shared" si="6"/>
        <v/>
      </c>
      <c r="AN24" s="186" t="str">
        <f t="shared" si="7"/>
        <v/>
      </c>
      <c r="AO24" s="165">
        <f t="shared" si="8"/>
        <v>18</v>
      </c>
      <c r="AP24" s="165" t="str">
        <f>IF(AND(LEFT(PQS_tbl[[#This Row],[D]],3)=$AP$6,PQS_tbl[[#This Row],[I]]&gt;0),$AO24,"")</f>
        <v/>
      </c>
      <c r="AQ24" s="165">
        <f>IFERROR(SMALL($AP$7:AP$182,ROWS($AP$7:AP24)),"")</f>
        <v>69</v>
      </c>
      <c r="AR24" s="165" t="str">
        <f>IFERROR(INDEX(PQS_tbl[C],AQ24),"")</f>
        <v>MK 144</v>
      </c>
      <c r="AS24" s="165" t="str">
        <f>IF(AND(LEFT(PQS_tbl[[#This Row],[D]],3)=$AS$6,PQS_tbl[[#This Row],[I]]=0,PQS_tbl[[#This Row],[J]]&gt;0),$AO24,"")</f>
        <v/>
      </c>
      <c r="AT24" s="165" t="str">
        <f>IFERROR(SMALL($AS$7:AS$178,ROWS($AS$7:AS24)),"")</f>
        <v/>
      </c>
      <c r="AU24" s="165" t="str">
        <f>IFERROR(INDEX(PQS_tbl[C],AT24),"")</f>
        <v/>
      </c>
      <c r="AV24" s="165" t="str">
        <f>IF(LEFT(PQS_tbl[[#This Row],[E]],1)="S",$AP24,"")</f>
        <v/>
      </c>
      <c r="AW24" s="165">
        <f>IFERROR(SMALL($AV$7:AV$178,ROWS($AV$7:AV24)),"")</f>
        <v>90</v>
      </c>
      <c r="AX24" s="165" t="str">
        <f>IFERROR(INDEX(PQS_tbl[C],AW24),"")</f>
        <v>TCW 2043 SDD</v>
      </c>
      <c r="AY24" s="165" t="str">
        <f>IF(LEFT(PQS_tbl[[#This Row],[E]],1)="S",$AS24,"")</f>
        <v/>
      </c>
      <c r="AZ24" s="165" t="str">
        <f>IFERROR(SMALL($AY$7:AY$178,ROWS($AY$7:AY24)),"")</f>
        <v/>
      </c>
      <c r="BA24" s="165" t="str">
        <f>IFERROR(INDEX(PQS_tbl[C],AZ24),"")</f>
        <v/>
      </c>
      <c r="BB24" s="165" t="str">
        <f>IF(AND(LEFT(PQS_tbl[[#This Row],[D]],3)=$BB$6,PQS_tbl[[#This Row],[K]]&gt;0),$AO24,"")</f>
        <v/>
      </c>
    </row>
    <row r="25" spans="1:56" s="178" customFormat="1" x14ac:dyDescent="0.3">
      <c r="A25" s="179" t="s">
        <v>344</v>
      </c>
      <c r="B25" s="62" t="s">
        <v>360</v>
      </c>
      <c r="C25" s="61" t="s">
        <v>393</v>
      </c>
      <c r="D25" s="61" t="s">
        <v>394</v>
      </c>
      <c r="E25" s="180" t="s">
        <v>363</v>
      </c>
      <c r="F25" s="180" t="s">
        <v>348</v>
      </c>
      <c r="G25" s="180" t="s">
        <v>349</v>
      </c>
      <c r="H25" s="180"/>
      <c r="I25" s="63">
        <v>108</v>
      </c>
      <c r="J25" s="63"/>
      <c r="K25" s="63"/>
      <c r="L25" s="63"/>
      <c r="M25" s="63"/>
      <c r="N25" s="181">
        <v>49</v>
      </c>
      <c r="O25" s="181"/>
      <c r="P25" s="181"/>
      <c r="Q25" s="63">
        <v>1.67</v>
      </c>
      <c r="R25" s="63"/>
      <c r="S25" s="63"/>
      <c r="T25" s="63">
        <v>532</v>
      </c>
      <c r="U25" s="182">
        <v>532</v>
      </c>
      <c r="V25" s="183"/>
      <c r="W25" s="63"/>
      <c r="X25" s="63"/>
      <c r="Y25" s="63"/>
      <c r="Z25" s="63"/>
      <c r="AA25" s="63"/>
      <c r="AB25" s="63"/>
      <c r="AC25" s="63"/>
      <c r="AD25" s="184"/>
      <c r="AE25" s="63"/>
      <c r="AF25" s="185">
        <f t="shared" si="0"/>
        <v>4.9259259259259256</v>
      </c>
      <c r="AG25" s="185" t="str">
        <f t="shared" si="0"/>
        <v/>
      </c>
      <c r="AH25" s="185" t="str">
        <f t="shared" si="1"/>
        <v/>
      </c>
      <c r="AI25" s="186">
        <f t="shared" si="2"/>
        <v>1.5462962962962963E-2</v>
      </c>
      <c r="AJ25" s="186" t="str">
        <f t="shared" si="3"/>
        <v/>
      </c>
      <c r="AK25" s="186" t="str">
        <f t="shared" si="4"/>
        <v/>
      </c>
      <c r="AL25" s="186" t="str">
        <f t="shared" si="5"/>
        <v/>
      </c>
      <c r="AM25" s="186" t="str">
        <f t="shared" si="6"/>
        <v/>
      </c>
      <c r="AN25" s="186" t="str">
        <f t="shared" si="7"/>
        <v/>
      </c>
      <c r="AO25" s="165">
        <f t="shared" si="8"/>
        <v>19</v>
      </c>
      <c r="AP25" s="165" t="str">
        <f>IF(AND(LEFT(PQS_tbl[[#This Row],[D]],3)=$AP$6,PQS_tbl[[#This Row],[I]]&gt;0),$AO25,"")</f>
        <v/>
      </c>
      <c r="AQ25" s="165">
        <f>IFERROR(SMALL($AP$7:AP$182,ROWS($AP$7:AP25)),"")</f>
        <v>73</v>
      </c>
      <c r="AR25" s="165" t="str">
        <f>IFERROR(INDEX(PQS_tbl[C],AQ25),"")</f>
        <v>VC 65-2</v>
      </c>
      <c r="AS25" s="165" t="str">
        <f>IF(AND(LEFT(PQS_tbl[[#This Row],[D]],3)=$AS$6,PQS_tbl[[#This Row],[I]]=0,PQS_tbl[[#This Row],[J]]&gt;0),$AO25,"")</f>
        <v/>
      </c>
      <c r="AT25" s="165" t="str">
        <f>IFERROR(SMALL($AS$7:AS$178,ROWS($AS$7:AS25)),"")</f>
        <v/>
      </c>
      <c r="AU25" s="165" t="str">
        <f>IFERROR(INDEX(PQS_tbl[C],AT25),"")</f>
        <v/>
      </c>
      <c r="AV25" s="165" t="str">
        <f>IF(LEFT(PQS_tbl[[#This Row],[E]],1)="S",$AP25,"")</f>
        <v/>
      </c>
      <c r="AW25" s="165">
        <f>IFERROR(SMALL($AV$7:AV$178,ROWS($AV$7:AV25)),"")</f>
        <v>92</v>
      </c>
      <c r="AX25" s="165" t="str">
        <f>IFERROR(INDEX(PQS_tbl[C],AW25),"")</f>
        <v>TCW 3043 SDD</v>
      </c>
      <c r="AY25" s="165" t="str">
        <f>IF(LEFT(PQS_tbl[[#This Row],[E]],1)="S",$AS25,"")</f>
        <v/>
      </c>
      <c r="AZ25" s="165" t="str">
        <f>IFERROR(SMALL($AY$7:AY$178,ROWS($AY$7:AY25)),"")</f>
        <v/>
      </c>
      <c r="BA25" s="165" t="str">
        <f>IFERROR(INDEX(PQS_tbl[C],AZ25),"")</f>
        <v/>
      </c>
      <c r="BB25" s="165" t="str">
        <f>IF(AND(LEFT(PQS_tbl[[#This Row],[D]],3)=$BB$6,PQS_tbl[[#This Row],[K]]&gt;0),$AO25,"")</f>
        <v/>
      </c>
    </row>
    <row r="26" spans="1:56" s="178" customFormat="1" x14ac:dyDescent="0.3">
      <c r="A26" s="179" t="s">
        <v>350</v>
      </c>
      <c r="B26" s="62" t="s">
        <v>395</v>
      </c>
      <c r="C26" s="61" t="s">
        <v>396</v>
      </c>
      <c r="D26" s="61" t="s">
        <v>397</v>
      </c>
      <c r="E26" s="180" t="s">
        <v>356</v>
      </c>
      <c r="F26" s="180" t="s">
        <v>348</v>
      </c>
      <c r="G26" s="180" t="s">
        <v>349</v>
      </c>
      <c r="H26" s="180"/>
      <c r="I26" s="63">
        <v>18</v>
      </c>
      <c r="J26" s="63">
        <v>5</v>
      </c>
      <c r="K26" s="63"/>
      <c r="L26" s="63">
        <v>6.4</v>
      </c>
      <c r="M26" s="63"/>
      <c r="N26" s="181">
        <v>5.5</v>
      </c>
      <c r="O26" s="181"/>
      <c r="P26" s="181"/>
      <c r="Q26" s="63">
        <v>1.5</v>
      </c>
      <c r="R26" s="63"/>
      <c r="S26" s="63"/>
      <c r="T26" s="63">
        <v>2950</v>
      </c>
      <c r="U26" s="182">
        <v>2950</v>
      </c>
      <c r="V26" s="183"/>
      <c r="W26" s="63"/>
      <c r="X26" s="63"/>
      <c r="Y26" s="63"/>
      <c r="Z26" s="63"/>
      <c r="AA26" s="63"/>
      <c r="AB26" s="63"/>
      <c r="AC26" s="63"/>
      <c r="AD26" s="184"/>
      <c r="AE26" s="63"/>
      <c r="AF26" s="185">
        <f t="shared" si="0"/>
        <v>163.88888888888889</v>
      </c>
      <c r="AG26" s="185">
        <f t="shared" si="0"/>
        <v>590</v>
      </c>
      <c r="AH26" s="185">
        <f t="shared" si="1"/>
        <v>460.9375</v>
      </c>
      <c r="AI26" s="186">
        <f t="shared" si="2"/>
        <v>8.3333333333333329E-2</v>
      </c>
      <c r="AJ26" s="186" t="str">
        <f t="shared" si="3"/>
        <v/>
      </c>
      <c r="AK26" s="186">
        <f t="shared" si="4"/>
        <v>0.3</v>
      </c>
      <c r="AL26" s="186" t="str">
        <f t="shared" si="5"/>
        <v/>
      </c>
      <c r="AM26" s="186">
        <f t="shared" si="6"/>
        <v>0.234375</v>
      </c>
      <c r="AN26" s="186" t="str">
        <f t="shared" si="7"/>
        <v/>
      </c>
      <c r="AO26" s="165">
        <f t="shared" si="8"/>
        <v>20</v>
      </c>
      <c r="AP26" s="165" t="str">
        <f>IF(AND(LEFT(PQS_tbl[[#This Row],[D]],3)=$AP$6,PQS_tbl[[#This Row],[I]]&gt;0),$AO26,"")</f>
        <v/>
      </c>
      <c r="AQ26" s="165">
        <f>IFERROR(SMALL($AP$7:AP$182,ROWS($AP$7:AP26)),"")</f>
        <v>74</v>
      </c>
      <c r="AR26" s="165" t="str">
        <f>IFERROR(INDEX(PQS_tbl[C],AQ26),"")</f>
        <v>VC 150-2</v>
      </c>
      <c r="AS26" s="165" t="str">
        <f>IF(AND(LEFT(PQS_tbl[[#This Row],[D]],3)=$AS$6,PQS_tbl[[#This Row],[I]]=0,PQS_tbl[[#This Row],[J]]&gt;0),$AO26,"")</f>
        <v/>
      </c>
      <c r="AT26" s="165" t="str">
        <f>IFERROR(SMALL($AS$7:AS$178,ROWS($AS$7:AS26)),"")</f>
        <v/>
      </c>
      <c r="AU26" s="165" t="str">
        <f>IFERROR(INDEX(PQS_tbl[C],AT26),"")</f>
        <v/>
      </c>
      <c r="AV26" s="165" t="str">
        <f>IF(LEFT(PQS_tbl[[#This Row],[E]],1)="S",$AP26,"")</f>
        <v/>
      </c>
      <c r="AW26" s="165">
        <f>IFERROR(SMALL($AV$7:AV$178,ROWS($AV$7:AV26)),"")</f>
        <v>95</v>
      </c>
      <c r="AX26" s="165" t="str">
        <f>IFERROR(INDEX(PQS_tbl[C],AW26),"")</f>
        <v>VC150SDD</v>
      </c>
      <c r="AY26" s="165" t="str">
        <f>IF(LEFT(PQS_tbl[[#This Row],[E]],1)="S",$AS26,"")</f>
        <v/>
      </c>
      <c r="AZ26" s="165" t="str">
        <f>IFERROR(SMALL($AY$7:AY$178,ROWS($AY$7:AY26)),"")</f>
        <v/>
      </c>
      <c r="BA26" s="165" t="str">
        <f>IFERROR(INDEX(PQS_tbl[C],AZ26),"")</f>
        <v/>
      </c>
      <c r="BB26" s="165" t="str">
        <f>IF(AND(LEFT(PQS_tbl[[#This Row],[D]],3)=$BB$6,PQS_tbl[[#This Row],[K]]&gt;0),$AO26,"")</f>
        <v/>
      </c>
    </row>
    <row r="27" spans="1:56" s="178" customFormat="1" x14ac:dyDescent="0.3">
      <c r="A27" s="179" t="s">
        <v>350</v>
      </c>
      <c r="B27" s="62" t="s">
        <v>398</v>
      </c>
      <c r="C27" s="61" t="s">
        <v>399</v>
      </c>
      <c r="D27" s="61" t="s">
        <v>400</v>
      </c>
      <c r="E27" s="180" t="s">
        <v>343</v>
      </c>
      <c r="F27" s="180" t="s">
        <v>338</v>
      </c>
      <c r="G27" s="180" t="s">
        <v>349</v>
      </c>
      <c r="H27" s="180"/>
      <c r="I27" s="63">
        <v>55</v>
      </c>
      <c r="J27" s="63">
        <v>36</v>
      </c>
      <c r="K27" s="63"/>
      <c r="L27" s="63">
        <v>1.2</v>
      </c>
      <c r="M27" s="63"/>
      <c r="N27" s="181">
        <v>3</v>
      </c>
      <c r="O27" s="181"/>
      <c r="P27" s="181"/>
      <c r="Q27" s="63">
        <v>8.3000000000000007</v>
      </c>
      <c r="R27" s="63">
        <v>0.8</v>
      </c>
      <c r="S27" s="63"/>
      <c r="T27" s="63">
        <v>832.7</v>
      </c>
      <c r="U27" s="182">
        <v>832.7</v>
      </c>
      <c r="V27" s="183"/>
      <c r="W27" s="63"/>
      <c r="X27" s="63"/>
      <c r="Y27" s="63"/>
      <c r="Z27" s="63"/>
      <c r="AA27" s="63"/>
      <c r="AB27" s="63"/>
      <c r="AC27" s="63"/>
      <c r="AD27" s="184"/>
      <c r="AE27" s="63"/>
      <c r="AF27" s="185">
        <f t="shared" si="0"/>
        <v>15.14</v>
      </c>
      <c r="AG27" s="185">
        <f t="shared" si="0"/>
        <v>23.130555555555556</v>
      </c>
      <c r="AH27" s="185">
        <f t="shared" si="1"/>
        <v>693.91666666666674</v>
      </c>
      <c r="AI27" s="186">
        <f t="shared" si="2"/>
        <v>0.15090909090909091</v>
      </c>
      <c r="AJ27" s="186" t="str">
        <f t="shared" si="3"/>
        <v/>
      </c>
      <c r="AK27" s="186">
        <f t="shared" si="4"/>
        <v>0.23055555555555557</v>
      </c>
      <c r="AL27" s="186" t="str">
        <f t="shared" si="5"/>
        <v/>
      </c>
      <c r="AM27" s="186">
        <f t="shared" si="6"/>
        <v>6.9166666666666679</v>
      </c>
      <c r="AN27" s="186" t="str">
        <f t="shared" si="7"/>
        <v/>
      </c>
      <c r="AO27" s="165">
        <f t="shared" si="8"/>
        <v>21</v>
      </c>
      <c r="AP27" s="165" t="str">
        <f>IF(AND(LEFT(PQS_tbl[[#This Row],[D]],3)=$AP$6,PQS_tbl[[#This Row],[I]]&gt;0),$AO27,"")</f>
        <v/>
      </c>
      <c r="AQ27" s="165">
        <f>IFERROR(SMALL($AP$7:AP$182,ROWS($AP$7:AP27)),"")</f>
        <v>75</v>
      </c>
      <c r="AR27" s="165" t="str">
        <f>IFERROR(INDEX(PQS_tbl[C],AQ27),"")</f>
        <v>VC 200-1</v>
      </c>
      <c r="AS27" s="165" t="str">
        <f>IF(AND(LEFT(PQS_tbl[[#This Row],[D]],3)=$AS$6,PQS_tbl[[#This Row],[I]]=0,PQS_tbl[[#This Row],[J]]&gt;0),$AO27,"")</f>
        <v/>
      </c>
      <c r="AT27" s="165" t="str">
        <f>IFERROR(SMALL($AS$7:AS$178,ROWS($AS$7:AS27)),"")</f>
        <v/>
      </c>
      <c r="AU27" s="165" t="str">
        <f>IFERROR(INDEX(PQS_tbl[C],AT27),"")</f>
        <v/>
      </c>
      <c r="AV27" s="165" t="str">
        <f>IF(LEFT(PQS_tbl[[#This Row],[E]],1)="S",$AP27,"")</f>
        <v/>
      </c>
      <c r="AW27" s="165">
        <f>IFERROR(SMALL($AV$7:AV$178,ROWS($AV$7:AV27)),"")</f>
        <v>96</v>
      </c>
      <c r="AX27" s="165" t="str">
        <f>IFERROR(INDEX(PQS_tbl[C],AW27),"")</f>
        <v>GVR 50 SDD</v>
      </c>
      <c r="AY27" s="165" t="str">
        <f>IF(LEFT(PQS_tbl[[#This Row],[E]],1)="S",$AS27,"")</f>
        <v/>
      </c>
      <c r="AZ27" s="165" t="str">
        <f>IFERROR(SMALL($AY$7:AY$178,ROWS($AY$7:AY27)),"")</f>
        <v/>
      </c>
      <c r="BA27" s="165" t="str">
        <f>IFERROR(INDEX(PQS_tbl[C],AZ27),"")</f>
        <v/>
      </c>
      <c r="BB27" s="165" t="str">
        <f>IF(AND(LEFT(PQS_tbl[[#This Row],[D]],3)=$BB$6,PQS_tbl[[#This Row],[K]]&gt;0),$AO27,"")</f>
        <v/>
      </c>
    </row>
    <row r="28" spans="1:56" s="178" customFormat="1" x14ac:dyDescent="0.3">
      <c r="A28" s="179" t="s">
        <v>350</v>
      </c>
      <c r="B28" s="62" t="s">
        <v>398</v>
      </c>
      <c r="C28" s="61" t="s">
        <v>401</v>
      </c>
      <c r="D28" s="61" t="s">
        <v>402</v>
      </c>
      <c r="E28" s="180" t="s">
        <v>343</v>
      </c>
      <c r="F28" s="180" t="s">
        <v>338</v>
      </c>
      <c r="G28" s="180" t="s">
        <v>349</v>
      </c>
      <c r="H28" s="180"/>
      <c r="I28" s="63">
        <v>55</v>
      </c>
      <c r="J28" s="63">
        <v>36</v>
      </c>
      <c r="K28" s="63"/>
      <c r="L28" s="63">
        <v>0.96</v>
      </c>
      <c r="M28" s="63"/>
      <c r="N28" s="181">
        <v>3.6</v>
      </c>
      <c r="O28" s="181"/>
      <c r="P28" s="181"/>
      <c r="Q28" s="63"/>
      <c r="R28" s="63"/>
      <c r="S28" s="63">
        <v>1.4</v>
      </c>
      <c r="T28" s="63">
        <v>1106</v>
      </c>
      <c r="U28" s="182">
        <v>1106</v>
      </c>
      <c r="V28" s="183"/>
      <c r="W28" s="63"/>
      <c r="X28" s="63"/>
      <c r="Y28" s="63"/>
      <c r="Z28" s="63"/>
      <c r="AA28" s="63"/>
      <c r="AB28" s="63"/>
      <c r="AC28" s="63"/>
      <c r="AD28" s="184"/>
      <c r="AE28" s="63"/>
      <c r="AF28" s="185">
        <f t="shared" si="0"/>
        <v>20.109090909090909</v>
      </c>
      <c r="AG28" s="185">
        <f t="shared" si="0"/>
        <v>30.722222222222221</v>
      </c>
      <c r="AH28" s="185">
        <f t="shared" si="1"/>
        <v>1152.0833333333335</v>
      </c>
      <c r="AI28" s="186" t="str">
        <f t="shared" si="2"/>
        <v/>
      </c>
      <c r="AJ28" s="186">
        <f t="shared" si="3"/>
        <v>2.5454545454545452E-2</v>
      </c>
      <c r="AK28" s="186" t="str">
        <f t="shared" si="4"/>
        <v/>
      </c>
      <c r="AL28" s="186">
        <f t="shared" si="5"/>
        <v>3.888888888888889E-2</v>
      </c>
      <c r="AM28" s="186" t="str">
        <f t="shared" si="6"/>
        <v/>
      </c>
      <c r="AN28" s="186">
        <f t="shared" si="7"/>
        <v>1.4583333333333333</v>
      </c>
      <c r="AO28" s="165">
        <f t="shared" si="8"/>
        <v>22</v>
      </c>
      <c r="AP28" s="165" t="str">
        <f>IF(AND(LEFT(PQS_tbl[[#This Row],[D]],3)=$AP$6,PQS_tbl[[#This Row],[I]]&gt;0),$AO28,"")</f>
        <v/>
      </c>
      <c r="AQ28" s="165">
        <f>IFERROR(SMALL($AP$7:AP$182,ROWS($AP$7:AP28)),"")</f>
        <v>76</v>
      </c>
      <c r="AR28" s="165" t="str">
        <f>IFERROR(INDEX(PQS_tbl[C],AQ28),"")</f>
        <v>HTC-60</v>
      </c>
      <c r="AS28" s="165" t="str">
        <f>IF(AND(LEFT(PQS_tbl[[#This Row],[D]],3)=$AS$6,PQS_tbl[[#This Row],[I]]=0,PQS_tbl[[#This Row],[J]]&gt;0),$AO28,"")</f>
        <v/>
      </c>
      <c r="AT28" s="165" t="str">
        <f>IFERROR(SMALL($AS$7:AS$178,ROWS($AS$7:AS28)),"")</f>
        <v/>
      </c>
      <c r="AU28" s="165" t="str">
        <f>IFERROR(INDEX(PQS_tbl[C],AT28),"")</f>
        <v/>
      </c>
      <c r="AV28" s="165" t="str">
        <f>IF(LEFT(PQS_tbl[[#This Row],[E]],1)="S",$AP28,"")</f>
        <v/>
      </c>
      <c r="AW28" s="165">
        <f>IFERROR(SMALL($AV$7:AV$178,ROWS($AV$7:AV28)),"")</f>
        <v>97</v>
      </c>
      <c r="AX28" s="165" t="str">
        <f>IFERROR(INDEX(PQS_tbl[C],AW28),"")</f>
        <v>GVR 100 SDD</v>
      </c>
      <c r="AY28" s="165" t="str">
        <f>IF(LEFT(PQS_tbl[[#This Row],[E]],1)="S",$AS28,"")</f>
        <v/>
      </c>
      <c r="AZ28" s="165" t="str">
        <f>IFERROR(SMALL($AY$7:AY$178,ROWS($AY$7:AY28)),"")</f>
        <v/>
      </c>
      <c r="BA28" s="165" t="str">
        <f>IFERROR(INDEX(PQS_tbl[C],AZ28),"")</f>
        <v/>
      </c>
      <c r="BB28" s="165" t="str">
        <f>IF(AND(LEFT(PQS_tbl[[#This Row],[D]],3)=$BB$6,PQS_tbl[[#This Row],[K]]&gt;0),$AO28,"")</f>
        <v/>
      </c>
    </row>
    <row r="29" spans="1:56" s="178" customFormat="1" x14ac:dyDescent="0.3">
      <c r="A29" s="179" t="s">
        <v>350</v>
      </c>
      <c r="B29" s="62" t="s">
        <v>398</v>
      </c>
      <c r="C29" s="61" t="s">
        <v>403</v>
      </c>
      <c r="D29" s="61" t="s">
        <v>404</v>
      </c>
      <c r="E29" s="180" t="s">
        <v>343</v>
      </c>
      <c r="F29" s="180" t="s">
        <v>338</v>
      </c>
      <c r="G29" s="180" t="s">
        <v>349</v>
      </c>
      <c r="H29" s="180"/>
      <c r="I29" s="63">
        <v>17</v>
      </c>
      <c r="J29" s="63">
        <v>15</v>
      </c>
      <c r="K29" s="63"/>
      <c r="L29" s="63">
        <v>1.0285714285714285</v>
      </c>
      <c r="M29" s="63"/>
      <c r="N29" s="181">
        <v>3</v>
      </c>
      <c r="O29" s="181"/>
      <c r="P29" s="181"/>
      <c r="Q29" s="63"/>
      <c r="R29" s="63">
        <v>0.5</v>
      </c>
      <c r="S29" s="63"/>
      <c r="T29" s="63">
        <v>711</v>
      </c>
      <c r="U29" s="182">
        <v>711</v>
      </c>
      <c r="V29" s="183"/>
      <c r="W29" s="63"/>
      <c r="X29" s="63"/>
      <c r="Y29" s="63"/>
      <c r="Z29" s="63"/>
      <c r="AA29" s="63"/>
      <c r="AB29" s="63"/>
      <c r="AC29" s="63"/>
      <c r="AD29" s="184"/>
      <c r="AE29" s="63"/>
      <c r="AF29" s="185">
        <f t="shared" si="0"/>
        <v>41.823529411764703</v>
      </c>
      <c r="AG29" s="185">
        <f t="shared" si="0"/>
        <v>47.4</v>
      </c>
      <c r="AH29" s="185">
        <f t="shared" si="1"/>
        <v>691.25000000000011</v>
      </c>
      <c r="AI29" s="186" t="str">
        <f t="shared" si="2"/>
        <v/>
      </c>
      <c r="AJ29" s="186" t="str">
        <f t="shared" si="3"/>
        <v/>
      </c>
      <c r="AK29" s="186" t="str">
        <f t="shared" si="4"/>
        <v/>
      </c>
      <c r="AL29" s="186" t="str">
        <f t="shared" si="5"/>
        <v/>
      </c>
      <c r="AM29" s="186" t="str">
        <f t="shared" si="6"/>
        <v/>
      </c>
      <c r="AN29" s="186" t="str">
        <f t="shared" si="7"/>
        <v/>
      </c>
      <c r="AO29" s="165">
        <f t="shared" si="8"/>
        <v>23</v>
      </c>
      <c r="AP29" s="165" t="str">
        <f>IF(AND(LEFT(PQS_tbl[[#This Row],[D]],3)=$AP$6,PQS_tbl[[#This Row],[I]]&gt;0),$AO29,"")</f>
        <v/>
      </c>
      <c r="AQ29" s="165">
        <f>IFERROR(SMALL($AP$7:AP$182,ROWS($AP$7:AP29)),"")</f>
        <v>77</v>
      </c>
      <c r="AR29" s="165" t="str">
        <f>IFERROR(INDEX(PQS_tbl[C],AQ29),"")</f>
        <v>TCW 3000 SDD</v>
      </c>
      <c r="AS29" s="165" t="str">
        <f>IF(AND(LEFT(PQS_tbl[[#This Row],[D]],3)=$AS$6,PQS_tbl[[#This Row],[I]]=0,PQS_tbl[[#This Row],[J]]&gt;0),$AO29,"")</f>
        <v/>
      </c>
      <c r="AT29" s="165" t="str">
        <f>IFERROR(SMALL($AS$7:AS$178,ROWS($AS$7:AS29)),"")</f>
        <v/>
      </c>
      <c r="AU29" s="165" t="str">
        <f>IFERROR(INDEX(PQS_tbl[C],AT29),"")</f>
        <v/>
      </c>
      <c r="AV29" s="165" t="str">
        <f>IF(LEFT(PQS_tbl[[#This Row],[E]],1)="S",$AP29,"")</f>
        <v/>
      </c>
      <c r="AW29" s="165">
        <f>IFERROR(SMALL($AV$7:AV$178,ROWS($AV$7:AV29)),"")</f>
        <v>99</v>
      </c>
      <c r="AX29" s="165" t="str">
        <f>IFERROR(INDEX(PQS_tbl[C],AW29),"")</f>
        <v>ZLF150DC</v>
      </c>
      <c r="AY29" s="165" t="str">
        <f>IF(LEFT(PQS_tbl[[#This Row],[E]],1)="S",$AS29,"")</f>
        <v/>
      </c>
      <c r="AZ29" s="165" t="str">
        <f>IFERROR(SMALL($AY$7:AY$178,ROWS($AY$7:AY29)),"")</f>
        <v/>
      </c>
      <c r="BA29" s="165" t="str">
        <f>IFERROR(INDEX(PQS_tbl[C],AZ29),"")</f>
        <v/>
      </c>
      <c r="BB29" s="165" t="str">
        <f>IF(AND(LEFT(PQS_tbl[[#This Row],[D]],3)=$BB$6,PQS_tbl[[#This Row],[K]]&gt;0),$AO29,"")</f>
        <v/>
      </c>
    </row>
    <row r="30" spans="1:56" s="178" customFormat="1" x14ac:dyDescent="0.3">
      <c r="A30" s="179" t="s">
        <v>334</v>
      </c>
      <c r="B30" s="62" t="s">
        <v>398</v>
      </c>
      <c r="C30" s="61" t="s">
        <v>405</v>
      </c>
      <c r="D30" s="61" t="s">
        <v>406</v>
      </c>
      <c r="E30" s="180" t="s">
        <v>343</v>
      </c>
      <c r="F30" s="180" t="s">
        <v>338</v>
      </c>
      <c r="G30" s="180" t="s">
        <v>339</v>
      </c>
      <c r="H30" s="180"/>
      <c r="I30" s="63">
        <v>17</v>
      </c>
      <c r="J30" s="63">
        <v>15</v>
      </c>
      <c r="K30" s="63"/>
      <c r="L30" s="63">
        <v>0.6</v>
      </c>
      <c r="M30" s="63"/>
      <c r="N30" s="181" t="s">
        <v>340</v>
      </c>
      <c r="O30" s="181"/>
      <c r="P30" s="181"/>
      <c r="Q30" s="63"/>
      <c r="R30" s="63"/>
      <c r="S30" s="63">
        <v>0.5</v>
      </c>
      <c r="T30" s="63">
        <v>805</v>
      </c>
      <c r="U30" s="182">
        <v>805</v>
      </c>
      <c r="V30" s="183"/>
      <c r="W30" s="63"/>
      <c r="X30" s="63"/>
      <c r="Y30" s="63"/>
      <c r="Z30" s="63"/>
      <c r="AA30" s="63"/>
      <c r="AB30" s="63"/>
      <c r="AC30" s="63"/>
      <c r="AD30" s="184"/>
      <c r="AE30" s="63"/>
      <c r="AF30" s="185">
        <f t="shared" si="0"/>
        <v>47.352941176470587</v>
      </c>
      <c r="AG30" s="185">
        <f t="shared" si="0"/>
        <v>53.666666666666664</v>
      </c>
      <c r="AH30" s="185">
        <f t="shared" si="1"/>
        <v>1341.6666666666667</v>
      </c>
      <c r="AI30" s="186" t="str">
        <f t="shared" si="2"/>
        <v/>
      </c>
      <c r="AJ30" s="186">
        <f t="shared" si="3"/>
        <v>2.9411764705882353E-2</v>
      </c>
      <c r="AK30" s="186" t="str">
        <f t="shared" si="4"/>
        <v/>
      </c>
      <c r="AL30" s="186">
        <f t="shared" si="5"/>
        <v>3.3333333333333333E-2</v>
      </c>
      <c r="AM30" s="186" t="str">
        <f t="shared" si="6"/>
        <v/>
      </c>
      <c r="AN30" s="186">
        <f t="shared" si="7"/>
        <v>0.83333333333333337</v>
      </c>
      <c r="AO30" s="165">
        <f t="shared" si="8"/>
        <v>24</v>
      </c>
      <c r="AP30" s="165" t="str">
        <f>IF(AND(LEFT(PQS_tbl[[#This Row],[D]],3)=$AP$6,PQS_tbl[[#This Row],[I]]&gt;0),$AO30,"")</f>
        <v/>
      </c>
      <c r="AQ30" s="165">
        <f>IFERROR(SMALL($AP$7:AP$182,ROWS($AP$7:AP30)),"")</f>
        <v>78</v>
      </c>
      <c r="AR30" s="165" t="str">
        <f>IFERROR(INDEX(PQS_tbl[C],AQ30),"")</f>
        <v>VLS 200 Greenline</v>
      </c>
      <c r="AS30" s="165" t="str">
        <f>IF(AND(LEFT(PQS_tbl[[#This Row],[D]],3)=$AS$6,PQS_tbl[[#This Row],[I]]=0,PQS_tbl[[#This Row],[J]]&gt;0),$AO30,"")</f>
        <v/>
      </c>
      <c r="AT30" s="165" t="str">
        <f>IFERROR(SMALL($AS$7:AS$178,ROWS($AS$7:AS30)),"")</f>
        <v/>
      </c>
      <c r="AU30" s="165" t="str">
        <f>IFERROR(INDEX(PQS_tbl[C],AT30),"")</f>
        <v/>
      </c>
      <c r="AV30" s="165" t="str">
        <f>IF(LEFT(PQS_tbl[[#This Row],[E]],1)="S",$AP30,"")</f>
        <v/>
      </c>
      <c r="AW30" s="165">
        <f>IFERROR(SMALL($AV$7:AV$178,ROWS($AV$7:AV30)),"")</f>
        <v>100</v>
      </c>
      <c r="AX30" s="165" t="str">
        <f>IFERROR(INDEX(PQS_tbl[C],AW30),"")</f>
        <v>VLS 094 SDD Greenline</v>
      </c>
      <c r="AY30" s="165" t="str">
        <f>IF(LEFT(PQS_tbl[[#This Row],[E]],1)="S",$AS30,"")</f>
        <v/>
      </c>
      <c r="AZ30" s="165" t="str">
        <f>IFERROR(SMALL($AY$7:AY$178,ROWS($AY$7:AY30)),"")</f>
        <v/>
      </c>
      <c r="BA30" s="165" t="str">
        <f>IFERROR(INDEX(PQS_tbl[C],AZ30),"")</f>
        <v/>
      </c>
      <c r="BB30" s="165" t="str">
        <f>IF(AND(LEFT(PQS_tbl[[#This Row],[D]],3)=$BB$6,PQS_tbl[[#This Row],[K]]&gt;0),$AO30,"")</f>
        <v/>
      </c>
    </row>
    <row r="31" spans="1:56" s="178" customFormat="1" x14ac:dyDescent="0.3">
      <c r="A31" s="179" t="s">
        <v>350</v>
      </c>
      <c r="B31" s="62" t="s">
        <v>39</v>
      </c>
      <c r="C31" s="61" t="s">
        <v>407</v>
      </c>
      <c r="D31" s="61" t="s">
        <v>408</v>
      </c>
      <c r="E31" s="180" t="s">
        <v>343</v>
      </c>
      <c r="F31" s="180" t="s">
        <v>338</v>
      </c>
      <c r="G31" s="180" t="s">
        <v>349</v>
      </c>
      <c r="H31" s="180"/>
      <c r="I31" s="63">
        <v>24</v>
      </c>
      <c r="J31" s="63"/>
      <c r="K31" s="63"/>
      <c r="L31" s="63">
        <v>2.4</v>
      </c>
      <c r="M31" s="63"/>
      <c r="N31" s="181">
        <v>4.4000000000000004</v>
      </c>
      <c r="O31" s="181"/>
      <c r="P31" s="181"/>
      <c r="Q31" s="63">
        <v>3.5</v>
      </c>
      <c r="R31" s="63">
        <v>0.5</v>
      </c>
      <c r="S31" s="63"/>
      <c r="T31" s="63">
        <v>1122</v>
      </c>
      <c r="U31" s="182">
        <v>1122</v>
      </c>
      <c r="V31" s="183"/>
      <c r="W31" s="63"/>
      <c r="X31" s="63"/>
      <c r="Y31" s="63"/>
      <c r="Z31" s="63"/>
      <c r="AA31" s="63"/>
      <c r="AB31" s="63"/>
      <c r="AC31" s="63"/>
      <c r="AD31" s="184"/>
      <c r="AE31" s="63"/>
      <c r="AF31" s="185">
        <f t="shared" si="0"/>
        <v>46.75</v>
      </c>
      <c r="AG31" s="185" t="str">
        <f t="shared" si="0"/>
        <v/>
      </c>
      <c r="AH31" s="185">
        <f t="shared" si="1"/>
        <v>467.5</v>
      </c>
      <c r="AI31" s="186">
        <f t="shared" si="2"/>
        <v>0.14583333333333334</v>
      </c>
      <c r="AJ31" s="186" t="str">
        <f t="shared" si="3"/>
        <v/>
      </c>
      <c r="AK31" s="186" t="str">
        <f t="shared" si="4"/>
        <v/>
      </c>
      <c r="AL31" s="186" t="str">
        <f t="shared" si="5"/>
        <v/>
      </c>
      <c r="AM31" s="186">
        <f t="shared" si="6"/>
        <v>1.4583333333333335</v>
      </c>
      <c r="AN31" s="186" t="str">
        <f t="shared" si="7"/>
        <v/>
      </c>
      <c r="AO31" s="165">
        <f t="shared" si="8"/>
        <v>25</v>
      </c>
      <c r="AP31" s="165" t="str">
        <f>IF(AND(LEFT(PQS_tbl[[#This Row],[D]],3)=$AP$6,PQS_tbl[[#This Row],[I]]&gt;0),$AO31,"")</f>
        <v/>
      </c>
      <c r="AQ31" s="165">
        <f>IFERROR(SMALL($AP$7:AP$182,ROWS($AP$7:AP31)),"")</f>
        <v>79</v>
      </c>
      <c r="AR31" s="165" t="str">
        <f>IFERROR(INDEX(PQS_tbl[C],AQ31),"")</f>
        <v>VLS 300 Greenline</v>
      </c>
      <c r="AS31" s="165" t="str">
        <f>IF(AND(LEFT(PQS_tbl[[#This Row],[D]],3)=$AS$6,PQS_tbl[[#This Row],[I]]=0,PQS_tbl[[#This Row],[J]]&gt;0),$AO31,"")</f>
        <v/>
      </c>
      <c r="AT31" s="165" t="str">
        <f>IFERROR(SMALL($AS$7:AS$178,ROWS($AS$7:AS31)),"")</f>
        <v/>
      </c>
      <c r="AU31" s="165" t="str">
        <f>IFERROR(INDEX(PQS_tbl[C],AT31),"")</f>
        <v/>
      </c>
      <c r="AV31" s="165" t="str">
        <f>IF(LEFT(PQS_tbl[[#This Row],[E]],1)="S",$AP31,"")</f>
        <v/>
      </c>
      <c r="AW31" s="165">
        <f>IFERROR(SMALL($AV$7:AV$178,ROWS($AV$7:AV31)),"")</f>
        <v>101</v>
      </c>
      <c r="AX31" s="165" t="str">
        <f>IFERROR(INDEX(PQS_tbl[C],AW31),"")</f>
        <v>VLS 154 SDD Greenline</v>
      </c>
      <c r="AY31" s="165" t="str">
        <f>IF(LEFT(PQS_tbl[[#This Row],[E]],1)="S",$AS31,"")</f>
        <v/>
      </c>
      <c r="AZ31" s="165" t="str">
        <f>IFERROR(SMALL($AY$7:AY$178,ROWS($AY$7:AY31)),"")</f>
        <v/>
      </c>
      <c r="BA31" s="165" t="str">
        <f>IFERROR(INDEX(PQS_tbl[C],AZ31),"")</f>
        <v/>
      </c>
      <c r="BB31" s="165" t="str">
        <f>IF(AND(LEFT(PQS_tbl[[#This Row],[D]],3)=$BB$6,PQS_tbl[[#This Row],[K]]&gt;0),$AO31,"")</f>
        <v/>
      </c>
    </row>
    <row r="32" spans="1:56" s="178" customFormat="1" x14ac:dyDescent="0.3">
      <c r="A32" s="179" t="s">
        <v>350</v>
      </c>
      <c r="B32" s="62" t="s">
        <v>409</v>
      </c>
      <c r="C32" s="61" t="s">
        <v>410</v>
      </c>
      <c r="D32" s="61" t="s">
        <v>411</v>
      </c>
      <c r="E32" s="180" t="s">
        <v>343</v>
      </c>
      <c r="F32" s="180" t="s">
        <v>338</v>
      </c>
      <c r="G32" s="180" t="s">
        <v>339</v>
      </c>
      <c r="H32" s="180"/>
      <c r="I32" s="63">
        <v>18</v>
      </c>
      <c r="J32" s="63">
        <v>20</v>
      </c>
      <c r="K32" s="63"/>
      <c r="L32" s="63">
        <v>3.0857142857142863</v>
      </c>
      <c r="M32" s="63"/>
      <c r="N32" s="181">
        <v>3.2</v>
      </c>
      <c r="O32" s="181"/>
      <c r="P32" s="181"/>
      <c r="Q32" s="63"/>
      <c r="R32" s="63"/>
      <c r="S32" s="63">
        <v>0.46</v>
      </c>
      <c r="T32" s="63">
        <v>670</v>
      </c>
      <c r="U32" s="182">
        <v>670</v>
      </c>
      <c r="V32" s="183"/>
      <c r="W32" s="63"/>
      <c r="X32" s="63"/>
      <c r="Y32" s="63"/>
      <c r="Z32" s="63"/>
      <c r="AA32" s="63"/>
      <c r="AB32" s="63"/>
      <c r="AC32" s="63"/>
      <c r="AD32" s="184"/>
      <c r="AE32" s="63"/>
      <c r="AF32" s="185">
        <f t="shared" si="0"/>
        <v>37.222222222222221</v>
      </c>
      <c r="AG32" s="185">
        <f t="shared" si="0"/>
        <v>33.5</v>
      </c>
      <c r="AH32" s="185">
        <f t="shared" si="1"/>
        <v>217.12962962962959</v>
      </c>
      <c r="AI32" s="186" t="str">
        <f t="shared" si="2"/>
        <v/>
      </c>
      <c r="AJ32" s="186">
        <f t="shared" si="3"/>
        <v>2.5555555555555557E-2</v>
      </c>
      <c r="AK32" s="186" t="str">
        <f t="shared" si="4"/>
        <v/>
      </c>
      <c r="AL32" s="186">
        <f t="shared" si="5"/>
        <v>2.3E-2</v>
      </c>
      <c r="AM32" s="186" t="str">
        <f t="shared" si="6"/>
        <v/>
      </c>
      <c r="AN32" s="186">
        <f t="shared" si="7"/>
        <v>0.14907407407407405</v>
      </c>
      <c r="AO32" s="165">
        <f t="shared" si="8"/>
        <v>26</v>
      </c>
      <c r="AP32" s="165" t="str">
        <f>IF(AND(LEFT(PQS_tbl[[#This Row],[D]],3)=$AP$6,PQS_tbl[[#This Row],[I]]&gt;0),$AO32,"")</f>
        <v/>
      </c>
      <c r="AQ32" s="165">
        <f>IFERROR(SMALL($AP$7:AP$182,ROWS($AP$7:AP32)),"")</f>
        <v>80</v>
      </c>
      <c r="AR32" s="165" t="str">
        <f>IFERROR(INDEX(PQS_tbl[C],AQ32),"")</f>
        <v>VLS 350 Greenline</v>
      </c>
      <c r="AS32" s="165" t="str">
        <f>IF(AND(LEFT(PQS_tbl[[#This Row],[D]],3)=$AS$6,PQS_tbl[[#This Row],[I]]=0,PQS_tbl[[#This Row],[J]]&gt;0),$AO32,"")</f>
        <v/>
      </c>
      <c r="AT32" s="165" t="str">
        <f>IFERROR(SMALL($AS$7:AS$178,ROWS($AS$7:AS32)),"")</f>
        <v/>
      </c>
      <c r="AU32" s="165" t="str">
        <f>IFERROR(INDEX(PQS_tbl[C],AT32),"")</f>
        <v/>
      </c>
      <c r="AV32" s="165" t="str">
        <f>IF(LEFT(PQS_tbl[[#This Row],[E]],1)="S",$AP32,"")</f>
        <v/>
      </c>
      <c r="AW32" s="165">
        <f>IFERROR(SMALL($AV$7:AV$178,ROWS($AV$7:AV32)),"")</f>
        <v>102</v>
      </c>
      <c r="AX32" s="165" t="str">
        <f>IFERROR(INDEX(PQS_tbl[C],AW32),"")</f>
        <v>ZLF30DC SDD</v>
      </c>
      <c r="AY32" s="165" t="str">
        <f>IF(LEFT(PQS_tbl[[#This Row],[E]],1)="S",$AS32,"")</f>
        <v/>
      </c>
      <c r="AZ32" s="165" t="str">
        <f>IFERROR(SMALL($AY$7:AY$178,ROWS($AY$7:AY32)),"")</f>
        <v/>
      </c>
      <c r="BA32" s="165" t="str">
        <f>IFERROR(INDEX(PQS_tbl[C],AZ32),"")</f>
        <v/>
      </c>
      <c r="BB32" s="165" t="str">
        <f>IF(AND(LEFT(PQS_tbl[[#This Row],[D]],3)=$BB$6,PQS_tbl[[#This Row],[K]]&gt;0),$AO32,"")</f>
        <v/>
      </c>
    </row>
    <row r="33" spans="1:54" s="178" customFormat="1" x14ac:dyDescent="0.3">
      <c r="A33" s="179" t="s">
        <v>350</v>
      </c>
      <c r="B33" s="62" t="s">
        <v>409</v>
      </c>
      <c r="C33" s="61" t="s">
        <v>412</v>
      </c>
      <c r="D33" s="61" t="s">
        <v>413</v>
      </c>
      <c r="E33" s="180" t="s">
        <v>343</v>
      </c>
      <c r="F33" s="180" t="s">
        <v>338</v>
      </c>
      <c r="G33" s="180" t="s">
        <v>339</v>
      </c>
      <c r="H33" s="180"/>
      <c r="I33" s="63">
        <v>18</v>
      </c>
      <c r="J33" s="63">
        <v>20</v>
      </c>
      <c r="K33" s="63"/>
      <c r="L33" s="63">
        <v>3.3230769230769233</v>
      </c>
      <c r="M33" s="63"/>
      <c r="N33" s="181">
        <v>3</v>
      </c>
      <c r="O33" s="181"/>
      <c r="P33" s="181"/>
      <c r="Q33" s="63"/>
      <c r="R33" s="63">
        <v>0.5</v>
      </c>
      <c r="S33" s="63"/>
      <c r="T33" s="63">
        <v>615</v>
      </c>
      <c r="U33" s="182">
        <v>615</v>
      </c>
      <c r="V33" s="183"/>
      <c r="W33" s="63"/>
      <c r="X33" s="63"/>
      <c r="Y33" s="63"/>
      <c r="Z33" s="63"/>
      <c r="AA33" s="63"/>
      <c r="AB33" s="63"/>
      <c r="AC33" s="63"/>
      <c r="AD33" s="184"/>
      <c r="AE33" s="63"/>
      <c r="AF33" s="185">
        <f t="shared" si="0"/>
        <v>34.166666666666664</v>
      </c>
      <c r="AG33" s="185">
        <f t="shared" si="0"/>
        <v>30.75</v>
      </c>
      <c r="AH33" s="185">
        <f t="shared" si="1"/>
        <v>185.06944444444443</v>
      </c>
      <c r="AI33" s="186" t="str">
        <f t="shared" si="2"/>
        <v/>
      </c>
      <c r="AJ33" s="186" t="str">
        <f t="shared" si="3"/>
        <v/>
      </c>
      <c r="AK33" s="186" t="str">
        <f t="shared" si="4"/>
        <v/>
      </c>
      <c r="AL33" s="186" t="str">
        <f t="shared" si="5"/>
        <v/>
      </c>
      <c r="AM33" s="186" t="str">
        <f t="shared" si="6"/>
        <v/>
      </c>
      <c r="AN33" s="186" t="str">
        <f t="shared" si="7"/>
        <v/>
      </c>
      <c r="AO33" s="165">
        <f t="shared" si="8"/>
        <v>27</v>
      </c>
      <c r="AP33" s="165" t="str">
        <f>IF(AND(LEFT(PQS_tbl[[#This Row],[D]],3)=$AP$6,PQS_tbl[[#This Row],[I]]&gt;0),$AO33,"")</f>
        <v/>
      </c>
      <c r="AQ33" s="165">
        <f>IFERROR(SMALL($AP$7:AP$182,ROWS($AP$7:AP33)),"")</f>
        <v>81</v>
      </c>
      <c r="AR33" s="165" t="str">
        <f>IFERROR(INDEX(PQS_tbl[C],AQ33),"")</f>
        <v>HBC-110</v>
      </c>
      <c r="AS33" s="165" t="str">
        <f>IF(AND(LEFT(PQS_tbl[[#This Row],[D]],3)=$AS$6,PQS_tbl[[#This Row],[I]]=0,PQS_tbl[[#This Row],[J]]&gt;0),$AO33,"")</f>
        <v/>
      </c>
      <c r="AT33" s="165" t="str">
        <f>IFERROR(SMALL($AS$7:AS$178,ROWS($AS$7:AS33)),"")</f>
        <v/>
      </c>
      <c r="AU33" s="165" t="str">
        <f>IFERROR(INDEX(PQS_tbl[C],AT33),"")</f>
        <v/>
      </c>
      <c r="AV33" s="165" t="str">
        <f>IF(LEFT(PQS_tbl[[#This Row],[E]],1)="S",$AP33,"")</f>
        <v/>
      </c>
      <c r="AW33" s="165">
        <f>IFERROR(SMALL($AV$7:AV$178,ROWS($AV$7:AV33)),"")</f>
        <v>103</v>
      </c>
      <c r="AX33" s="165" t="str">
        <f>IFERROR(INDEX(PQS_tbl[C],AW33),"")</f>
        <v>HTC-60H</v>
      </c>
      <c r="AY33" s="165" t="str">
        <f>IF(LEFT(PQS_tbl[[#This Row],[E]],1)="S",$AS33,"")</f>
        <v/>
      </c>
      <c r="AZ33" s="165" t="str">
        <f>IFERROR(SMALL($AY$7:AY$178,ROWS($AY$7:AY33)),"")</f>
        <v/>
      </c>
      <c r="BA33" s="165" t="str">
        <f>IFERROR(INDEX(PQS_tbl[C],AZ33),"")</f>
        <v/>
      </c>
      <c r="BB33" s="165" t="str">
        <f>IF(AND(LEFT(PQS_tbl[[#This Row],[D]],3)=$BB$6,PQS_tbl[[#This Row],[K]]&gt;0),$AO33,"")</f>
        <v/>
      </c>
    </row>
    <row r="34" spans="1:54" s="178" customFormat="1" x14ac:dyDescent="0.3">
      <c r="A34" s="179" t="s">
        <v>350</v>
      </c>
      <c r="B34" s="62" t="s">
        <v>39</v>
      </c>
      <c r="C34" s="61" t="s">
        <v>414</v>
      </c>
      <c r="D34" s="61" t="s">
        <v>415</v>
      </c>
      <c r="E34" s="180" t="s">
        <v>343</v>
      </c>
      <c r="F34" s="180" t="s">
        <v>338</v>
      </c>
      <c r="G34" s="180" t="s">
        <v>349</v>
      </c>
      <c r="H34" s="180"/>
      <c r="I34" s="63">
        <v>24</v>
      </c>
      <c r="J34" s="63"/>
      <c r="K34" s="63"/>
      <c r="L34" s="63">
        <v>2.4</v>
      </c>
      <c r="M34" s="63"/>
      <c r="N34" s="181">
        <v>6.5</v>
      </c>
      <c r="O34" s="181"/>
      <c r="P34" s="181"/>
      <c r="Q34" s="63"/>
      <c r="R34" s="63"/>
      <c r="S34" s="63">
        <v>0.8</v>
      </c>
      <c r="T34" s="63">
        <v>1268</v>
      </c>
      <c r="U34" s="182">
        <v>1268</v>
      </c>
      <c r="V34" s="183"/>
      <c r="W34" s="63"/>
      <c r="X34" s="63"/>
      <c r="Y34" s="63"/>
      <c r="Z34" s="63"/>
      <c r="AA34" s="63"/>
      <c r="AB34" s="63"/>
      <c r="AC34" s="63"/>
      <c r="AD34" s="184"/>
      <c r="AE34" s="63"/>
      <c r="AF34" s="185">
        <f t="shared" si="0"/>
        <v>52.833333333333336</v>
      </c>
      <c r="AG34" s="185" t="str">
        <f t="shared" si="0"/>
        <v/>
      </c>
      <c r="AH34" s="185">
        <f t="shared" si="1"/>
        <v>528.33333333333337</v>
      </c>
      <c r="AI34" s="186" t="str">
        <f t="shared" si="2"/>
        <v/>
      </c>
      <c r="AJ34" s="186">
        <f t="shared" si="3"/>
        <v>3.3333333333333333E-2</v>
      </c>
      <c r="AK34" s="186" t="str">
        <f t="shared" si="4"/>
        <v/>
      </c>
      <c r="AL34" s="186" t="str">
        <f t="shared" si="5"/>
        <v/>
      </c>
      <c r="AM34" s="186" t="str">
        <f t="shared" si="6"/>
        <v/>
      </c>
      <c r="AN34" s="186">
        <f t="shared" si="7"/>
        <v>0.33333333333333337</v>
      </c>
      <c r="AO34" s="165">
        <f t="shared" si="8"/>
        <v>28</v>
      </c>
      <c r="AP34" s="165" t="str">
        <f>IF(AND(LEFT(PQS_tbl[[#This Row],[D]],3)=$AP$6,PQS_tbl[[#This Row],[I]]&gt;0),$AO34,"")</f>
        <v/>
      </c>
      <c r="AQ34" s="165">
        <f>IFERROR(SMALL($AP$7:AP$182,ROWS($AP$7:AP34)),"")</f>
        <v>82</v>
      </c>
      <c r="AR34" s="165" t="str">
        <f>IFERROR(INDEX(PQS_tbl[C],AQ34),"")</f>
        <v>TCW 2000 SDD</v>
      </c>
      <c r="AS34" s="165" t="str">
        <f>IF(AND(LEFT(PQS_tbl[[#This Row],[D]],3)=$AS$6,PQS_tbl[[#This Row],[I]]=0,PQS_tbl[[#This Row],[J]]&gt;0),$AO34,"")</f>
        <v/>
      </c>
      <c r="AT34" s="165" t="str">
        <f>IFERROR(SMALL($AS$7:AS$178,ROWS($AS$7:AS34)),"")</f>
        <v/>
      </c>
      <c r="AU34" s="165" t="str">
        <f>IFERROR(INDEX(PQS_tbl[C],AT34),"")</f>
        <v/>
      </c>
      <c r="AV34" s="165" t="str">
        <f>IF(LEFT(PQS_tbl[[#This Row],[E]],1)="S",$AP34,"")</f>
        <v/>
      </c>
      <c r="AW34" s="165">
        <f>IFERROR(SMALL($AV$7:AV$178,ROWS($AV$7:AV34)),"")</f>
        <v>104</v>
      </c>
      <c r="AX34" s="165" t="str">
        <f>IFERROR(INDEX(PQS_tbl[C],AW34),"")</f>
        <v>HTCD-160</v>
      </c>
      <c r="AY34" s="165" t="str">
        <f>IF(LEFT(PQS_tbl[[#This Row],[E]],1)="S",$AS34,"")</f>
        <v/>
      </c>
      <c r="AZ34" s="165" t="str">
        <f>IFERROR(SMALL($AY$7:AY$178,ROWS($AY$7:AY34)),"")</f>
        <v/>
      </c>
      <c r="BA34" s="165" t="str">
        <f>IFERROR(INDEX(PQS_tbl[C],AZ34),"")</f>
        <v/>
      </c>
      <c r="BB34" s="165" t="str">
        <f>IF(AND(LEFT(PQS_tbl[[#This Row],[D]],3)=$BB$6,PQS_tbl[[#This Row],[K]]&gt;0),$AO34,"")</f>
        <v/>
      </c>
    </row>
    <row r="35" spans="1:54" s="178" customFormat="1" x14ac:dyDescent="0.3">
      <c r="A35" s="179" t="s">
        <v>350</v>
      </c>
      <c r="B35" s="62" t="s">
        <v>369</v>
      </c>
      <c r="C35" s="61" t="s">
        <v>416</v>
      </c>
      <c r="D35" s="61" t="s">
        <v>417</v>
      </c>
      <c r="E35" s="180" t="s">
        <v>356</v>
      </c>
      <c r="F35" s="180" t="s">
        <v>348</v>
      </c>
      <c r="G35" s="180" t="s">
        <v>349</v>
      </c>
      <c r="H35" s="180"/>
      <c r="I35" s="63">
        <v>63</v>
      </c>
      <c r="J35" s="63">
        <v>30</v>
      </c>
      <c r="K35" s="63"/>
      <c r="L35" s="63">
        <v>4.32</v>
      </c>
      <c r="M35" s="63"/>
      <c r="N35" s="181">
        <v>3.5</v>
      </c>
      <c r="O35" s="181"/>
      <c r="P35" s="181"/>
      <c r="Q35" s="63">
        <v>0.97</v>
      </c>
      <c r="R35" s="63"/>
      <c r="S35" s="63"/>
      <c r="T35" s="63">
        <v>2600</v>
      </c>
      <c r="U35" s="182">
        <v>2600</v>
      </c>
      <c r="V35" s="183"/>
      <c r="W35" s="63"/>
      <c r="X35" s="63"/>
      <c r="Y35" s="63"/>
      <c r="Z35" s="63"/>
      <c r="AA35" s="63"/>
      <c r="AB35" s="63"/>
      <c r="AC35" s="63"/>
      <c r="AD35" s="184"/>
      <c r="AE35" s="63"/>
      <c r="AF35" s="185">
        <f t="shared" si="0"/>
        <v>41.269841269841272</v>
      </c>
      <c r="AG35" s="185">
        <f t="shared" si="0"/>
        <v>86.666666666666671</v>
      </c>
      <c r="AH35" s="185">
        <f t="shared" si="1"/>
        <v>601.85185185185185</v>
      </c>
      <c r="AI35" s="186">
        <f t="shared" si="2"/>
        <v>1.5396825396825397E-2</v>
      </c>
      <c r="AJ35" s="186" t="str">
        <f t="shared" si="3"/>
        <v/>
      </c>
      <c r="AK35" s="186">
        <f t="shared" si="4"/>
        <v>3.2333333333333332E-2</v>
      </c>
      <c r="AL35" s="186" t="str">
        <f t="shared" si="5"/>
        <v/>
      </c>
      <c r="AM35" s="186">
        <f t="shared" si="6"/>
        <v>0.22453703703703701</v>
      </c>
      <c r="AN35" s="186" t="str">
        <f t="shared" si="7"/>
        <v/>
      </c>
      <c r="AO35" s="165">
        <f t="shared" si="8"/>
        <v>29</v>
      </c>
      <c r="AP35" s="165" t="str">
        <f>IF(AND(LEFT(PQS_tbl[[#This Row],[D]],3)=$AP$6,PQS_tbl[[#This Row],[I]]&gt;0),$AO35,"")</f>
        <v/>
      </c>
      <c r="AQ35" s="165">
        <f>IFERROR(SMALL($AP$7:AP$182,ROWS($AP$7:AP35)),"")</f>
        <v>83</v>
      </c>
      <c r="AR35" s="165" t="str">
        <f>IFERROR(INDEX(PQS_tbl[C],AQ35),"")</f>
        <v>ZLF 100AC</v>
      </c>
      <c r="AS35" s="165" t="str">
        <f>IF(AND(LEFT(PQS_tbl[[#This Row],[D]],3)=$AS$6,PQS_tbl[[#This Row],[I]]=0,PQS_tbl[[#This Row],[J]]&gt;0),$AO35,"")</f>
        <v/>
      </c>
      <c r="AT35" s="165" t="str">
        <f>IFERROR(SMALL($AS$7:AS$178,ROWS($AS$7:AS35)),"")</f>
        <v/>
      </c>
      <c r="AU35" s="165" t="str">
        <f>IFERROR(INDEX(PQS_tbl[C],AT35),"")</f>
        <v/>
      </c>
      <c r="AV35" s="165" t="str">
        <f>IF(LEFT(PQS_tbl[[#This Row],[E]],1)="S",$AP35,"")</f>
        <v/>
      </c>
      <c r="AW35" s="165">
        <f>IFERROR(SMALL($AV$7:AV$178,ROWS($AV$7:AV35)),"")</f>
        <v>105</v>
      </c>
      <c r="AX35" s="165" t="str">
        <f>IFERROR(INDEX(PQS_tbl[C],AW35),"")</f>
        <v>Dulas VC 110 SDD</v>
      </c>
      <c r="AY35" s="165" t="str">
        <f>IF(LEFT(PQS_tbl[[#This Row],[E]],1)="S",$AS35,"")</f>
        <v/>
      </c>
      <c r="AZ35" s="165" t="str">
        <f>IFERROR(SMALL($AY$7:AY$178,ROWS($AY$7:AY35)),"")</f>
        <v/>
      </c>
      <c r="BA35" s="165" t="str">
        <f>IFERROR(INDEX(PQS_tbl[C],AZ35),"")</f>
        <v/>
      </c>
      <c r="BB35" s="165" t="str">
        <f>IF(AND(LEFT(PQS_tbl[[#This Row],[D]],3)=$BB$6,PQS_tbl[[#This Row],[K]]&gt;0),$AO35,"")</f>
        <v/>
      </c>
    </row>
    <row r="36" spans="1:54" s="178" customFormat="1" x14ac:dyDescent="0.3">
      <c r="A36" s="179" t="s">
        <v>350</v>
      </c>
      <c r="B36" s="62" t="s">
        <v>39</v>
      </c>
      <c r="C36" s="61" t="s">
        <v>418</v>
      </c>
      <c r="D36" s="61" t="s">
        <v>419</v>
      </c>
      <c r="E36" s="180" t="s">
        <v>356</v>
      </c>
      <c r="F36" s="180" t="s">
        <v>348</v>
      </c>
      <c r="G36" s="180" t="s">
        <v>349</v>
      </c>
      <c r="H36" s="180"/>
      <c r="I36" s="63">
        <v>24</v>
      </c>
      <c r="J36" s="63">
        <v>4.8</v>
      </c>
      <c r="K36" s="63"/>
      <c r="L36" s="63">
        <v>5.76</v>
      </c>
      <c r="M36" s="63"/>
      <c r="N36" s="181">
        <v>9</v>
      </c>
      <c r="O36" s="181"/>
      <c r="P36" s="181"/>
      <c r="Q36" s="63">
        <v>1.39</v>
      </c>
      <c r="R36" s="63"/>
      <c r="S36" s="63"/>
      <c r="T36" s="63">
        <v>1268</v>
      </c>
      <c r="U36" s="182">
        <v>1268</v>
      </c>
      <c r="V36" s="183"/>
      <c r="W36" s="63"/>
      <c r="X36" s="63"/>
      <c r="Y36" s="63"/>
      <c r="Z36" s="63"/>
      <c r="AA36" s="63"/>
      <c r="AB36" s="63"/>
      <c r="AC36" s="63"/>
      <c r="AD36" s="184"/>
      <c r="AE36" s="63"/>
      <c r="AF36" s="185">
        <f t="shared" si="0"/>
        <v>52.833333333333336</v>
      </c>
      <c r="AG36" s="185">
        <f t="shared" si="0"/>
        <v>264.16666666666669</v>
      </c>
      <c r="AH36" s="185">
        <f t="shared" si="1"/>
        <v>220.13888888888889</v>
      </c>
      <c r="AI36" s="186">
        <f t="shared" si="2"/>
        <v>5.7916666666666665E-2</v>
      </c>
      <c r="AJ36" s="186" t="str">
        <f t="shared" si="3"/>
        <v/>
      </c>
      <c r="AK36" s="186">
        <f t="shared" si="4"/>
        <v>0.2895833333333333</v>
      </c>
      <c r="AL36" s="186" t="str">
        <f t="shared" si="5"/>
        <v/>
      </c>
      <c r="AM36" s="186">
        <f t="shared" si="6"/>
        <v>0.24131944444444445</v>
      </c>
      <c r="AN36" s="186" t="str">
        <f t="shared" si="7"/>
        <v/>
      </c>
      <c r="AO36" s="165">
        <f t="shared" si="8"/>
        <v>30</v>
      </c>
      <c r="AP36" s="165" t="str">
        <f>IF(AND(LEFT(PQS_tbl[[#This Row],[D]],3)=$AP$6,PQS_tbl[[#This Row],[I]]&gt;0),$AO36,"")</f>
        <v/>
      </c>
      <c r="AQ36" s="165">
        <f>IFERROR(SMALL($AP$7:AP$182,ROWS($AP$7:AP36)),"")</f>
        <v>84</v>
      </c>
      <c r="AR36" s="165" t="str">
        <f>IFERROR(INDEX(PQS_tbl[C],AQ36),"")</f>
        <v>ZLF 100DC</v>
      </c>
      <c r="AS36" s="165" t="str">
        <f>IF(AND(LEFT(PQS_tbl[[#This Row],[D]],3)=$AS$6,PQS_tbl[[#This Row],[I]]=0,PQS_tbl[[#This Row],[J]]&gt;0),$AO36,"")</f>
        <v/>
      </c>
      <c r="AT36" s="165" t="str">
        <f>IFERROR(SMALL($AS$7:AS$178,ROWS($AS$7:AS36)),"")</f>
        <v/>
      </c>
      <c r="AU36" s="165" t="str">
        <f>IFERROR(INDEX(PQS_tbl[C],AT36),"")</f>
        <v/>
      </c>
      <c r="AV36" s="165" t="str">
        <f>IF(LEFT(PQS_tbl[[#This Row],[E]],1)="S",$AP36,"")</f>
        <v/>
      </c>
      <c r="AW36" s="165">
        <f>IFERROR(SMALL($AV$7:AV$178,ROWS($AV$7:AV36)),"")</f>
        <v>106</v>
      </c>
      <c r="AX36" s="165" t="str">
        <f>IFERROR(INDEX(PQS_tbl[C],AW36),"")</f>
        <v>Dulas VC88 SDD</v>
      </c>
      <c r="AY36" s="165" t="str">
        <f>IF(LEFT(PQS_tbl[[#This Row],[E]],1)="S",$AS36,"")</f>
        <v/>
      </c>
      <c r="AZ36" s="165" t="str">
        <f>IFERROR(SMALL($AY$7:AY$178,ROWS($AY$7:AY36)),"")</f>
        <v/>
      </c>
      <c r="BA36" s="165" t="str">
        <f>IFERROR(INDEX(PQS_tbl[C],AZ36),"")</f>
        <v/>
      </c>
      <c r="BB36" s="165" t="str">
        <f>IF(AND(LEFT(PQS_tbl[[#This Row],[D]],3)=$BB$6,PQS_tbl[[#This Row],[K]]&gt;0),$AO36,"")</f>
        <v/>
      </c>
    </row>
    <row r="37" spans="1:54" s="178" customFormat="1" x14ac:dyDescent="0.3">
      <c r="A37" s="179" t="s">
        <v>350</v>
      </c>
      <c r="B37" s="62" t="s">
        <v>39</v>
      </c>
      <c r="C37" s="61" t="s">
        <v>420</v>
      </c>
      <c r="D37" s="61" t="s">
        <v>421</v>
      </c>
      <c r="E37" s="180" t="s">
        <v>353</v>
      </c>
      <c r="F37" s="180" t="s">
        <v>348</v>
      </c>
      <c r="G37" s="180" t="s">
        <v>349</v>
      </c>
      <c r="H37" s="180"/>
      <c r="I37" s="63">
        <v>24</v>
      </c>
      <c r="J37" s="63">
        <v>8</v>
      </c>
      <c r="K37" s="63"/>
      <c r="L37" s="63">
        <v>3.9724137931034482</v>
      </c>
      <c r="M37" s="63"/>
      <c r="N37" s="181">
        <v>16</v>
      </c>
      <c r="O37" s="181"/>
      <c r="P37" s="181"/>
      <c r="Q37" s="63">
        <v>2.02</v>
      </c>
      <c r="R37" s="63"/>
      <c r="S37" s="63"/>
      <c r="T37" s="63">
        <v>1172</v>
      </c>
      <c r="U37" s="182">
        <v>1172</v>
      </c>
      <c r="V37" s="183"/>
      <c r="W37" s="63"/>
      <c r="X37" s="63"/>
      <c r="Y37" s="63"/>
      <c r="Z37" s="63"/>
      <c r="AA37" s="63"/>
      <c r="AB37" s="63"/>
      <c r="AC37" s="63"/>
      <c r="AD37" s="184"/>
      <c r="AE37" s="63"/>
      <c r="AF37" s="185">
        <f t="shared" si="0"/>
        <v>48.833333333333336</v>
      </c>
      <c r="AG37" s="185">
        <f t="shared" si="0"/>
        <v>146.5</v>
      </c>
      <c r="AH37" s="185">
        <f t="shared" si="1"/>
        <v>295.03472222222223</v>
      </c>
      <c r="AI37" s="186">
        <f t="shared" si="2"/>
        <v>8.4166666666666667E-2</v>
      </c>
      <c r="AJ37" s="186" t="str">
        <f t="shared" si="3"/>
        <v/>
      </c>
      <c r="AK37" s="186">
        <f t="shared" si="4"/>
        <v>0.2525</v>
      </c>
      <c r="AL37" s="186" t="str">
        <f t="shared" si="5"/>
        <v/>
      </c>
      <c r="AM37" s="186">
        <f t="shared" si="6"/>
        <v>0.50850694444444444</v>
      </c>
      <c r="AN37" s="186" t="str">
        <f t="shared" si="7"/>
        <v/>
      </c>
      <c r="AO37" s="165">
        <f t="shared" si="8"/>
        <v>31</v>
      </c>
      <c r="AP37" s="165" t="str">
        <f>IF(AND(LEFT(PQS_tbl[[#This Row],[D]],3)=$AP$6,PQS_tbl[[#This Row],[I]]&gt;0),$AO37,"")</f>
        <v/>
      </c>
      <c r="AQ37" s="165">
        <f>IFERROR(SMALL($AP$7:AP$182,ROWS($AP$7:AP37)),"")</f>
        <v>85</v>
      </c>
      <c r="AR37" s="165" t="str">
        <f>IFERROR(INDEX(PQS_tbl[C],AQ37),"")</f>
        <v>HBC-340</v>
      </c>
      <c r="AS37" s="165" t="str">
        <f>IF(AND(LEFT(PQS_tbl[[#This Row],[D]],3)=$AS$6,PQS_tbl[[#This Row],[I]]=0,PQS_tbl[[#This Row],[J]]&gt;0),$AO37,"")</f>
        <v/>
      </c>
      <c r="AT37" s="165" t="str">
        <f>IFERROR(SMALL($AS$7:AS$178,ROWS($AS$7:AS37)),"")</f>
        <v/>
      </c>
      <c r="AU37" s="165" t="str">
        <f>IFERROR(INDEX(PQS_tbl[C],AT37),"")</f>
        <v/>
      </c>
      <c r="AV37" s="165" t="str">
        <f>IF(LEFT(PQS_tbl[[#This Row],[E]],1)="S",$AP37,"")</f>
        <v/>
      </c>
      <c r="AW37" s="165">
        <f>IFERROR(SMALL($AV$7:AV$178,ROWS($AV$7:AV37)),"")</f>
        <v>114</v>
      </c>
      <c r="AX37" s="165" t="str">
        <f>IFERROR(INDEX(PQS_tbl[C],AW37),"")</f>
        <v>TCW 15R SDD</v>
      </c>
      <c r="AY37" s="165" t="str">
        <f>IF(LEFT(PQS_tbl[[#This Row],[E]],1)="S",$AS37,"")</f>
        <v/>
      </c>
      <c r="AZ37" s="165" t="str">
        <f>IFERROR(SMALL($AY$7:AY$178,ROWS($AY$7:AY37)),"")</f>
        <v/>
      </c>
      <c r="BA37" s="165" t="str">
        <f>IFERROR(INDEX(PQS_tbl[C],AZ37),"")</f>
        <v/>
      </c>
      <c r="BB37" s="165" t="str">
        <f>IF(AND(LEFT(PQS_tbl[[#This Row],[D]],3)=$BB$6,PQS_tbl[[#This Row],[K]]&gt;0),$AO37,"")</f>
        <v/>
      </c>
    </row>
    <row r="38" spans="1:54" s="178" customFormat="1" x14ac:dyDescent="0.3">
      <c r="A38" s="179" t="s">
        <v>375</v>
      </c>
      <c r="B38" s="62" t="s">
        <v>409</v>
      </c>
      <c r="C38" s="61" t="s">
        <v>422</v>
      </c>
      <c r="D38" s="61" t="s">
        <v>423</v>
      </c>
      <c r="E38" s="180" t="s">
        <v>319</v>
      </c>
      <c r="F38" s="180" t="s">
        <v>338</v>
      </c>
      <c r="G38" s="180" t="s">
        <v>349</v>
      </c>
      <c r="H38" s="180"/>
      <c r="I38" s="63"/>
      <c r="J38" s="63">
        <v>144</v>
      </c>
      <c r="K38" s="63"/>
      <c r="L38" s="63">
        <v>5.4</v>
      </c>
      <c r="M38" s="63"/>
      <c r="N38" s="181" t="s">
        <v>340</v>
      </c>
      <c r="O38" s="181"/>
      <c r="P38" s="181"/>
      <c r="Q38" s="63"/>
      <c r="R38" s="63"/>
      <c r="S38" s="63">
        <v>0.93</v>
      </c>
      <c r="T38" s="63">
        <v>906</v>
      </c>
      <c r="U38" s="182">
        <v>906</v>
      </c>
      <c r="V38" s="183"/>
      <c r="W38" s="63"/>
      <c r="X38" s="63"/>
      <c r="Y38" s="63"/>
      <c r="Z38" s="63"/>
      <c r="AA38" s="63"/>
      <c r="AB38" s="63"/>
      <c r="AC38" s="63"/>
      <c r="AD38" s="184"/>
      <c r="AE38" s="63"/>
      <c r="AF38" s="185" t="str">
        <f t="shared" si="0"/>
        <v/>
      </c>
      <c r="AG38" s="185">
        <f t="shared" si="0"/>
        <v>6.291666666666667</v>
      </c>
      <c r="AH38" s="185">
        <f t="shared" si="1"/>
        <v>167.77777777777777</v>
      </c>
      <c r="AI38" s="186" t="str">
        <f t="shared" si="2"/>
        <v/>
      </c>
      <c r="AJ38" s="186" t="str">
        <f t="shared" si="3"/>
        <v/>
      </c>
      <c r="AK38" s="186" t="str">
        <f t="shared" si="4"/>
        <v/>
      </c>
      <c r="AL38" s="186">
        <f t="shared" si="5"/>
        <v>6.4583333333333333E-3</v>
      </c>
      <c r="AM38" s="186" t="str">
        <f t="shared" si="6"/>
        <v/>
      </c>
      <c r="AN38" s="186">
        <f t="shared" si="7"/>
        <v>0.17222222222222222</v>
      </c>
      <c r="AO38" s="165">
        <f t="shared" si="8"/>
        <v>32</v>
      </c>
      <c r="AP38" s="165" t="str">
        <f>IF(AND(LEFT(PQS_tbl[[#This Row],[D]],3)=$AP$6,PQS_tbl[[#This Row],[I]]&gt;0),$AO38,"")</f>
        <v/>
      </c>
      <c r="AQ38" s="165">
        <f>IFERROR(SMALL($AP$7:AP$182,ROWS($AP$7:AP38)),"")</f>
        <v>86</v>
      </c>
      <c r="AR38" s="165" t="str">
        <f>IFERROR(INDEX(PQS_tbl[C],AQ38),"")</f>
        <v>BFRV 15 SDD</v>
      </c>
      <c r="AS38" s="165" t="str">
        <f>IF(AND(LEFT(PQS_tbl[[#This Row],[D]],3)=$AS$6,PQS_tbl[[#This Row],[I]]=0,PQS_tbl[[#This Row],[J]]&gt;0),$AO38,"")</f>
        <v/>
      </c>
      <c r="AT38" s="165" t="str">
        <f>IFERROR(SMALL($AS$7:AS$178,ROWS($AS$7:AS38)),"")</f>
        <v/>
      </c>
      <c r="AU38" s="165" t="str">
        <f>IFERROR(INDEX(PQS_tbl[C],AT38),"")</f>
        <v/>
      </c>
      <c r="AV38" s="165" t="str">
        <f>IF(LEFT(PQS_tbl[[#This Row],[E]],1)="S",$AP38,"")</f>
        <v/>
      </c>
      <c r="AW38" s="165">
        <f>IFERROR(SMALL($AV$7:AV$178,ROWS($AV$7:AV38)),"")</f>
        <v>115</v>
      </c>
      <c r="AX38" s="165" t="str">
        <f>IFERROR(INDEX(PQS_tbl[C],AW38),"")</f>
        <v>TCW 40R SDD</v>
      </c>
      <c r="AY38" s="165" t="str">
        <f>IF(LEFT(PQS_tbl[[#This Row],[E]],1)="S",$AS38,"")</f>
        <v/>
      </c>
      <c r="AZ38" s="165" t="str">
        <f>IFERROR(SMALL($AY$7:AY$178,ROWS($AY$7:AY38)),"")</f>
        <v/>
      </c>
      <c r="BA38" s="165" t="str">
        <f>IFERROR(INDEX(PQS_tbl[C],AZ38),"")</f>
        <v/>
      </c>
      <c r="BB38" s="165" t="str">
        <f>IF(AND(LEFT(PQS_tbl[[#This Row],[D]],3)=$BB$6,PQS_tbl[[#This Row],[K]]&gt;0),$AO38,"")</f>
        <v/>
      </c>
    </row>
    <row r="39" spans="1:54" s="178" customFormat="1" x14ac:dyDescent="0.3">
      <c r="A39" s="179" t="s">
        <v>424</v>
      </c>
      <c r="B39" s="62" t="s">
        <v>360</v>
      </c>
      <c r="C39" s="61" t="s">
        <v>425</v>
      </c>
      <c r="D39" s="61" t="s">
        <v>426</v>
      </c>
      <c r="E39" s="180" t="s">
        <v>390</v>
      </c>
      <c r="F39" s="180" t="s">
        <v>348</v>
      </c>
      <c r="G39" s="180" t="s">
        <v>349</v>
      </c>
      <c r="H39" s="180"/>
      <c r="I39" s="63"/>
      <c r="J39" s="63">
        <v>72</v>
      </c>
      <c r="K39" s="63"/>
      <c r="L39" s="63">
        <v>17.5</v>
      </c>
      <c r="M39" s="63"/>
      <c r="N39" s="181">
        <v>13</v>
      </c>
      <c r="O39" s="181"/>
      <c r="P39" s="181"/>
      <c r="Q39" s="63">
        <v>1.58</v>
      </c>
      <c r="R39" s="63"/>
      <c r="S39" s="63"/>
      <c r="T39" s="63">
        <v>284</v>
      </c>
      <c r="U39" s="182">
        <v>284</v>
      </c>
      <c r="V39" s="183"/>
      <c r="W39" s="63"/>
      <c r="X39" s="63"/>
      <c r="Y39" s="63"/>
      <c r="Z39" s="63"/>
      <c r="AA39" s="63"/>
      <c r="AB39" s="63"/>
      <c r="AC39" s="63"/>
      <c r="AD39" s="184"/>
      <c r="AE39" s="63"/>
      <c r="AF39" s="185" t="str">
        <f t="shared" ref="AF39:AG77" si="9">IF(I39="","",$U39/I39)</f>
        <v/>
      </c>
      <c r="AG39" s="185">
        <f t="shared" si="9"/>
        <v>3.9444444444444446</v>
      </c>
      <c r="AH39" s="185">
        <f t="shared" si="1"/>
        <v>16.228571428571428</v>
      </c>
      <c r="AI39" s="186" t="str">
        <f t="shared" si="2"/>
        <v/>
      </c>
      <c r="AJ39" s="186" t="str">
        <f t="shared" si="3"/>
        <v/>
      </c>
      <c r="AK39" s="186">
        <f t="shared" si="4"/>
        <v>2.1944444444444447E-2</v>
      </c>
      <c r="AL39" s="186" t="str">
        <f t="shared" si="5"/>
        <v/>
      </c>
      <c r="AM39" s="186">
        <f t="shared" si="6"/>
        <v>9.0285714285714289E-2</v>
      </c>
      <c r="AN39" s="186" t="str">
        <f t="shared" si="7"/>
        <v/>
      </c>
      <c r="AO39" s="165">
        <f t="shared" si="8"/>
        <v>33</v>
      </c>
      <c r="AP39" s="165" t="str">
        <f>IF(AND(LEFT(PQS_tbl[[#This Row],[D]],3)=$AP$6,PQS_tbl[[#This Row],[I]]&gt;0),$AO39,"")</f>
        <v/>
      </c>
      <c r="AQ39" s="165">
        <f>IFERROR(SMALL($AP$7:AP$182,ROWS($AP$7:AP39)),"")</f>
        <v>87</v>
      </c>
      <c r="AR39" s="165" t="str">
        <f>IFERROR(INDEX(PQS_tbl[C],AQ39),"")</f>
        <v>VC 200 SDD</v>
      </c>
      <c r="AS39" s="165" t="str">
        <f>IF(AND(LEFT(PQS_tbl[[#This Row],[D]],3)=$AS$6,PQS_tbl[[#This Row],[I]]=0,PQS_tbl[[#This Row],[J]]&gt;0),$AO39,"")</f>
        <v/>
      </c>
      <c r="AT39" s="165" t="str">
        <f>IFERROR(SMALL($AS$7:AS$178,ROWS($AS$7:AS39)),"")</f>
        <v/>
      </c>
      <c r="AU39" s="165" t="str">
        <f>IFERROR(INDEX(PQS_tbl[C],AT39),"")</f>
        <v/>
      </c>
      <c r="AV39" s="165" t="str">
        <f>IF(LEFT(PQS_tbl[[#This Row],[E]],1)="S",$AP39,"")</f>
        <v/>
      </c>
      <c r="AW39" s="165">
        <f>IFERROR(SMALL($AV$7:AV$178,ROWS($AV$7:AV39)),"")</f>
        <v>116</v>
      </c>
      <c r="AX39" s="165" t="str">
        <f>IFERROR(INDEX(PQS_tbl[C],AW39),"")</f>
        <v>VLS 024 SDD Greenline</v>
      </c>
      <c r="AY39" s="165" t="str">
        <f>IF(LEFT(PQS_tbl[[#This Row],[E]],1)="S",$AS39,"")</f>
        <v/>
      </c>
      <c r="AZ39" s="165" t="str">
        <f>IFERROR(SMALL($AY$7:AY$178,ROWS($AY$7:AY39)),"")</f>
        <v/>
      </c>
      <c r="BA39" s="165" t="str">
        <f>IFERROR(INDEX(PQS_tbl[C],AZ39),"")</f>
        <v/>
      </c>
      <c r="BB39" s="165" t="str">
        <f>IF(AND(LEFT(PQS_tbl[[#This Row],[D]],3)=$BB$6,PQS_tbl[[#This Row],[K]]&gt;0),$AO39,"")</f>
        <v/>
      </c>
    </row>
    <row r="40" spans="1:54" s="178" customFormat="1" x14ac:dyDescent="0.3">
      <c r="A40" s="179" t="s">
        <v>424</v>
      </c>
      <c r="B40" s="62" t="s">
        <v>360</v>
      </c>
      <c r="C40" s="61" t="s">
        <v>427</v>
      </c>
      <c r="D40" s="61" t="s">
        <v>428</v>
      </c>
      <c r="E40" s="180" t="s">
        <v>390</v>
      </c>
      <c r="F40" s="180" t="s">
        <v>348</v>
      </c>
      <c r="G40" s="180" t="s">
        <v>349</v>
      </c>
      <c r="H40" s="180"/>
      <c r="I40" s="63"/>
      <c r="J40" s="63">
        <v>192</v>
      </c>
      <c r="K40" s="63"/>
      <c r="L40" s="63">
        <v>22.86</v>
      </c>
      <c r="M40" s="63"/>
      <c r="N40" s="181">
        <v>15.5</v>
      </c>
      <c r="O40" s="181"/>
      <c r="P40" s="181"/>
      <c r="Q40" s="63">
        <v>1.93</v>
      </c>
      <c r="R40" s="63"/>
      <c r="S40" s="63"/>
      <c r="T40" s="63">
        <v>321</v>
      </c>
      <c r="U40" s="182">
        <v>321</v>
      </c>
      <c r="V40" s="183"/>
      <c r="W40" s="63"/>
      <c r="X40" s="63"/>
      <c r="Y40" s="63"/>
      <c r="Z40" s="63"/>
      <c r="AA40" s="63"/>
      <c r="AB40" s="63"/>
      <c r="AC40" s="63"/>
      <c r="AD40" s="184"/>
      <c r="AE40" s="63"/>
      <c r="AF40" s="185" t="str">
        <f t="shared" si="9"/>
        <v/>
      </c>
      <c r="AG40" s="185">
        <f t="shared" si="9"/>
        <v>1.671875</v>
      </c>
      <c r="AH40" s="185">
        <f t="shared" si="1"/>
        <v>14.041994750656169</v>
      </c>
      <c r="AI40" s="186" t="str">
        <f t="shared" si="2"/>
        <v/>
      </c>
      <c r="AJ40" s="186" t="str">
        <f t="shared" si="3"/>
        <v/>
      </c>
      <c r="AK40" s="186">
        <f t="shared" si="4"/>
        <v>1.0052083333333333E-2</v>
      </c>
      <c r="AL40" s="186" t="str">
        <f t="shared" si="5"/>
        <v/>
      </c>
      <c r="AM40" s="186">
        <f t="shared" si="6"/>
        <v>8.4426946631671038E-2</v>
      </c>
      <c r="AN40" s="186" t="str">
        <f t="shared" si="7"/>
        <v/>
      </c>
      <c r="AO40" s="165">
        <f t="shared" si="8"/>
        <v>34</v>
      </c>
      <c r="AP40" s="165" t="str">
        <f>IF(AND(LEFT(PQS_tbl[[#This Row],[D]],3)=$AP$6,PQS_tbl[[#This Row],[I]]&gt;0),$AO40,"")</f>
        <v/>
      </c>
      <c r="AQ40" s="165">
        <f>IFERROR(SMALL($AP$7:AP$182,ROWS($AP$7:AP40)),"")</f>
        <v>88</v>
      </c>
      <c r="AR40" s="165" t="str">
        <f>IFERROR(INDEX(PQS_tbl[C],AQ40),"")</f>
        <v>VLS 054 SDD Greenline</v>
      </c>
      <c r="AS40" s="165" t="str">
        <f>IF(AND(LEFT(PQS_tbl[[#This Row],[D]],3)=$AS$6,PQS_tbl[[#This Row],[I]]=0,PQS_tbl[[#This Row],[J]]&gt;0),$AO40,"")</f>
        <v/>
      </c>
      <c r="AT40" s="165" t="str">
        <f>IFERROR(SMALL($AS$7:AS$178,ROWS($AS$7:AS40)),"")</f>
        <v/>
      </c>
      <c r="AU40" s="165" t="str">
        <f>IFERROR(INDEX(PQS_tbl[C],AT40),"")</f>
        <v/>
      </c>
      <c r="AV40" s="165" t="str">
        <f>IF(LEFT(PQS_tbl[[#This Row],[E]],1)="S",$AP40,"")</f>
        <v/>
      </c>
      <c r="AW40" s="165">
        <f>IFERROR(SMALL($AV$7:AV$178,ROWS($AV$7:AV40)),"")</f>
        <v>121</v>
      </c>
      <c r="AX40" s="165" t="str">
        <f>IFERROR(INDEX(PQS_tbl[C],AW40),"")</f>
        <v>HTCD 90 SDD</v>
      </c>
      <c r="AY40" s="165" t="str">
        <f>IF(LEFT(PQS_tbl[[#This Row],[E]],1)="S",$AS40,"")</f>
        <v/>
      </c>
      <c r="AZ40" s="165" t="str">
        <f>IFERROR(SMALL($AY$7:AY$178,ROWS($AY$7:AY40)),"")</f>
        <v/>
      </c>
      <c r="BA40" s="165" t="str">
        <f>IFERROR(INDEX(PQS_tbl[C],AZ40),"")</f>
        <v/>
      </c>
      <c r="BB40" s="165" t="str">
        <f>IF(AND(LEFT(PQS_tbl[[#This Row],[D]],3)=$BB$6,PQS_tbl[[#This Row],[K]]&gt;0),$AO40,"")</f>
        <v/>
      </c>
    </row>
    <row r="41" spans="1:54" s="178" customFormat="1" x14ac:dyDescent="0.3">
      <c r="A41" s="179" t="s">
        <v>424</v>
      </c>
      <c r="B41" s="62" t="s">
        <v>360</v>
      </c>
      <c r="C41" s="61" t="s">
        <v>429</v>
      </c>
      <c r="D41" s="61" t="s">
        <v>430</v>
      </c>
      <c r="E41" s="180" t="s">
        <v>390</v>
      </c>
      <c r="F41" s="180" t="s">
        <v>348</v>
      </c>
      <c r="G41" s="180" t="s">
        <v>349</v>
      </c>
      <c r="H41" s="180"/>
      <c r="I41" s="63"/>
      <c r="J41" s="63">
        <v>264</v>
      </c>
      <c r="K41" s="63"/>
      <c r="L41" s="63">
        <v>32.4</v>
      </c>
      <c r="M41" s="63"/>
      <c r="N41" s="181">
        <v>17.5</v>
      </c>
      <c r="O41" s="181"/>
      <c r="P41" s="181"/>
      <c r="Q41" s="63">
        <v>2.71</v>
      </c>
      <c r="R41" s="63"/>
      <c r="S41" s="63"/>
      <c r="T41" s="63">
        <v>367</v>
      </c>
      <c r="U41" s="182">
        <v>367</v>
      </c>
      <c r="V41" s="183"/>
      <c r="W41" s="63"/>
      <c r="X41" s="63"/>
      <c r="Y41" s="63"/>
      <c r="Z41" s="63"/>
      <c r="AA41" s="63"/>
      <c r="AB41" s="63"/>
      <c r="AC41" s="63"/>
      <c r="AD41" s="184"/>
      <c r="AE41" s="63"/>
      <c r="AF41" s="185" t="str">
        <f t="shared" si="9"/>
        <v/>
      </c>
      <c r="AG41" s="185">
        <f t="shared" si="9"/>
        <v>1.3901515151515151</v>
      </c>
      <c r="AH41" s="185">
        <f t="shared" si="1"/>
        <v>11.327160493827162</v>
      </c>
      <c r="AI41" s="186" t="str">
        <f t="shared" si="2"/>
        <v/>
      </c>
      <c r="AJ41" s="186" t="str">
        <f t="shared" si="3"/>
        <v/>
      </c>
      <c r="AK41" s="186">
        <f t="shared" si="4"/>
        <v>1.0265151515151515E-2</v>
      </c>
      <c r="AL41" s="186" t="str">
        <f t="shared" si="5"/>
        <v/>
      </c>
      <c r="AM41" s="186">
        <f t="shared" si="6"/>
        <v>8.364197530864198E-2</v>
      </c>
      <c r="AN41" s="186" t="str">
        <f t="shared" si="7"/>
        <v/>
      </c>
      <c r="AO41" s="165">
        <f t="shared" si="8"/>
        <v>35</v>
      </c>
      <c r="AP41" s="165" t="str">
        <f>IF(AND(LEFT(PQS_tbl[[#This Row],[D]],3)=$AP$6,PQS_tbl[[#This Row],[I]]&gt;0),$AO41,"")</f>
        <v/>
      </c>
      <c r="AQ41" s="165">
        <f>IFERROR(SMALL($AP$7:AP$182,ROWS($AP$7:AP41)),"")</f>
        <v>89</v>
      </c>
      <c r="AR41" s="165" t="str">
        <f>IFERROR(INDEX(PQS_tbl[C],AQ41),"")</f>
        <v>TCW 40 SDD</v>
      </c>
      <c r="AS41" s="165" t="str">
        <f>IF(AND(LEFT(PQS_tbl[[#This Row],[D]],3)=$AS$6,PQS_tbl[[#This Row],[I]]=0,PQS_tbl[[#This Row],[J]]&gt;0),$AO41,"")</f>
        <v/>
      </c>
      <c r="AT41" s="165" t="str">
        <f>IFERROR(SMALL($AS$7:AS$178,ROWS($AS$7:AS41)),"")</f>
        <v/>
      </c>
      <c r="AU41" s="165" t="str">
        <f>IFERROR(INDEX(PQS_tbl[C],AT41),"")</f>
        <v/>
      </c>
      <c r="AV41" s="165" t="str">
        <f>IF(LEFT(PQS_tbl[[#This Row],[E]],1)="S",$AP41,"")</f>
        <v/>
      </c>
      <c r="AW41" s="165">
        <f>IFERROR(SMALL($AV$7:AV$178,ROWS($AV$7:AV41)),"")</f>
        <v>122</v>
      </c>
      <c r="AX41" s="165" t="str">
        <f>IFERROR(INDEX(PQS_tbl[C],AW41),"")</f>
        <v>HTC 40 SDD</v>
      </c>
      <c r="AY41" s="165" t="str">
        <f>IF(LEFT(PQS_tbl[[#This Row],[E]],1)="S",$AS41,"")</f>
        <v/>
      </c>
      <c r="AZ41" s="165" t="str">
        <f>IFERROR(SMALL($AY$7:AY$178,ROWS($AY$7:AY41)),"")</f>
        <v/>
      </c>
      <c r="BA41" s="165" t="str">
        <f>IFERROR(INDEX(PQS_tbl[C],AZ41),"")</f>
        <v/>
      </c>
      <c r="BB41" s="165" t="str">
        <f>IF(AND(LEFT(PQS_tbl[[#This Row],[D]],3)=$BB$6,PQS_tbl[[#This Row],[K]]&gt;0),$AO41,"")</f>
        <v/>
      </c>
    </row>
    <row r="42" spans="1:54" s="178" customFormat="1" x14ac:dyDescent="0.3">
      <c r="A42" s="179" t="s">
        <v>424</v>
      </c>
      <c r="B42" s="62" t="s">
        <v>39</v>
      </c>
      <c r="C42" s="61" t="s">
        <v>431</v>
      </c>
      <c r="D42" s="61" t="s">
        <v>432</v>
      </c>
      <c r="E42" s="180" t="s">
        <v>390</v>
      </c>
      <c r="F42" s="180" t="s">
        <v>348</v>
      </c>
      <c r="G42" s="180" t="s">
        <v>349</v>
      </c>
      <c r="H42" s="180"/>
      <c r="I42" s="63"/>
      <c r="J42" s="63">
        <v>264</v>
      </c>
      <c r="K42" s="63"/>
      <c r="L42" s="63">
        <v>7.2</v>
      </c>
      <c r="M42" s="63"/>
      <c r="N42" s="181">
        <v>15</v>
      </c>
      <c r="O42" s="181"/>
      <c r="P42" s="181"/>
      <c r="Q42" s="63">
        <v>2.98</v>
      </c>
      <c r="R42" s="63"/>
      <c r="S42" s="63"/>
      <c r="T42" s="63">
        <v>1172</v>
      </c>
      <c r="U42" s="182">
        <v>1172</v>
      </c>
      <c r="V42" s="183"/>
      <c r="W42" s="63"/>
      <c r="X42" s="63"/>
      <c r="Y42" s="63"/>
      <c r="Z42" s="63"/>
      <c r="AA42" s="63"/>
      <c r="AB42" s="63"/>
      <c r="AC42" s="63"/>
      <c r="AD42" s="184"/>
      <c r="AE42" s="63"/>
      <c r="AF42" s="185" t="str">
        <f t="shared" si="9"/>
        <v/>
      </c>
      <c r="AG42" s="185">
        <f t="shared" si="9"/>
        <v>4.4393939393939394</v>
      </c>
      <c r="AH42" s="185">
        <f t="shared" si="1"/>
        <v>162.77777777777777</v>
      </c>
      <c r="AI42" s="186" t="str">
        <f t="shared" si="2"/>
        <v/>
      </c>
      <c r="AJ42" s="186" t="str">
        <f t="shared" si="3"/>
        <v/>
      </c>
      <c r="AK42" s="186">
        <f t="shared" si="4"/>
        <v>1.1287878787878788E-2</v>
      </c>
      <c r="AL42" s="186" t="str">
        <f t="shared" si="5"/>
        <v/>
      </c>
      <c r="AM42" s="186">
        <f t="shared" si="6"/>
        <v>0.41388888888888886</v>
      </c>
      <c r="AN42" s="186" t="str">
        <f t="shared" si="7"/>
        <v/>
      </c>
      <c r="AO42" s="165">
        <f t="shared" si="8"/>
        <v>36</v>
      </c>
      <c r="AP42" s="165" t="str">
        <f>IF(AND(LEFT(PQS_tbl[[#This Row],[D]],3)=$AP$6,PQS_tbl[[#This Row],[I]]&gt;0),$AO42,"")</f>
        <v/>
      </c>
      <c r="AQ42" s="165">
        <f>IFERROR(SMALL($AP$7:AP$182,ROWS($AP$7:AP42)),"")</f>
        <v>90</v>
      </c>
      <c r="AR42" s="165" t="str">
        <f>IFERROR(INDEX(PQS_tbl[C],AQ42),"")</f>
        <v>TCW 2043 SDD</v>
      </c>
      <c r="AS42" s="165" t="str">
        <f>IF(AND(LEFT(PQS_tbl[[#This Row],[D]],3)=$AS$6,PQS_tbl[[#This Row],[I]]=0,PQS_tbl[[#This Row],[J]]&gt;0),$AO42,"")</f>
        <v/>
      </c>
      <c r="AT42" s="165" t="str">
        <f>IFERROR(SMALL($AS$7:AS$178,ROWS($AS$7:AS42)),"")</f>
        <v/>
      </c>
      <c r="AU42" s="165" t="str">
        <f>IFERROR(INDEX(PQS_tbl[C],AT42),"")</f>
        <v/>
      </c>
      <c r="AV42" s="165" t="str">
        <f>IF(LEFT(PQS_tbl[[#This Row],[E]],1)="S",$AP42,"")</f>
        <v/>
      </c>
      <c r="AW42" s="165">
        <f>IFERROR(SMALL($AV$7:AV$178,ROWS($AV$7:AV42)),"")</f>
        <v>123</v>
      </c>
      <c r="AX42" s="165" t="str">
        <f>IFERROR(INDEX(PQS_tbl[C],AW42),"")</f>
        <v>HTC 110 SDD</v>
      </c>
      <c r="AY42" s="165" t="str">
        <f>IF(LEFT(PQS_tbl[[#This Row],[E]],1)="S",$AS42,"")</f>
        <v/>
      </c>
      <c r="AZ42" s="165" t="str">
        <f>IFERROR(SMALL($AY$7:AY$178,ROWS($AY$7:AY42)),"")</f>
        <v/>
      </c>
      <c r="BA42" s="165" t="str">
        <f>IFERROR(INDEX(PQS_tbl[C],AZ42),"")</f>
        <v/>
      </c>
      <c r="BB42" s="165" t="str">
        <f>IF(AND(LEFT(PQS_tbl[[#This Row],[D]],3)=$BB$6,PQS_tbl[[#This Row],[K]]&gt;0),$AO42,"")</f>
        <v/>
      </c>
    </row>
    <row r="43" spans="1:54" s="178" customFormat="1" x14ac:dyDescent="0.3">
      <c r="A43" s="179" t="s">
        <v>424</v>
      </c>
      <c r="B43" s="62" t="s">
        <v>39</v>
      </c>
      <c r="C43" s="61" t="s">
        <v>433</v>
      </c>
      <c r="D43" s="61" t="s">
        <v>434</v>
      </c>
      <c r="E43" s="180" t="s">
        <v>390</v>
      </c>
      <c r="F43" s="180" t="s">
        <v>348</v>
      </c>
      <c r="G43" s="180" t="s">
        <v>349</v>
      </c>
      <c r="H43" s="180"/>
      <c r="I43" s="63"/>
      <c r="J43" s="63">
        <v>144</v>
      </c>
      <c r="K43" s="63"/>
      <c r="L43" s="63">
        <v>7.2</v>
      </c>
      <c r="M43" s="63"/>
      <c r="N43" s="181">
        <v>14</v>
      </c>
      <c r="O43" s="181"/>
      <c r="P43" s="181"/>
      <c r="Q43" s="63">
        <v>1.44</v>
      </c>
      <c r="R43" s="63"/>
      <c r="S43" s="63"/>
      <c r="T43" s="63">
        <v>1172</v>
      </c>
      <c r="U43" s="182">
        <v>1172</v>
      </c>
      <c r="V43" s="183"/>
      <c r="W43" s="63"/>
      <c r="X43" s="63"/>
      <c r="Y43" s="63"/>
      <c r="Z43" s="63"/>
      <c r="AA43" s="63"/>
      <c r="AB43" s="63"/>
      <c r="AC43" s="63"/>
      <c r="AD43" s="184"/>
      <c r="AE43" s="63"/>
      <c r="AF43" s="185" t="str">
        <f t="shared" si="9"/>
        <v/>
      </c>
      <c r="AG43" s="185">
        <f t="shared" si="9"/>
        <v>8.1388888888888893</v>
      </c>
      <c r="AH43" s="185">
        <f t="shared" si="1"/>
        <v>162.77777777777777</v>
      </c>
      <c r="AI43" s="186" t="str">
        <f t="shared" si="2"/>
        <v/>
      </c>
      <c r="AJ43" s="186" t="str">
        <f t="shared" si="3"/>
        <v/>
      </c>
      <c r="AK43" s="186">
        <f t="shared" si="4"/>
        <v>0.01</v>
      </c>
      <c r="AL43" s="186" t="str">
        <f t="shared" si="5"/>
        <v/>
      </c>
      <c r="AM43" s="186">
        <f t="shared" si="6"/>
        <v>0.19999999999999998</v>
      </c>
      <c r="AN43" s="186" t="str">
        <f t="shared" si="7"/>
        <v/>
      </c>
      <c r="AO43" s="165">
        <f t="shared" si="8"/>
        <v>37</v>
      </c>
      <c r="AP43" s="165" t="str">
        <f>IF(AND(LEFT(PQS_tbl[[#This Row],[D]],3)=$AP$6,PQS_tbl[[#This Row],[I]]&gt;0),$AO43,"")</f>
        <v/>
      </c>
      <c r="AQ43" s="165">
        <f>IFERROR(SMALL($AP$7:AP$182,ROWS($AP$7:AP43)),"")</f>
        <v>91</v>
      </c>
      <c r="AR43" s="165" t="str">
        <f>IFERROR(INDEX(PQS_tbl[C],AQ43),"")</f>
        <v>ZLF 150AC</v>
      </c>
      <c r="AS43" s="165" t="str">
        <f>IF(AND(LEFT(PQS_tbl[[#This Row],[D]],3)=$AS$6,PQS_tbl[[#This Row],[I]]=0,PQS_tbl[[#This Row],[J]]&gt;0),$AO43,"")</f>
        <v/>
      </c>
      <c r="AT43" s="165" t="str">
        <f>IFERROR(SMALL($AS$7:AS$178,ROWS($AS$7:AS43)),"")</f>
        <v/>
      </c>
      <c r="AU43" s="165" t="str">
        <f>IFERROR(INDEX(PQS_tbl[C],AT43),"")</f>
        <v/>
      </c>
      <c r="AV43" s="165" t="str">
        <f>IF(LEFT(PQS_tbl[[#This Row],[E]],1)="S",$AP43,"")</f>
        <v/>
      </c>
      <c r="AW43" s="165">
        <f>IFERROR(SMALL($AV$7:AV$178,ROWS($AV$7:AV43)),"")</f>
        <v>124</v>
      </c>
      <c r="AX43" s="165" t="str">
        <f>IFERROR(INDEX(PQS_tbl[C],AW43),"")</f>
        <v>TCW 15 SDD</v>
      </c>
      <c r="AY43" s="165" t="str">
        <f>IF(LEFT(PQS_tbl[[#This Row],[E]],1)="S",$AS43,"")</f>
        <v/>
      </c>
      <c r="AZ43" s="165" t="str">
        <f>IFERROR(SMALL($AY$7:AY$178,ROWS($AY$7:AY43)),"")</f>
        <v/>
      </c>
      <c r="BA43" s="165" t="str">
        <f>IFERROR(INDEX(PQS_tbl[C],AZ43),"")</f>
        <v/>
      </c>
      <c r="BB43" s="165" t="str">
        <f>IF(AND(LEFT(PQS_tbl[[#This Row],[D]],3)=$BB$6,PQS_tbl[[#This Row],[K]]&gt;0),$AO43,"")</f>
        <v/>
      </c>
    </row>
    <row r="44" spans="1:54" s="178" customFormat="1" x14ac:dyDescent="0.3">
      <c r="A44" s="179" t="s">
        <v>350</v>
      </c>
      <c r="B44" s="62" t="s">
        <v>435</v>
      </c>
      <c r="C44" s="61" t="s">
        <v>436</v>
      </c>
      <c r="D44" s="61" t="s">
        <v>437</v>
      </c>
      <c r="E44" s="180" t="s">
        <v>356</v>
      </c>
      <c r="F44" s="180" t="s">
        <v>348</v>
      </c>
      <c r="G44" s="180" t="s">
        <v>349</v>
      </c>
      <c r="H44" s="180"/>
      <c r="I44" s="63">
        <v>30</v>
      </c>
      <c r="J44" s="63">
        <v>7.2</v>
      </c>
      <c r="K44" s="63"/>
      <c r="L44" s="63">
        <v>3.6</v>
      </c>
      <c r="M44" s="63"/>
      <c r="N44" s="181">
        <v>5.5</v>
      </c>
      <c r="O44" s="181"/>
      <c r="P44" s="181"/>
      <c r="Q44" s="63">
        <v>0.98</v>
      </c>
      <c r="R44" s="63"/>
      <c r="S44" s="63"/>
      <c r="T44" s="63">
        <v>2000</v>
      </c>
      <c r="U44" s="182">
        <v>2000</v>
      </c>
      <c r="V44" s="183"/>
      <c r="W44" s="63"/>
      <c r="X44" s="63"/>
      <c r="Y44" s="63"/>
      <c r="Z44" s="63"/>
      <c r="AA44" s="63"/>
      <c r="AB44" s="63"/>
      <c r="AC44" s="63"/>
      <c r="AD44" s="184"/>
      <c r="AE44" s="63"/>
      <c r="AF44" s="185">
        <f t="shared" si="9"/>
        <v>66.666666666666671</v>
      </c>
      <c r="AG44" s="185">
        <f t="shared" si="9"/>
        <v>277.77777777777777</v>
      </c>
      <c r="AH44" s="185">
        <f t="shared" si="1"/>
        <v>555.55555555555554</v>
      </c>
      <c r="AI44" s="186">
        <f t="shared" si="2"/>
        <v>3.2666666666666663E-2</v>
      </c>
      <c r="AJ44" s="186" t="str">
        <f t="shared" si="3"/>
        <v/>
      </c>
      <c r="AK44" s="186">
        <f t="shared" si="4"/>
        <v>0.1361111111111111</v>
      </c>
      <c r="AL44" s="186" t="str">
        <f t="shared" si="5"/>
        <v/>
      </c>
      <c r="AM44" s="186">
        <f t="shared" si="6"/>
        <v>0.2722222222222222</v>
      </c>
      <c r="AN44" s="186" t="str">
        <f t="shared" si="7"/>
        <v/>
      </c>
      <c r="AO44" s="165">
        <f t="shared" si="8"/>
        <v>38</v>
      </c>
      <c r="AP44" s="165" t="str">
        <f>IF(AND(LEFT(PQS_tbl[[#This Row],[D]],3)=$AP$6,PQS_tbl[[#This Row],[I]]&gt;0),$AO44,"")</f>
        <v/>
      </c>
      <c r="AQ44" s="165">
        <f>IFERROR(SMALL($AP$7:AP$182,ROWS($AP$7:AP44)),"")</f>
        <v>92</v>
      </c>
      <c r="AR44" s="165" t="str">
        <f>IFERROR(INDEX(PQS_tbl[C],AQ44),"")</f>
        <v>TCW 3043 SDD</v>
      </c>
      <c r="AS44" s="165" t="str">
        <f>IF(AND(LEFT(PQS_tbl[[#This Row],[D]],3)=$AS$6,PQS_tbl[[#This Row],[I]]=0,PQS_tbl[[#This Row],[J]]&gt;0),$AO44,"")</f>
        <v/>
      </c>
      <c r="AT44" s="165" t="str">
        <f>IFERROR(SMALL($AS$7:AS$178,ROWS($AS$7:AS44)),"")</f>
        <v/>
      </c>
      <c r="AU44" s="165" t="str">
        <f>IFERROR(INDEX(PQS_tbl[C],AT44),"")</f>
        <v/>
      </c>
      <c r="AV44" s="165" t="str">
        <f>IF(LEFT(PQS_tbl[[#This Row],[E]],1)="S",$AP44,"")</f>
        <v/>
      </c>
      <c r="AW44" s="165">
        <f>IFERROR(SMALL($AV$7:AV$178,ROWS($AV$7:AV44)),"")</f>
        <v>125</v>
      </c>
      <c r="AX44" s="165" t="str">
        <f>IFERROR(INDEX(PQS_tbl[C],AW44),"")</f>
        <v>VC50 SDD</v>
      </c>
      <c r="AY44" s="165" t="str">
        <f>IF(LEFT(PQS_tbl[[#This Row],[E]],1)="S",$AS44,"")</f>
        <v/>
      </c>
      <c r="AZ44" s="165" t="str">
        <f>IFERROR(SMALL($AY$7:AY$178,ROWS($AY$7:AY44)),"")</f>
        <v/>
      </c>
      <c r="BA44" s="165" t="str">
        <f>IFERROR(INDEX(PQS_tbl[C],AZ44),"")</f>
        <v/>
      </c>
      <c r="BB44" s="165" t="str">
        <f>IF(AND(LEFT(PQS_tbl[[#This Row],[D]],3)=$BB$6,PQS_tbl[[#This Row],[K]]&gt;0),$AO44,"")</f>
        <v/>
      </c>
    </row>
    <row r="45" spans="1:54" s="178" customFormat="1" x14ac:dyDescent="0.3">
      <c r="A45" s="179" t="s">
        <v>350</v>
      </c>
      <c r="B45" s="62" t="s">
        <v>409</v>
      </c>
      <c r="C45" s="61" t="s">
        <v>438</v>
      </c>
      <c r="D45" s="61" t="s">
        <v>439</v>
      </c>
      <c r="E45" s="180" t="s">
        <v>343</v>
      </c>
      <c r="F45" s="180" t="s">
        <v>338</v>
      </c>
      <c r="G45" s="180" t="s">
        <v>349</v>
      </c>
      <c r="H45" s="180"/>
      <c r="I45" s="63">
        <v>16</v>
      </c>
      <c r="J45" s="63"/>
      <c r="K45" s="63"/>
      <c r="L45" s="63">
        <v>1.8</v>
      </c>
      <c r="M45" s="63"/>
      <c r="N45" s="181">
        <v>3.5</v>
      </c>
      <c r="O45" s="181"/>
      <c r="P45" s="181"/>
      <c r="Q45" s="63">
        <v>8</v>
      </c>
      <c r="R45" s="63">
        <v>0.9</v>
      </c>
      <c r="S45" s="63"/>
      <c r="T45" s="63">
        <v>846</v>
      </c>
      <c r="U45" s="182">
        <v>846</v>
      </c>
      <c r="V45" s="183"/>
      <c r="W45" s="63"/>
      <c r="X45" s="63"/>
      <c r="Y45" s="63"/>
      <c r="Z45" s="63"/>
      <c r="AA45" s="63"/>
      <c r="AB45" s="63"/>
      <c r="AC45" s="63"/>
      <c r="AD45" s="184"/>
      <c r="AE45" s="63"/>
      <c r="AF45" s="185">
        <f t="shared" si="9"/>
        <v>52.875</v>
      </c>
      <c r="AG45" s="185" t="str">
        <f t="shared" si="9"/>
        <v/>
      </c>
      <c r="AH45" s="185">
        <f t="shared" si="1"/>
        <v>470</v>
      </c>
      <c r="AI45" s="186">
        <f t="shared" si="2"/>
        <v>0.5</v>
      </c>
      <c r="AJ45" s="186" t="str">
        <f t="shared" si="3"/>
        <v/>
      </c>
      <c r="AK45" s="186" t="str">
        <f t="shared" si="4"/>
        <v/>
      </c>
      <c r="AL45" s="186" t="str">
        <f t="shared" si="5"/>
        <v/>
      </c>
      <c r="AM45" s="186">
        <f t="shared" si="6"/>
        <v>4.4444444444444446</v>
      </c>
      <c r="AN45" s="186" t="str">
        <f t="shared" si="7"/>
        <v/>
      </c>
      <c r="AO45" s="165">
        <f t="shared" si="8"/>
        <v>39</v>
      </c>
      <c r="AP45" s="165" t="str">
        <f>IF(AND(LEFT(PQS_tbl[[#This Row],[D]],3)=$AP$6,PQS_tbl[[#This Row],[I]]&gt;0),$AO45,"")</f>
        <v/>
      </c>
      <c r="AQ45" s="165">
        <f>IFERROR(SMALL($AP$7:AP$182,ROWS($AP$7:AP45)),"")</f>
        <v>93</v>
      </c>
      <c r="AR45" s="165" t="str">
        <f>IFERROR(INDEX(PQS_tbl[C],AQ45),"")</f>
        <v>GVR 50 AC</v>
      </c>
      <c r="AS45" s="165" t="str">
        <f>IF(AND(LEFT(PQS_tbl[[#This Row],[D]],3)=$AS$6,PQS_tbl[[#This Row],[I]]=0,PQS_tbl[[#This Row],[J]]&gt;0),$AO45,"")</f>
        <v/>
      </c>
      <c r="AT45" s="165" t="str">
        <f>IFERROR(SMALL($AS$7:AS$178,ROWS($AS$7:AS45)),"")</f>
        <v/>
      </c>
      <c r="AU45" s="165" t="str">
        <f>IFERROR(INDEX(PQS_tbl[C],AT45),"")</f>
        <v/>
      </c>
      <c r="AV45" s="165" t="str">
        <f>IF(LEFT(PQS_tbl[[#This Row],[E]],1)="S",$AP45,"")</f>
        <v/>
      </c>
      <c r="AW45" s="165">
        <f>IFERROR(SMALL($AV$7:AV$178,ROWS($AV$7:AV45)),"")</f>
        <v>131</v>
      </c>
      <c r="AX45" s="165" t="str">
        <f>IFERROR(INDEX(PQS_tbl[C],AW45),"")</f>
        <v>VC 60 SDD-1</v>
      </c>
      <c r="AY45" s="165" t="str">
        <f>IF(LEFT(PQS_tbl[[#This Row],[E]],1)="S",$AS45,"")</f>
        <v/>
      </c>
      <c r="AZ45" s="165" t="str">
        <f>IFERROR(SMALL($AY$7:AY$178,ROWS($AY$7:AY45)),"")</f>
        <v/>
      </c>
      <c r="BA45" s="165" t="str">
        <f>IFERROR(INDEX(PQS_tbl[C],AZ45),"")</f>
        <v/>
      </c>
      <c r="BB45" s="165" t="str">
        <f>IF(AND(LEFT(PQS_tbl[[#This Row],[D]],3)=$BB$6,PQS_tbl[[#This Row],[K]]&gt;0),$AO45,"")</f>
        <v/>
      </c>
    </row>
    <row r="46" spans="1:54" s="178" customFormat="1" x14ac:dyDescent="0.3">
      <c r="A46" s="179" t="s">
        <v>350</v>
      </c>
      <c r="B46" s="62" t="s">
        <v>385</v>
      </c>
      <c r="C46" s="61" t="s">
        <v>440</v>
      </c>
      <c r="D46" s="61" t="s">
        <v>441</v>
      </c>
      <c r="E46" s="180" t="s">
        <v>356</v>
      </c>
      <c r="F46" s="180" t="s">
        <v>348</v>
      </c>
      <c r="G46" s="180" t="s">
        <v>349</v>
      </c>
      <c r="H46" s="180"/>
      <c r="I46" s="63">
        <v>37.5</v>
      </c>
      <c r="J46" s="63">
        <v>9.6</v>
      </c>
      <c r="K46" s="63"/>
      <c r="L46" s="63">
        <v>3.0476190476190474</v>
      </c>
      <c r="M46" s="63"/>
      <c r="N46" s="181">
        <v>5.8</v>
      </c>
      <c r="O46" s="181"/>
      <c r="P46" s="181"/>
      <c r="Q46" s="63">
        <v>0.67</v>
      </c>
      <c r="R46" s="63"/>
      <c r="S46" s="63"/>
      <c r="T46" s="63">
        <v>3499</v>
      </c>
      <c r="U46" s="182">
        <v>3499</v>
      </c>
      <c r="V46" s="183"/>
      <c r="W46" s="63"/>
      <c r="X46" s="63"/>
      <c r="Y46" s="63"/>
      <c r="Z46" s="63"/>
      <c r="AA46" s="63"/>
      <c r="AB46" s="63"/>
      <c r="AC46" s="63"/>
      <c r="AD46" s="184"/>
      <c r="AE46" s="63"/>
      <c r="AF46" s="185">
        <f t="shared" si="9"/>
        <v>93.306666666666672</v>
      </c>
      <c r="AG46" s="185">
        <f t="shared" si="9"/>
        <v>364.47916666666669</v>
      </c>
      <c r="AH46" s="185">
        <f t="shared" si="1"/>
        <v>1148.109375</v>
      </c>
      <c r="AI46" s="186">
        <f t="shared" si="2"/>
        <v>1.7866666666666666E-2</v>
      </c>
      <c r="AJ46" s="186" t="str">
        <f t="shared" si="3"/>
        <v/>
      </c>
      <c r="AK46" s="186">
        <f t="shared" si="4"/>
        <v>6.9791666666666669E-2</v>
      </c>
      <c r="AL46" s="186" t="str">
        <f t="shared" si="5"/>
        <v/>
      </c>
      <c r="AM46" s="186">
        <f t="shared" si="6"/>
        <v>0.21984375000000003</v>
      </c>
      <c r="AN46" s="186" t="str">
        <f t="shared" si="7"/>
        <v/>
      </c>
      <c r="AO46" s="165">
        <f t="shared" si="8"/>
        <v>40</v>
      </c>
      <c r="AP46" s="165" t="str">
        <f>IF(AND(LEFT(PQS_tbl[[#This Row],[D]],3)=$AP$6,PQS_tbl[[#This Row],[I]]&gt;0),$AO46,"")</f>
        <v/>
      </c>
      <c r="AQ46" s="165">
        <f>IFERROR(SMALL($AP$7:AP$182,ROWS($AP$7:AP46)),"")</f>
        <v>94</v>
      </c>
      <c r="AR46" s="165" t="str">
        <f>IFERROR(INDEX(PQS_tbl[C],AQ46),"")</f>
        <v>GVR 100 AC</v>
      </c>
      <c r="AS46" s="165" t="str">
        <f>IF(AND(LEFT(PQS_tbl[[#This Row],[D]],3)=$AS$6,PQS_tbl[[#This Row],[I]]=0,PQS_tbl[[#This Row],[J]]&gt;0),$AO46,"")</f>
        <v/>
      </c>
      <c r="AT46" s="165" t="str">
        <f>IFERROR(SMALL($AS$7:AS$178,ROWS($AS$7:AS46)),"")</f>
        <v/>
      </c>
      <c r="AU46" s="165" t="str">
        <f>IFERROR(INDEX(PQS_tbl[C],AT46),"")</f>
        <v/>
      </c>
      <c r="AV46" s="165" t="str">
        <f>IF(LEFT(PQS_tbl[[#This Row],[E]],1)="S",$AP46,"")</f>
        <v/>
      </c>
      <c r="AW46" s="165">
        <f>IFERROR(SMALL($AV$7:AV$178,ROWS($AV$7:AV46)),"")</f>
        <v>132</v>
      </c>
      <c r="AX46" s="165" t="str">
        <f>IFERROR(INDEX(PQS_tbl[C],AW46),"")</f>
        <v>VC 30 SDD</v>
      </c>
      <c r="AY46" s="165" t="str">
        <f>IF(LEFT(PQS_tbl[[#This Row],[E]],1)="S",$AS46,"")</f>
        <v/>
      </c>
      <c r="AZ46" s="165" t="str">
        <f>IFERROR(SMALL($AY$7:AY$178,ROWS($AY$7:AY46)),"")</f>
        <v/>
      </c>
      <c r="BA46" s="165" t="str">
        <f>IFERROR(INDEX(PQS_tbl[C],AZ46),"")</f>
        <v/>
      </c>
      <c r="BB46" s="165" t="str">
        <f>IF(AND(LEFT(PQS_tbl[[#This Row],[D]],3)=$BB$6,PQS_tbl[[#This Row],[K]]&gt;0),$AO46,"")</f>
        <v/>
      </c>
    </row>
    <row r="47" spans="1:54" s="178" customFormat="1" x14ac:dyDescent="0.3">
      <c r="A47" s="179" t="s">
        <v>350</v>
      </c>
      <c r="B47" s="62" t="s">
        <v>442</v>
      </c>
      <c r="C47" s="61" t="s">
        <v>443</v>
      </c>
      <c r="D47" s="61" t="s">
        <v>444</v>
      </c>
      <c r="E47" s="180" t="s">
        <v>356</v>
      </c>
      <c r="F47" s="180" t="s">
        <v>348</v>
      </c>
      <c r="G47" s="180" t="s">
        <v>349</v>
      </c>
      <c r="H47" s="180"/>
      <c r="I47" s="63">
        <v>21</v>
      </c>
      <c r="J47" s="63">
        <v>9.6</v>
      </c>
      <c r="K47" s="63"/>
      <c r="L47" s="63">
        <v>5.3831775700934577</v>
      </c>
      <c r="M47" s="63"/>
      <c r="N47" s="181">
        <v>21.7</v>
      </c>
      <c r="O47" s="181"/>
      <c r="P47" s="181"/>
      <c r="Q47" s="63">
        <v>0.47</v>
      </c>
      <c r="R47" s="63"/>
      <c r="S47" s="63"/>
      <c r="T47" s="63">
        <v>2985</v>
      </c>
      <c r="U47" s="182">
        <v>2985</v>
      </c>
      <c r="V47" s="183"/>
      <c r="W47" s="63"/>
      <c r="X47" s="63"/>
      <c r="Y47" s="63"/>
      <c r="Z47" s="63"/>
      <c r="AA47" s="63"/>
      <c r="AB47" s="63"/>
      <c r="AC47" s="63"/>
      <c r="AD47" s="184"/>
      <c r="AE47" s="63"/>
      <c r="AF47" s="185">
        <f t="shared" si="9"/>
        <v>142.14285714285714</v>
      </c>
      <c r="AG47" s="185">
        <f t="shared" si="9"/>
        <v>310.9375</v>
      </c>
      <c r="AH47" s="185">
        <f t="shared" si="1"/>
        <v>554.50520833333337</v>
      </c>
      <c r="AI47" s="186">
        <f t="shared" si="2"/>
        <v>2.238095238095238E-2</v>
      </c>
      <c r="AJ47" s="186" t="str">
        <f t="shared" si="3"/>
        <v/>
      </c>
      <c r="AK47" s="186">
        <f t="shared" si="4"/>
        <v>4.8958333333333333E-2</v>
      </c>
      <c r="AL47" s="186" t="str">
        <f t="shared" si="5"/>
        <v/>
      </c>
      <c r="AM47" s="186">
        <f t="shared" si="6"/>
        <v>8.7309027777777784E-2</v>
      </c>
      <c r="AN47" s="186" t="str">
        <f t="shared" si="7"/>
        <v/>
      </c>
      <c r="AO47" s="165">
        <f t="shared" si="8"/>
        <v>41</v>
      </c>
      <c r="AP47" s="165" t="str">
        <f>IF(AND(LEFT(PQS_tbl[[#This Row],[D]],3)=$AP$6,PQS_tbl[[#This Row],[I]]&gt;0),$AO47,"")</f>
        <v/>
      </c>
      <c r="AQ47" s="165">
        <f>IFERROR(SMALL($AP$7:AP$182,ROWS($AP$7:AP47)),"")</f>
        <v>95</v>
      </c>
      <c r="AR47" s="165" t="str">
        <f>IFERROR(INDEX(PQS_tbl[C],AQ47),"")</f>
        <v>VC150SDD</v>
      </c>
      <c r="AS47" s="165" t="str">
        <f>IF(AND(LEFT(PQS_tbl[[#This Row],[D]],3)=$AS$6,PQS_tbl[[#This Row],[I]]=0,PQS_tbl[[#This Row],[J]]&gt;0),$AO47,"")</f>
        <v/>
      </c>
      <c r="AT47" s="165" t="str">
        <f>IFERROR(SMALL($AS$7:AS$178,ROWS($AS$7:AS47)),"")</f>
        <v/>
      </c>
      <c r="AU47" s="165" t="str">
        <f>IFERROR(INDEX(PQS_tbl[C],AT47),"")</f>
        <v/>
      </c>
      <c r="AV47" s="165" t="str">
        <f>IF(LEFT(PQS_tbl[[#This Row],[E]],1)="S",$AP47,"")</f>
        <v/>
      </c>
      <c r="AW47" s="165">
        <f>IFERROR(SMALL($AV$7:AV$178,ROWS($AV$7:AV47)),"")</f>
        <v>137</v>
      </c>
      <c r="AX47" s="165" t="str">
        <f>IFERROR(INDEX(PQS_tbl[C],AW47),"")</f>
        <v>Ultra 16 SDD</v>
      </c>
      <c r="AY47" s="165" t="str">
        <f>IF(LEFT(PQS_tbl[[#This Row],[E]],1)="S",$AS47,"")</f>
        <v/>
      </c>
      <c r="AZ47" s="165" t="str">
        <f>IFERROR(SMALL($AY$7:AY$178,ROWS($AY$7:AY47)),"")</f>
        <v/>
      </c>
      <c r="BA47" s="165" t="str">
        <f>IFERROR(INDEX(PQS_tbl[C],AZ47),"")</f>
        <v/>
      </c>
      <c r="BB47" s="165" t="str">
        <f>IF(AND(LEFT(PQS_tbl[[#This Row],[D]],3)=$BB$6,PQS_tbl[[#This Row],[K]]&gt;0),$AO47,"")</f>
        <v/>
      </c>
    </row>
    <row r="48" spans="1:54" s="178" customFormat="1" x14ac:dyDescent="0.3">
      <c r="A48" s="179" t="s">
        <v>350</v>
      </c>
      <c r="B48" s="62" t="s">
        <v>442</v>
      </c>
      <c r="C48" s="61" t="s">
        <v>445</v>
      </c>
      <c r="D48" s="61" t="s">
        <v>446</v>
      </c>
      <c r="E48" s="180" t="s">
        <v>356</v>
      </c>
      <c r="F48" s="180" t="s">
        <v>348</v>
      </c>
      <c r="G48" s="180" t="s">
        <v>349</v>
      </c>
      <c r="H48" s="180"/>
      <c r="I48" s="63">
        <v>60</v>
      </c>
      <c r="J48" s="63">
        <v>9.6</v>
      </c>
      <c r="K48" s="63"/>
      <c r="L48" s="63">
        <v>2.6181818181818182</v>
      </c>
      <c r="M48" s="63"/>
      <c r="N48" s="181">
        <v>17</v>
      </c>
      <c r="O48" s="181"/>
      <c r="P48" s="181"/>
      <c r="Q48" s="63">
        <v>1.02</v>
      </c>
      <c r="R48" s="63"/>
      <c r="S48" s="63"/>
      <c r="T48" s="63">
        <v>4985</v>
      </c>
      <c r="U48" s="182">
        <v>4985</v>
      </c>
      <c r="V48" s="183"/>
      <c r="W48" s="63"/>
      <c r="X48" s="63"/>
      <c r="Y48" s="63"/>
      <c r="Z48" s="63"/>
      <c r="AA48" s="63"/>
      <c r="AB48" s="63"/>
      <c r="AC48" s="63"/>
      <c r="AD48" s="184"/>
      <c r="AE48" s="63"/>
      <c r="AF48" s="185">
        <f t="shared" si="9"/>
        <v>83.083333333333329</v>
      </c>
      <c r="AG48" s="185">
        <f t="shared" si="9"/>
        <v>519.27083333333337</v>
      </c>
      <c r="AH48" s="185">
        <f t="shared" si="1"/>
        <v>1903.9930555555557</v>
      </c>
      <c r="AI48" s="186">
        <f t="shared" si="2"/>
        <v>1.7000000000000001E-2</v>
      </c>
      <c r="AJ48" s="186" t="str">
        <f t="shared" si="3"/>
        <v/>
      </c>
      <c r="AK48" s="186">
        <f t="shared" si="4"/>
        <v>0.10625000000000001</v>
      </c>
      <c r="AL48" s="186" t="str">
        <f t="shared" si="5"/>
        <v/>
      </c>
      <c r="AM48" s="186">
        <f t="shared" si="6"/>
        <v>0.38958333333333334</v>
      </c>
      <c r="AN48" s="186" t="str">
        <f t="shared" si="7"/>
        <v/>
      </c>
      <c r="AO48" s="165">
        <f t="shared" si="8"/>
        <v>42</v>
      </c>
      <c r="AP48" s="165" t="str">
        <f>IF(AND(LEFT(PQS_tbl[[#This Row],[D]],3)=$AP$6,PQS_tbl[[#This Row],[I]]&gt;0),$AO48,"")</f>
        <v/>
      </c>
      <c r="AQ48" s="165">
        <f>IFERROR(SMALL($AP$7:AP$182,ROWS($AP$7:AP48)),"")</f>
        <v>96</v>
      </c>
      <c r="AR48" s="165" t="str">
        <f>IFERROR(INDEX(PQS_tbl[C],AQ48),"")</f>
        <v>GVR 50 SDD</v>
      </c>
      <c r="AS48" s="165" t="str">
        <f>IF(AND(LEFT(PQS_tbl[[#This Row],[D]],3)=$AS$6,PQS_tbl[[#This Row],[I]]=0,PQS_tbl[[#This Row],[J]]&gt;0),$AO48,"")</f>
        <v/>
      </c>
      <c r="AT48" s="165" t="str">
        <f>IFERROR(SMALL($AS$7:AS$178,ROWS($AS$7:AS48)),"")</f>
        <v/>
      </c>
      <c r="AU48" s="165" t="str">
        <f>IFERROR(INDEX(PQS_tbl[C],AT48),"")</f>
        <v/>
      </c>
      <c r="AV48" s="165" t="str">
        <f>IF(LEFT(PQS_tbl[[#This Row],[E]],1)="S",$AP48,"")</f>
        <v/>
      </c>
      <c r="AW48" s="165">
        <f>IFERROR(SMALL($AV$7:AV$178,ROWS($AV$7:AV48)),"")</f>
        <v>138</v>
      </c>
      <c r="AX48" s="165" t="str">
        <f>IFERROR(INDEX(PQS_tbl[C],AW48),"")</f>
        <v>VLS 026 RF Green Line</v>
      </c>
      <c r="AY48" s="165" t="str">
        <f>IF(LEFT(PQS_tbl[[#This Row],[E]],1)="S",$AS48,"")</f>
        <v/>
      </c>
      <c r="AZ48" s="165" t="str">
        <f>IFERROR(SMALL($AY$7:AY$178,ROWS($AY$7:AY48)),"")</f>
        <v/>
      </c>
      <c r="BA48" s="165" t="str">
        <f>IFERROR(INDEX(PQS_tbl[C],AZ48),"")</f>
        <v/>
      </c>
      <c r="BB48" s="165" t="str">
        <f>IF(AND(LEFT(PQS_tbl[[#This Row],[D]],3)=$BB$6,PQS_tbl[[#This Row],[K]]&gt;0),$AO48,"")</f>
        <v/>
      </c>
    </row>
    <row r="49" spans="1:54" s="178" customFormat="1" x14ac:dyDescent="0.3">
      <c r="A49" s="179" t="s">
        <v>350</v>
      </c>
      <c r="B49" s="62" t="s">
        <v>447</v>
      </c>
      <c r="C49" s="61" t="s">
        <v>448</v>
      </c>
      <c r="D49" s="61" t="s">
        <v>449</v>
      </c>
      <c r="E49" s="180" t="s">
        <v>356</v>
      </c>
      <c r="F49" s="180" t="s">
        <v>348</v>
      </c>
      <c r="G49" s="180" t="s">
        <v>349</v>
      </c>
      <c r="H49" s="180"/>
      <c r="I49" s="63">
        <v>37.5</v>
      </c>
      <c r="J49" s="63">
        <v>9.6</v>
      </c>
      <c r="K49" s="63"/>
      <c r="L49" s="63">
        <v>6.4</v>
      </c>
      <c r="M49" s="63"/>
      <c r="N49" s="181">
        <v>3</v>
      </c>
      <c r="O49" s="181"/>
      <c r="P49" s="181"/>
      <c r="Q49" s="63">
        <v>0.7</v>
      </c>
      <c r="R49" s="63"/>
      <c r="S49" s="63"/>
      <c r="T49" s="63">
        <v>3400</v>
      </c>
      <c r="U49" s="182">
        <v>3400</v>
      </c>
      <c r="V49" s="183"/>
      <c r="W49" s="63"/>
      <c r="X49" s="63"/>
      <c r="Y49" s="63"/>
      <c r="Z49" s="63"/>
      <c r="AA49" s="63"/>
      <c r="AB49" s="63"/>
      <c r="AC49" s="63"/>
      <c r="AD49" s="184"/>
      <c r="AE49" s="63"/>
      <c r="AF49" s="185">
        <f t="shared" si="9"/>
        <v>90.666666666666671</v>
      </c>
      <c r="AG49" s="185">
        <f t="shared" si="9"/>
        <v>354.16666666666669</v>
      </c>
      <c r="AH49" s="185">
        <f t="shared" si="1"/>
        <v>531.25</v>
      </c>
      <c r="AI49" s="186">
        <f t="shared" si="2"/>
        <v>1.8666666666666665E-2</v>
      </c>
      <c r="AJ49" s="186" t="str">
        <f t="shared" si="3"/>
        <v/>
      </c>
      <c r="AK49" s="186">
        <f t="shared" si="4"/>
        <v>7.2916666666666671E-2</v>
      </c>
      <c r="AL49" s="186" t="str">
        <f t="shared" si="5"/>
        <v/>
      </c>
      <c r="AM49" s="186">
        <f t="shared" si="6"/>
        <v>0.10937499999999999</v>
      </c>
      <c r="AN49" s="186" t="str">
        <f t="shared" si="7"/>
        <v/>
      </c>
      <c r="AO49" s="165">
        <f t="shared" si="8"/>
        <v>43</v>
      </c>
      <c r="AP49" s="165" t="str">
        <f>IF(AND(LEFT(PQS_tbl[[#This Row],[D]],3)=$AP$6,PQS_tbl[[#This Row],[I]]&gt;0),$AO49,"")</f>
        <v/>
      </c>
      <c r="AQ49" s="165">
        <f>IFERROR(SMALL($AP$7:AP$182,ROWS($AP$7:AP49)),"")</f>
        <v>97</v>
      </c>
      <c r="AR49" s="165" t="str">
        <f>IFERROR(INDEX(PQS_tbl[C],AQ49),"")</f>
        <v>GVR 100 SDD</v>
      </c>
      <c r="AS49" s="165" t="str">
        <f>IF(AND(LEFT(PQS_tbl[[#This Row],[D]],3)=$AS$6,PQS_tbl[[#This Row],[I]]=0,PQS_tbl[[#This Row],[J]]&gt;0),$AO49,"")</f>
        <v/>
      </c>
      <c r="AT49" s="165" t="str">
        <f>IFERROR(SMALL($AS$7:AS$178,ROWS($AS$7:AS49)),"")</f>
        <v/>
      </c>
      <c r="AU49" s="165" t="str">
        <f>IFERROR(INDEX(PQS_tbl[C],AT49),"")</f>
        <v/>
      </c>
      <c r="AV49" s="165" t="str">
        <f>IF(LEFT(PQS_tbl[[#This Row],[E]],1)="S",$AP49,"")</f>
        <v/>
      </c>
      <c r="AW49" s="165">
        <f>IFERROR(SMALL($AV$7:AV$178,ROWS($AV$7:AV49)),"")</f>
        <v>139</v>
      </c>
      <c r="AX49" s="165" t="str">
        <f>IFERROR(INDEX(PQS_tbl[C],AW49),"")</f>
        <v>VLS 056 RF SDD</v>
      </c>
      <c r="AY49" s="165" t="str">
        <f>IF(LEFT(PQS_tbl[[#This Row],[E]],1)="S",$AS49,"")</f>
        <v/>
      </c>
      <c r="AZ49" s="165" t="str">
        <f>IFERROR(SMALL($AY$7:AY$178,ROWS($AY$7:AY49)),"")</f>
        <v/>
      </c>
      <c r="BA49" s="165" t="str">
        <f>IFERROR(INDEX(PQS_tbl[C],AZ49),"")</f>
        <v/>
      </c>
      <c r="BB49" s="165" t="str">
        <f>IF(AND(LEFT(PQS_tbl[[#This Row],[D]],3)=$BB$6,PQS_tbl[[#This Row],[K]]&gt;0),$AO49,"")</f>
        <v/>
      </c>
    </row>
    <row r="50" spans="1:54" s="178" customFormat="1" x14ac:dyDescent="0.3">
      <c r="A50" s="179" t="s">
        <v>344</v>
      </c>
      <c r="B50" s="62" t="s">
        <v>39</v>
      </c>
      <c r="C50" s="61" t="s">
        <v>450</v>
      </c>
      <c r="D50" s="61" t="s">
        <v>451</v>
      </c>
      <c r="E50" s="180" t="s">
        <v>347</v>
      </c>
      <c r="F50" s="180" t="s">
        <v>348</v>
      </c>
      <c r="G50" s="180" t="s">
        <v>349</v>
      </c>
      <c r="H50" s="180"/>
      <c r="I50" s="63">
        <v>126.5</v>
      </c>
      <c r="J50" s="63"/>
      <c r="K50" s="63"/>
      <c r="L50" s="63">
        <v>5.448648648648649</v>
      </c>
      <c r="M50" s="63"/>
      <c r="N50" s="181">
        <v>61.7</v>
      </c>
      <c r="O50" s="181"/>
      <c r="P50" s="181"/>
      <c r="Q50" s="63">
        <v>1.17</v>
      </c>
      <c r="R50" s="63"/>
      <c r="S50" s="63"/>
      <c r="T50" s="63">
        <v>2318.75</v>
      </c>
      <c r="U50" s="182">
        <v>2318.75</v>
      </c>
      <c r="V50" s="183"/>
      <c r="W50" s="63"/>
      <c r="X50" s="63"/>
      <c r="Y50" s="63"/>
      <c r="Z50" s="63"/>
      <c r="AA50" s="63"/>
      <c r="AB50" s="63"/>
      <c r="AC50" s="63"/>
      <c r="AD50" s="184"/>
      <c r="AE50" s="63"/>
      <c r="AF50" s="185">
        <f t="shared" si="9"/>
        <v>18.330039525691699</v>
      </c>
      <c r="AG50" s="185" t="str">
        <f t="shared" si="9"/>
        <v/>
      </c>
      <c r="AH50" s="185">
        <f t="shared" si="1"/>
        <v>425.56423611111109</v>
      </c>
      <c r="AI50" s="186">
        <f t="shared" si="2"/>
        <v>9.2490118577075089E-3</v>
      </c>
      <c r="AJ50" s="186" t="str">
        <f t="shared" si="3"/>
        <v/>
      </c>
      <c r="AK50" s="186" t="str">
        <f t="shared" si="4"/>
        <v/>
      </c>
      <c r="AL50" s="186" t="str">
        <f t="shared" si="5"/>
        <v/>
      </c>
      <c r="AM50" s="186">
        <f t="shared" si="6"/>
        <v>0.21473214285714284</v>
      </c>
      <c r="AN50" s="186" t="str">
        <f t="shared" si="7"/>
        <v/>
      </c>
      <c r="AO50" s="165">
        <f t="shared" si="8"/>
        <v>44</v>
      </c>
      <c r="AP50" s="165" t="str">
        <f>IF(AND(LEFT(PQS_tbl[[#This Row],[D]],3)=$AP$6,PQS_tbl[[#This Row],[I]]&gt;0),$AO50,"")</f>
        <v/>
      </c>
      <c r="AQ50" s="165">
        <f>IFERROR(SMALL($AP$7:AP$182,ROWS($AP$7:AP50)),"")</f>
        <v>98</v>
      </c>
      <c r="AR50" s="165" t="str">
        <f>IFERROR(INDEX(PQS_tbl[C],AQ50),"")</f>
        <v>ZLF30AC</v>
      </c>
      <c r="AS50" s="165" t="str">
        <f>IF(AND(LEFT(PQS_tbl[[#This Row],[D]],3)=$AS$6,PQS_tbl[[#This Row],[I]]=0,PQS_tbl[[#This Row],[J]]&gt;0),$AO50,"")</f>
        <v/>
      </c>
      <c r="AT50" s="165" t="str">
        <f>IFERROR(SMALL($AS$7:AS$178,ROWS($AS$7:AS50)),"")</f>
        <v/>
      </c>
      <c r="AU50" s="165" t="str">
        <f>IFERROR(INDEX(PQS_tbl[C],AT50),"")</f>
        <v/>
      </c>
      <c r="AV50" s="165" t="str">
        <f>IF(LEFT(PQS_tbl[[#This Row],[E]],1)="S",$AP50,"")</f>
        <v/>
      </c>
      <c r="AW50" s="165">
        <f>IFERROR(SMALL($AV$7:AV$178,ROWS($AV$7:AV50)),"")</f>
        <v>140</v>
      </c>
      <c r="AX50" s="165" t="str">
        <f>IFERROR(INDEX(PQS_tbl[C],AW50),"")</f>
        <v>TCW 4000 SDD</v>
      </c>
      <c r="AY50" s="165" t="str">
        <f>IF(LEFT(PQS_tbl[[#This Row],[E]],1)="S",$AS50,"")</f>
        <v/>
      </c>
      <c r="AZ50" s="165" t="str">
        <f>IFERROR(SMALL($AY$7:AY$178,ROWS($AY$7:AY50)),"")</f>
        <v/>
      </c>
      <c r="BA50" s="165" t="str">
        <f>IFERROR(INDEX(PQS_tbl[C],AZ50),"")</f>
        <v/>
      </c>
      <c r="BB50" s="165" t="str">
        <f>IF(AND(LEFT(PQS_tbl[[#This Row],[D]],3)=$BB$6,PQS_tbl[[#This Row],[K]]&gt;0),$AO50,"")</f>
        <v/>
      </c>
    </row>
    <row r="51" spans="1:54" s="178" customFormat="1" x14ac:dyDescent="0.3">
      <c r="A51" s="179" t="s">
        <v>350</v>
      </c>
      <c r="B51" s="62" t="s">
        <v>409</v>
      </c>
      <c r="C51" s="61" t="s">
        <v>452</v>
      </c>
      <c r="D51" s="61" t="s">
        <v>453</v>
      </c>
      <c r="E51" s="180" t="s">
        <v>343</v>
      </c>
      <c r="F51" s="180" t="s">
        <v>338</v>
      </c>
      <c r="G51" s="180" t="s">
        <v>349</v>
      </c>
      <c r="H51" s="180"/>
      <c r="I51" s="63">
        <v>37.5</v>
      </c>
      <c r="J51" s="63">
        <v>9.6</v>
      </c>
      <c r="K51" s="63"/>
      <c r="L51" s="63">
        <v>2.4</v>
      </c>
      <c r="M51" s="63"/>
      <c r="N51" s="181">
        <v>6</v>
      </c>
      <c r="O51" s="181"/>
      <c r="P51" s="181"/>
      <c r="Q51" s="63">
        <v>8</v>
      </c>
      <c r="R51" s="63"/>
      <c r="S51" s="63"/>
      <c r="T51" s="63">
        <v>1038</v>
      </c>
      <c r="U51" s="182">
        <v>1038</v>
      </c>
      <c r="V51" s="183"/>
      <c r="W51" s="63"/>
      <c r="X51" s="63"/>
      <c r="Y51" s="63"/>
      <c r="Z51" s="63"/>
      <c r="AA51" s="63"/>
      <c r="AB51" s="63"/>
      <c r="AC51" s="63"/>
      <c r="AD51" s="184"/>
      <c r="AE51" s="63"/>
      <c r="AF51" s="185">
        <f t="shared" si="9"/>
        <v>27.68</v>
      </c>
      <c r="AG51" s="185">
        <f t="shared" si="9"/>
        <v>108.125</v>
      </c>
      <c r="AH51" s="185">
        <f t="shared" si="1"/>
        <v>432.5</v>
      </c>
      <c r="AI51" s="186">
        <f t="shared" si="2"/>
        <v>0.21333333333333335</v>
      </c>
      <c r="AJ51" s="186" t="str">
        <f t="shared" si="3"/>
        <v/>
      </c>
      <c r="AK51" s="186">
        <f t="shared" si="4"/>
        <v>0.83333333333333337</v>
      </c>
      <c r="AL51" s="186" t="str">
        <f t="shared" si="5"/>
        <v/>
      </c>
      <c r="AM51" s="186">
        <f t="shared" si="6"/>
        <v>3.3333333333333335</v>
      </c>
      <c r="AN51" s="186" t="str">
        <f t="shared" si="7"/>
        <v/>
      </c>
      <c r="AO51" s="165">
        <f t="shared" si="8"/>
        <v>45</v>
      </c>
      <c r="AP51" s="165" t="str">
        <f>IF(AND(LEFT(PQS_tbl[[#This Row],[D]],3)=$AP$6,PQS_tbl[[#This Row],[I]]&gt;0),$AO51,"")</f>
        <v/>
      </c>
      <c r="AQ51" s="165">
        <f>IFERROR(SMALL($AP$7:AP$182,ROWS($AP$7:AP51)),"")</f>
        <v>99</v>
      </c>
      <c r="AR51" s="165" t="str">
        <f>IFERROR(INDEX(PQS_tbl[C],AQ51),"")</f>
        <v>ZLF150DC</v>
      </c>
      <c r="AS51" s="165" t="str">
        <f>IF(AND(LEFT(PQS_tbl[[#This Row],[D]],3)=$AS$6,PQS_tbl[[#This Row],[I]]=0,PQS_tbl[[#This Row],[J]]&gt;0),$AO51,"")</f>
        <v/>
      </c>
      <c r="AT51" s="165" t="str">
        <f>IFERROR(SMALL($AS$7:AS$178,ROWS($AS$7:AS51)),"")</f>
        <v/>
      </c>
      <c r="AU51" s="165" t="str">
        <f>IFERROR(INDEX(PQS_tbl[C],AT51),"")</f>
        <v/>
      </c>
      <c r="AV51" s="165" t="str">
        <f>IF(LEFT(PQS_tbl[[#This Row],[E]],1)="S",$AP51,"")</f>
        <v/>
      </c>
      <c r="AW51" s="165">
        <f>IFERROR(SMALL($AV$7:AV$178,ROWS($AV$7:AV51)),"")</f>
        <v>142</v>
      </c>
      <c r="AX51" s="165" t="str">
        <f>IFERROR(INDEX(PQS_tbl[C],AW51),"")</f>
        <v>GVR 55 FF DC</v>
      </c>
      <c r="AY51" s="165" t="str">
        <f>IF(LEFT(PQS_tbl[[#This Row],[E]],1)="S",$AS51,"")</f>
        <v/>
      </c>
      <c r="AZ51" s="165" t="str">
        <f>IFERROR(SMALL($AY$7:AY$178,ROWS($AY$7:AY51)),"")</f>
        <v/>
      </c>
      <c r="BA51" s="165" t="str">
        <f>IFERROR(INDEX(PQS_tbl[C],AZ51),"")</f>
        <v/>
      </c>
      <c r="BB51" s="165" t="str">
        <f>IF(AND(LEFT(PQS_tbl[[#This Row],[D]],3)=$BB$6,PQS_tbl[[#This Row],[K]]&gt;0),$AO51,"")</f>
        <v/>
      </c>
    </row>
    <row r="52" spans="1:54" s="178" customFormat="1" x14ac:dyDescent="0.3">
      <c r="A52" s="179" t="s">
        <v>350</v>
      </c>
      <c r="B52" s="62" t="s">
        <v>447</v>
      </c>
      <c r="C52" s="61" t="s">
        <v>454</v>
      </c>
      <c r="D52" s="61" t="s">
        <v>455</v>
      </c>
      <c r="E52" s="180" t="s">
        <v>356</v>
      </c>
      <c r="F52" s="180" t="s">
        <v>348</v>
      </c>
      <c r="G52" s="180" t="s">
        <v>349</v>
      </c>
      <c r="H52" s="180"/>
      <c r="I52" s="63">
        <v>18</v>
      </c>
      <c r="J52" s="63">
        <v>2.4</v>
      </c>
      <c r="K52" s="63"/>
      <c r="L52" s="63">
        <v>2.4</v>
      </c>
      <c r="M52" s="63"/>
      <c r="N52" s="181">
        <v>3.67</v>
      </c>
      <c r="O52" s="181"/>
      <c r="P52" s="181"/>
      <c r="Q52" s="63">
        <v>0.32</v>
      </c>
      <c r="R52" s="63"/>
      <c r="S52" s="63"/>
      <c r="T52" s="63">
        <v>3400</v>
      </c>
      <c r="U52" s="182">
        <v>3400</v>
      </c>
      <c r="V52" s="183"/>
      <c r="W52" s="63"/>
      <c r="X52" s="63"/>
      <c r="Y52" s="63"/>
      <c r="Z52" s="63"/>
      <c r="AA52" s="63"/>
      <c r="AB52" s="63"/>
      <c r="AC52" s="63"/>
      <c r="AD52" s="184"/>
      <c r="AE52" s="63"/>
      <c r="AF52" s="185">
        <f t="shared" si="9"/>
        <v>188.88888888888889</v>
      </c>
      <c r="AG52" s="185">
        <f t="shared" si="9"/>
        <v>1416.6666666666667</v>
      </c>
      <c r="AH52" s="185">
        <f t="shared" si="1"/>
        <v>1416.6666666666667</v>
      </c>
      <c r="AI52" s="186">
        <f t="shared" si="2"/>
        <v>1.7777777777777778E-2</v>
      </c>
      <c r="AJ52" s="186" t="str">
        <f t="shared" si="3"/>
        <v/>
      </c>
      <c r="AK52" s="186">
        <f t="shared" si="4"/>
        <v>0.13333333333333333</v>
      </c>
      <c r="AL52" s="186" t="str">
        <f t="shared" si="5"/>
        <v/>
      </c>
      <c r="AM52" s="186">
        <f t="shared" si="6"/>
        <v>0.13333333333333333</v>
      </c>
      <c r="AN52" s="186" t="str">
        <f t="shared" si="7"/>
        <v/>
      </c>
      <c r="AO52" s="165">
        <f t="shared" si="8"/>
        <v>46</v>
      </c>
      <c r="AP52" s="165" t="str">
        <f>IF(AND(LEFT(PQS_tbl[[#This Row],[D]],3)=$AP$6,PQS_tbl[[#This Row],[I]]&gt;0),$AO52,"")</f>
        <v/>
      </c>
      <c r="AQ52" s="165">
        <f>IFERROR(SMALL($AP$7:AP$182,ROWS($AP$7:AP52)),"")</f>
        <v>100</v>
      </c>
      <c r="AR52" s="165" t="str">
        <f>IFERROR(INDEX(PQS_tbl[C],AQ52),"")</f>
        <v>VLS 094 SDD Greenline</v>
      </c>
      <c r="AS52" s="165" t="str">
        <f>IF(AND(LEFT(PQS_tbl[[#This Row],[D]],3)=$AS$6,PQS_tbl[[#This Row],[I]]=0,PQS_tbl[[#This Row],[J]]&gt;0),$AO52,"")</f>
        <v/>
      </c>
      <c r="AT52" s="165" t="str">
        <f>IFERROR(SMALL($AS$7:AS$178,ROWS($AS$7:AS52)),"")</f>
        <v/>
      </c>
      <c r="AU52" s="165" t="str">
        <f>IFERROR(INDEX(PQS_tbl[C],AT52),"")</f>
        <v/>
      </c>
      <c r="AV52" s="165" t="str">
        <f>IF(LEFT(PQS_tbl[[#This Row],[E]],1)="S",$AP52,"")</f>
        <v/>
      </c>
      <c r="AW52" s="165">
        <f>IFERROR(SMALL($AV$7:AV$178,ROWS($AV$7:AV52)),"")</f>
        <v>145</v>
      </c>
      <c r="AX52" s="165" t="str">
        <f>IFERROR(INDEX(PQS_tbl[C],AW52),"")</f>
        <v>CFD-50 SDD</v>
      </c>
      <c r="AY52" s="165" t="str">
        <f>IF(LEFT(PQS_tbl[[#This Row],[E]],1)="S",$AS52,"")</f>
        <v/>
      </c>
      <c r="AZ52" s="165" t="str">
        <f>IFERROR(SMALL($AY$7:AY$178,ROWS($AY$7:AY52)),"")</f>
        <v/>
      </c>
      <c r="BA52" s="165" t="str">
        <f>IFERROR(INDEX(PQS_tbl[C],AZ52),"")</f>
        <v/>
      </c>
      <c r="BB52" s="165" t="str">
        <f>IF(AND(LEFT(PQS_tbl[[#This Row],[D]],3)=$BB$6,PQS_tbl[[#This Row],[K]]&gt;0),$AO52,"")</f>
        <v/>
      </c>
    </row>
    <row r="53" spans="1:54" s="178" customFormat="1" x14ac:dyDescent="0.3">
      <c r="A53" s="179" t="s">
        <v>350</v>
      </c>
      <c r="B53" s="62" t="s">
        <v>456</v>
      </c>
      <c r="C53" s="61" t="s">
        <v>457</v>
      </c>
      <c r="D53" s="61" t="s">
        <v>458</v>
      </c>
      <c r="E53" s="180" t="s">
        <v>353</v>
      </c>
      <c r="F53" s="180" t="s">
        <v>348</v>
      </c>
      <c r="G53" s="180" t="s">
        <v>339</v>
      </c>
      <c r="H53" s="180"/>
      <c r="I53" s="63">
        <v>16</v>
      </c>
      <c r="J53" s="63"/>
      <c r="K53" s="63"/>
      <c r="L53" s="63">
        <v>16</v>
      </c>
      <c r="M53" s="63"/>
      <c r="N53" s="181">
        <v>7.8</v>
      </c>
      <c r="O53" s="181"/>
      <c r="P53" s="181"/>
      <c r="Q53" s="63">
        <v>0.26500000000000001</v>
      </c>
      <c r="R53" s="63"/>
      <c r="S53" s="63"/>
      <c r="T53" s="63"/>
      <c r="U53" s="182"/>
      <c r="V53" s="183"/>
      <c r="W53" s="63"/>
      <c r="X53" s="63"/>
      <c r="Y53" s="63"/>
      <c r="Z53" s="63"/>
      <c r="AA53" s="63"/>
      <c r="AB53" s="63"/>
      <c r="AC53" s="63"/>
      <c r="AD53" s="184"/>
      <c r="AE53" s="63"/>
      <c r="AF53" s="185">
        <f t="shared" si="9"/>
        <v>0</v>
      </c>
      <c r="AG53" s="185" t="str">
        <f t="shared" si="9"/>
        <v/>
      </c>
      <c r="AH53" s="185">
        <f t="shared" si="1"/>
        <v>0</v>
      </c>
      <c r="AI53" s="186">
        <f t="shared" si="2"/>
        <v>1.6562500000000001E-2</v>
      </c>
      <c r="AJ53" s="186" t="str">
        <f t="shared" si="3"/>
        <v/>
      </c>
      <c r="AK53" s="186" t="str">
        <f t="shared" si="4"/>
        <v/>
      </c>
      <c r="AL53" s="186" t="str">
        <f t="shared" si="5"/>
        <v/>
      </c>
      <c r="AM53" s="186">
        <f t="shared" si="6"/>
        <v>1.6562500000000001E-2</v>
      </c>
      <c r="AN53" s="186" t="str">
        <f t="shared" si="7"/>
        <v/>
      </c>
      <c r="AO53" s="165">
        <f t="shared" si="8"/>
        <v>47</v>
      </c>
      <c r="AP53" s="165" t="str">
        <f>IF(AND(LEFT(PQS_tbl[[#This Row],[D]],3)=$AP$6,PQS_tbl[[#This Row],[I]]&gt;0),$AO53,"")</f>
        <v/>
      </c>
      <c r="AQ53" s="165">
        <f>IFERROR(SMALL($AP$7:AP$182,ROWS($AP$7:AP53)),"")</f>
        <v>101</v>
      </c>
      <c r="AR53" s="165" t="str">
        <f>IFERROR(INDEX(PQS_tbl[C],AQ53),"")</f>
        <v>VLS 154 SDD Greenline</v>
      </c>
      <c r="AS53" s="165" t="str">
        <f>IF(AND(LEFT(PQS_tbl[[#This Row],[D]],3)=$AS$6,PQS_tbl[[#This Row],[I]]=0,PQS_tbl[[#This Row],[J]]&gt;0),$AO53,"")</f>
        <v/>
      </c>
      <c r="AT53" s="165" t="str">
        <f>IFERROR(SMALL($AS$7:AS$178,ROWS($AS$7:AS53)),"")</f>
        <v/>
      </c>
      <c r="AU53" s="165" t="str">
        <f>IFERROR(INDEX(PQS_tbl[C],AT53),"")</f>
        <v/>
      </c>
      <c r="AV53" s="165" t="str">
        <f>IF(LEFT(PQS_tbl[[#This Row],[E]],1)="S",$AP53,"")</f>
        <v/>
      </c>
      <c r="AW53" s="165">
        <f>IFERROR(SMALL($AV$7:AV$178,ROWS($AV$7:AV53)),"")</f>
        <v>149</v>
      </c>
      <c r="AX53" s="165" t="str">
        <f>IFERROR(INDEX(PQS_tbl[C],AW53),"")</f>
        <v>HTC-112</v>
      </c>
      <c r="AY53" s="165" t="str">
        <f>IF(LEFT(PQS_tbl[[#This Row],[E]],1)="S",$AS53,"")</f>
        <v/>
      </c>
      <c r="AZ53" s="165" t="str">
        <f>IFERROR(SMALL($AY$7:AY$178,ROWS($AY$7:AY53)),"")</f>
        <v/>
      </c>
      <c r="BA53" s="165" t="str">
        <f>IFERROR(INDEX(PQS_tbl[C],AZ53),"")</f>
        <v/>
      </c>
      <c r="BB53" s="165" t="str">
        <f>IF(AND(LEFT(PQS_tbl[[#This Row],[D]],3)=$BB$6,PQS_tbl[[#This Row],[K]]&gt;0),$AO53,"")</f>
        <v/>
      </c>
    </row>
    <row r="54" spans="1:54" s="178" customFormat="1" x14ac:dyDescent="0.3">
      <c r="A54" s="179" t="s">
        <v>459</v>
      </c>
      <c r="B54" s="62" t="s">
        <v>39</v>
      </c>
      <c r="C54" s="61" t="s">
        <v>460</v>
      </c>
      <c r="D54" s="61" t="s">
        <v>461</v>
      </c>
      <c r="E54" s="180" t="s">
        <v>347</v>
      </c>
      <c r="F54" s="180" t="s">
        <v>348</v>
      </c>
      <c r="G54" s="180" t="s">
        <v>349</v>
      </c>
      <c r="H54" s="180"/>
      <c r="I54" s="63">
        <v>60</v>
      </c>
      <c r="J54" s="63">
        <v>42</v>
      </c>
      <c r="K54" s="63"/>
      <c r="L54" s="63">
        <v>28.800000000000004</v>
      </c>
      <c r="M54" s="63"/>
      <c r="N54" s="181">
        <v>44.36</v>
      </c>
      <c r="O54" s="181"/>
      <c r="P54" s="181"/>
      <c r="Q54" s="63">
        <v>2.8800000000000003</v>
      </c>
      <c r="R54" s="63"/>
      <c r="S54" s="63"/>
      <c r="T54" s="63">
        <v>2411.5</v>
      </c>
      <c r="U54" s="182">
        <v>2411.5</v>
      </c>
      <c r="V54" s="183"/>
      <c r="W54" s="63"/>
      <c r="X54" s="63"/>
      <c r="Y54" s="63"/>
      <c r="Z54" s="63"/>
      <c r="AA54" s="63"/>
      <c r="AB54" s="63"/>
      <c r="AC54" s="63"/>
      <c r="AD54" s="184"/>
      <c r="AE54" s="63"/>
      <c r="AF54" s="185">
        <f t="shared" si="9"/>
        <v>40.19166666666667</v>
      </c>
      <c r="AG54" s="185">
        <f t="shared" si="9"/>
        <v>57.416666666666664</v>
      </c>
      <c r="AH54" s="185">
        <f t="shared" si="1"/>
        <v>83.732638888888872</v>
      </c>
      <c r="AI54" s="186">
        <f t="shared" si="2"/>
        <v>4.8000000000000008E-2</v>
      </c>
      <c r="AJ54" s="186" t="str">
        <f t="shared" si="3"/>
        <v/>
      </c>
      <c r="AK54" s="186">
        <f t="shared" si="4"/>
        <v>6.8571428571428575E-2</v>
      </c>
      <c r="AL54" s="186" t="str">
        <f t="shared" si="5"/>
        <v/>
      </c>
      <c r="AM54" s="186">
        <f t="shared" si="6"/>
        <v>9.9999999999999992E-2</v>
      </c>
      <c r="AN54" s="186" t="str">
        <f t="shared" si="7"/>
        <v/>
      </c>
      <c r="AO54" s="165">
        <f t="shared" si="8"/>
        <v>48</v>
      </c>
      <c r="AP54" s="165" t="str">
        <f>IF(AND(LEFT(PQS_tbl[[#This Row],[D]],3)=$AP$6,PQS_tbl[[#This Row],[I]]&gt;0),$AO54,"")</f>
        <v/>
      </c>
      <c r="AQ54" s="165">
        <f>IFERROR(SMALL($AP$7:AP$182,ROWS($AP$7:AP54)),"")</f>
        <v>102</v>
      </c>
      <c r="AR54" s="165" t="str">
        <f>IFERROR(INDEX(PQS_tbl[C],AQ54),"")</f>
        <v>ZLF30DC SDD</v>
      </c>
      <c r="AS54" s="165" t="str">
        <f>IF(AND(LEFT(PQS_tbl[[#This Row],[D]],3)=$AS$6,PQS_tbl[[#This Row],[I]]=0,PQS_tbl[[#This Row],[J]]&gt;0),$AO54,"")</f>
        <v/>
      </c>
      <c r="AT54" s="165" t="str">
        <f>IFERROR(SMALL($AS$7:AS$178,ROWS($AS$7:AS54)),"")</f>
        <v/>
      </c>
      <c r="AU54" s="165" t="str">
        <f>IFERROR(INDEX(PQS_tbl[C],AT54),"")</f>
        <v/>
      </c>
      <c r="AV54" s="165" t="str">
        <f>IF(LEFT(PQS_tbl[[#This Row],[E]],1)="S",$AP54,"")</f>
        <v/>
      </c>
      <c r="AW54" s="165">
        <f>IFERROR(SMALL($AV$7:AV$178,ROWS($AV$7:AV54)),"")</f>
        <v>152</v>
      </c>
      <c r="AX54" s="165" t="str">
        <f>IFERROR(INDEX(PQS_tbl[C],AW54),"")</f>
        <v>GVR 25 Lite DC</v>
      </c>
      <c r="AY54" s="165" t="str">
        <f>IF(LEFT(PQS_tbl[[#This Row],[E]],1)="S",$AS54,"")</f>
        <v/>
      </c>
      <c r="AZ54" s="165" t="str">
        <f>IFERROR(SMALL($AY$7:AY$178,ROWS($AY$7:AY54)),"")</f>
        <v/>
      </c>
      <c r="BA54" s="165" t="str">
        <f>IFERROR(INDEX(PQS_tbl[C],AZ54),"")</f>
        <v/>
      </c>
      <c r="BB54" s="165" t="str">
        <f>IF(AND(LEFT(PQS_tbl[[#This Row],[D]],3)=$BB$6,PQS_tbl[[#This Row],[K]]&gt;0),$AO54,"")</f>
        <v/>
      </c>
    </row>
    <row r="55" spans="1:54" s="178" customFormat="1" x14ac:dyDescent="0.3">
      <c r="A55" s="179" t="s">
        <v>462</v>
      </c>
      <c r="B55" s="62" t="s">
        <v>463</v>
      </c>
      <c r="C55" t="s">
        <v>464</v>
      </c>
      <c r="D55" s="61" t="s">
        <v>465</v>
      </c>
      <c r="E55" s="180" t="s">
        <v>356</v>
      </c>
      <c r="F55" s="180" t="s">
        <v>348</v>
      </c>
      <c r="G55" s="180" t="s">
        <v>349</v>
      </c>
      <c r="H55" s="180" t="s">
        <v>466</v>
      </c>
      <c r="I55" s="63">
        <v>76</v>
      </c>
      <c r="J55" s="63">
        <v>30</v>
      </c>
      <c r="K55" s="63"/>
      <c r="L55" s="63">
        <v>3.4</v>
      </c>
      <c r="M55" s="63">
        <v>26</v>
      </c>
      <c r="N55" s="181">
        <v>13.6</v>
      </c>
      <c r="O55" s="181"/>
      <c r="P55" s="181"/>
      <c r="Q55" s="63">
        <v>0.99</v>
      </c>
      <c r="R55" s="63"/>
      <c r="S55" s="63"/>
      <c r="T55" s="63">
        <v>2770</v>
      </c>
      <c r="U55" s="182">
        <f>T55*1.2</f>
        <v>3324</v>
      </c>
      <c r="V55" s="183">
        <v>2016</v>
      </c>
      <c r="W55" s="63">
        <v>118</v>
      </c>
      <c r="X55" s="63">
        <v>50</v>
      </c>
      <c r="Y55" s="63"/>
      <c r="Z55" s="63">
        <v>91</v>
      </c>
      <c r="AA55" s="63">
        <v>127</v>
      </c>
      <c r="AB55" s="63">
        <v>78</v>
      </c>
      <c r="AC55" s="63">
        <v>1.05</v>
      </c>
      <c r="AD55" s="184">
        <v>125</v>
      </c>
      <c r="AE55" s="63" t="s">
        <v>312</v>
      </c>
      <c r="AF55" s="185">
        <f t="shared" si="9"/>
        <v>43.736842105263158</v>
      </c>
      <c r="AG55" s="185">
        <f t="shared" si="9"/>
        <v>110.8</v>
      </c>
      <c r="AH55" s="185">
        <f t="shared" si="1"/>
        <v>977.64705882352939</v>
      </c>
      <c r="AI55" s="186">
        <f t="shared" si="2"/>
        <v>1.3026315789473684E-2</v>
      </c>
      <c r="AJ55" s="186" t="str">
        <f t="shared" si="3"/>
        <v/>
      </c>
      <c r="AK55" s="186">
        <f t="shared" si="4"/>
        <v>3.3000000000000002E-2</v>
      </c>
      <c r="AL55" s="186" t="str">
        <f t="shared" si="5"/>
        <v/>
      </c>
      <c r="AM55" s="186">
        <f t="shared" si="6"/>
        <v>0.29117647058823531</v>
      </c>
      <c r="AN55" s="186" t="str">
        <f t="shared" si="7"/>
        <v/>
      </c>
      <c r="AO55" s="165">
        <f t="shared" si="8"/>
        <v>49</v>
      </c>
      <c r="AP55" s="165">
        <f>IF(AND(LEFT(PQS_tbl[[#This Row],[D]],3)=$AP$6,PQS_tbl[[#This Row],[I]]&gt;0),$AO55,"")</f>
        <v>49</v>
      </c>
      <c r="AQ55" s="165">
        <f>IFERROR(SMALL($AP$7:AP$182,ROWS($AP$7:AP55)),"")</f>
        <v>103</v>
      </c>
      <c r="AR55" s="165" t="str">
        <f>IFERROR(INDEX(PQS_tbl[C],AQ55),"")</f>
        <v>HTC-60H</v>
      </c>
      <c r="AS55" s="165" t="str">
        <f>IF(AND(LEFT(PQS_tbl[[#This Row],[D]],3)=$AS$6,PQS_tbl[[#This Row],[I]]=0,PQS_tbl[[#This Row],[J]]&gt;0),$AO55,"")</f>
        <v/>
      </c>
      <c r="AT55" s="165" t="str">
        <f>IFERROR(SMALL($AS$7:AS$178,ROWS($AS$7:AS55)),"")</f>
        <v/>
      </c>
      <c r="AU55" s="165" t="str">
        <f>IFERROR(INDEX(PQS_tbl[C],AT55),"")</f>
        <v/>
      </c>
      <c r="AV55" s="165">
        <f>IF(LEFT(PQS_tbl[[#This Row],[E]],1)="S",$AP55,"")</f>
        <v>49</v>
      </c>
      <c r="AW55" s="165">
        <f>IFERROR(SMALL($AV$7:AV$178,ROWS($AV$7:AV55)),"")</f>
        <v>153</v>
      </c>
      <c r="AX55" s="165" t="str">
        <f>IFERROR(INDEX(PQS_tbl[C],AW55),"")</f>
        <v>VLS 054A SDD Greenline</v>
      </c>
      <c r="AY55" s="165" t="str">
        <f>IF(LEFT(PQS_tbl[[#This Row],[E]],1)="S",$AS55,"")</f>
        <v/>
      </c>
      <c r="AZ55" s="165" t="str">
        <f>IFERROR(SMALL($AY$7:AY$178,ROWS($AY$7:AY55)),"")</f>
        <v/>
      </c>
      <c r="BA55" s="165" t="str">
        <f>IFERROR(INDEX(PQS_tbl[C],AZ55),"")</f>
        <v/>
      </c>
      <c r="BB55" s="165" t="str">
        <f>IF(AND(LEFT(PQS_tbl[[#This Row],[D]],3)=$BB$6,PQS_tbl[[#This Row],[K]]&gt;0),$AO55,"")</f>
        <v/>
      </c>
    </row>
    <row r="56" spans="1:54" s="178" customFormat="1" x14ac:dyDescent="0.3">
      <c r="A56" s="179" t="s">
        <v>424</v>
      </c>
      <c r="B56" s="62" t="s">
        <v>467</v>
      </c>
      <c r="C56" t="s">
        <v>468</v>
      </c>
      <c r="D56" s="61" t="s">
        <v>469</v>
      </c>
      <c r="E56" s="180" t="s">
        <v>390</v>
      </c>
      <c r="F56" s="180" t="s">
        <v>348</v>
      </c>
      <c r="G56" s="180" t="s">
        <v>349</v>
      </c>
      <c r="H56" s="180" t="s">
        <v>470</v>
      </c>
      <c r="I56" s="63"/>
      <c r="J56" s="63">
        <v>121</v>
      </c>
      <c r="K56" s="63"/>
      <c r="L56" s="63">
        <v>12</v>
      </c>
      <c r="M56" s="63">
        <v>204</v>
      </c>
      <c r="N56" s="181">
        <v>2.29</v>
      </c>
      <c r="O56" s="181"/>
      <c r="P56" s="181"/>
      <c r="Q56" s="63">
        <v>0.38</v>
      </c>
      <c r="R56" s="63"/>
      <c r="S56" s="63"/>
      <c r="T56" s="63">
        <v>410</v>
      </c>
      <c r="U56" s="182">
        <f>T56</f>
        <v>410</v>
      </c>
      <c r="V56" s="183">
        <v>2016</v>
      </c>
      <c r="W56" s="63"/>
      <c r="X56" s="63">
        <v>121</v>
      </c>
      <c r="Y56" s="63"/>
      <c r="Z56" s="63">
        <v>82</v>
      </c>
      <c r="AA56" s="63">
        <v>67</v>
      </c>
      <c r="AB56" s="63">
        <v>63</v>
      </c>
      <c r="AC56" s="63">
        <v>0.5</v>
      </c>
      <c r="AD56" s="184">
        <v>79</v>
      </c>
      <c r="AE56" s="63" t="s">
        <v>312</v>
      </c>
      <c r="AF56" s="185" t="str">
        <f t="shared" si="9"/>
        <v/>
      </c>
      <c r="AG56" s="185">
        <f t="shared" si="9"/>
        <v>3.3884297520661155</v>
      </c>
      <c r="AH56" s="185">
        <f t="shared" si="1"/>
        <v>34.166666666666664</v>
      </c>
      <c r="AI56" s="186" t="str">
        <f t="shared" si="2"/>
        <v/>
      </c>
      <c r="AJ56" s="186" t="str">
        <f t="shared" si="3"/>
        <v/>
      </c>
      <c r="AK56" s="186">
        <f t="shared" si="4"/>
        <v>3.1404958677685949E-3</v>
      </c>
      <c r="AL56" s="186" t="str">
        <f t="shared" si="5"/>
        <v/>
      </c>
      <c r="AM56" s="186">
        <f t="shared" si="6"/>
        <v>3.1666666666666669E-2</v>
      </c>
      <c r="AN56" s="186" t="str">
        <f t="shared" si="7"/>
        <v/>
      </c>
      <c r="AO56" s="165">
        <f t="shared" si="8"/>
        <v>50</v>
      </c>
      <c r="AP56" s="165" t="str">
        <f>IF(AND(LEFT(PQS_tbl[[#This Row],[D]],3)=$AP$6,PQS_tbl[[#This Row],[I]]&gt;0),$AO56,"")</f>
        <v/>
      </c>
      <c r="AQ56" s="165">
        <f>IFERROR(SMALL($AP$7:AP$182,ROWS($AP$7:AP56)),"")</f>
        <v>104</v>
      </c>
      <c r="AR56" s="165" t="str">
        <f>IFERROR(INDEX(PQS_tbl[C],AQ56),"")</f>
        <v>HTCD-160</v>
      </c>
      <c r="AS56" s="165">
        <f>IF(AND(LEFT(PQS_tbl[[#This Row],[D]],3)=$AS$6,PQS_tbl[[#This Row],[I]]=0,PQS_tbl[[#This Row],[J]]&gt;0),$AO56,"")</f>
        <v>50</v>
      </c>
      <c r="AT56" s="165" t="str">
        <f>IFERROR(SMALL($AS$7:AS$178,ROWS($AS$7:AS56)),"")</f>
        <v/>
      </c>
      <c r="AU56" s="165" t="str">
        <f>IFERROR(INDEX(PQS_tbl[C],AT56),"")</f>
        <v/>
      </c>
      <c r="AV56" s="165" t="str">
        <f>IF(LEFT(PQS_tbl[[#This Row],[E]],1)="S",$AP56,"")</f>
        <v/>
      </c>
      <c r="AW56" s="165">
        <f>IFERROR(SMALL($AV$7:AV$178,ROWS($AV$7:AV56)),"")</f>
        <v>154</v>
      </c>
      <c r="AX56" s="165" t="str">
        <f>IFERROR(INDEX(PQS_tbl[C],AW56),"")</f>
        <v>VLS 094A SDD Greenline</v>
      </c>
      <c r="AY56" s="165" t="str">
        <f>IF(LEFT(PQS_tbl[[#This Row],[E]],1)="S",$AS56,"")</f>
        <v/>
      </c>
      <c r="AZ56" s="165" t="str">
        <f>IFERROR(SMALL($AY$7:AY$178,ROWS($AY$7:AY56)),"")</f>
        <v/>
      </c>
      <c r="BA56" s="165" t="str">
        <f>IFERROR(INDEX(PQS_tbl[C],AZ56),"")</f>
        <v/>
      </c>
      <c r="BB56" s="165" t="str">
        <f>IF(AND(LEFT(PQS_tbl[[#This Row],[D]],3)=$BB$6,PQS_tbl[[#This Row],[K]]&gt;0),$AO56,"")</f>
        <v/>
      </c>
    </row>
    <row r="57" spans="1:54" s="178" customFormat="1" x14ac:dyDescent="0.3">
      <c r="A57" s="179" t="s">
        <v>424</v>
      </c>
      <c r="B57" s="62" t="s">
        <v>467</v>
      </c>
      <c r="C57" t="s">
        <v>471</v>
      </c>
      <c r="D57" s="61" t="s">
        <v>472</v>
      </c>
      <c r="E57" s="180" t="s">
        <v>390</v>
      </c>
      <c r="F57" s="180" t="s">
        <v>348</v>
      </c>
      <c r="G57" s="180" t="s">
        <v>349</v>
      </c>
      <c r="H57" s="180" t="s">
        <v>470</v>
      </c>
      <c r="I57" s="63"/>
      <c r="J57" s="63">
        <v>224</v>
      </c>
      <c r="K57" s="63"/>
      <c r="L57" s="63">
        <v>16.8</v>
      </c>
      <c r="M57" s="63">
        <v>495</v>
      </c>
      <c r="N57" s="181">
        <v>4.09</v>
      </c>
      <c r="O57" s="181"/>
      <c r="P57" s="181"/>
      <c r="Q57" s="63">
        <v>4.3600000000000003</v>
      </c>
      <c r="R57" s="63"/>
      <c r="S57" s="63"/>
      <c r="T57" s="63">
        <v>521</v>
      </c>
      <c r="U57" s="182">
        <f>T57</f>
        <v>521</v>
      </c>
      <c r="V57" s="183">
        <v>2016</v>
      </c>
      <c r="W57" s="63"/>
      <c r="X57" s="63">
        <v>298</v>
      </c>
      <c r="Y57" s="63"/>
      <c r="Z57" s="63">
        <v>80</v>
      </c>
      <c r="AA57" s="63">
        <v>124</v>
      </c>
      <c r="AB57" s="63">
        <v>63</v>
      </c>
      <c r="AC57" s="63">
        <v>0.88</v>
      </c>
      <c r="AD57" s="184">
        <v>79</v>
      </c>
      <c r="AE57" s="63" t="s">
        <v>312</v>
      </c>
      <c r="AF57" s="185" t="str">
        <f t="shared" si="9"/>
        <v/>
      </c>
      <c r="AG57" s="185">
        <f t="shared" si="9"/>
        <v>2.3258928571428572</v>
      </c>
      <c r="AH57" s="185">
        <f t="shared" si="1"/>
        <v>31.011904761904759</v>
      </c>
      <c r="AI57" s="186" t="str">
        <f t="shared" si="2"/>
        <v/>
      </c>
      <c r="AJ57" s="186" t="str">
        <f t="shared" si="3"/>
        <v/>
      </c>
      <c r="AK57" s="186">
        <f t="shared" si="4"/>
        <v>1.9464285714285715E-2</v>
      </c>
      <c r="AL57" s="186" t="str">
        <f t="shared" si="5"/>
        <v/>
      </c>
      <c r="AM57" s="186">
        <f t="shared" si="6"/>
        <v>0.25952380952380955</v>
      </c>
      <c r="AN57" s="186" t="str">
        <f t="shared" si="7"/>
        <v/>
      </c>
      <c r="AO57" s="165">
        <f t="shared" si="8"/>
        <v>51</v>
      </c>
      <c r="AP57" s="165" t="str">
        <f>IF(AND(LEFT(PQS_tbl[[#This Row],[D]],3)=$AP$6,PQS_tbl[[#This Row],[I]]&gt;0),$AO57,"")</f>
        <v/>
      </c>
      <c r="AQ57" s="165">
        <f>IFERROR(SMALL($AP$7:AP$182,ROWS($AP$7:AP57)),"")</f>
        <v>105</v>
      </c>
      <c r="AR57" s="165" t="str">
        <f>IFERROR(INDEX(PQS_tbl[C],AQ57),"")</f>
        <v>Dulas VC 110 SDD</v>
      </c>
      <c r="AS57" s="165">
        <f>IF(AND(LEFT(PQS_tbl[[#This Row],[D]],3)=$AS$6,PQS_tbl[[#This Row],[I]]=0,PQS_tbl[[#This Row],[J]]&gt;0),$AO57,"")</f>
        <v>51</v>
      </c>
      <c r="AT57" s="165" t="str">
        <f>IFERROR(SMALL($AS$7:AS$178,ROWS($AS$7:AS57)),"")</f>
        <v/>
      </c>
      <c r="AU57" s="165" t="str">
        <f>IFERROR(INDEX(PQS_tbl[C],AT57),"")</f>
        <v/>
      </c>
      <c r="AV57" s="165" t="str">
        <f>IF(LEFT(PQS_tbl[[#This Row],[E]],1)="S",$AP57,"")</f>
        <v/>
      </c>
      <c r="AW57" s="165">
        <f>IFERROR(SMALL($AV$7:AV$178,ROWS($AV$7:AV57)),"")</f>
        <v>155</v>
      </c>
      <c r="AX57" s="165" t="str">
        <f>IFERROR(INDEX(PQS_tbl[C],AW57),"")</f>
        <v>VLS 154A SDD Greenline</v>
      </c>
      <c r="AY57" s="165" t="str">
        <f>IF(LEFT(PQS_tbl[[#This Row],[E]],1)="S",$AS57,"")</f>
        <v/>
      </c>
      <c r="AZ57" s="165" t="str">
        <f>IFERROR(SMALL($AY$7:AY$178,ROWS($AY$7:AY57)),"")</f>
        <v/>
      </c>
      <c r="BA57" s="165" t="str">
        <f>IFERROR(INDEX(PQS_tbl[C],AZ57),"")</f>
        <v/>
      </c>
      <c r="BB57" s="165" t="str">
        <f>IF(AND(LEFT(PQS_tbl[[#This Row],[D]],3)=$BB$6,PQS_tbl[[#This Row],[K]]&gt;0),$AO57,"")</f>
        <v/>
      </c>
    </row>
    <row r="58" spans="1:54" s="178" customFormat="1" x14ac:dyDescent="0.3">
      <c r="A58" s="179" t="s">
        <v>375</v>
      </c>
      <c r="B58" s="62" t="s">
        <v>463</v>
      </c>
      <c r="C58" t="s">
        <v>473</v>
      </c>
      <c r="D58" s="61" t="s">
        <v>474</v>
      </c>
      <c r="E58" s="180" t="s">
        <v>390</v>
      </c>
      <c r="F58" s="180" t="s">
        <v>348</v>
      </c>
      <c r="G58" s="180" t="s">
        <v>349</v>
      </c>
      <c r="H58" s="180" t="s">
        <v>470</v>
      </c>
      <c r="I58" s="63"/>
      <c r="J58" s="63">
        <v>247</v>
      </c>
      <c r="K58" s="63"/>
      <c r="L58" s="63">
        <v>36</v>
      </c>
      <c r="M58" s="63">
        <v>179</v>
      </c>
      <c r="N58" s="181">
        <v>3.5</v>
      </c>
      <c r="O58" s="181"/>
      <c r="P58" s="181"/>
      <c r="Q58" s="63">
        <v>3.98</v>
      </c>
      <c r="R58" s="63"/>
      <c r="S58" s="63"/>
      <c r="T58" s="63">
        <v>2579</v>
      </c>
      <c r="U58" s="182">
        <f>T58*1.2</f>
        <v>3094.7999999999997</v>
      </c>
      <c r="V58" s="183">
        <v>2016</v>
      </c>
      <c r="W58" s="63"/>
      <c r="X58" s="63">
        <v>290</v>
      </c>
      <c r="Y58" s="63"/>
      <c r="Z58" s="63">
        <v>180.5</v>
      </c>
      <c r="AA58" s="63">
        <v>60</v>
      </c>
      <c r="AB58" s="63">
        <v>70.5</v>
      </c>
      <c r="AC58" s="63">
        <v>1.208</v>
      </c>
      <c r="AD58" s="184">
        <v>143</v>
      </c>
      <c r="AE58" s="63"/>
      <c r="AF58" s="185" t="str">
        <f t="shared" si="9"/>
        <v/>
      </c>
      <c r="AG58" s="185">
        <f t="shared" si="9"/>
        <v>12.529554655870443</v>
      </c>
      <c r="AH58" s="185">
        <f t="shared" si="1"/>
        <v>85.966666666666654</v>
      </c>
      <c r="AI58" s="186" t="str">
        <f t="shared" si="2"/>
        <v/>
      </c>
      <c r="AJ58" s="186" t="str">
        <f t="shared" si="3"/>
        <v/>
      </c>
      <c r="AK58" s="186">
        <f t="shared" si="4"/>
        <v>1.611336032388664E-2</v>
      </c>
      <c r="AL58" s="186" t="str">
        <f t="shared" si="5"/>
        <v/>
      </c>
      <c r="AM58" s="186">
        <f t="shared" si="6"/>
        <v>0.11055555555555556</v>
      </c>
      <c r="AN58" s="186" t="str">
        <f t="shared" si="7"/>
        <v/>
      </c>
      <c r="AO58" s="165">
        <f t="shared" si="8"/>
        <v>52</v>
      </c>
      <c r="AP58" s="165" t="str">
        <f>IF(AND(LEFT(PQS_tbl[[#This Row],[D]],3)=$AP$6,PQS_tbl[[#This Row],[I]]&gt;0),$AO58,"")</f>
        <v/>
      </c>
      <c r="AQ58" s="165">
        <f>IFERROR(SMALL($AP$7:AP$182,ROWS($AP$7:AP58)),"")</f>
        <v>106</v>
      </c>
      <c r="AR58" s="165" t="str">
        <f>IFERROR(INDEX(PQS_tbl[C],AQ58),"")</f>
        <v>Dulas VC88 SDD</v>
      </c>
      <c r="AS58" s="165">
        <f>IF(AND(LEFT(PQS_tbl[[#This Row],[D]],3)=$AS$6,PQS_tbl[[#This Row],[I]]=0,PQS_tbl[[#This Row],[J]]&gt;0),$AO58,"")</f>
        <v>52</v>
      </c>
      <c r="AT58" s="165" t="str">
        <f>IFERROR(SMALL($AS$7:AS$178,ROWS($AS$7:AS58)),"")</f>
        <v/>
      </c>
      <c r="AU58" s="165" t="str">
        <f>IFERROR(INDEX(PQS_tbl[C],AT58),"")</f>
        <v/>
      </c>
      <c r="AV58" s="165" t="str">
        <f>IF(LEFT(PQS_tbl[[#This Row],[E]],1)="S",$AP58,"")</f>
        <v/>
      </c>
      <c r="AW58" s="165">
        <f>IFERROR(SMALL($AV$7:AV$178,ROWS($AV$7:AV58)),"")</f>
        <v>163</v>
      </c>
      <c r="AX58" s="165" t="str">
        <f>IFERROR(INDEX(PQS_tbl[C],AW58),"")</f>
        <v>HTC-120</v>
      </c>
      <c r="AY58" s="165" t="str">
        <f>IF(LEFT(PQS_tbl[[#This Row],[E]],1)="S",$AS58,"")</f>
        <v/>
      </c>
      <c r="AZ58" s="165" t="str">
        <f>IFERROR(SMALL($AY$7:AY$178,ROWS($AY$7:AY58)),"")</f>
        <v/>
      </c>
      <c r="BA58" s="165" t="str">
        <f>IFERROR(INDEX(PQS_tbl[C],AZ58),"")</f>
        <v/>
      </c>
      <c r="BB58" s="165" t="str">
        <f>IF(AND(LEFT(PQS_tbl[[#This Row],[D]],3)=$BB$6,PQS_tbl[[#This Row],[K]]&gt;0),$AO58,"")</f>
        <v/>
      </c>
    </row>
    <row r="59" spans="1:54" s="178" customFormat="1" x14ac:dyDescent="0.3">
      <c r="A59" s="179" t="s">
        <v>344</v>
      </c>
      <c r="B59" s="62" t="s">
        <v>467</v>
      </c>
      <c r="C59" t="s">
        <v>475</v>
      </c>
      <c r="D59" s="61" t="s">
        <v>476</v>
      </c>
      <c r="E59" s="180" t="s">
        <v>363</v>
      </c>
      <c r="F59" s="180" t="s">
        <v>348</v>
      </c>
      <c r="G59" s="180" t="s">
        <v>349</v>
      </c>
      <c r="H59" s="180" t="s">
        <v>477</v>
      </c>
      <c r="I59" s="63">
        <v>45</v>
      </c>
      <c r="J59" s="63"/>
      <c r="K59" s="63"/>
      <c r="L59" s="63"/>
      <c r="M59" s="63"/>
      <c r="N59" s="181">
        <v>27.18</v>
      </c>
      <c r="O59" s="181"/>
      <c r="P59" s="181"/>
      <c r="Q59" s="63">
        <v>0.64</v>
      </c>
      <c r="R59" s="63"/>
      <c r="S59" s="63"/>
      <c r="T59" s="63">
        <v>510</v>
      </c>
      <c r="U59" s="182">
        <f>T59</f>
        <v>510</v>
      </c>
      <c r="V59" s="183">
        <v>2016</v>
      </c>
      <c r="W59" s="63">
        <v>71</v>
      </c>
      <c r="X59" s="63"/>
      <c r="Y59" s="63"/>
      <c r="Z59" s="63">
        <v>81.8</v>
      </c>
      <c r="AA59" s="63">
        <v>67.3</v>
      </c>
      <c r="AB59" s="63">
        <v>66.3</v>
      </c>
      <c r="AC59" s="63">
        <v>0.56000000000000005</v>
      </c>
      <c r="AD59" s="184">
        <v>64</v>
      </c>
      <c r="AE59" s="63"/>
      <c r="AF59" s="185">
        <f t="shared" si="9"/>
        <v>11.333333333333334</v>
      </c>
      <c r="AG59" s="185" t="str">
        <f t="shared" si="9"/>
        <v/>
      </c>
      <c r="AH59" s="185" t="str">
        <f t="shared" si="1"/>
        <v/>
      </c>
      <c r="AI59" s="186">
        <f t="shared" si="2"/>
        <v>1.4222222222222223E-2</v>
      </c>
      <c r="AJ59" s="186" t="str">
        <f t="shared" si="3"/>
        <v/>
      </c>
      <c r="AK59" s="186" t="str">
        <f t="shared" si="4"/>
        <v/>
      </c>
      <c r="AL59" s="186" t="str">
        <f t="shared" si="5"/>
        <v/>
      </c>
      <c r="AM59" s="186" t="str">
        <f t="shared" si="6"/>
        <v/>
      </c>
      <c r="AN59" s="186" t="str">
        <f t="shared" si="7"/>
        <v/>
      </c>
      <c r="AO59" s="165">
        <f t="shared" si="8"/>
        <v>53</v>
      </c>
      <c r="AP59" s="165">
        <f>IF(AND(LEFT(PQS_tbl[[#This Row],[D]],3)=$AP$6,PQS_tbl[[#This Row],[I]]&gt;0),$AO59,"")</f>
        <v>53</v>
      </c>
      <c r="AQ59" s="165">
        <f>IFERROR(SMALL($AP$7:AP$182,ROWS($AP$7:AP59)),"")</f>
        <v>109</v>
      </c>
      <c r="AR59" s="165" t="str">
        <f>IFERROR(INDEX(PQS_tbl[C],AQ59),"")</f>
        <v>VLS 200A Greenline</v>
      </c>
      <c r="AS59" s="165" t="str">
        <f>IF(AND(LEFT(PQS_tbl[[#This Row],[D]],3)=$AS$6,PQS_tbl[[#This Row],[I]]=0,PQS_tbl[[#This Row],[J]]&gt;0),$AO59,"")</f>
        <v/>
      </c>
      <c r="AT59" s="165" t="str">
        <f>IFERROR(SMALL($AS$7:AS$178,ROWS($AS$7:AS59)),"")</f>
        <v/>
      </c>
      <c r="AU59" s="165" t="str">
        <f>IFERROR(INDEX(PQS_tbl[C],AT59),"")</f>
        <v/>
      </c>
      <c r="AV59" s="165" t="str">
        <f>IF(LEFT(PQS_tbl[[#This Row],[E]],1)="S",$AP59,"")</f>
        <v/>
      </c>
      <c r="AW59" s="165">
        <f>IFERROR(SMALL($AV$7:AV$178,ROWS($AV$7:AV59)),"")</f>
        <v>164</v>
      </c>
      <c r="AX59" s="165" t="str">
        <f>IFERROR(INDEX(PQS_tbl[C],AW59),"")</f>
        <v>HTC-240</v>
      </c>
      <c r="AY59" s="165" t="str">
        <f>IF(LEFT(PQS_tbl[[#This Row],[E]],1)="S",$AS59,"")</f>
        <v/>
      </c>
      <c r="AZ59" s="165" t="str">
        <f>IFERROR(SMALL($AY$7:AY$178,ROWS($AY$7:AY59)),"")</f>
        <v/>
      </c>
      <c r="BA59" s="165" t="str">
        <f>IFERROR(INDEX(PQS_tbl[C],AZ59),"")</f>
        <v/>
      </c>
      <c r="BB59" s="165" t="str">
        <f>IF(AND(LEFT(PQS_tbl[[#This Row],[D]],3)=$BB$6,PQS_tbl[[#This Row],[K]]&gt;0),$AO59,"")</f>
        <v/>
      </c>
    </row>
    <row r="60" spans="1:54" s="178" customFormat="1" x14ac:dyDescent="0.3">
      <c r="A60" s="179" t="s">
        <v>344</v>
      </c>
      <c r="B60" s="62" t="s">
        <v>467</v>
      </c>
      <c r="C60" t="s">
        <v>478</v>
      </c>
      <c r="D60" s="61" t="s">
        <v>479</v>
      </c>
      <c r="E60" s="180" t="s">
        <v>363</v>
      </c>
      <c r="F60" s="180" t="s">
        <v>348</v>
      </c>
      <c r="G60" s="180" t="s">
        <v>349</v>
      </c>
      <c r="H60" s="180" t="s">
        <v>477</v>
      </c>
      <c r="I60" s="63">
        <v>90</v>
      </c>
      <c r="J60" s="63"/>
      <c r="K60" s="63"/>
      <c r="L60" s="63"/>
      <c r="M60" s="63"/>
      <c r="N60" s="181">
        <v>31.23</v>
      </c>
      <c r="O60" s="181"/>
      <c r="P60" s="181"/>
      <c r="Q60" s="63">
        <v>1.34</v>
      </c>
      <c r="R60" s="63"/>
      <c r="S60" s="63"/>
      <c r="T60" s="63">
        <v>688</v>
      </c>
      <c r="U60" s="182">
        <f>T60</f>
        <v>688</v>
      </c>
      <c r="V60" s="183">
        <v>2016</v>
      </c>
      <c r="W60" s="63">
        <v>198</v>
      </c>
      <c r="X60" s="63"/>
      <c r="Y60" s="63"/>
      <c r="Z60" s="63">
        <v>81.8</v>
      </c>
      <c r="AA60" s="63">
        <v>124.3</v>
      </c>
      <c r="AB60" s="63">
        <v>63</v>
      </c>
      <c r="AC60" s="63">
        <v>0.91</v>
      </c>
      <c r="AD60" s="184">
        <v>108</v>
      </c>
      <c r="AE60" s="63"/>
      <c r="AF60" s="185">
        <f t="shared" si="9"/>
        <v>7.6444444444444448</v>
      </c>
      <c r="AG60" s="185" t="str">
        <f t="shared" si="9"/>
        <v/>
      </c>
      <c r="AH60" s="185" t="str">
        <f t="shared" si="1"/>
        <v/>
      </c>
      <c r="AI60" s="186">
        <f t="shared" si="2"/>
        <v>1.4888888888888889E-2</v>
      </c>
      <c r="AJ60" s="186" t="str">
        <f t="shared" si="3"/>
        <v/>
      </c>
      <c r="AK60" s="186" t="str">
        <f t="shared" si="4"/>
        <v/>
      </c>
      <c r="AL60" s="186" t="str">
        <f t="shared" si="5"/>
        <v/>
      </c>
      <c r="AM60" s="186" t="str">
        <f t="shared" si="6"/>
        <v/>
      </c>
      <c r="AN60" s="186" t="str">
        <f t="shared" si="7"/>
        <v/>
      </c>
      <c r="AO60" s="165">
        <f t="shared" si="8"/>
        <v>54</v>
      </c>
      <c r="AP60" s="165">
        <f>IF(AND(LEFT(PQS_tbl[[#This Row],[D]],3)=$AP$6,PQS_tbl[[#This Row],[I]]&gt;0),$AO60,"")</f>
        <v>54</v>
      </c>
      <c r="AQ60" s="165">
        <f>IFERROR(SMALL($AP$7:AP$182,ROWS($AP$7:AP60)),"")</f>
        <v>110</v>
      </c>
      <c r="AR60" s="165" t="str">
        <f>IFERROR(INDEX(PQS_tbl[C],AQ60),"")</f>
        <v>VLS 300A Greenline</v>
      </c>
      <c r="AS60" s="165" t="str">
        <f>IF(AND(LEFT(PQS_tbl[[#This Row],[D]],3)=$AS$6,PQS_tbl[[#This Row],[I]]=0,PQS_tbl[[#This Row],[J]]&gt;0),$AO60,"")</f>
        <v/>
      </c>
      <c r="AT60" s="165" t="str">
        <f>IFERROR(SMALL($AS$7:AS$178,ROWS($AS$7:AS60)),"")</f>
        <v/>
      </c>
      <c r="AU60" s="165" t="str">
        <f>IFERROR(INDEX(PQS_tbl[C],AT60),"")</f>
        <v/>
      </c>
      <c r="AV60" s="165" t="str">
        <f>IF(LEFT(PQS_tbl[[#This Row],[E]],1)="S",$AP60,"")</f>
        <v/>
      </c>
      <c r="AW60" s="165">
        <f>IFERROR(SMALL($AV$7:AV$178,ROWS($AV$7:AV60)),"")</f>
        <v>165</v>
      </c>
      <c r="AX60" s="165" t="str">
        <f>IFERROR(INDEX(PQS_tbl[C],AW60),"")</f>
        <v>ARKTEK YBC-10 SDD</v>
      </c>
      <c r="AY60" s="165" t="str">
        <f>IF(LEFT(PQS_tbl[[#This Row],[E]],1)="S",$AS60,"")</f>
        <v/>
      </c>
      <c r="AZ60" s="165" t="str">
        <f>IFERROR(SMALL($AY$7:AY$178,ROWS($AY$7:AY60)),"")</f>
        <v/>
      </c>
      <c r="BA60" s="165" t="str">
        <f>IFERROR(INDEX(PQS_tbl[C],AZ60),"")</f>
        <v/>
      </c>
      <c r="BB60" s="165" t="str">
        <f>IF(AND(LEFT(PQS_tbl[[#This Row],[D]],3)=$BB$6,PQS_tbl[[#This Row],[K]]&gt;0),$AO60,"")</f>
        <v/>
      </c>
    </row>
    <row r="61" spans="1:54" s="178" customFormat="1" x14ac:dyDescent="0.3">
      <c r="A61" s="179" t="s">
        <v>344</v>
      </c>
      <c r="B61" s="62" t="s">
        <v>360</v>
      </c>
      <c r="C61" t="s">
        <v>480</v>
      </c>
      <c r="D61" s="61" t="s">
        <v>481</v>
      </c>
      <c r="E61" s="180" t="s">
        <v>363</v>
      </c>
      <c r="F61" s="180" t="s">
        <v>348</v>
      </c>
      <c r="G61" s="180" t="s">
        <v>349</v>
      </c>
      <c r="H61" s="180" t="s">
        <v>477</v>
      </c>
      <c r="I61" s="63">
        <v>105</v>
      </c>
      <c r="J61" s="63"/>
      <c r="K61" s="63"/>
      <c r="L61" s="63"/>
      <c r="M61" s="63"/>
      <c r="N61" s="181">
        <v>25.66</v>
      </c>
      <c r="O61" s="181"/>
      <c r="P61" s="181"/>
      <c r="Q61" s="63">
        <v>3.2</v>
      </c>
      <c r="R61" s="63"/>
      <c r="S61" s="63"/>
      <c r="T61" s="63">
        <v>793</v>
      </c>
      <c r="U61" s="182">
        <f t="shared" ref="U61:U66" si="10">T61*1.2</f>
        <v>951.59999999999991</v>
      </c>
      <c r="V61" s="183">
        <v>2016</v>
      </c>
      <c r="W61" s="63">
        <v>218</v>
      </c>
      <c r="X61" s="63"/>
      <c r="Y61" s="63"/>
      <c r="Z61" s="63">
        <v>84</v>
      </c>
      <c r="AA61" s="63">
        <v>69</v>
      </c>
      <c r="AB61" s="63">
        <v>126</v>
      </c>
      <c r="AC61" s="63">
        <v>1.02</v>
      </c>
      <c r="AD61" s="184">
        <v>126</v>
      </c>
      <c r="AE61" s="63"/>
      <c r="AF61" s="185">
        <f t="shared" si="9"/>
        <v>9.0628571428571423</v>
      </c>
      <c r="AG61" s="185" t="str">
        <f t="shared" si="9"/>
        <v/>
      </c>
      <c r="AH61" s="185" t="str">
        <f t="shared" si="1"/>
        <v/>
      </c>
      <c r="AI61" s="186">
        <f t="shared" si="2"/>
        <v>3.0476190476190476E-2</v>
      </c>
      <c r="AJ61" s="186" t="str">
        <f t="shared" si="3"/>
        <v/>
      </c>
      <c r="AK61" s="186" t="str">
        <f t="shared" si="4"/>
        <v/>
      </c>
      <c r="AL61" s="186" t="str">
        <f t="shared" si="5"/>
        <v/>
      </c>
      <c r="AM61" s="186" t="str">
        <f t="shared" si="6"/>
        <v/>
      </c>
      <c r="AN61" s="186" t="str">
        <f t="shared" si="7"/>
        <v/>
      </c>
      <c r="AO61" s="165">
        <f t="shared" si="8"/>
        <v>55</v>
      </c>
      <c r="AP61" s="165">
        <f>IF(AND(LEFT(PQS_tbl[[#This Row],[D]],3)=$AP$6,PQS_tbl[[#This Row],[I]]&gt;0),$AO61,"")</f>
        <v>55</v>
      </c>
      <c r="AQ61" s="165">
        <f>IFERROR(SMALL($AP$7:AP$182,ROWS($AP$7:AP61)),"")</f>
        <v>111</v>
      </c>
      <c r="AR61" s="165" t="str">
        <f>IFERROR(INDEX(PQS_tbl[C],AQ61),"")</f>
        <v>VLS 350A Greenline</v>
      </c>
      <c r="AS61" s="165" t="str">
        <f>IF(AND(LEFT(PQS_tbl[[#This Row],[D]],3)=$AS$6,PQS_tbl[[#This Row],[I]]=0,PQS_tbl[[#This Row],[J]]&gt;0),$AO61,"")</f>
        <v/>
      </c>
      <c r="AT61" s="165" t="str">
        <f>IFERROR(SMALL($AS$7:AS$178,ROWS($AS$7:AS61)),"")</f>
        <v/>
      </c>
      <c r="AU61" s="165" t="str">
        <f>IFERROR(INDEX(PQS_tbl[C],AT61),"")</f>
        <v/>
      </c>
      <c r="AV61" s="165" t="str">
        <f>IF(LEFT(PQS_tbl[[#This Row],[E]],1)="S",$AP61,"")</f>
        <v/>
      </c>
      <c r="AW61" s="165">
        <f>IFERROR(SMALL($AV$7:AV$178,ROWS($AV$7:AV61)),"")</f>
        <v>166</v>
      </c>
      <c r="AX61" s="165" t="str">
        <f>IFERROR(INDEX(PQS_tbl[C],AW61),"")</f>
        <v>VLS 076 SDD</v>
      </c>
      <c r="AY61" s="165" t="str">
        <f>IF(LEFT(PQS_tbl[[#This Row],[E]],1)="S",$AS61,"")</f>
        <v/>
      </c>
      <c r="AZ61" s="165" t="str">
        <f>IFERROR(SMALL($AY$7:AY$178,ROWS($AY$7:AY61)),"")</f>
        <v/>
      </c>
      <c r="BA61" s="165" t="str">
        <f>IFERROR(INDEX(PQS_tbl[C],AZ61),"")</f>
        <v/>
      </c>
      <c r="BB61" s="165" t="str">
        <f>IF(AND(LEFT(PQS_tbl[[#This Row],[D]],3)=$BB$6,PQS_tbl[[#This Row],[K]]&gt;0),$AO61,"")</f>
        <v/>
      </c>
    </row>
    <row r="62" spans="1:54" s="178" customFormat="1" x14ac:dyDescent="0.3">
      <c r="A62" s="179" t="s">
        <v>462</v>
      </c>
      <c r="B62" s="62" t="s">
        <v>463</v>
      </c>
      <c r="C62" t="s">
        <v>482</v>
      </c>
      <c r="D62" s="61" t="s">
        <v>483</v>
      </c>
      <c r="E62" s="180" t="s">
        <v>484</v>
      </c>
      <c r="F62" s="180" t="s">
        <v>348</v>
      </c>
      <c r="G62" s="180" t="s">
        <v>349</v>
      </c>
      <c r="H62" s="180" t="s">
        <v>466</v>
      </c>
      <c r="I62" s="63">
        <v>109.5</v>
      </c>
      <c r="J62" s="63">
        <f>80*0.6</f>
        <v>48</v>
      </c>
      <c r="K62" s="63"/>
      <c r="L62" s="63">
        <v>3.4</v>
      </c>
      <c r="M62" s="63">
        <v>80</v>
      </c>
      <c r="N62" s="181">
        <v>23.4</v>
      </c>
      <c r="O62" s="181"/>
      <c r="P62" s="181"/>
      <c r="Q62" s="63">
        <v>1.82</v>
      </c>
      <c r="R62" s="63"/>
      <c r="S62" s="63"/>
      <c r="T62" s="63">
        <v>2719</v>
      </c>
      <c r="U62" s="182">
        <f t="shared" si="10"/>
        <v>3262.7999999999997</v>
      </c>
      <c r="V62" s="183">
        <v>2016</v>
      </c>
      <c r="W62" s="63">
        <v>204</v>
      </c>
      <c r="X62" s="63"/>
      <c r="Y62" s="63"/>
      <c r="Z62" s="63">
        <v>90.5</v>
      </c>
      <c r="AA62" s="63">
        <v>126</v>
      </c>
      <c r="AB62" s="63">
        <v>82.5</v>
      </c>
      <c r="AC62" s="63">
        <v>1.05</v>
      </c>
      <c r="AD62" s="184">
        <v>125</v>
      </c>
      <c r="AE62" s="63" t="s">
        <v>312</v>
      </c>
      <c r="AF62" s="185">
        <f t="shared" si="9"/>
        <v>29.797260273972601</v>
      </c>
      <c r="AG62" s="185">
        <f t="shared" si="9"/>
        <v>67.974999999999994</v>
      </c>
      <c r="AH62" s="185">
        <f t="shared" si="1"/>
        <v>959.64705882352939</v>
      </c>
      <c r="AI62" s="186">
        <f t="shared" si="2"/>
        <v>1.6621004566210046E-2</v>
      </c>
      <c r="AJ62" s="186" t="str">
        <f t="shared" si="3"/>
        <v/>
      </c>
      <c r="AK62" s="186">
        <f t="shared" si="4"/>
        <v>3.7916666666666668E-2</v>
      </c>
      <c r="AL62" s="186" t="str">
        <f t="shared" si="5"/>
        <v/>
      </c>
      <c r="AM62" s="186">
        <f t="shared" si="6"/>
        <v>0.53529411764705881</v>
      </c>
      <c r="AN62" s="186" t="str">
        <f t="shared" si="7"/>
        <v/>
      </c>
      <c r="AO62" s="165">
        <f t="shared" si="8"/>
        <v>56</v>
      </c>
      <c r="AP62" s="165">
        <f>IF(AND(LEFT(PQS_tbl[[#This Row],[D]],3)=$AP$6,PQS_tbl[[#This Row],[I]]&gt;0),$AO62,"")</f>
        <v>56</v>
      </c>
      <c r="AQ62" s="165">
        <f>IFERROR(SMALL($AP$7:AP$182,ROWS($AP$7:AP62)),"")</f>
        <v>112</v>
      </c>
      <c r="AR62" s="165" t="str">
        <f>IFERROR(INDEX(PQS_tbl[C],AQ62),"")</f>
        <v>VLS 400A Greenline</v>
      </c>
      <c r="AS62" s="165" t="str">
        <f>IF(AND(LEFT(PQS_tbl[[#This Row],[D]],3)=$AS$6,PQS_tbl[[#This Row],[I]]=0,PQS_tbl[[#This Row],[J]]&gt;0),$AO62,"")</f>
        <v/>
      </c>
      <c r="AT62" s="165" t="str">
        <f>IFERROR(SMALL($AS$7:AS$178,ROWS($AS$7:AS62)),"")</f>
        <v/>
      </c>
      <c r="AU62" s="165" t="str">
        <f>IFERROR(INDEX(PQS_tbl[C],AT62),"")</f>
        <v/>
      </c>
      <c r="AV62" s="165">
        <f>IF(LEFT(PQS_tbl[[#This Row],[E]],1)="S",$AP62,"")</f>
        <v>56</v>
      </c>
      <c r="AW62" s="165">
        <f>IFERROR(SMALL($AV$7:AV$178,ROWS($AV$7:AV62)),"")</f>
        <v>168</v>
      </c>
      <c r="AX62" s="165" t="str">
        <f>IFERROR(INDEX(PQS_tbl[C],AW62),"")</f>
        <v>TCW 80-SDD</v>
      </c>
      <c r="AY62" s="165" t="str">
        <f>IF(LEFT(PQS_tbl[[#This Row],[E]],1)="S",$AS62,"")</f>
        <v/>
      </c>
      <c r="AZ62" s="165" t="str">
        <f>IFERROR(SMALL($AY$7:AY$178,ROWS($AY$7:AY62)),"")</f>
        <v/>
      </c>
      <c r="BA62" s="165" t="str">
        <f>IFERROR(INDEX(PQS_tbl[C],AZ62),"")</f>
        <v/>
      </c>
      <c r="BB62" s="165" t="str">
        <f>IF(AND(LEFT(PQS_tbl[[#This Row],[D]],3)=$BB$6,PQS_tbl[[#This Row],[K]]&gt;0),$AO62,"")</f>
        <v/>
      </c>
    </row>
    <row r="63" spans="1:54" s="178" customFormat="1" x14ac:dyDescent="0.3">
      <c r="A63" s="179" t="s">
        <v>485</v>
      </c>
      <c r="B63" s="62" t="s">
        <v>360</v>
      </c>
      <c r="C63" t="s">
        <v>486</v>
      </c>
      <c r="D63" s="61" t="s">
        <v>487</v>
      </c>
      <c r="E63" s="180" t="s">
        <v>488</v>
      </c>
      <c r="F63" s="180" t="s">
        <v>489</v>
      </c>
      <c r="G63" s="180" t="s">
        <v>339</v>
      </c>
      <c r="H63" s="180" t="s">
        <v>477</v>
      </c>
      <c r="I63" s="63">
        <v>19.5</v>
      </c>
      <c r="J63" s="63"/>
      <c r="K63" s="63"/>
      <c r="L63" s="63"/>
      <c r="M63" s="63"/>
      <c r="N63" s="181">
        <v>114</v>
      </c>
      <c r="O63" s="181"/>
      <c r="P63" s="181"/>
      <c r="Q63" s="63">
        <v>0.51</v>
      </c>
      <c r="R63" s="63"/>
      <c r="S63" s="63"/>
      <c r="T63" s="63">
        <v>2318</v>
      </c>
      <c r="U63" s="182">
        <f t="shared" si="10"/>
        <v>2781.6</v>
      </c>
      <c r="V63" s="183">
        <v>2016</v>
      </c>
      <c r="W63" s="63">
        <v>48</v>
      </c>
      <c r="X63" s="63"/>
      <c r="Y63" s="63"/>
      <c r="Z63" s="63">
        <v>87.6</v>
      </c>
      <c r="AA63" s="63">
        <v>72.7</v>
      </c>
      <c r="AB63" s="63">
        <v>69.7</v>
      </c>
      <c r="AC63" s="63">
        <v>0.65</v>
      </c>
      <c r="AD63" s="184">
        <v>88</v>
      </c>
      <c r="AE63" s="63"/>
      <c r="AF63" s="185">
        <f>IF(I63="","",$U63/I63)</f>
        <v>142.64615384615385</v>
      </c>
      <c r="AG63" s="185" t="str">
        <f>IF(J63="","",$U63/J63)</f>
        <v/>
      </c>
      <c r="AH63" s="185" t="str">
        <f>IF(L63="","",$U63/L63)</f>
        <v/>
      </c>
      <c r="AI63" s="186">
        <f>IF(OR(I63="",Q63=""),"",Q63/I63)</f>
        <v>2.6153846153846156E-2</v>
      </c>
      <c r="AJ63" s="186" t="str">
        <f>IF(OR(I63="",S63=""),"",S63/I63)</f>
        <v/>
      </c>
      <c r="AK63" s="186" t="str">
        <f>IF(OR(J63="",Q63=""),"",Q63/J63)</f>
        <v/>
      </c>
      <c r="AL63" s="186" t="str">
        <f>IF(OR(J63="",S63=""),"",S63/J63)</f>
        <v/>
      </c>
      <c r="AM63" s="186" t="str">
        <f>IF(OR(L63="",Q63=""),"",Q63/L63)</f>
        <v/>
      </c>
      <c r="AN63" s="186" t="str">
        <f>IF(OR(L63="",S63=""),"",S63/L63)</f>
        <v/>
      </c>
      <c r="AO63" s="165">
        <f t="shared" si="8"/>
        <v>57</v>
      </c>
      <c r="AP63" s="165">
        <f>IF(AND(LEFT(PQS_tbl[[#This Row],[D]],3)=$AP$6,PQS_tbl[[#This Row],[I]]&gt;0),$AO63,"")</f>
        <v>57</v>
      </c>
      <c r="AQ63" s="165">
        <f>IFERROR(SMALL($AP$7:AP$182,ROWS($AP$7:AP63)),"")</f>
        <v>113</v>
      </c>
      <c r="AR63" s="165" t="str">
        <f>IFERROR(INDEX(PQS_tbl[C],AQ63),"")</f>
        <v>TCW 4000 AC</v>
      </c>
      <c r="AS63" s="165" t="str">
        <f>IF(AND(LEFT(PQS_tbl[[#This Row],[D]],3)=$AS$6,PQS_tbl[[#This Row],[I]]=0,PQS_tbl[[#This Row],[J]]&gt;0),$AO63,"")</f>
        <v/>
      </c>
      <c r="AT63" s="165" t="str">
        <f>IFERROR(SMALL($AS$7:AS$178,ROWS($AS$7:AS63)),"")</f>
        <v/>
      </c>
      <c r="AU63" s="165" t="str">
        <f>IFERROR(INDEX(PQS_tbl[C],AT63),"")</f>
        <v/>
      </c>
      <c r="AV63" s="165">
        <f>IF(LEFT(PQS_tbl[[#This Row],[E]],1)="S",$AP63,"")</f>
        <v>57</v>
      </c>
      <c r="AW63" s="165" t="str">
        <f>IFERROR(SMALL($AV$7:AV$178,ROWS($AV$7:AV63)),"")</f>
        <v/>
      </c>
      <c r="AX63" s="165" t="str">
        <f>IFERROR(INDEX(PQS_tbl[C],AW63),"")</f>
        <v/>
      </c>
      <c r="AY63" s="165" t="str">
        <f>IF(LEFT(PQS_tbl[[#This Row],[E]],1)="S",$AS63,"")</f>
        <v/>
      </c>
      <c r="AZ63" s="165" t="str">
        <f>IFERROR(SMALL($AY$7:AY$178,ROWS($AY$7:AY63)),"")</f>
        <v/>
      </c>
      <c r="BA63" s="165" t="str">
        <f>IFERROR(INDEX(PQS_tbl[C],AZ63),"")</f>
        <v/>
      </c>
      <c r="BB63" s="165" t="str">
        <f>IF(AND(LEFT(PQS_tbl[[#This Row],[D]],3)=$BB$6,PQS_tbl[[#This Row],[K]]&gt;0),$AO63,"")</f>
        <v/>
      </c>
    </row>
    <row r="64" spans="1:54" s="178" customFormat="1" x14ac:dyDescent="0.3">
      <c r="A64" s="179" t="s">
        <v>490</v>
      </c>
      <c r="B64" s="62" t="s">
        <v>360</v>
      </c>
      <c r="C64" t="s">
        <v>491</v>
      </c>
      <c r="D64" s="61" t="s">
        <v>492</v>
      </c>
      <c r="E64" s="180" t="s">
        <v>347</v>
      </c>
      <c r="F64" s="180" t="s">
        <v>348</v>
      </c>
      <c r="G64" s="180" t="s">
        <v>339</v>
      </c>
      <c r="H64" s="180" t="s">
        <v>477</v>
      </c>
      <c r="I64" s="63">
        <v>16</v>
      </c>
      <c r="J64" s="63">
        <f>9*0.6</f>
        <v>5.3999999999999995</v>
      </c>
      <c r="K64" s="63"/>
      <c r="L64" s="63">
        <v>1.6</v>
      </c>
      <c r="M64" s="63">
        <v>9</v>
      </c>
      <c r="N64" s="181">
        <v>52.54</v>
      </c>
      <c r="O64" s="181"/>
      <c r="P64" s="181"/>
      <c r="Q64" s="63">
        <v>3.46</v>
      </c>
      <c r="R64" s="63"/>
      <c r="S64" s="63"/>
      <c r="T64" s="63">
        <v>725</v>
      </c>
      <c r="U64" s="182">
        <f t="shared" si="10"/>
        <v>870</v>
      </c>
      <c r="V64" s="183">
        <v>2016</v>
      </c>
      <c r="W64" s="63">
        <v>54</v>
      </c>
      <c r="X64" s="63">
        <v>10</v>
      </c>
      <c r="Y64" s="63"/>
      <c r="Z64" s="63">
        <v>84</v>
      </c>
      <c r="AA64" s="63">
        <v>70</v>
      </c>
      <c r="AB64" s="63">
        <v>72</v>
      </c>
      <c r="AC64" s="63">
        <v>0.65</v>
      </c>
      <c r="AD64" s="184">
        <v>90</v>
      </c>
      <c r="AE64" s="63"/>
      <c r="AF64" s="185">
        <f>IF(I64="","",$U64/I64)</f>
        <v>54.375</v>
      </c>
      <c r="AG64" s="185">
        <f>IF(J64="","",$U64/J64)</f>
        <v>161.11111111111111</v>
      </c>
      <c r="AH64" s="185">
        <f>IF(L64="","",$U64/L64)</f>
        <v>543.75</v>
      </c>
      <c r="AI64" s="186">
        <f>IF(OR(I64="",Q64=""),"",Q64/I64)</f>
        <v>0.21625</v>
      </c>
      <c r="AJ64" s="186" t="str">
        <f>IF(OR(I64="",S64=""),"",S64/I64)</f>
        <v/>
      </c>
      <c r="AK64" s="186">
        <f>IF(OR(J64="",Q64=""),"",Q64/J64)</f>
        <v>0.64074074074074083</v>
      </c>
      <c r="AL64" s="186" t="str">
        <f>IF(OR(J64="",S64=""),"",S64/J64)</f>
        <v/>
      </c>
      <c r="AM64" s="186">
        <f>IF(OR(L64="",Q64=""),"",Q64/L64)</f>
        <v>2.1624999999999996</v>
      </c>
      <c r="AN64" s="186" t="str">
        <f>IF(OR(L64="",S64=""),"",S64/L64)</f>
        <v/>
      </c>
      <c r="AO64" s="165">
        <f t="shared" si="8"/>
        <v>58</v>
      </c>
      <c r="AP64" s="165">
        <f>IF(AND(LEFT(PQS_tbl[[#This Row],[D]],3)=$AP$6,PQS_tbl[[#This Row],[I]]&gt;0),$AO64,"")</f>
        <v>58</v>
      </c>
      <c r="AQ64" s="165">
        <f>IFERROR(SMALL($AP$7:AP$182,ROWS($AP$7:AP64)),"")</f>
        <v>114</v>
      </c>
      <c r="AR64" s="165" t="str">
        <f>IFERROR(INDEX(PQS_tbl[C],AQ64),"")</f>
        <v>TCW 15R SDD</v>
      </c>
      <c r="AS64" s="165" t="str">
        <f>IF(AND(LEFT(PQS_tbl[[#This Row],[D]],3)=$AS$6,PQS_tbl[[#This Row],[I]]=0,PQS_tbl[[#This Row],[J]]&gt;0),$AO64,"")</f>
        <v/>
      </c>
      <c r="AT64" s="165" t="str">
        <f>IFERROR(SMALL($AS$7:AS$178,ROWS($AS$7:AS64)),"")</f>
        <v/>
      </c>
      <c r="AU64" s="165" t="str">
        <f>IFERROR(INDEX(PQS_tbl[C],AT64),"")</f>
        <v/>
      </c>
      <c r="AV64" s="165" t="str">
        <f>IF(LEFT(PQS_tbl[[#This Row],[E]],1)="S",$AP64,"")</f>
        <v/>
      </c>
      <c r="AW64" s="165" t="str">
        <f>IFERROR(SMALL($AV$7:AV$178,ROWS($AV$7:AV64)),"")</f>
        <v/>
      </c>
      <c r="AX64" s="165" t="str">
        <f>IFERROR(INDEX(PQS_tbl[C],AW64),"")</f>
        <v/>
      </c>
      <c r="AY64" s="165" t="str">
        <f>IF(LEFT(PQS_tbl[[#This Row],[E]],1)="S",$AS64,"")</f>
        <v/>
      </c>
      <c r="AZ64" s="165" t="str">
        <f>IFERROR(SMALL($AY$7:AY$178,ROWS($AY$7:AY64)),"")</f>
        <v/>
      </c>
      <c r="BA64" s="165" t="str">
        <f>IFERROR(INDEX(PQS_tbl[C],AZ64),"")</f>
        <v/>
      </c>
      <c r="BB64" s="165" t="str">
        <f>IF(AND(LEFT(PQS_tbl[[#This Row],[D]],3)=$BB$6,PQS_tbl[[#This Row],[K]]&gt;0),$AO64,"")</f>
        <v/>
      </c>
    </row>
    <row r="65" spans="1:54" s="178" customFormat="1" x14ac:dyDescent="0.3">
      <c r="A65" s="179" t="s">
        <v>344</v>
      </c>
      <c r="B65" s="62" t="s">
        <v>360</v>
      </c>
      <c r="C65" t="s">
        <v>493</v>
      </c>
      <c r="D65" s="61" t="s">
        <v>494</v>
      </c>
      <c r="E65" s="180" t="s">
        <v>363</v>
      </c>
      <c r="F65" s="180" t="s">
        <v>348</v>
      </c>
      <c r="G65" s="180" t="s">
        <v>349</v>
      </c>
      <c r="H65" s="180" t="s">
        <v>477</v>
      </c>
      <c r="I65" s="63">
        <v>75</v>
      </c>
      <c r="J65" s="63"/>
      <c r="K65" s="63"/>
      <c r="L65" s="63"/>
      <c r="M65" s="63"/>
      <c r="N65" s="181">
        <v>20.100000000000001</v>
      </c>
      <c r="O65" s="181"/>
      <c r="P65" s="181"/>
      <c r="Q65" s="63">
        <v>1.89</v>
      </c>
      <c r="R65" s="63"/>
      <c r="S65" s="63"/>
      <c r="T65" s="63">
        <v>674</v>
      </c>
      <c r="U65" s="182">
        <f t="shared" si="10"/>
        <v>808.8</v>
      </c>
      <c r="V65" s="183">
        <v>2016</v>
      </c>
      <c r="W65" s="63">
        <v>136</v>
      </c>
      <c r="X65" s="63"/>
      <c r="Y65" s="63"/>
      <c r="Z65" s="63">
        <v>84</v>
      </c>
      <c r="AA65" s="63">
        <v>70</v>
      </c>
      <c r="AB65" s="63">
        <v>92</v>
      </c>
      <c r="AC65" s="63">
        <v>0.752</v>
      </c>
      <c r="AD65" s="184">
        <v>102</v>
      </c>
      <c r="AE65" s="63"/>
      <c r="AF65" s="185">
        <f t="shared" si="9"/>
        <v>10.783999999999999</v>
      </c>
      <c r="AG65" s="185" t="str">
        <f t="shared" si="9"/>
        <v/>
      </c>
      <c r="AH65" s="185" t="str">
        <f t="shared" si="1"/>
        <v/>
      </c>
      <c r="AI65" s="186">
        <f t="shared" si="2"/>
        <v>2.52E-2</v>
      </c>
      <c r="AJ65" s="186" t="str">
        <f t="shared" si="3"/>
        <v/>
      </c>
      <c r="AK65" s="186" t="str">
        <f t="shared" si="4"/>
        <v/>
      </c>
      <c r="AL65" s="186" t="str">
        <f t="shared" si="5"/>
        <v/>
      </c>
      <c r="AM65" s="186" t="str">
        <f t="shared" si="6"/>
        <v/>
      </c>
      <c r="AN65" s="186" t="str">
        <f t="shared" si="7"/>
        <v/>
      </c>
      <c r="AO65" s="165">
        <f t="shared" si="8"/>
        <v>59</v>
      </c>
      <c r="AP65" s="165">
        <f>IF(AND(LEFT(PQS_tbl[[#This Row],[D]],3)=$AP$6,PQS_tbl[[#This Row],[I]]&gt;0),$AO65,"")</f>
        <v>59</v>
      </c>
      <c r="AQ65" s="165">
        <f>IFERROR(SMALL($AP$7:AP$182,ROWS($AP$7:AP65)),"")</f>
        <v>115</v>
      </c>
      <c r="AR65" s="165" t="str">
        <f>IFERROR(INDEX(PQS_tbl[C],AQ65),"")</f>
        <v>TCW 40R SDD</v>
      </c>
      <c r="AS65" s="165" t="str">
        <f>IF(AND(LEFT(PQS_tbl[[#This Row],[D]],3)=$AS$6,PQS_tbl[[#This Row],[I]]=0,PQS_tbl[[#This Row],[J]]&gt;0),$AO65,"")</f>
        <v/>
      </c>
      <c r="AT65" s="165" t="str">
        <f>IFERROR(SMALL($AS$7:AS$178,ROWS($AS$7:AS65)),"")</f>
        <v/>
      </c>
      <c r="AU65" s="165" t="str">
        <f>IFERROR(INDEX(PQS_tbl[C],AT65),"")</f>
        <v/>
      </c>
      <c r="AV65" s="165" t="str">
        <f>IF(LEFT(PQS_tbl[[#This Row],[E]],1)="S",$AP65,"")</f>
        <v/>
      </c>
      <c r="AW65" s="165" t="str">
        <f>IFERROR(SMALL($AV$7:AV$178,ROWS($AV$7:AV65)),"")</f>
        <v/>
      </c>
      <c r="AX65" s="165" t="str">
        <f>IFERROR(INDEX(PQS_tbl[C],AW65),"")</f>
        <v/>
      </c>
      <c r="AY65" s="165" t="str">
        <f>IF(LEFT(PQS_tbl[[#This Row],[E]],1)="S",$AS65,"")</f>
        <v/>
      </c>
      <c r="AZ65" s="165" t="str">
        <f>IFERROR(SMALL($AY$7:AY$178,ROWS($AY$7:AY65)),"")</f>
        <v/>
      </c>
      <c r="BA65" s="165" t="str">
        <f>IFERROR(INDEX(PQS_tbl[C],AZ65),"")</f>
        <v/>
      </c>
      <c r="BB65" s="165" t="str">
        <f>IF(AND(LEFT(PQS_tbl[[#This Row],[D]],3)=$BB$6,PQS_tbl[[#This Row],[K]]&gt;0),$AO65,"")</f>
        <v/>
      </c>
    </row>
    <row r="66" spans="1:54" s="178" customFormat="1" x14ac:dyDescent="0.3">
      <c r="A66" s="179" t="s">
        <v>344</v>
      </c>
      <c r="B66" s="62" t="s">
        <v>360</v>
      </c>
      <c r="C66" t="s">
        <v>495</v>
      </c>
      <c r="D66" s="61" t="s">
        <v>496</v>
      </c>
      <c r="E66" s="180" t="s">
        <v>363</v>
      </c>
      <c r="F66" s="180" t="s">
        <v>348</v>
      </c>
      <c r="G66" s="180" t="s">
        <v>349</v>
      </c>
      <c r="H66" s="180" t="s">
        <v>477</v>
      </c>
      <c r="I66" s="63">
        <v>135</v>
      </c>
      <c r="J66" s="63"/>
      <c r="K66" s="63"/>
      <c r="L66" s="63"/>
      <c r="M66" s="63"/>
      <c r="N66" s="181">
        <v>23.23</v>
      </c>
      <c r="O66" s="181"/>
      <c r="P66" s="181"/>
      <c r="Q66" s="63">
        <v>3.08</v>
      </c>
      <c r="R66" s="63"/>
      <c r="S66" s="63"/>
      <c r="T66" s="63">
        <v>900</v>
      </c>
      <c r="U66" s="182">
        <f t="shared" si="10"/>
        <v>1080</v>
      </c>
      <c r="V66" s="183">
        <v>2016</v>
      </c>
      <c r="W66" s="63">
        <v>240</v>
      </c>
      <c r="X66" s="63"/>
      <c r="Y66" s="63"/>
      <c r="Z66" s="63">
        <v>84</v>
      </c>
      <c r="AA66" s="63">
        <v>70</v>
      </c>
      <c r="AB66" s="63">
        <v>156</v>
      </c>
      <c r="AC66" s="63">
        <v>1.264</v>
      </c>
      <c r="AD66" s="184"/>
      <c r="AE66" s="63"/>
      <c r="AF66" s="185">
        <f t="shared" si="9"/>
        <v>8</v>
      </c>
      <c r="AG66" s="185" t="str">
        <f t="shared" si="9"/>
        <v/>
      </c>
      <c r="AH66" s="185" t="str">
        <f>IF(L66="","",$U66/L66)</f>
        <v/>
      </c>
      <c r="AI66" s="186">
        <f>IF(OR(I66="",Q66=""),"",Q66/I66)</f>
        <v>2.2814814814814816E-2</v>
      </c>
      <c r="AJ66" s="186" t="str">
        <f>IF(OR(I66="",S66=""),"",S66/I66)</f>
        <v/>
      </c>
      <c r="AK66" s="186" t="str">
        <f>IF(OR(J66="",Q66=""),"",Q66/J66)</f>
        <v/>
      </c>
      <c r="AL66" s="186" t="str">
        <f>IF(OR(J66="",S66=""),"",S66/J66)</f>
        <v/>
      </c>
      <c r="AM66" s="186" t="str">
        <f>IF(OR(L66="",Q66=""),"",Q66/L66)</f>
        <v/>
      </c>
      <c r="AN66" s="186" t="str">
        <f>IF(OR(L66="",S66=""),"",S66/L66)</f>
        <v/>
      </c>
      <c r="AO66" s="165">
        <f t="shared" si="8"/>
        <v>60</v>
      </c>
      <c r="AP66" s="165">
        <f>IF(AND(LEFT(PQS_tbl[[#This Row],[D]],3)=$AP$6,PQS_tbl[[#This Row],[I]]&gt;0),$AO66,"")</f>
        <v>60</v>
      </c>
      <c r="AQ66" s="165">
        <f>IFERROR(SMALL($AP$7:AP$182,ROWS($AP$7:AP66)),"")</f>
        <v>116</v>
      </c>
      <c r="AR66" s="165" t="str">
        <f>IFERROR(INDEX(PQS_tbl[C],AQ66),"")</f>
        <v>VLS 024 SDD Greenline</v>
      </c>
      <c r="AS66" s="165" t="str">
        <f>IF(AND(LEFT(PQS_tbl[[#This Row],[D]],3)=$AS$6,PQS_tbl[[#This Row],[I]]=0,PQS_tbl[[#This Row],[J]]&gt;0),$AO66,"")</f>
        <v/>
      </c>
      <c r="AT66" s="165" t="str">
        <f>IFERROR(SMALL($AS$7:AS$178,ROWS($AS$7:AS66)),"")</f>
        <v/>
      </c>
      <c r="AU66" s="165" t="str">
        <f>IFERROR(INDEX(PQS_tbl[C],AT66),"")</f>
        <v/>
      </c>
      <c r="AV66" s="165" t="str">
        <f>IF(LEFT(PQS_tbl[[#This Row],[E]],1)="S",$AP66,"")</f>
        <v/>
      </c>
      <c r="AW66" s="165" t="str">
        <f>IFERROR(SMALL($AV$7:AV$178,ROWS($AV$7:AV66)),"")</f>
        <v/>
      </c>
      <c r="AX66" s="165" t="str">
        <f>IFERROR(INDEX(PQS_tbl[C],AW66),"")</f>
        <v/>
      </c>
      <c r="AY66" s="165" t="str">
        <f>IF(LEFT(PQS_tbl[[#This Row],[E]],1)="S",$AS66,"")</f>
        <v/>
      </c>
      <c r="AZ66" s="165" t="str">
        <f>IFERROR(SMALL($AY$7:AY$178,ROWS($AY$7:AY66)),"")</f>
        <v/>
      </c>
      <c r="BA66" s="165" t="str">
        <f>IFERROR(INDEX(PQS_tbl[C],AZ66),"")</f>
        <v/>
      </c>
      <c r="BB66" s="165" t="str">
        <f>IF(AND(LEFT(PQS_tbl[[#This Row],[D]],3)=$BB$6,PQS_tbl[[#This Row],[K]]&gt;0),$AO66,"")</f>
        <v/>
      </c>
    </row>
    <row r="67" spans="1:54" s="178" customFormat="1" x14ac:dyDescent="0.3">
      <c r="A67" s="179" t="s">
        <v>344</v>
      </c>
      <c r="B67" s="62" t="s">
        <v>497</v>
      </c>
      <c r="C67" t="s">
        <v>498</v>
      </c>
      <c r="D67" s="61" t="s">
        <v>499</v>
      </c>
      <c r="E67" s="180" t="s">
        <v>363</v>
      </c>
      <c r="F67" s="180" t="s">
        <v>348</v>
      </c>
      <c r="G67" s="180" t="s">
        <v>349</v>
      </c>
      <c r="H67" s="180"/>
      <c r="I67" s="63">
        <v>103</v>
      </c>
      <c r="J67" s="63"/>
      <c r="K67" s="63"/>
      <c r="L67" s="63"/>
      <c r="M67" s="63"/>
      <c r="N67" s="181">
        <v>97.7</v>
      </c>
      <c r="O67" s="181"/>
      <c r="P67" s="181"/>
      <c r="Q67" s="63">
        <v>8</v>
      </c>
      <c r="R67" s="63"/>
      <c r="S67" s="63"/>
      <c r="T67" s="63">
        <v>1993</v>
      </c>
      <c r="U67" s="182">
        <v>1993</v>
      </c>
      <c r="V67" s="183">
        <v>2016</v>
      </c>
      <c r="W67" s="63">
        <v>125</v>
      </c>
      <c r="X67" s="63"/>
      <c r="Y67" s="63"/>
      <c r="Z67" s="63">
        <v>200</v>
      </c>
      <c r="AA67" s="63">
        <v>89</v>
      </c>
      <c r="AB67" s="63">
        <v>76</v>
      </c>
      <c r="AC67" s="63">
        <v>1.5</v>
      </c>
      <c r="AD67" s="184">
        <v>175</v>
      </c>
      <c r="AE67" s="63"/>
      <c r="AF67" s="185">
        <f t="shared" si="9"/>
        <v>19.349514563106798</v>
      </c>
      <c r="AG67" s="185" t="str">
        <f t="shared" si="9"/>
        <v/>
      </c>
      <c r="AH67" s="185" t="str">
        <f>IF(L67="","",$U67/L67)</f>
        <v/>
      </c>
      <c r="AI67" s="186">
        <f>IF(OR(I67="",Q67=""),"",Q67/I67)</f>
        <v>7.7669902912621352E-2</v>
      </c>
      <c r="AJ67" s="186" t="str">
        <f>IF(OR(I67="",S67=""),"",S67/I67)</f>
        <v/>
      </c>
      <c r="AK67" s="186" t="str">
        <f>IF(OR(J67="",Q67=""),"",Q67/J67)</f>
        <v/>
      </c>
      <c r="AL67" s="186" t="str">
        <f>IF(OR(J67="",S67=""),"",S67/J67)</f>
        <v/>
      </c>
      <c r="AM67" s="186" t="str">
        <f>IF(OR(L67="",Q67=""),"",Q67/L67)</f>
        <v/>
      </c>
      <c r="AN67" s="186" t="str">
        <f>IF(OR(L67="",S67=""),"",S67/L67)</f>
        <v/>
      </c>
      <c r="AO67" s="165">
        <f t="shared" si="8"/>
        <v>61</v>
      </c>
      <c r="AP67" s="165">
        <f>IF(AND(LEFT(PQS_tbl[[#This Row],[D]],3)=$AP$6,PQS_tbl[[#This Row],[I]]&gt;0),$AO67,"")</f>
        <v>61</v>
      </c>
      <c r="AQ67" s="165">
        <f>IFERROR(SMALL($AP$7:AP$182,ROWS($AP$7:AP67)),"")</f>
        <v>117</v>
      </c>
      <c r="AR67" s="165" t="str">
        <f>IFERROR(INDEX(PQS_tbl[C],AQ67),"")</f>
        <v>VLS 064 RF</v>
      </c>
      <c r="AS67" s="165" t="str">
        <f>IF(AND(LEFT(PQS_tbl[[#This Row],[D]],3)=$AS$6,PQS_tbl[[#This Row],[I]]=0,PQS_tbl[[#This Row],[J]]&gt;0),$AO67,"")</f>
        <v/>
      </c>
      <c r="AT67" s="165" t="str">
        <f>IFERROR(SMALL($AS$7:AS$178,ROWS($AS$7:AS67)),"")</f>
        <v/>
      </c>
      <c r="AU67" s="165" t="str">
        <f>IFERROR(INDEX(PQS_tbl[C],AT67),"")</f>
        <v/>
      </c>
      <c r="AV67" s="165" t="str">
        <f>IF(LEFT(PQS_tbl[[#This Row],[E]],1)="S",$AP67,"")</f>
        <v/>
      </c>
      <c r="AW67" s="165" t="str">
        <f>IFERROR(SMALL($AV$7:AV$178,ROWS($AV$7:AV67)),"")</f>
        <v/>
      </c>
      <c r="AX67" s="165" t="str">
        <f>IFERROR(INDEX(PQS_tbl[C],AW67),"")</f>
        <v/>
      </c>
      <c r="AY67" s="165" t="str">
        <f>IF(LEFT(PQS_tbl[[#This Row],[E]],1)="S",$AS67,"")</f>
        <v/>
      </c>
      <c r="AZ67" s="165" t="str">
        <f>IFERROR(SMALL($AY$7:AY$178,ROWS($AY$7:AY67)),"")</f>
        <v/>
      </c>
      <c r="BA67" s="165" t="str">
        <f>IFERROR(INDEX(PQS_tbl[C],AZ67),"")</f>
        <v/>
      </c>
      <c r="BB67" s="165" t="str">
        <f>IF(AND(LEFT(PQS_tbl[[#This Row],[D]],3)=$BB$6,PQS_tbl[[#This Row],[K]]&gt;0),$AO67,"")</f>
        <v/>
      </c>
    </row>
    <row r="68" spans="1:54" s="178" customFormat="1" x14ac:dyDescent="0.3">
      <c r="A68" s="179" t="s">
        <v>500</v>
      </c>
      <c r="B68" s="62" t="s">
        <v>463</v>
      </c>
      <c r="C68" t="s">
        <v>501</v>
      </c>
      <c r="D68" s="61" t="s">
        <v>502</v>
      </c>
      <c r="E68" s="180" t="s">
        <v>347</v>
      </c>
      <c r="F68" s="180" t="s">
        <v>348</v>
      </c>
      <c r="G68" s="180" t="s">
        <v>349</v>
      </c>
      <c r="H68" s="180" t="s">
        <v>466</v>
      </c>
      <c r="I68" s="63">
        <v>60</v>
      </c>
      <c r="J68" s="63">
        <f>20*0.6</f>
        <v>12</v>
      </c>
      <c r="K68" s="63"/>
      <c r="L68" s="63">
        <v>2.4</v>
      </c>
      <c r="M68" s="63">
        <v>20</v>
      </c>
      <c r="N68" s="181">
        <v>39.4</v>
      </c>
      <c r="O68" s="181"/>
      <c r="P68" s="181"/>
      <c r="Q68" s="63">
        <v>1.87</v>
      </c>
      <c r="R68" s="63"/>
      <c r="S68" s="63"/>
      <c r="T68" s="63">
        <v>2509</v>
      </c>
      <c r="U68" s="182">
        <f>T68*1.2</f>
        <v>3010.7999999999997</v>
      </c>
      <c r="V68" s="183">
        <v>2016</v>
      </c>
      <c r="W68" s="63">
        <v>99</v>
      </c>
      <c r="X68" s="63">
        <v>43</v>
      </c>
      <c r="Y68" s="63"/>
      <c r="Z68" s="63">
        <v>90</v>
      </c>
      <c r="AA68" s="63">
        <v>127</v>
      </c>
      <c r="AB68" s="63">
        <v>78</v>
      </c>
      <c r="AC68" s="63">
        <v>1.05</v>
      </c>
      <c r="AD68" s="184">
        <v>125</v>
      </c>
      <c r="AE68" s="63" t="s">
        <v>312</v>
      </c>
      <c r="AF68" s="185">
        <f t="shared" si="9"/>
        <v>50.179999999999993</v>
      </c>
      <c r="AG68" s="185">
        <f t="shared" si="9"/>
        <v>250.89999999999998</v>
      </c>
      <c r="AH68" s="185">
        <f>IF(L68="","",$U68/L68)</f>
        <v>1254.5</v>
      </c>
      <c r="AI68" s="186">
        <f>IF(OR(I68="",Q68=""),"",Q68/I68)</f>
        <v>3.1166666666666669E-2</v>
      </c>
      <c r="AJ68" s="186" t="str">
        <f>IF(OR(I68="",S68=""),"",S68/I68)</f>
        <v/>
      </c>
      <c r="AK68" s="186">
        <f>IF(OR(J68="",Q68=""),"",Q68/J68)</f>
        <v>0.15583333333333335</v>
      </c>
      <c r="AL68" s="186" t="str">
        <f>IF(OR(J68="",S68=""),"",S68/J68)</f>
        <v/>
      </c>
      <c r="AM68" s="186">
        <f>IF(OR(L68="",Q68=""),"",Q68/L68)</f>
        <v>0.77916666666666679</v>
      </c>
      <c r="AN68" s="186" t="str">
        <f>IF(OR(L68="",S68=""),"",S68/L68)</f>
        <v/>
      </c>
      <c r="AO68" s="165">
        <f t="shared" si="8"/>
        <v>62</v>
      </c>
      <c r="AP68" s="165">
        <f>IF(AND(LEFT(PQS_tbl[[#This Row],[D]],3)=$AP$6,PQS_tbl[[#This Row],[I]]&gt;0),$AO68,"")</f>
        <v>62</v>
      </c>
      <c r="AQ68" s="165">
        <f>IFERROR(SMALL($AP$7:AP$182,ROWS($AP$7:AP68)),"")</f>
        <v>119</v>
      </c>
      <c r="AR68" s="165" t="str">
        <f>IFERROR(INDEX(PQS_tbl[C],AQ68),"")</f>
        <v>VC 225 ILR</v>
      </c>
      <c r="AS68" s="165" t="str">
        <f>IF(AND(LEFT(PQS_tbl[[#This Row],[D]],3)=$AS$6,PQS_tbl[[#This Row],[I]]=0,PQS_tbl[[#This Row],[J]]&gt;0),$AO68,"")</f>
        <v/>
      </c>
      <c r="AT68" s="165" t="str">
        <f>IFERROR(SMALL($AS$7:AS$178,ROWS($AS$7:AS68)),"")</f>
        <v/>
      </c>
      <c r="AU68" s="165" t="str">
        <f>IFERROR(INDEX(PQS_tbl[C],AT68),"")</f>
        <v/>
      </c>
      <c r="AV68" s="165" t="str">
        <f>IF(LEFT(PQS_tbl[[#This Row],[E]],1)="S",$AP68,"")</f>
        <v/>
      </c>
      <c r="AW68" s="165" t="str">
        <f>IFERROR(SMALL($AV$7:AV$178,ROWS($AV$7:AV68)),"")</f>
        <v/>
      </c>
      <c r="AX68" s="165" t="str">
        <f>IFERROR(INDEX(PQS_tbl[C],AW68),"")</f>
        <v/>
      </c>
      <c r="AY68" s="165" t="str">
        <f>IF(LEFT(PQS_tbl[[#This Row],[E]],1)="S",$AS68,"")</f>
        <v/>
      </c>
      <c r="AZ68" s="165" t="str">
        <f>IFERROR(SMALL($AY$7:AY$178,ROWS($AY$7:AY68)),"")</f>
        <v/>
      </c>
      <c r="BA68" s="165" t="str">
        <f>IFERROR(INDEX(PQS_tbl[C],AZ68),"")</f>
        <v/>
      </c>
      <c r="BB68" s="165" t="str">
        <f>IF(AND(LEFT(PQS_tbl[[#This Row],[D]],3)=$BB$6,PQS_tbl[[#This Row],[K]]&gt;0),$AO68,"")</f>
        <v/>
      </c>
    </row>
    <row r="69" spans="1:54" s="178" customFormat="1" x14ac:dyDescent="0.3">
      <c r="A69" s="179" t="s">
        <v>344</v>
      </c>
      <c r="B69" s="62" t="s">
        <v>467</v>
      </c>
      <c r="C69" t="s">
        <v>503</v>
      </c>
      <c r="D69" s="61" t="s">
        <v>504</v>
      </c>
      <c r="E69" s="180" t="s">
        <v>363</v>
      </c>
      <c r="F69" s="180" t="s">
        <v>348</v>
      </c>
      <c r="G69" s="180" t="s">
        <v>349</v>
      </c>
      <c r="H69" s="180"/>
      <c r="I69" s="63">
        <v>200</v>
      </c>
      <c r="J69" s="63"/>
      <c r="K69" s="63"/>
      <c r="L69" s="63"/>
      <c r="M69" s="63"/>
      <c r="N69" s="181">
        <v>34.47</v>
      </c>
      <c r="O69" s="181"/>
      <c r="P69" s="181"/>
      <c r="Q69" s="63">
        <v>2.73</v>
      </c>
      <c r="R69" s="63"/>
      <c r="S69" s="63"/>
      <c r="T69" s="63">
        <v>1196</v>
      </c>
      <c r="U69" s="182">
        <f>T69</f>
        <v>1196</v>
      </c>
      <c r="V69" s="183">
        <v>2011</v>
      </c>
      <c r="W69" s="63">
        <v>340</v>
      </c>
      <c r="X69" s="63"/>
      <c r="Y69" s="63"/>
      <c r="Z69" s="63">
        <v>164.4</v>
      </c>
      <c r="AA69" s="63">
        <v>65</v>
      </c>
      <c r="AB69" s="63">
        <v>84.6</v>
      </c>
      <c r="AC69" s="63">
        <v>1.42</v>
      </c>
      <c r="AD69" s="184">
        <v>165</v>
      </c>
      <c r="AE69" s="63"/>
      <c r="AF69" s="185">
        <f t="shared" si="9"/>
        <v>5.98</v>
      </c>
      <c r="AG69" s="185" t="str">
        <f t="shared" si="9"/>
        <v/>
      </c>
      <c r="AH69" s="185" t="str">
        <f>IF(L69="","",$U69/L69)</f>
        <v/>
      </c>
      <c r="AI69" s="186">
        <f>IF(OR(I69="",Q69=""),"",Q69/I69)</f>
        <v>1.3650000000000001E-2</v>
      </c>
      <c r="AJ69" s="186" t="str">
        <f>IF(OR(I69="",S69=""),"",S69/I69)</f>
        <v/>
      </c>
      <c r="AK69" s="186" t="str">
        <f>IF(OR(J69="",Q69=""),"",Q69/J69)</f>
        <v/>
      </c>
      <c r="AL69" s="186" t="str">
        <f>IF(OR(J69="",S69=""),"",S69/J69)</f>
        <v/>
      </c>
      <c r="AM69" s="186" t="str">
        <f>IF(OR(L69="",Q69=""),"",Q69/L69)</f>
        <v/>
      </c>
      <c r="AN69" s="186" t="str">
        <f>IF(OR(L69="",S69=""),"",S69/L69)</f>
        <v/>
      </c>
      <c r="AO69" s="165">
        <f t="shared" si="8"/>
        <v>63</v>
      </c>
      <c r="AP69" s="165">
        <f>IF(AND(LEFT(PQS_tbl[[#This Row],[D]],3)=$AP$6,PQS_tbl[[#This Row],[I]]&gt;0),$AO69,"")</f>
        <v>63</v>
      </c>
      <c r="AQ69" s="165">
        <f>IFERROR(SMALL($AP$7:AP$182,ROWS($AP$7:AP69)),"")</f>
        <v>121</v>
      </c>
      <c r="AR69" s="165" t="str">
        <f>IFERROR(INDEX(PQS_tbl[C],AQ69),"")</f>
        <v>HTCD 90 SDD</v>
      </c>
      <c r="AS69" s="165" t="str">
        <f>IF(AND(LEFT(PQS_tbl[[#This Row],[D]],3)=$AS$6,PQS_tbl[[#This Row],[I]]=0,PQS_tbl[[#This Row],[J]]&gt;0),$AO69,"")</f>
        <v/>
      </c>
      <c r="AT69" s="165" t="str">
        <f>IFERROR(SMALL($AS$7:AS$178,ROWS($AS$7:AS69)),"")</f>
        <v/>
      </c>
      <c r="AU69" s="165" t="str">
        <f>IFERROR(INDEX(PQS_tbl[C],AT69),"")</f>
        <v/>
      </c>
      <c r="AV69" s="165" t="str">
        <f>IF(LEFT(PQS_tbl[[#This Row],[E]],1)="S",$AP69,"")</f>
        <v/>
      </c>
      <c r="AW69" s="165" t="str">
        <f>IFERROR(SMALL($AV$7:AV$178,ROWS($AV$7:AV69)),"")</f>
        <v/>
      </c>
      <c r="AX69" s="165" t="str">
        <f>IFERROR(INDEX(PQS_tbl[C],AW69),"")</f>
        <v/>
      </c>
      <c r="AY69" s="165" t="str">
        <f>IF(LEFT(PQS_tbl[[#This Row],[E]],1)="S",$AS69,"")</f>
        <v/>
      </c>
      <c r="AZ69" s="165" t="str">
        <f>IFERROR(SMALL($AY$7:AY$178,ROWS($AY$7:AY69)),"")</f>
        <v/>
      </c>
      <c r="BA69" s="165" t="str">
        <f>IFERROR(INDEX(PQS_tbl[C],AZ69),"")</f>
        <v/>
      </c>
      <c r="BB69" s="165" t="str">
        <f>IF(AND(LEFT(PQS_tbl[[#This Row],[D]],3)=$BB$6,PQS_tbl[[#This Row],[K]]&gt;0),$AO69,"")</f>
        <v/>
      </c>
    </row>
    <row r="70" spans="1:54" s="178" customFormat="1" x14ac:dyDescent="0.3">
      <c r="A70" s="179" t="s">
        <v>505</v>
      </c>
      <c r="B70" s="62" t="s">
        <v>497</v>
      </c>
      <c r="C70" t="s">
        <v>506</v>
      </c>
      <c r="D70" s="61" t="s">
        <v>507</v>
      </c>
      <c r="E70" s="180" t="s">
        <v>356</v>
      </c>
      <c r="F70" s="180" t="s">
        <v>348</v>
      </c>
      <c r="G70" s="180" t="s">
        <v>349</v>
      </c>
      <c r="H70" s="180"/>
      <c r="I70" s="63">
        <v>37.5</v>
      </c>
      <c r="J70" s="63"/>
      <c r="K70" s="63"/>
      <c r="L70" s="63">
        <v>2.4</v>
      </c>
      <c r="M70" s="63">
        <v>16</v>
      </c>
      <c r="N70" s="181">
        <v>4.4000000000000004</v>
      </c>
      <c r="O70" s="181"/>
      <c r="P70" s="181"/>
      <c r="Q70" s="63">
        <v>0.32</v>
      </c>
      <c r="R70" s="63"/>
      <c r="S70" s="63"/>
      <c r="T70" s="63">
        <v>1300</v>
      </c>
      <c r="U70" s="182">
        <f>T70*1.4</f>
        <v>1819.9999999999998</v>
      </c>
      <c r="V70" s="183">
        <v>2011</v>
      </c>
      <c r="W70" s="63">
        <v>61</v>
      </c>
      <c r="X70" s="63">
        <v>24</v>
      </c>
      <c r="Y70" s="63"/>
      <c r="Z70" s="63">
        <v>116</v>
      </c>
      <c r="AA70" s="63">
        <v>60</v>
      </c>
      <c r="AB70" s="63">
        <v>84</v>
      </c>
      <c r="AC70" s="63">
        <v>0.66</v>
      </c>
      <c r="AD70" s="184">
        <v>90</v>
      </c>
      <c r="AE70" s="63"/>
      <c r="AF70" s="185">
        <f t="shared" si="9"/>
        <v>48.533333333333324</v>
      </c>
      <c r="AG70" s="185" t="str">
        <f t="shared" si="9"/>
        <v/>
      </c>
      <c r="AH70" s="185">
        <f>IF(L70="","",$U70/L70)</f>
        <v>758.33333333333326</v>
      </c>
      <c r="AI70" s="186">
        <f>IF(OR(I70="",Q70=""),"",Q70/I70)</f>
        <v>8.5333333333333337E-3</v>
      </c>
      <c r="AJ70" s="186" t="str">
        <f>IF(OR(I70="",S70=""),"",S70/I70)</f>
        <v/>
      </c>
      <c r="AK70" s="186" t="str">
        <f>IF(OR(J70="",Q70=""),"",Q70/J70)</f>
        <v/>
      </c>
      <c r="AL70" s="186" t="str">
        <f>IF(OR(J70="",S70=""),"",S70/J70)</f>
        <v/>
      </c>
      <c r="AM70" s="186">
        <f>IF(OR(L70="",Q70=""),"",Q70/L70)</f>
        <v>0.13333333333333333</v>
      </c>
      <c r="AN70" s="186" t="str">
        <f>IF(OR(L70="",S70=""),"",S70/L70)</f>
        <v/>
      </c>
      <c r="AO70" s="165">
        <f t="shared" si="8"/>
        <v>64</v>
      </c>
      <c r="AP70" s="165">
        <f>IF(AND(LEFT(PQS_tbl[[#This Row],[D]],3)=$AP$6,PQS_tbl[[#This Row],[I]]&gt;0),$AO70,"")</f>
        <v>64</v>
      </c>
      <c r="AQ70" s="165">
        <f>IFERROR(SMALL($AP$7:AP$182,ROWS($AP$7:AP70)),"")</f>
        <v>122</v>
      </c>
      <c r="AR70" s="165" t="str">
        <f>IFERROR(INDEX(PQS_tbl[C],AQ70),"")</f>
        <v>HTC 40 SDD</v>
      </c>
      <c r="AS70" s="165" t="str">
        <f>IF(AND(LEFT(PQS_tbl[[#This Row],[D]],3)=$AS$6,PQS_tbl[[#This Row],[I]]=0,PQS_tbl[[#This Row],[J]]&gt;0),$AO70,"")</f>
        <v/>
      </c>
      <c r="AT70" s="165" t="str">
        <f>IFERROR(SMALL($AS$7:AS$178,ROWS($AS$7:AS70)),"")</f>
        <v/>
      </c>
      <c r="AU70" s="165" t="str">
        <f>IFERROR(INDEX(PQS_tbl[C],AT70),"")</f>
        <v/>
      </c>
      <c r="AV70" s="165">
        <f>IF(LEFT(PQS_tbl[[#This Row],[E]],1)="S",$AP70,"")</f>
        <v>64</v>
      </c>
      <c r="AW70" s="165" t="str">
        <f>IFERROR(SMALL($AV$7:AV$178,ROWS($AV$7:AV70)),"")</f>
        <v/>
      </c>
      <c r="AX70" s="165" t="str">
        <f>IFERROR(INDEX(PQS_tbl[C],AW70),"")</f>
        <v/>
      </c>
      <c r="AY70" s="165" t="str">
        <f>IF(LEFT(PQS_tbl[[#This Row],[E]],1)="S",$AS70,"")</f>
        <v/>
      </c>
      <c r="AZ70" s="165" t="str">
        <f>IFERROR(SMALL($AY$7:AY$178,ROWS($AY$7:AY70)),"")</f>
        <v/>
      </c>
      <c r="BA70" s="165" t="str">
        <f>IFERROR(INDEX(PQS_tbl[C],AZ70),"")</f>
        <v/>
      </c>
      <c r="BB70" s="165" t="str">
        <f>IF(AND(LEFT(PQS_tbl[[#This Row],[D]],3)=$BB$6,PQS_tbl[[#This Row],[K]]&gt;0),$AO70,"")</f>
        <v/>
      </c>
    </row>
    <row r="71" spans="1:54" s="178" customFormat="1" x14ac:dyDescent="0.3">
      <c r="A71" s="179" t="s">
        <v>500</v>
      </c>
      <c r="B71" s="62" t="s">
        <v>463</v>
      </c>
      <c r="C71" t="s">
        <v>508</v>
      </c>
      <c r="D71" s="61" t="s">
        <v>509</v>
      </c>
      <c r="E71" s="180" t="s">
        <v>347</v>
      </c>
      <c r="F71" s="180" t="s">
        <v>348</v>
      </c>
      <c r="G71" s="180" t="s">
        <v>349</v>
      </c>
      <c r="H71" s="180" t="s">
        <v>466</v>
      </c>
      <c r="I71" s="63">
        <v>150</v>
      </c>
      <c r="J71" s="63"/>
      <c r="K71" s="63"/>
      <c r="L71" s="63"/>
      <c r="M71" s="63">
        <f>187*0.6</f>
        <v>112.2</v>
      </c>
      <c r="N71" s="181">
        <v>53</v>
      </c>
      <c r="O71" s="181"/>
      <c r="P71" s="181"/>
      <c r="Q71" s="63">
        <v>1.37</v>
      </c>
      <c r="R71" s="63"/>
      <c r="S71" s="63"/>
      <c r="T71" s="63">
        <v>2615</v>
      </c>
      <c r="U71" s="182">
        <f>T71*1.2</f>
        <v>3138</v>
      </c>
      <c r="V71" s="183">
        <v>2016</v>
      </c>
      <c r="W71" s="63">
        <v>204</v>
      </c>
      <c r="X71" s="63">
        <v>204</v>
      </c>
      <c r="Y71" s="63"/>
      <c r="Z71" s="63">
        <v>91</v>
      </c>
      <c r="AA71" s="63">
        <v>127</v>
      </c>
      <c r="AB71" s="63">
        <v>78</v>
      </c>
      <c r="AC71" s="63">
        <v>1.071</v>
      </c>
      <c r="AD71" s="184">
        <v>125</v>
      </c>
      <c r="AE71" s="63" t="s">
        <v>312</v>
      </c>
      <c r="AF71" s="185">
        <f t="shared" si="9"/>
        <v>20.92</v>
      </c>
      <c r="AG71" s="185" t="str">
        <f t="shared" si="9"/>
        <v/>
      </c>
      <c r="AH71" s="185" t="str">
        <f t="shared" ref="AH71:AH134" si="11">IF(L71="","",$U71/L71)</f>
        <v/>
      </c>
      <c r="AI71" s="186">
        <f t="shared" ref="AI71:AI134" si="12">IF(OR(I71="",Q71=""),"",Q71/I71)</f>
        <v>9.1333333333333336E-3</v>
      </c>
      <c r="AJ71" s="186" t="str">
        <f t="shared" ref="AJ71:AJ134" si="13">IF(OR(I71="",S71=""),"",S71/I71)</f>
        <v/>
      </c>
      <c r="AK71" s="186" t="str">
        <f t="shared" ref="AK71:AK134" si="14">IF(OR(J71="",Q71=""),"",Q71/J71)</f>
        <v/>
      </c>
      <c r="AL71" s="186" t="str">
        <f t="shared" ref="AL71:AL134" si="15">IF(OR(J71="",S71=""),"",S71/J71)</f>
        <v/>
      </c>
      <c r="AM71" s="186" t="str">
        <f t="shared" ref="AM71:AM134" si="16">IF(OR(L71="",Q71=""),"",Q71/L71)</f>
        <v/>
      </c>
      <c r="AN71" s="186" t="str">
        <f t="shared" ref="AN71:AN134" si="17">IF(OR(L71="",S71=""),"",S71/L71)</f>
        <v/>
      </c>
      <c r="AO71" s="165">
        <f t="shared" si="8"/>
        <v>65</v>
      </c>
      <c r="AP71" s="165">
        <f>IF(AND(LEFT(PQS_tbl[[#This Row],[D]],3)=$AP$6,PQS_tbl[[#This Row],[I]]&gt;0),$AO71,"")</f>
        <v>65</v>
      </c>
      <c r="AQ71" s="165">
        <f>IFERROR(SMALL($AP$7:AP$182,ROWS($AP$7:AP71)),"")</f>
        <v>123</v>
      </c>
      <c r="AR71" s="165" t="str">
        <f>IFERROR(INDEX(PQS_tbl[C],AQ71),"")</f>
        <v>HTC 110 SDD</v>
      </c>
      <c r="AS71" s="165" t="str">
        <f>IF(AND(LEFT(PQS_tbl[[#This Row],[D]],3)=$AS$6,PQS_tbl[[#This Row],[I]]=0,PQS_tbl[[#This Row],[J]]&gt;0),$AO71,"")</f>
        <v/>
      </c>
      <c r="AT71" s="165" t="str">
        <f>IFERROR(SMALL($AS$7:AS$178,ROWS($AS$7:AS71)),"")</f>
        <v/>
      </c>
      <c r="AU71" s="165" t="str">
        <f>IFERROR(INDEX(PQS_tbl[C],AT71),"")</f>
        <v/>
      </c>
      <c r="AV71" s="165" t="str">
        <f>IF(LEFT(PQS_tbl[[#This Row],[E]],1)="S",$AP71,"")</f>
        <v/>
      </c>
      <c r="AW71" s="165" t="str">
        <f>IFERROR(SMALL($AV$7:AV$178,ROWS($AV$7:AV71)),"")</f>
        <v/>
      </c>
      <c r="AX71" s="165" t="str">
        <f>IFERROR(INDEX(PQS_tbl[C],AW71),"")</f>
        <v/>
      </c>
      <c r="AY71" s="165" t="str">
        <f>IF(LEFT(PQS_tbl[[#This Row],[E]],1)="S",$AS71,"")</f>
        <v/>
      </c>
      <c r="AZ71" s="165" t="str">
        <f>IFERROR(SMALL($AY$7:AY$178,ROWS($AY$7:AY71)),"")</f>
        <v/>
      </c>
      <c r="BA71" s="165" t="str">
        <f>IFERROR(INDEX(PQS_tbl[C],AZ71),"")</f>
        <v/>
      </c>
      <c r="BB71" s="165" t="str">
        <f>IF(AND(LEFT(PQS_tbl[[#This Row],[D]],3)=$BB$6,PQS_tbl[[#This Row],[K]]&gt;0),$AO71,"")</f>
        <v/>
      </c>
    </row>
    <row r="72" spans="1:54" s="178" customFormat="1" x14ac:dyDescent="0.3">
      <c r="A72" s="179" t="s">
        <v>510</v>
      </c>
      <c r="B72" s="62" t="s">
        <v>497</v>
      </c>
      <c r="C72" t="s">
        <v>511</v>
      </c>
      <c r="D72" s="61" t="s">
        <v>512</v>
      </c>
      <c r="E72" s="180" t="s">
        <v>488</v>
      </c>
      <c r="F72" s="180" t="s">
        <v>489</v>
      </c>
      <c r="G72" s="180" t="s">
        <v>349</v>
      </c>
      <c r="H72" s="180"/>
      <c r="I72" s="63">
        <v>93</v>
      </c>
      <c r="J72" s="63"/>
      <c r="K72" s="63"/>
      <c r="L72" s="63"/>
      <c r="M72" s="63"/>
      <c r="N72" s="181">
        <v>170</v>
      </c>
      <c r="O72" s="181"/>
      <c r="P72" s="181"/>
      <c r="Q72" s="63">
        <f>3.5*0.37</f>
        <v>1.2949999999999999</v>
      </c>
      <c r="R72" s="63"/>
      <c r="S72" s="63"/>
      <c r="T72" s="63">
        <v>3995</v>
      </c>
      <c r="U72" s="182">
        <v>3995</v>
      </c>
      <c r="V72" s="183">
        <v>2011</v>
      </c>
      <c r="W72" s="63">
        <v>124</v>
      </c>
      <c r="X72" s="63"/>
      <c r="Y72" s="63"/>
      <c r="Z72" s="63">
        <v>187</v>
      </c>
      <c r="AA72" s="63">
        <v>89</v>
      </c>
      <c r="AB72" s="63">
        <v>76</v>
      </c>
      <c r="AC72" s="63">
        <v>1.5</v>
      </c>
      <c r="AD72" s="184">
        <v>150</v>
      </c>
      <c r="AE72" s="63"/>
      <c r="AF72" s="185">
        <f t="shared" si="9"/>
        <v>42.956989247311824</v>
      </c>
      <c r="AG72" s="185" t="str">
        <f t="shared" si="9"/>
        <v/>
      </c>
      <c r="AH72" s="185" t="str">
        <f t="shared" si="11"/>
        <v/>
      </c>
      <c r="AI72" s="186">
        <f t="shared" si="12"/>
        <v>1.3924731182795698E-2</v>
      </c>
      <c r="AJ72" s="186" t="str">
        <f t="shared" si="13"/>
        <v/>
      </c>
      <c r="AK72" s="186" t="str">
        <f t="shared" si="14"/>
        <v/>
      </c>
      <c r="AL72" s="186" t="str">
        <f t="shared" si="15"/>
        <v/>
      </c>
      <c r="AM72" s="186" t="str">
        <f t="shared" si="16"/>
        <v/>
      </c>
      <c r="AN72" s="186" t="str">
        <f t="shared" si="17"/>
        <v/>
      </c>
      <c r="AO72" s="165">
        <f t="shared" si="8"/>
        <v>66</v>
      </c>
      <c r="AP72" s="165">
        <f>IF(AND(LEFT(PQS_tbl[[#This Row],[D]],3)=$AP$6,PQS_tbl[[#This Row],[I]]&gt;0),$AO72,"")</f>
        <v>66</v>
      </c>
      <c r="AQ72" s="165">
        <f>IFERROR(SMALL($AP$7:AP$182,ROWS($AP$7:AP72)),"")</f>
        <v>124</v>
      </c>
      <c r="AR72" s="165" t="str">
        <f>IFERROR(INDEX(PQS_tbl[C],AQ72),"")</f>
        <v>TCW 15 SDD</v>
      </c>
      <c r="AS72" s="165" t="str">
        <f>IF(AND(LEFT(PQS_tbl[[#This Row],[D]],3)=$AS$6,PQS_tbl[[#This Row],[I]]=0,PQS_tbl[[#This Row],[J]]&gt;0),$AO72,"")</f>
        <v/>
      </c>
      <c r="AT72" s="165" t="str">
        <f>IFERROR(SMALL($AS$7:AS$178,ROWS($AS$7:AS72)),"")</f>
        <v/>
      </c>
      <c r="AU72" s="165" t="str">
        <f>IFERROR(INDEX(PQS_tbl[C],AT72),"")</f>
        <v/>
      </c>
      <c r="AV72" s="165">
        <f>IF(LEFT(PQS_tbl[[#This Row],[E]],1)="S",$AP72,"")</f>
        <v>66</v>
      </c>
      <c r="AW72" s="165" t="str">
        <f>IFERROR(SMALL($AV$7:AV$178,ROWS($AV$7:AV72)),"")</f>
        <v/>
      </c>
      <c r="AX72" s="165" t="str">
        <f>IFERROR(INDEX(PQS_tbl[C],AW72),"")</f>
        <v/>
      </c>
      <c r="AY72" s="165" t="str">
        <f>IF(LEFT(PQS_tbl[[#This Row],[E]],1)="S",$AS72,"")</f>
        <v/>
      </c>
      <c r="AZ72" s="165" t="str">
        <f>IFERROR(SMALL($AY$7:AY$178,ROWS($AY$7:AY72)),"")</f>
        <v/>
      </c>
      <c r="BA72" s="165" t="str">
        <f>IFERROR(INDEX(PQS_tbl[C],AZ72),"")</f>
        <v/>
      </c>
      <c r="BB72" s="165" t="str">
        <f>IF(AND(LEFT(PQS_tbl[[#This Row],[D]],3)=$BB$6,PQS_tbl[[#This Row],[K]]&gt;0),$AO72,"")</f>
        <v/>
      </c>
    </row>
    <row r="73" spans="1:54" s="178" customFormat="1" x14ac:dyDescent="0.3">
      <c r="A73" s="179" t="s">
        <v>510</v>
      </c>
      <c r="B73" s="62" t="s">
        <v>513</v>
      </c>
      <c r="C73" t="s">
        <v>514</v>
      </c>
      <c r="D73" s="61" t="s">
        <v>515</v>
      </c>
      <c r="E73" s="180" t="s">
        <v>488</v>
      </c>
      <c r="F73" s="180" t="s">
        <v>348</v>
      </c>
      <c r="G73" s="180" t="s">
        <v>349</v>
      </c>
      <c r="H73" s="180" t="s">
        <v>466</v>
      </c>
      <c r="I73" s="63">
        <v>54.5</v>
      </c>
      <c r="J73" s="63"/>
      <c r="K73" s="63"/>
      <c r="L73" s="63"/>
      <c r="M73" s="63"/>
      <c r="N73" s="181">
        <v>65.2</v>
      </c>
      <c r="O73" s="181"/>
      <c r="P73" s="181"/>
      <c r="Q73" s="63">
        <v>0.49</v>
      </c>
      <c r="R73" s="63"/>
      <c r="S73" s="63"/>
      <c r="T73" s="63">
        <v>3399</v>
      </c>
      <c r="U73" s="182">
        <v>3399</v>
      </c>
      <c r="V73" s="183">
        <v>2016</v>
      </c>
      <c r="W73" s="63">
        <v>60.1</v>
      </c>
      <c r="X73" s="63"/>
      <c r="Y73" s="63"/>
      <c r="Z73" s="63">
        <v>88</v>
      </c>
      <c r="AA73" s="63">
        <v>96.5</v>
      </c>
      <c r="AB73" s="63">
        <v>71</v>
      </c>
      <c r="AC73" s="63">
        <v>0.68</v>
      </c>
      <c r="AD73" s="184">
        <v>99</v>
      </c>
      <c r="AE73" s="63" t="s">
        <v>312</v>
      </c>
      <c r="AF73" s="185">
        <f t="shared" si="9"/>
        <v>62.366972477064223</v>
      </c>
      <c r="AG73" s="185" t="str">
        <f t="shared" si="9"/>
        <v/>
      </c>
      <c r="AH73" s="185" t="str">
        <f t="shared" si="11"/>
        <v/>
      </c>
      <c r="AI73" s="186">
        <f t="shared" si="12"/>
        <v>8.9908256880733943E-3</v>
      </c>
      <c r="AJ73" s="186" t="str">
        <f t="shared" si="13"/>
        <v/>
      </c>
      <c r="AK73" s="186" t="str">
        <f t="shared" si="14"/>
        <v/>
      </c>
      <c r="AL73" s="186" t="str">
        <f t="shared" si="15"/>
        <v/>
      </c>
      <c r="AM73" s="186" t="str">
        <f t="shared" si="16"/>
        <v/>
      </c>
      <c r="AN73" s="186" t="str">
        <f t="shared" si="17"/>
        <v/>
      </c>
      <c r="AO73" s="165">
        <f t="shared" ref="AO73:AO136" si="18">AO72+1</f>
        <v>67</v>
      </c>
      <c r="AP73" s="165">
        <f>IF(AND(LEFT(PQS_tbl[[#This Row],[D]],3)=$AP$6,PQS_tbl[[#This Row],[I]]&gt;0),$AO73,"")</f>
        <v>67</v>
      </c>
      <c r="AQ73" s="165">
        <f>IFERROR(SMALL($AP$7:AP$182,ROWS($AP$7:AP73)),"")</f>
        <v>125</v>
      </c>
      <c r="AR73" s="165" t="str">
        <f>IFERROR(INDEX(PQS_tbl[C],AQ73),"")</f>
        <v>VC50 SDD</v>
      </c>
      <c r="AS73" s="165" t="str">
        <f>IF(AND(LEFT(PQS_tbl[[#This Row],[D]],3)=$AS$6,PQS_tbl[[#This Row],[I]]=0,PQS_tbl[[#This Row],[J]]&gt;0),$AO73,"")</f>
        <v/>
      </c>
      <c r="AT73" s="165" t="str">
        <f>IFERROR(SMALL($AS$7:AS$178,ROWS($AS$7:AS73)),"")</f>
        <v/>
      </c>
      <c r="AU73" s="165" t="str">
        <f>IFERROR(INDEX(PQS_tbl[C],AT73),"")</f>
        <v/>
      </c>
      <c r="AV73" s="165">
        <f>IF(LEFT(PQS_tbl[[#This Row],[E]],1)="S",$AP73,"")</f>
        <v>67</v>
      </c>
      <c r="AW73" s="165" t="str">
        <f>IFERROR(SMALL($AV$7:AV$178,ROWS($AV$7:AV73)),"")</f>
        <v/>
      </c>
      <c r="AX73" s="165" t="str">
        <f>IFERROR(INDEX(PQS_tbl[C],AW73),"")</f>
        <v/>
      </c>
      <c r="AY73" s="165" t="str">
        <f>IF(LEFT(PQS_tbl[[#This Row],[E]],1)="S",$AS73,"")</f>
        <v/>
      </c>
      <c r="AZ73" s="165" t="str">
        <f>IFERROR(SMALL($AY$7:AY$178,ROWS($AY$7:AY73)),"")</f>
        <v/>
      </c>
      <c r="BA73" s="165" t="str">
        <f>IFERROR(INDEX(PQS_tbl[C],AZ73),"")</f>
        <v/>
      </c>
      <c r="BB73" s="165" t="str">
        <f>IF(AND(LEFT(PQS_tbl[[#This Row],[D]],3)=$BB$6,PQS_tbl[[#This Row],[K]]&gt;0),$AO73,"")</f>
        <v/>
      </c>
    </row>
    <row r="74" spans="1:54" s="178" customFormat="1" x14ac:dyDescent="0.3">
      <c r="A74" s="179" t="s">
        <v>344</v>
      </c>
      <c r="B74" s="62" t="s">
        <v>360</v>
      </c>
      <c r="C74" t="s">
        <v>516</v>
      </c>
      <c r="D74" s="61" t="s">
        <v>517</v>
      </c>
      <c r="E74" s="180" t="s">
        <v>363</v>
      </c>
      <c r="F74" s="180" t="s">
        <v>489</v>
      </c>
      <c r="G74" s="180" t="s">
        <v>349</v>
      </c>
      <c r="H74" s="180" t="s">
        <v>477</v>
      </c>
      <c r="I74" s="63">
        <v>216</v>
      </c>
      <c r="J74" s="63"/>
      <c r="K74" s="63"/>
      <c r="L74" s="63"/>
      <c r="M74" s="63"/>
      <c r="N74" s="181">
        <v>30</v>
      </c>
      <c r="O74" s="181"/>
      <c r="P74" s="181"/>
      <c r="Q74" s="63">
        <v>0.82</v>
      </c>
      <c r="R74" s="63"/>
      <c r="S74" s="63"/>
      <c r="T74" s="63">
        <v>826</v>
      </c>
      <c r="U74" s="182">
        <f>T74*1.2</f>
        <v>991.19999999999993</v>
      </c>
      <c r="V74" s="183">
        <v>2016</v>
      </c>
      <c r="W74" s="63">
        <v>235</v>
      </c>
      <c r="X74" s="63"/>
      <c r="Y74" s="63"/>
      <c r="Z74" s="63">
        <v>86</v>
      </c>
      <c r="AA74" s="63">
        <v>127</v>
      </c>
      <c r="AB74" s="63">
        <v>70</v>
      </c>
      <c r="AC74" s="63">
        <v>1.02</v>
      </c>
      <c r="AD74" s="184">
        <v>126</v>
      </c>
      <c r="AE74" s="63"/>
      <c r="AF74" s="185">
        <f t="shared" si="9"/>
        <v>4.5888888888888886</v>
      </c>
      <c r="AG74" s="185" t="str">
        <f t="shared" si="9"/>
        <v/>
      </c>
      <c r="AH74" s="185" t="str">
        <f t="shared" si="11"/>
        <v/>
      </c>
      <c r="AI74" s="186">
        <f t="shared" si="12"/>
        <v>3.7962962962962959E-3</v>
      </c>
      <c r="AJ74" s="186" t="str">
        <f t="shared" si="13"/>
        <v/>
      </c>
      <c r="AK74" s="186" t="str">
        <f t="shared" si="14"/>
        <v/>
      </c>
      <c r="AL74" s="186" t="str">
        <f t="shared" si="15"/>
        <v/>
      </c>
      <c r="AM74" s="186" t="str">
        <f t="shared" si="16"/>
        <v/>
      </c>
      <c r="AN74" s="186" t="str">
        <f t="shared" si="17"/>
        <v/>
      </c>
      <c r="AO74" s="165">
        <f t="shared" si="18"/>
        <v>68</v>
      </c>
      <c r="AP74" s="165">
        <f>IF(AND(LEFT(PQS_tbl[[#This Row],[D]],3)=$AP$6,PQS_tbl[[#This Row],[I]]&gt;0),$AO74,"")</f>
        <v>68</v>
      </c>
      <c r="AQ74" s="165">
        <f>IFERROR(SMALL($AP$7:AP$182,ROWS($AP$7:AP74)),"")</f>
        <v>126</v>
      </c>
      <c r="AR74" s="165" t="str">
        <f>IFERROR(INDEX(PQS_tbl[C],AQ74),"")</f>
        <v>CFD-50</v>
      </c>
      <c r="AS74" s="165" t="str">
        <f>IF(AND(LEFT(PQS_tbl[[#This Row],[D]],3)=$AS$6,PQS_tbl[[#This Row],[I]]=0,PQS_tbl[[#This Row],[J]]&gt;0),$AO74,"")</f>
        <v/>
      </c>
      <c r="AT74" s="165" t="str">
        <f>IFERROR(SMALL($AS$7:AS$178,ROWS($AS$7:AS74)),"")</f>
        <v/>
      </c>
      <c r="AU74" s="165" t="str">
        <f>IFERROR(INDEX(PQS_tbl[C],AT74),"")</f>
        <v/>
      </c>
      <c r="AV74" s="165" t="str">
        <f>IF(LEFT(PQS_tbl[[#This Row],[E]],1)="S",$AP74,"")</f>
        <v/>
      </c>
      <c r="AW74" s="165" t="str">
        <f>IFERROR(SMALL($AV$7:AV$178,ROWS($AV$7:AV74)),"")</f>
        <v/>
      </c>
      <c r="AX74" s="165" t="str">
        <f>IFERROR(INDEX(PQS_tbl[C],AW74),"")</f>
        <v/>
      </c>
      <c r="AY74" s="165" t="str">
        <f>IF(LEFT(PQS_tbl[[#This Row],[E]],1)="S",$AS74,"")</f>
        <v/>
      </c>
      <c r="AZ74" s="165" t="str">
        <f>IFERROR(SMALL($AY$7:AY$178,ROWS($AY$7:AY74)),"")</f>
        <v/>
      </c>
      <c r="BA74" s="165" t="str">
        <f>IFERROR(INDEX(PQS_tbl[C],AZ74),"")</f>
        <v/>
      </c>
      <c r="BB74" s="165" t="str">
        <f>IF(AND(LEFT(PQS_tbl[[#This Row],[D]],3)=$BB$6,PQS_tbl[[#This Row],[K]]&gt;0),$AO74,"")</f>
        <v/>
      </c>
    </row>
    <row r="75" spans="1:54" s="178" customFormat="1" x14ac:dyDescent="0.3">
      <c r="A75" s="179" t="s">
        <v>344</v>
      </c>
      <c r="B75" s="62" t="s">
        <v>360</v>
      </c>
      <c r="C75" t="s">
        <v>518</v>
      </c>
      <c r="D75" s="61" t="s">
        <v>519</v>
      </c>
      <c r="E75" s="180" t="s">
        <v>363</v>
      </c>
      <c r="F75" s="180" t="s">
        <v>348</v>
      </c>
      <c r="G75" s="180" t="s">
        <v>349</v>
      </c>
      <c r="H75" s="180" t="s">
        <v>477</v>
      </c>
      <c r="I75" s="63">
        <v>48</v>
      </c>
      <c r="J75" s="63"/>
      <c r="K75" s="63"/>
      <c r="L75" s="63"/>
      <c r="M75" s="63"/>
      <c r="N75" s="181">
        <v>43</v>
      </c>
      <c r="O75" s="181"/>
      <c r="P75" s="181"/>
      <c r="Q75" s="63">
        <v>2.2999999999999998</v>
      </c>
      <c r="R75" s="63"/>
      <c r="S75" s="63"/>
      <c r="T75" s="63">
        <v>614</v>
      </c>
      <c r="U75" s="182">
        <f>T75*1.2</f>
        <v>736.8</v>
      </c>
      <c r="V75" s="183">
        <v>2016</v>
      </c>
      <c r="W75" s="63">
        <v>63.7</v>
      </c>
      <c r="X75" s="63"/>
      <c r="Y75" s="63"/>
      <c r="Z75" s="63">
        <v>88</v>
      </c>
      <c r="AA75" s="63">
        <v>96.5</v>
      </c>
      <c r="AB75" s="63">
        <v>71</v>
      </c>
      <c r="AC75" s="63">
        <v>0.57999999999999996</v>
      </c>
      <c r="AD75" s="184">
        <v>70</v>
      </c>
      <c r="AE75" s="63"/>
      <c r="AF75" s="185">
        <f t="shared" si="9"/>
        <v>15.35</v>
      </c>
      <c r="AG75" s="185" t="str">
        <f t="shared" si="9"/>
        <v/>
      </c>
      <c r="AH75" s="185" t="str">
        <f t="shared" si="11"/>
        <v/>
      </c>
      <c r="AI75" s="186">
        <f t="shared" si="12"/>
        <v>4.7916666666666663E-2</v>
      </c>
      <c r="AJ75" s="186" t="str">
        <f t="shared" si="13"/>
        <v/>
      </c>
      <c r="AK75" s="186" t="str">
        <f t="shared" si="14"/>
        <v/>
      </c>
      <c r="AL75" s="186" t="str">
        <f t="shared" si="15"/>
        <v/>
      </c>
      <c r="AM75" s="186" t="str">
        <f t="shared" si="16"/>
        <v/>
      </c>
      <c r="AN75" s="186" t="str">
        <f t="shared" si="17"/>
        <v/>
      </c>
      <c r="AO75" s="165">
        <f t="shared" si="18"/>
        <v>69</v>
      </c>
      <c r="AP75" s="165">
        <f>IF(AND(LEFT(PQS_tbl[[#This Row],[D]],3)=$AP$6,PQS_tbl[[#This Row],[I]]&gt;0),$AO75,"")</f>
        <v>69</v>
      </c>
      <c r="AQ75" s="165">
        <f>IFERROR(SMALL($AP$7:AP$182,ROWS($AP$7:AP75)),"")</f>
        <v>127</v>
      </c>
      <c r="AR75" s="165" t="str">
        <f>IFERROR(INDEX(PQS_tbl[C],AQ75),"")</f>
        <v>GVR 51 LITE AC</v>
      </c>
      <c r="AS75" s="165" t="str">
        <f>IF(AND(LEFT(PQS_tbl[[#This Row],[D]],3)=$AS$6,PQS_tbl[[#This Row],[I]]=0,PQS_tbl[[#This Row],[J]]&gt;0),$AO75,"")</f>
        <v/>
      </c>
      <c r="AT75" s="165" t="str">
        <f>IFERROR(SMALL($AS$7:AS$178,ROWS($AS$7:AS75)),"")</f>
        <v/>
      </c>
      <c r="AU75" s="165" t="str">
        <f>IFERROR(INDEX(PQS_tbl[C],AT75),"")</f>
        <v/>
      </c>
      <c r="AV75" s="165" t="str">
        <f>IF(LEFT(PQS_tbl[[#This Row],[E]],1)="S",$AP75,"")</f>
        <v/>
      </c>
      <c r="AW75" s="165" t="str">
        <f>IFERROR(SMALL($AV$7:AV$178,ROWS($AV$7:AV75)),"")</f>
        <v/>
      </c>
      <c r="AX75" s="165" t="str">
        <f>IFERROR(INDEX(PQS_tbl[C],AW75),"")</f>
        <v/>
      </c>
      <c r="AY75" s="165" t="str">
        <f>IF(LEFT(PQS_tbl[[#This Row],[E]],1)="S",$AS75,"")</f>
        <v/>
      </c>
      <c r="AZ75" s="165" t="str">
        <f>IFERROR(SMALL($AY$7:AY$178,ROWS($AY$7:AY75)),"")</f>
        <v/>
      </c>
      <c r="BA75" s="165" t="str">
        <f>IFERROR(INDEX(PQS_tbl[C],AZ75),"")</f>
        <v/>
      </c>
      <c r="BB75" s="165" t="str">
        <f>IF(AND(LEFT(PQS_tbl[[#This Row],[D]],3)=$BB$6,PQS_tbl[[#This Row],[K]]&gt;0),$AO75,"")</f>
        <v/>
      </c>
    </row>
    <row r="76" spans="1:54" s="178" customFormat="1" x14ac:dyDescent="0.3">
      <c r="A76" s="179" t="s">
        <v>424</v>
      </c>
      <c r="B76" s="62" t="s">
        <v>360</v>
      </c>
      <c r="C76" t="s">
        <v>520</v>
      </c>
      <c r="D76" s="61" t="s">
        <v>521</v>
      </c>
      <c r="E76" s="180" t="s">
        <v>390</v>
      </c>
      <c r="F76" s="180" t="s">
        <v>348</v>
      </c>
      <c r="G76" s="180" t="s">
        <v>349</v>
      </c>
      <c r="H76" s="180" t="s">
        <v>470</v>
      </c>
      <c r="I76" s="63"/>
      <c r="J76" s="63">
        <v>281</v>
      </c>
      <c r="K76" s="63"/>
      <c r="L76" s="63">
        <v>7.2</v>
      </c>
      <c r="M76" s="63">
        <v>256</v>
      </c>
      <c r="N76" s="181">
        <v>4</v>
      </c>
      <c r="O76" s="181"/>
      <c r="P76" s="181"/>
      <c r="Q76" s="63">
        <v>4.2300000000000004</v>
      </c>
      <c r="R76" s="63"/>
      <c r="S76" s="63"/>
      <c r="T76" s="63">
        <v>573</v>
      </c>
      <c r="U76" s="182">
        <f t="shared" ref="U76:U88" si="19">T76*1.2</f>
        <v>687.6</v>
      </c>
      <c r="V76" s="183">
        <v>2016</v>
      </c>
      <c r="W76" s="63"/>
      <c r="X76" s="63">
        <v>281</v>
      </c>
      <c r="Y76" s="63"/>
      <c r="Z76" s="63">
        <v>84</v>
      </c>
      <c r="AA76" s="63">
        <v>156</v>
      </c>
      <c r="AB76" s="63">
        <v>70</v>
      </c>
      <c r="AC76" s="63">
        <v>1.161</v>
      </c>
      <c r="AD76" s="184">
        <v>108.5</v>
      </c>
      <c r="AE76" s="63" t="s">
        <v>312</v>
      </c>
      <c r="AF76" s="185" t="str">
        <f t="shared" si="9"/>
        <v/>
      </c>
      <c r="AG76" s="185">
        <f t="shared" si="9"/>
        <v>2.4469750889679718</v>
      </c>
      <c r="AH76" s="185">
        <f t="shared" si="11"/>
        <v>95.5</v>
      </c>
      <c r="AI76" s="186" t="str">
        <f t="shared" si="12"/>
        <v/>
      </c>
      <c r="AJ76" s="186" t="str">
        <f t="shared" si="13"/>
        <v/>
      </c>
      <c r="AK76" s="186">
        <f t="shared" si="14"/>
        <v>1.505338078291815E-2</v>
      </c>
      <c r="AL76" s="186" t="str">
        <f t="shared" si="15"/>
        <v/>
      </c>
      <c r="AM76" s="186">
        <f t="shared" si="16"/>
        <v>0.58750000000000002</v>
      </c>
      <c r="AN76" s="186" t="str">
        <f t="shared" si="17"/>
        <v/>
      </c>
      <c r="AO76" s="165">
        <f t="shared" si="18"/>
        <v>70</v>
      </c>
      <c r="AP76" s="165" t="str">
        <f>IF(AND(LEFT(PQS_tbl[[#This Row],[D]],3)=$AP$6,PQS_tbl[[#This Row],[I]]&gt;0),$AO76,"")</f>
        <v/>
      </c>
      <c r="AQ76" s="165">
        <f>IFERROR(SMALL($AP$7:AP$182,ROWS($AP$7:AP76)),"")</f>
        <v>128</v>
      </c>
      <c r="AR76" s="165" t="str">
        <f>IFERROR(INDEX(PQS_tbl[C],AQ76),"")</f>
        <v>GVR 75 Lite</v>
      </c>
      <c r="AS76" s="165">
        <f>IF(AND(LEFT(PQS_tbl[[#This Row],[D]],3)=$AS$6,PQS_tbl[[#This Row],[I]]=0,PQS_tbl[[#This Row],[J]]&gt;0),$AO76,"")</f>
        <v>70</v>
      </c>
      <c r="AT76" s="165" t="str">
        <f>IFERROR(SMALL($AS$7:AS$178,ROWS($AS$7:AS76)),"")</f>
        <v/>
      </c>
      <c r="AU76" s="165" t="str">
        <f>IFERROR(INDEX(PQS_tbl[C],AT76),"")</f>
        <v/>
      </c>
      <c r="AV76" s="165" t="str">
        <f>IF(LEFT(PQS_tbl[[#This Row],[E]],1)="S",$AP76,"")</f>
        <v/>
      </c>
      <c r="AW76" s="165" t="str">
        <f>IFERROR(SMALL($AV$7:AV$178,ROWS($AV$7:AV76)),"")</f>
        <v/>
      </c>
      <c r="AX76" s="165" t="str">
        <f>IFERROR(INDEX(PQS_tbl[C],AW76),"")</f>
        <v/>
      </c>
      <c r="AY76" s="165" t="str">
        <f>IF(LEFT(PQS_tbl[[#This Row],[E]],1)="S",$AS76,"")</f>
        <v/>
      </c>
      <c r="AZ76" s="165" t="str">
        <f>IFERROR(SMALL($AY$7:AY$178,ROWS($AY$7:AY76)),"")</f>
        <v/>
      </c>
      <c r="BA76" s="165" t="str">
        <f>IFERROR(INDEX(PQS_tbl[C],AZ76),"")</f>
        <v/>
      </c>
      <c r="BB76" s="165" t="str">
        <f>IF(AND(LEFT(PQS_tbl[[#This Row],[D]],3)=$BB$6,PQS_tbl[[#This Row],[K]]&gt;0),$AO76,"")</f>
        <v/>
      </c>
    </row>
    <row r="77" spans="1:54" s="178" customFormat="1" x14ac:dyDescent="0.3">
      <c r="A77" s="179" t="s">
        <v>424</v>
      </c>
      <c r="B77" s="62" t="s">
        <v>360</v>
      </c>
      <c r="C77" t="s">
        <v>522</v>
      </c>
      <c r="D77" s="61" t="s">
        <v>523</v>
      </c>
      <c r="E77" s="180" t="s">
        <v>390</v>
      </c>
      <c r="F77" s="180" t="s">
        <v>348</v>
      </c>
      <c r="G77" s="180" t="s">
        <v>349</v>
      </c>
      <c r="H77" s="180" t="s">
        <v>470</v>
      </c>
      <c r="I77" s="63"/>
      <c r="J77" s="63">
        <v>105</v>
      </c>
      <c r="K77" s="63"/>
      <c r="L77" s="63">
        <v>7.2</v>
      </c>
      <c r="M77" s="63">
        <v>64</v>
      </c>
      <c r="N77" s="181">
        <v>2.8</v>
      </c>
      <c r="O77" s="181"/>
      <c r="P77" s="181"/>
      <c r="Q77" s="63">
        <v>2.23</v>
      </c>
      <c r="R77" s="63"/>
      <c r="S77" s="63"/>
      <c r="T77" s="63">
        <v>421</v>
      </c>
      <c r="U77" s="182">
        <f t="shared" si="19"/>
        <v>505.2</v>
      </c>
      <c r="V77" s="183">
        <v>2016</v>
      </c>
      <c r="W77" s="63"/>
      <c r="X77" s="63">
        <v>105</v>
      </c>
      <c r="Y77" s="63"/>
      <c r="Z77" s="63">
        <v>84</v>
      </c>
      <c r="AA77" s="63">
        <v>72</v>
      </c>
      <c r="AB77" s="63">
        <v>70</v>
      </c>
      <c r="AC77" s="63">
        <v>0.57999999999999996</v>
      </c>
      <c r="AD77" s="184">
        <v>70</v>
      </c>
      <c r="AE77" s="63" t="s">
        <v>312</v>
      </c>
      <c r="AF77" s="185" t="str">
        <f t="shared" si="9"/>
        <v/>
      </c>
      <c r="AG77" s="185">
        <f t="shared" si="9"/>
        <v>4.8114285714285714</v>
      </c>
      <c r="AH77" s="185">
        <f t="shared" si="11"/>
        <v>70.166666666666657</v>
      </c>
      <c r="AI77" s="186" t="str">
        <f t="shared" si="12"/>
        <v/>
      </c>
      <c r="AJ77" s="186" t="str">
        <f t="shared" si="13"/>
        <v/>
      </c>
      <c r="AK77" s="186">
        <f t="shared" si="14"/>
        <v>2.1238095238095236E-2</v>
      </c>
      <c r="AL77" s="186" t="str">
        <f t="shared" si="15"/>
        <v/>
      </c>
      <c r="AM77" s="186">
        <f t="shared" si="16"/>
        <v>0.30972222222222223</v>
      </c>
      <c r="AN77" s="186" t="str">
        <f t="shared" si="17"/>
        <v/>
      </c>
      <c r="AO77" s="165">
        <f t="shared" si="18"/>
        <v>71</v>
      </c>
      <c r="AP77" s="165" t="str">
        <f>IF(AND(LEFT(PQS_tbl[[#This Row],[D]],3)=$AP$6,PQS_tbl[[#This Row],[I]]&gt;0),$AO77,"")</f>
        <v/>
      </c>
      <c r="AQ77" s="165">
        <f>IFERROR(SMALL($AP$7:AP$182,ROWS($AP$7:AP77)),"")</f>
        <v>129</v>
      </c>
      <c r="AR77" s="165" t="str">
        <f>IFERROR(INDEX(PQS_tbl[C],AQ77),"")</f>
        <v>GVR 99 Lite</v>
      </c>
      <c r="AS77" s="165">
        <f>IF(AND(LEFT(PQS_tbl[[#This Row],[D]],3)=$AS$6,PQS_tbl[[#This Row],[I]]=0,PQS_tbl[[#This Row],[J]]&gt;0),$AO77,"")</f>
        <v>71</v>
      </c>
      <c r="AT77" s="165" t="str">
        <f>IFERROR(SMALL($AS$7:AS$178,ROWS($AS$7:AS77)),"")</f>
        <v/>
      </c>
      <c r="AU77" s="165" t="str">
        <f>IFERROR(INDEX(PQS_tbl[C],AT77),"")</f>
        <v/>
      </c>
      <c r="AV77" s="165" t="str">
        <f>IF(LEFT(PQS_tbl[[#This Row],[E]],1)="S",$AP77,"")</f>
        <v/>
      </c>
      <c r="AW77" s="165" t="str">
        <f>IFERROR(SMALL($AV$7:AV$178,ROWS($AV$7:AV77)),"")</f>
        <v/>
      </c>
      <c r="AX77" s="165" t="str">
        <f>IFERROR(INDEX(PQS_tbl[C],AW77),"")</f>
        <v/>
      </c>
      <c r="AY77" s="165" t="str">
        <f>IF(LEFT(PQS_tbl[[#This Row],[E]],1)="S",$AS77,"")</f>
        <v/>
      </c>
      <c r="AZ77" s="165" t="str">
        <f>IFERROR(SMALL($AY$7:AY$178,ROWS($AY$7:AY77)),"")</f>
        <v/>
      </c>
      <c r="BA77" s="165" t="str">
        <f>IFERROR(INDEX(PQS_tbl[C],AZ77),"")</f>
        <v/>
      </c>
      <c r="BB77" s="165" t="str">
        <f>IF(AND(LEFT(PQS_tbl[[#This Row],[D]],3)=$BB$6,PQS_tbl[[#This Row],[K]]&gt;0),$AO77,"")</f>
        <v/>
      </c>
    </row>
    <row r="78" spans="1:54" s="178" customFormat="1" x14ac:dyDescent="0.3">
      <c r="A78" s="179" t="s">
        <v>424</v>
      </c>
      <c r="B78" s="62" t="s">
        <v>360</v>
      </c>
      <c r="C78" t="s">
        <v>524</v>
      </c>
      <c r="D78" s="61" t="s">
        <v>525</v>
      </c>
      <c r="E78" s="180" t="s">
        <v>390</v>
      </c>
      <c r="F78" s="180" t="s">
        <v>348</v>
      </c>
      <c r="G78" s="180" t="s">
        <v>349</v>
      </c>
      <c r="H78" s="180" t="s">
        <v>470</v>
      </c>
      <c r="I78" s="63"/>
      <c r="J78" s="63">
        <v>171</v>
      </c>
      <c r="K78" s="63"/>
      <c r="L78" s="63">
        <v>7.2</v>
      </c>
      <c r="M78" s="63">
        <v>160</v>
      </c>
      <c r="N78" s="181">
        <v>2.9</v>
      </c>
      <c r="O78" s="181"/>
      <c r="P78" s="181"/>
      <c r="Q78" s="63">
        <v>3</v>
      </c>
      <c r="R78" s="63"/>
      <c r="S78" s="63"/>
      <c r="T78" s="63">
        <v>490</v>
      </c>
      <c r="U78" s="182">
        <f t="shared" si="19"/>
        <v>588</v>
      </c>
      <c r="V78" s="183">
        <v>2016</v>
      </c>
      <c r="W78" s="63"/>
      <c r="X78" s="63">
        <v>171</v>
      </c>
      <c r="Y78" s="63"/>
      <c r="Z78" s="63">
        <v>84</v>
      </c>
      <c r="AA78" s="63">
        <v>113</v>
      </c>
      <c r="AB78" s="63">
        <v>70</v>
      </c>
      <c r="AC78" s="63">
        <v>0.84599999999999997</v>
      </c>
      <c r="AD78" s="184">
        <v>96.3</v>
      </c>
      <c r="AE78" s="63" t="s">
        <v>312</v>
      </c>
      <c r="AF78" s="185" t="str">
        <f t="shared" ref="AF78:AG97" si="20">IF(I78="","",$U78/I78)</f>
        <v/>
      </c>
      <c r="AG78" s="185">
        <f t="shared" si="20"/>
        <v>3.4385964912280702</v>
      </c>
      <c r="AH78" s="185">
        <f t="shared" si="11"/>
        <v>81.666666666666671</v>
      </c>
      <c r="AI78" s="186" t="str">
        <f t="shared" si="12"/>
        <v/>
      </c>
      <c r="AJ78" s="186" t="str">
        <f t="shared" si="13"/>
        <v/>
      </c>
      <c r="AK78" s="186">
        <f t="shared" si="14"/>
        <v>1.7543859649122806E-2</v>
      </c>
      <c r="AL78" s="186" t="str">
        <f t="shared" si="15"/>
        <v/>
      </c>
      <c r="AM78" s="186">
        <f t="shared" si="16"/>
        <v>0.41666666666666663</v>
      </c>
      <c r="AN78" s="186" t="str">
        <f t="shared" si="17"/>
        <v/>
      </c>
      <c r="AO78" s="165">
        <f t="shared" si="18"/>
        <v>72</v>
      </c>
      <c r="AP78" s="165" t="str">
        <f>IF(AND(LEFT(PQS_tbl[[#This Row],[D]],3)=$AP$6,PQS_tbl[[#This Row],[I]]&gt;0),$AO78,"")</f>
        <v/>
      </c>
      <c r="AQ78" s="165">
        <f>IFERROR(SMALL($AP$7:AP$182,ROWS($AP$7:AP78)),"")</f>
        <v>130</v>
      </c>
      <c r="AR78" s="165" t="str">
        <f>IFERROR(INDEX(PQS_tbl[C],AQ78),"")</f>
        <v>GVR 225 AC</v>
      </c>
      <c r="AS78" s="165">
        <f>IF(AND(LEFT(PQS_tbl[[#This Row],[D]],3)=$AS$6,PQS_tbl[[#This Row],[I]]=0,PQS_tbl[[#This Row],[J]]&gt;0),$AO78,"")</f>
        <v>72</v>
      </c>
      <c r="AT78" s="165" t="str">
        <f>IFERROR(SMALL($AS$7:AS$178,ROWS($AS$7:AS78)),"")</f>
        <v/>
      </c>
      <c r="AU78" s="165" t="str">
        <f>IFERROR(INDEX(PQS_tbl[C],AT78),"")</f>
        <v/>
      </c>
      <c r="AV78" s="165" t="str">
        <f>IF(LEFT(PQS_tbl[[#This Row],[E]],1)="S",$AP78,"")</f>
        <v/>
      </c>
      <c r="AW78" s="165" t="str">
        <f>IFERROR(SMALL($AV$7:AV$178,ROWS($AV$7:AV78)),"")</f>
        <v/>
      </c>
      <c r="AX78" s="165" t="str">
        <f>IFERROR(INDEX(PQS_tbl[C],AW78),"")</f>
        <v/>
      </c>
      <c r="AY78" s="165" t="str">
        <f>IF(LEFT(PQS_tbl[[#This Row],[E]],1)="S",$AS78,"")</f>
        <v/>
      </c>
      <c r="AZ78" s="165" t="str">
        <f>IFERROR(SMALL($AY$7:AY$178,ROWS($AY$7:AY78)),"")</f>
        <v/>
      </c>
      <c r="BA78" s="165" t="str">
        <f>IFERROR(INDEX(PQS_tbl[C],AZ78),"")</f>
        <v/>
      </c>
      <c r="BB78" s="165" t="str">
        <f>IF(AND(LEFT(PQS_tbl[[#This Row],[D]],3)=$BB$6,PQS_tbl[[#This Row],[K]]&gt;0),$AO78,"")</f>
        <v/>
      </c>
    </row>
    <row r="79" spans="1:54" s="178" customFormat="1" x14ac:dyDescent="0.3">
      <c r="A79" s="179" t="s">
        <v>526</v>
      </c>
      <c r="B79" s="62" t="s">
        <v>385</v>
      </c>
      <c r="C79" t="s">
        <v>527</v>
      </c>
      <c r="D79" s="61" t="s">
        <v>528</v>
      </c>
      <c r="E79" s="180" t="s">
        <v>356</v>
      </c>
      <c r="F79" s="180" t="s">
        <v>348</v>
      </c>
      <c r="G79" s="180" t="s">
        <v>349</v>
      </c>
      <c r="H79" s="180" t="s">
        <v>477</v>
      </c>
      <c r="I79" s="63">
        <v>37.5</v>
      </c>
      <c r="J79" s="63"/>
      <c r="K79" s="63"/>
      <c r="L79" s="63">
        <v>2.4</v>
      </c>
      <c r="M79" s="63">
        <v>18</v>
      </c>
      <c r="N79" s="181">
        <v>3</v>
      </c>
      <c r="O79" s="181"/>
      <c r="P79" s="181"/>
      <c r="Q79" s="63">
        <v>0.55000000000000004</v>
      </c>
      <c r="R79" s="63"/>
      <c r="S79" s="63"/>
      <c r="T79" s="63">
        <v>3275</v>
      </c>
      <c r="U79" s="182">
        <f t="shared" si="19"/>
        <v>3930</v>
      </c>
      <c r="V79" s="183">
        <v>2016</v>
      </c>
      <c r="W79" s="63">
        <v>48.3</v>
      </c>
      <c r="X79" s="63">
        <v>24.3</v>
      </c>
      <c r="Y79" s="63"/>
      <c r="Z79" s="63">
        <v>93.6</v>
      </c>
      <c r="AA79" s="63">
        <v>92.9</v>
      </c>
      <c r="AB79" s="63">
        <v>77.7</v>
      </c>
      <c r="AC79" s="63">
        <v>0.88700000000000001</v>
      </c>
      <c r="AD79" s="184">
        <v>92</v>
      </c>
      <c r="AE79" s="63"/>
      <c r="AF79" s="185">
        <f t="shared" si="20"/>
        <v>104.8</v>
      </c>
      <c r="AG79" s="185" t="str">
        <f t="shared" si="20"/>
        <v/>
      </c>
      <c r="AH79" s="185">
        <f t="shared" si="11"/>
        <v>1637.5</v>
      </c>
      <c r="AI79" s="186">
        <f t="shared" si="12"/>
        <v>1.4666666666666668E-2</v>
      </c>
      <c r="AJ79" s="186" t="str">
        <f t="shared" si="13"/>
        <v/>
      </c>
      <c r="AK79" s="186" t="str">
        <f t="shared" si="14"/>
        <v/>
      </c>
      <c r="AL79" s="186" t="str">
        <f t="shared" si="15"/>
        <v/>
      </c>
      <c r="AM79" s="186">
        <f t="shared" si="16"/>
        <v>0.22916666666666669</v>
      </c>
      <c r="AN79" s="186" t="str">
        <f t="shared" si="17"/>
        <v/>
      </c>
      <c r="AO79" s="165">
        <f t="shared" si="18"/>
        <v>73</v>
      </c>
      <c r="AP79" s="165">
        <f>IF(AND(LEFT(PQS_tbl[[#This Row],[D]],3)=$AP$6,PQS_tbl[[#This Row],[I]]&gt;0),$AO79,"")</f>
        <v>73</v>
      </c>
      <c r="AQ79" s="165">
        <f>IFERROR(SMALL($AP$7:AP$182,ROWS($AP$7:AP79)),"")</f>
        <v>131</v>
      </c>
      <c r="AR79" s="165" t="str">
        <f>IFERROR(INDEX(PQS_tbl[C],AQ79),"")</f>
        <v>VC 60 SDD-1</v>
      </c>
      <c r="AS79" s="165" t="str">
        <f>IF(AND(LEFT(PQS_tbl[[#This Row],[D]],3)=$AS$6,PQS_tbl[[#This Row],[I]]=0,PQS_tbl[[#This Row],[J]]&gt;0),$AO79,"")</f>
        <v/>
      </c>
      <c r="AT79" s="165" t="str">
        <f>IFERROR(SMALL($AS$7:AS$178,ROWS($AS$7:AS79)),"")</f>
        <v/>
      </c>
      <c r="AU79" s="165" t="str">
        <f>IFERROR(INDEX(PQS_tbl[C],AT79),"")</f>
        <v/>
      </c>
      <c r="AV79" s="165">
        <f>IF(LEFT(PQS_tbl[[#This Row],[E]],1)="S",$AP79,"")</f>
        <v>73</v>
      </c>
      <c r="AW79" s="165" t="str">
        <f>IFERROR(SMALL($AV$7:AV$178,ROWS($AV$7:AV79)),"")</f>
        <v/>
      </c>
      <c r="AX79" s="165" t="str">
        <f>IFERROR(INDEX(PQS_tbl[C],AW79),"")</f>
        <v/>
      </c>
      <c r="AY79" s="165" t="str">
        <f>IF(LEFT(PQS_tbl[[#This Row],[E]],1)="S",$AS79,"")</f>
        <v/>
      </c>
      <c r="AZ79" s="165" t="str">
        <f>IFERROR(SMALL($AY$7:AY$178,ROWS($AY$7:AY79)),"")</f>
        <v/>
      </c>
      <c r="BA79" s="165" t="str">
        <f>IFERROR(INDEX(PQS_tbl[C],AZ79),"")</f>
        <v/>
      </c>
      <c r="BB79" s="165" t="str">
        <f>IF(AND(LEFT(PQS_tbl[[#This Row],[D]],3)=$BB$6,PQS_tbl[[#This Row],[K]]&gt;0),$AO79,"")</f>
        <v/>
      </c>
    </row>
    <row r="80" spans="1:54" s="178" customFormat="1" x14ac:dyDescent="0.3">
      <c r="A80" s="179" t="s">
        <v>526</v>
      </c>
      <c r="B80" s="62" t="s">
        <v>385</v>
      </c>
      <c r="C80" t="s">
        <v>529</v>
      </c>
      <c r="D80" s="61" t="s">
        <v>530</v>
      </c>
      <c r="E80" s="180" t="s">
        <v>356</v>
      </c>
      <c r="F80" s="180" t="s">
        <v>348</v>
      </c>
      <c r="G80" s="180" t="s">
        <v>349</v>
      </c>
      <c r="H80" s="180" t="s">
        <v>477</v>
      </c>
      <c r="I80" s="63">
        <v>86</v>
      </c>
      <c r="J80" s="63"/>
      <c r="K80" s="63"/>
      <c r="L80" s="63">
        <v>2.4</v>
      </c>
      <c r="M80" s="63">
        <v>26</v>
      </c>
      <c r="N80" s="181">
        <v>3</v>
      </c>
      <c r="O80" s="181"/>
      <c r="P80" s="181"/>
      <c r="Q80" s="63">
        <v>0.68</v>
      </c>
      <c r="R80" s="63"/>
      <c r="S80" s="63"/>
      <c r="T80" s="63">
        <v>4275</v>
      </c>
      <c r="U80" s="182">
        <f t="shared" si="19"/>
        <v>5130</v>
      </c>
      <c r="V80" s="183">
        <v>2016</v>
      </c>
      <c r="W80" s="63">
        <v>111.2</v>
      </c>
      <c r="X80" s="63">
        <v>33.1</v>
      </c>
      <c r="Y80" s="63"/>
      <c r="Z80" s="63">
        <v>92.9</v>
      </c>
      <c r="AA80" s="63">
        <v>128.5</v>
      </c>
      <c r="AB80" s="63">
        <v>78.099999999999994</v>
      </c>
      <c r="AC80" s="63">
        <v>1.075</v>
      </c>
      <c r="AD80" s="184">
        <v>111</v>
      </c>
      <c r="AE80" s="63"/>
      <c r="AF80" s="185">
        <f t="shared" si="20"/>
        <v>59.651162790697676</v>
      </c>
      <c r="AG80" s="185" t="str">
        <f t="shared" si="20"/>
        <v/>
      </c>
      <c r="AH80" s="185">
        <f t="shared" si="11"/>
        <v>2137.5</v>
      </c>
      <c r="AI80" s="186">
        <f t="shared" si="12"/>
        <v>7.9069767441860474E-3</v>
      </c>
      <c r="AJ80" s="186" t="str">
        <f t="shared" si="13"/>
        <v/>
      </c>
      <c r="AK80" s="186" t="str">
        <f t="shared" si="14"/>
        <v/>
      </c>
      <c r="AL80" s="186" t="str">
        <f t="shared" si="15"/>
        <v/>
      </c>
      <c r="AM80" s="186">
        <f t="shared" si="16"/>
        <v>0.28333333333333338</v>
      </c>
      <c r="AN80" s="186" t="str">
        <f t="shared" si="17"/>
        <v/>
      </c>
      <c r="AO80" s="165">
        <f t="shared" si="18"/>
        <v>74</v>
      </c>
      <c r="AP80" s="165">
        <f>IF(AND(LEFT(PQS_tbl[[#This Row],[D]],3)=$AP$6,PQS_tbl[[#This Row],[I]]&gt;0),$AO80,"")</f>
        <v>74</v>
      </c>
      <c r="AQ80" s="165">
        <f>IFERROR(SMALL($AP$7:AP$182,ROWS($AP$7:AP80)),"")</f>
        <v>132</v>
      </c>
      <c r="AR80" s="165" t="str">
        <f>IFERROR(INDEX(PQS_tbl[C],AQ80),"")</f>
        <v>VC 30 SDD</v>
      </c>
      <c r="AS80" s="165" t="str">
        <f>IF(AND(LEFT(PQS_tbl[[#This Row],[D]],3)=$AS$6,PQS_tbl[[#This Row],[I]]=0,PQS_tbl[[#This Row],[J]]&gt;0),$AO80,"")</f>
        <v/>
      </c>
      <c r="AT80" s="165" t="str">
        <f>IFERROR(SMALL($AS$7:AS$178,ROWS($AS$7:AS80)),"")</f>
        <v/>
      </c>
      <c r="AU80" s="165" t="str">
        <f>IFERROR(INDEX(PQS_tbl[C],AT80),"")</f>
        <v/>
      </c>
      <c r="AV80" s="165">
        <f>IF(LEFT(PQS_tbl[[#This Row],[E]],1)="S",$AP80,"")</f>
        <v>74</v>
      </c>
      <c r="AW80" s="165" t="str">
        <f>IFERROR(SMALL($AV$7:AV$178,ROWS($AV$7:AV80)),"")</f>
        <v/>
      </c>
      <c r="AX80" s="165" t="str">
        <f>IFERROR(INDEX(PQS_tbl[C],AW80),"")</f>
        <v/>
      </c>
      <c r="AY80" s="165" t="str">
        <f>IF(LEFT(PQS_tbl[[#This Row],[E]],1)="S",$AS80,"")</f>
        <v/>
      </c>
      <c r="AZ80" s="165" t="str">
        <f>IFERROR(SMALL($AY$7:AY$178,ROWS($AY$7:AY80)),"")</f>
        <v/>
      </c>
      <c r="BA80" s="165" t="str">
        <f>IFERROR(INDEX(PQS_tbl[C],AZ80),"")</f>
        <v/>
      </c>
      <c r="BB80" s="165" t="str">
        <f>IF(AND(LEFT(PQS_tbl[[#This Row],[D]],3)=$BB$6,PQS_tbl[[#This Row],[K]]&gt;0),$AO80,"")</f>
        <v/>
      </c>
    </row>
    <row r="81" spans="1:54" s="178" customFormat="1" x14ac:dyDescent="0.3">
      <c r="A81" s="179" t="s">
        <v>531</v>
      </c>
      <c r="B81" s="62" t="s">
        <v>385</v>
      </c>
      <c r="C81" t="s">
        <v>532</v>
      </c>
      <c r="D81" s="61" t="s">
        <v>533</v>
      </c>
      <c r="E81" s="180" t="s">
        <v>534</v>
      </c>
      <c r="F81" s="180" t="s">
        <v>348</v>
      </c>
      <c r="G81" s="180" t="s">
        <v>349</v>
      </c>
      <c r="H81" s="180" t="s">
        <v>477</v>
      </c>
      <c r="I81" s="63">
        <v>126.5</v>
      </c>
      <c r="J81" s="63"/>
      <c r="K81" s="63"/>
      <c r="L81" s="63"/>
      <c r="M81" s="63"/>
      <c r="N81" s="181">
        <v>3</v>
      </c>
      <c r="O81" s="181"/>
      <c r="P81" s="181"/>
      <c r="Q81" s="63">
        <v>0.63</v>
      </c>
      <c r="R81" s="63"/>
      <c r="S81" s="63"/>
      <c r="T81" s="63">
        <v>3050</v>
      </c>
      <c r="U81" s="182">
        <f t="shared" si="19"/>
        <v>3660</v>
      </c>
      <c r="V81" s="183">
        <v>2016</v>
      </c>
      <c r="W81" s="63">
        <v>155.1</v>
      </c>
      <c r="X81" s="63"/>
      <c r="Y81" s="63"/>
      <c r="Z81" s="63">
        <v>93.3</v>
      </c>
      <c r="AA81" s="63">
        <v>128.5</v>
      </c>
      <c r="AB81" s="63">
        <v>78.099999999999994</v>
      </c>
      <c r="AC81" s="63">
        <v>1.075</v>
      </c>
      <c r="AD81" s="184">
        <v>95</v>
      </c>
      <c r="AE81" s="63"/>
      <c r="AF81" s="185">
        <f t="shared" si="20"/>
        <v>28.932806324110672</v>
      </c>
      <c r="AG81" s="185" t="str">
        <f t="shared" si="20"/>
        <v/>
      </c>
      <c r="AH81" s="185" t="str">
        <f t="shared" si="11"/>
        <v/>
      </c>
      <c r="AI81" s="186">
        <f t="shared" si="12"/>
        <v>4.980237154150198E-3</v>
      </c>
      <c r="AJ81" s="186" t="str">
        <f t="shared" si="13"/>
        <v/>
      </c>
      <c r="AK81" s="186" t="str">
        <f t="shared" si="14"/>
        <v/>
      </c>
      <c r="AL81" s="186" t="str">
        <f t="shared" si="15"/>
        <v/>
      </c>
      <c r="AM81" s="186" t="str">
        <f t="shared" si="16"/>
        <v/>
      </c>
      <c r="AN81" s="186" t="str">
        <f t="shared" si="17"/>
        <v/>
      </c>
      <c r="AO81" s="165">
        <f t="shared" si="18"/>
        <v>75</v>
      </c>
      <c r="AP81" s="165">
        <f>IF(AND(LEFT(PQS_tbl[[#This Row],[D]],3)=$AP$6,PQS_tbl[[#This Row],[I]]&gt;0),$AO81,"")</f>
        <v>75</v>
      </c>
      <c r="AQ81" s="165">
        <f>IFERROR(SMALL($AP$7:AP$182,ROWS($AP$7:AP81)),"")</f>
        <v>134</v>
      </c>
      <c r="AR81" s="165" t="str">
        <f>IFERROR(INDEX(PQS_tbl[C],AQ81),"")</f>
        <v>HBC-260</v>
      </c>
      <c r="AS81" s="165" t="str">
        <f>IF(AND(LEFT(PQS_tbl[[#This Row],[D]],3)=$AS$6,PQS_tbl[[#This Row],[I]]=0,PQS_tbl[[#This Row],[J]]&gt;0),$AO81,"")</f>
        <v/>
      </c>
      <c r="AT81" s="165" t="str">
        <f>IFERROR(SMALL($AS$7:AS$178,ROWS($AS$7:AS81)),"")</f>
        <v/>
      </c>
      <c r="AU81" s="165" t="str">
        <f>IFERROR(INDEX(PQS_tbl[C],AT81),"")</f>
        <v/>
      </c>
      <c r="AV81" s="165">
        <f>IF(LEFT(PQS_tbl[[#This Row],[E]],1)="S",$AP81,"")</f>
        <v>75</v>
      </c>
      <c r="AW81" s="165" t="str">
        <f>IFERROR(SMALL($AV$7:AV$178,ROWS($AV$7:AV81)),"")</f>
        <v/>
      </c>
      <c r="AX81" s="165" t="str">
        <f>IFERROR(INDEX(PQS_tbl[C],AW81),"")</f>
        <v/>
      </c>
      <c r="AY81" s="165" t="str">
        <f>IF(LEFT(PQS_tbl[[#This Row],[E]],1)="S",$AS81,"")</f>
        <v/>
      </c>
      <c r="AZ81" s="165" t="str">
        <f>IFERROR(SMALL($AY$7:AY$178,ROWS($AY$7:AY81)),"")</f>
        <v/>
      </c>
      <c r="BA81" s="165" t="str">
        <f>IFERROR(INDEX(PQS_tbl[C],AZ81),"")</f>
        <v/>
      </c>
      <c r="BB81" s="165" t="str">
        <f>IF(AND(LEFT(PQS_tbl[[#This Row],[D]],3)=$BB$6,PQS_tbl[[#This Row],[K]]&gt;0),$AO81,"")</f>
        <v/>
      </c>
    </row>
    <row r="82" spans="1:54" s="178" customFormat="1" x14ac:dyDescent="0.3">
      <c r="A82" s="179" t="s">
        <v>510</v>
      </c>
      <c r="B82" s="62" t="s">
        <v>467</v>
      </c>
      <c r="C82" t="s">
        <v>535</v>
      </c>
      <c r="D82" s="61" t="s">
        <v>536</v>
      </c>
      <c r="E82" s="180" t="s">
        <v>488</v>
      </c>
      <c r="F82" s="180" t="s">
        <v>489</v>
      </c>
      <c r="G82" s="180" t="s">
        <v>339</v>
      </c>
      <c r="H82" s="180" t="s">
        <v>477</v>
      </c>
      <c r="I82" s="63">
        <v>21</v>
      </c>
      <c r="J82" s="63"/>
      <c r="K82" s="63"/>
      <c r="L82" s="63"/>
      <c r="M82" s="63"/>
      <c r="N82" s="181">
        <v>135</v>
      </c>
      <c r="O82" s="181"/>
      <c r="P82" s="181"/>
      <c r="Q82" s="63"/>
      <c r="R82" s="63"/>
      <c r="S82" s="63"/>
      <c r="T82" s="187">
        <v>2500</v>
      </c>
      <c r="U82" s="182">
        <v>2500</v>
      </c>
      <c r="V82" s="183">
        <v>2016</v>
      </c>
      <c r="W82" s="63">
        <v>60</v>
      </c>
      <c r="X82" s="63"/>
      <c r="Y82" s="63"/>
      <c r="Z82" s="63">
        <v>78.8</v>
      </c>
      <c r="AA82" s="63">
        <v>87.5</v>
      </c>
      <c r="AB82" s="63">
        <v>65.400000000000006</v>
      </c>
      <c r="AC82" s="63">
        <v>0.7</v>
      </c>
      <c r="AD82" s="184">
        <v>98</v>
      </c>
      <c r="AE82" s="63"/>
      <c r="AF82" s="185">
        <f t="shared" si="20"/>
        <v>119.04761904761905</v>
      </c>
      <c r="AG82" s="185" t="str">
        <f t="shared" si="20"/>
        <v/>
      </c>
      <c r="AH82" s="185" t="str">
        <f t="shared" si="11"/>
        <v/>
      </c>
      <c r="AI82" s="186" t="str">
        <f t="shared" si="12"/>
        <v/>
      </c>
      <c r="AJ82" s="186" t="str">
        <f t="shared" si="13"/>
        <v/>
      </c>
      <c r="AK82" s="186" t="str">
        <f t="shared" si="14"/>
        <v/>
      </c>
      <c r="AL82" s="186" t="str">
        <f t="shared" si="15"/>
        <v/>
      </c>
      <c r="AM82" s="186" t="str">
        <f t="shared" si="16"/>
        <v/>
      </c>
      <c r="AN82" s="186" t="str">
        <f t="shared" si="17"/>
        <v/>
      </c>
      <c r="AO82" s="165">
        <f t="shared" si="18"/>
        <v>76</v>
      </c>
      <c r="AP82" s="165">
        <f>IF(AND(LEFT(PQS_tbl[[#This Row],[D]],3)=$AP$6,PQS_tbl[[#This Row],[I]]&gt;0),$AO82,"")</f>
        <v>76</v>
      </c>
      <c r="AQ82" s="165">
        <f>IFERROR(SMALL($AP$7:AP$182,ROWS($AP$7:AP82)),"")</f>
        <v>135</v>
      </c>
      <c r="AR82" s="165" t="str">
        <f>IFERROR(INDEX(PQS_tbl[C],AQ82),"")</f>
        <v>HBC-150</v>
      </c>
      <c r="AS82" s="165" t="str">
        <f>IF(AND(LEFT(PQS_tbl[[#This Row],[D]],3)=$AS$6,PQS_tbl[[#This Row],[I]]=0,PQS_tbl[[#This Row],[J]]&gt;0),$AO82,"")</f>
        <v/>
      </c>
      <c r="AT82" s="165" t="str">
        <f>IFERROR(SMALL($AS$7:AS$178,ROWS($AS$7:AS82)),"")</f>
        <v/>
      </c>
      <c r="AU82" s="165" t="str">
        <f>IFERROR(INDEX(PQS_tbl[C],AT82),"")</f>
        <v/>
      </c>
      <c r="AV82" s="165">
        <f>IF(LEFT(PQS_tbl[[#This Row],[E]],1)="S",$AP82,"")</f>
        <v>76</v>
      </c>
      <c r="AW82" s="165" t="str">
        <f>IFERROR(SMALL($AV$7:AV$178,ROWS($AV$7:AV82)),"")</f>
        <v/>
      </c>
      <c r="AX82" s="165" t="str">
        <f>IFERROR(INDEX(PQS_tbl[C],AW82),"")</f>
        <v/>
      </c>
      <c r="AY82" s="165" t="str">
        <f>IF(LEFT(PQS_tbl[[#This Row],[E]],1)="S",$AS82,"")</f>
        <v/>
      </c>
      <c r="AZ82" s="165" t="str">
        <f>IFERROR(SMALL($AY$7:AY$178,ROWS($AY$7:AY82)),"")</f>
        <v/>
      </c>
      <c r="BA82" s="165" t="str">
        <f>IFERROR(INDEX(PQS_tbl[C],AZ82),"")</f>
        <v/>
      </c>
      <c r="BB82" s="165" t="str">
        <f>IF(AND(LEFT(PQS_tbl[[#This Row],[D]],3)=$BB$6,PQS_tbl[[#This Row],[K]]&gt;0),$AO82,"")</f>
        <v/>
      </c>
    </row>
    <row r="83" spans="1:54" s="178" customFormat="1" x14ac:dyDescent="0.3">
      <c r="A83" s="179" t="s">
        <v>510</v>
      </c>
      <c r="B83" s="62" t="s">
        <v>463</v>
      </c>
      <c r="C83" t="s">
        <v>537</v>
      </c>
      <c r="D83" s="61" t="s">
        <v>538</v>
      </c>
      <c r="E83" s="180" t="s">
        <v>488</v>
      </c>
      <c r="F83" s="180" t="s">
        <v>489</v>
      </c>
      <c r="G83" s="180" t="s">
        <v>339</v>
      </c>
      <c r="H83" s="180" t="s">
        <v>466</v>
      </c>
      <c r="I83" s="63">
        <v>156</v>
      </c>
      <c r="J83" s="63"/>
      <c r="K83" s="63"/>
      <c r="L83" s="63"/>
      <c r="M83" s="63"/>
      <c r="N83" s="181">
        <v>86</v>
      </c>
      <c r="O83" s="181"/>
      <c r="P83" s="181"/>
      <c r="Q83" s="63"/>
      <c r="R83" s="63"/>
      <c r="S83" s="63"/>
      <c r="T83" s="187">
        <v>5749</v>
      </c>
      <c r="U83" s="182">
        <f t="shared" si="19"/>
        <v>6898.8</v>
      </c>
      <c r="V83" s="183">
        <v>2016</v>
      </c>
      <c r="W83" s="63">
        <v>278</v>
      </c>
      <c r="X83" s="63"/>
      <c r="Y83" s="63"/>
      <c r="Z83" s="63">
        <v>91</v>
      </c>
      <c r="AA83" s="63">
        <v>127</v>
      </c>
      <c r="AB83" s="63">
        <v>78</v>
      </c>
      <c r="AC83" s="63">
        <v>1.07</v>
      </c>
      <c r="AD83" s="184">
        <v>114</v>
      </c>
      <c r="AE83" s="63" t="s">
        <v>312</v>
      </c>
      <c r="AF83" s="185">
        <f t="shared" si="20"/>
        <v>44.223076923076924</v>
      </c>
      <c r="AG83" s="185" t="str">
        <f t="shared" si="20"/>
        <v/>
      </c>
      <c r="AH83" s="185" t="str">
        <f t="shared" si="11"/>
        <v/>
      </c>
      <c r="AI83" s="186" t="str">
        <f t="shared" si="12"/>
        <v/>
      </c>
      <c r="AJ83" s="186" t="str">
        <f t="shared" si="13"/>
        <v/>
      </c>
      <c r="AK83" s="186" t="str">
        <f t="shared" si="14"/>
        <v/>
      </c>
      <c r="AL83" s="186" t="str">
        <f t="shared" si="15"/>
        <v/>
      </c>
      <c r="AM83" s="186" t="str">
        <f t="shared" si="16"/>
        <v/>
      </c>
      <c r="AN83" s="186" t="str">
        <f t="shared" si="17"/>
        <v/>
      </c>
      <c r="AO83" s="165">
        <f t="shared" si="18"/>
        <v>77</v>
      </c>
      <c r="AP83" s="165">
        <f>IF(AND(LEFT(PQS_tbl[[#This Row],[D]],3)=$AP$6,PQS_tbl[[#This Row],[I]]&gt;0),$AO83,"")</f>
        <v>77</v>
      </c>
      <c r="AQ83" s="165">
        <f>IFERROR(SMALL($AP$7:AP$182,ROWS($AP$7:AP83)),"")</f>
        <v>136</v>
      </c>
      <c r="AR83" s="165" t="str">
        <f>IFERROR(INDEX(PQS_tbl[C],AQ83),"")</f>
        <v>HBC-80</v>
      </c>
      <c r="AS83" s="165" t="str">
        <f>IF(AND(LEFT(PQS_tbl[[#This Row],[D]],3)=$AS$6,PQS_tbl[[#This Row],[I]]=0,PQS_tbl[[#This Row],[J]]&gt;0),$AO83,"")</f>
        <v/>
      </c>
      <c r="AT83" s="165" t="str">
        <f>IFERROR(SMALL($AS$7:AS$178,ROWS($AS$7:AS83)),"")</f>
        <v/>
      </c>
      <c r="AU83" s="165" t="str">
        <f>IFERROR(INDEX(PQS_tbl[C],AT83),"")</f>
        <v/>
      </c>
      <c r="AV83" s="165">
        <f>IF(LEFT(PQS_tbl[[#This Row],[E]],1)="S",$AP83,"")</f>
        <v>77</v>
      </c>
      <c r="AW83" s="165" t="str">
        <f>IFERROR(SMALL($AV$7:AV$178,ROWS($AV$7:AV83)),"")</f>
        <v/>
      </c>
      <c r="AX83" s="165" t="str">
        <f>IFERROR(INDEX(PQS_tbl[C],AW83),"")</f>
        <v/>
      </c>
      <c r="AY83" s="165" t="str">
        <f>IF(LEFT(PQS_tbl[[#This Row],[E]],1)="S",$AS83,"")</f>
        <v/>
      </c>
      <c r="AZ83" s="165" t="str">
        <f>IFERROR(SMALL($AY$7:AY$178,ROWS($AY$7:AY83)),"")</f>
        <v/>
      </c>
      <c r="BA83" s="165" t="str">
        <f>IFERROR(INDEX(PQS_tbl[C],AZ83),"")</f>
        <v/>
      </c>
      <c r="BB83" s="165" t="str">
        <f>IF(AND(LEFT(PQS_tbl[[#This Row],[D]],3)=$BB$6,PQS_tbl[[#This Row],[K]]&gt;0),$AO83,"")</f>
        <v/>
      </c>
    </row>
    <row r="84" spans="1:54" s="178" customFormat="1" x14ac:dyDescent="0.3">
      <c r="A84" s="179" t="s">
        <v>344</v>
      </c>
      <c r="B84" s="62" t="s">
        <v>360</v>
      </c>
      <c r="C84" t="s">
        <v>539</v>
      </c>
      <c r="D84" s="61" t="s">
        <v>540</v>
      </c>
      <c r="E84" s="180" t="s">
        <v>363</v>
      </c>
      <c r="F84" s="180" t="s">
        <v>489</v>
      </c>
      <c r="G84" s="180" t="s">
        <v>349</v>
      </c>
      <c r="H84" s="180" t="s">
        <v>477</v>
      </c>
      <c r="I84" s="63">
        <v>59.5</v>
      </c>
      <c r="J84" s="63"/>
      <c r="K84" s="63"/>
      <c r="L84" s="63"/>
      <c r="M84" s="63"/>
      <c r="N84" s="181">
        <v>24</v>
      </c>
      <c r="O84" s="181"/>
      <c r="P84" s="181"/>
      <c r="Q84" s="63">
        <v>0.71</v>
      </c>
      <c r="R84" s="63"/>
      <c r="S84" s="63"/>
      <c r="T84" s="187">
        <v>582</v>
      </c>
      <c r="U84" s="182">
        <f t="shared" si="19"/>
        <v>698.4</v>
      </c>
      <c r="V84" s="183">
        <v>2016</v>
      </c>
      <c r="W84" s="63">
        <v>113</v>
      </c>
      <c r="X84" s="63"/>
      <c r="Y84" s="63"/>
      <c r="Z84" s="63">
        <v>80</v>
      </c>
      <c r="AA84" s="63">
        <v>73</v>
      </c>
      <c r="AB84" s="63">
        <v>70</v>
      </c>
      <c r="AC84" s="63">
        <v>0.57999999999999996</v>
      </c>
      <c r="AD84" s="184">
        <v>70</v>
      </c>
      <c r="AE84" s="63"/>
      <c r="AF84" s="185">
        <f t="shared" si="20"/>
        <v>11.737815126050419</v>
      </c>
      <c r="AG84" s="185" t="str">
        <f t="shared" si="20"/>
        <v/>
      </c>
      <c r="AH84" s="185" t="str">
        <f t="shared" si="11"/>
        <v/>
      </c>
      <c r="AI84" s="186">
        <f t="shared" si="12"/>
        <v>1.1932773109243696E-2</v>
      </c>
      <c r="AJ84" s="186" t="str">
        <f t="shared" si="13"/>
        <v/>
      </c>
      <c r="AK84" s="186" t="str">
        <f t="shared" si="14"/>
        <v/>
      </c>
      <c r="AL84" s="186" t="str">
        <f t="shared" si="15"/>
        <v/>
      </c>
      <c r="AM84" s="186" t="str">
        <f t="shared" si="16"/>
        <v/>
      </c>
      <c r="AN84" s="186" t="str">
        <f t="shared" si="17"/>
        <v/>
      </c>
      <c r="AO84" s="165">
        <f t="shared" si="18"/>
        <v>78</v>
      </c>
      <c r="AP84" s="165">
        <f>IF(AND(LEFT(PQS_tbl[[#This Row],[D]],3)=$AP$6,PQS_tbl[[#This Row],[I]]&gt;0),$AO84,"")</f>
        <v>78</v>
      </c>
      <c r="AQ84" s="165">
        <f>IFERROR(SMALL($AP$7:AP$182,ROWS($AP$7:AP84)),"")</f>
        <v>137</v>
      </c>
      <c r="AR84" s="165" t="str">
        <f>IFERROR(INDEX(PQS_tbl[C],AQ84),"")</f>
        <v>Ultra 16 SDD</v>
      </c>
      <c r="AS84" s="165" t="str">
        <f>IF(AND(LEFT(PQS_tbl[[#This Row],[D]],3)=$AS$6,PQS_tbl[[#This Row],[I]]=0,PQS_tbl[[#This Row],[J]]&gt;0),$AO84,"")</f>
        <v/>
      </c>
      <c r="AT84" s="165" t="str">
        <f>IFERROR(SMALL($AS$7:AS$178,ROWS($AS$7:AS84)),"")</f>
        <v/>
      </c>
      <c r="AU84" s="165" t="str">
        <f>IFERROR(INDEX(PQS_tbl[C],AT84),"")</f>
        <v/>
      </c>
      <c r="AV84" s="165" t="str">
        <f>IF(LEFT(PQS_tbl[[#This Row],[E]],1)="S",$AP84,"")</f>
        <v/>
      </c>
      <c r="AW84" s="165" t="str">
        <f>IFERROR(SMALL($AV$7:AV$178,ROWS($AV$7:AV84)),"")</f>
        <v/>
      </c>
      <c r="AX84" s="165" t="str">
        <f>IFERROR(INDEX(PQS_tbl[C],AW84),"")</f>
        <v/>
      </c>
      <c r="AY84" s="165" t="str">
        <f>IF(LEFT(PQS_tbl[[#This Row],[E]],1)="S",$AS84,"")</f>
        <v/>
      </c>
      <c r="AZ84" s="165" t="str">
        <f>IFERROR(SMALL($AY$7:AY$178,ROWS($AY$7:AY84)),"")</f>
        <v/>
      </c>
      <c r="BA84" s="165" t="str">
        <f>IFERROR(INDEX(PQS_tbl[C],AZ84),"")</f>
        <v/>
      </c>
      <c r="BB84" s="165" t="str">
        <f>IF(AND(LEFT(PQS_tbl[[#This Row],[D]],3)=$BB$6,PQS_tbl[[#This Row],[K]]&gt;0),$AO84,"")</f>
        <v/>
      </c>
    </row>
    <row r="85" spans="1:54" s="178" customFormat="1" x14ac:dyDescent="0.3">
      <c r="A85" s="179" t="s">
        <v>344</v>
      </c>
      <c r="B85" s="62" t="s">
        <v>360</v>
      </c>
      <c r="C85" t="s">
        <v>541</v>
      </c>
      <c r="D85" s="61" t="s">
        <v>542</v>
      </c>
      <c r="E85" s="180" t="s">
        <v>363</v>
      </c>
      <c r="F85" s="180" t="s">
        <v>489</v>
      </c>
      <c r="G85" s="180" t="s">
        <v>349</v>
      </c>
      <c r="H85" s="180" t="s">
        <v>477</v>
      </c>
      <c r="I85" s="63">
        <v>148</v>
      </c>
      <c r="J85" s="63"/>
      <c r="K85" s="63"/>
      <c r="L85" s="63"/>
      <c r="M85" s="63"/>
      <c r="N85" s="181">
        <v>23.5</v>
      </c>
      <c r="O85" s="181"/>
      <c r="P85" s="181"/>
      <c r="Q85" s="63">
        <v>0.69</v>
      </c>
      <c r="R85" s="63"/>
      <c r="S85" s="63"/>
      <c r="T85" s="187">
        <v>698</v>
      </c>
      <c r="U85" s="182">
        <f t="shared" si="19"/>
        <v>837.6</v>
      </c>
      <c r="V85" s="183">
        <v>2016</v>
      </c>
      <c r="W85" s="63">
        <v>157</v>
      </c>
      <c r="X85" s="63"/>
      <c r="Y85" s="63"/>
      <c r="Z85" s="63">
        <v>85</v>
      </c>
      <c r="AA85" s="63">
        <v>70</v>
      </c>
      <c r="AB85" s="63">
        <v>92</v>
      </c>
      <c r="AC85" s="63">
        <v>0.75</v>
      </c>
      <c r="AD85" s="184">
        <v>93</v>
      </c>
      <c r="AE85" s="63"/>
      <c r="AF85" s="185">
        <f t="shared" si="20"/>
        <v>5.6594594594594598</v>
      </c>
      <c r="AG85" s="185" t="str">
        <f t="shared" si="20"/>
        <v/>
      </c>
      <c r="AH85" s="185" t="str">
        <f t="shared" si="11"/>
        <v/>
      </c>
      <c r="AI85" s="186">
        <f t="shared" si="12"/>
        <v>4.6621621621621614E-3</v>
      </c>
      <c r="AJ85" s="186" t="str">
        <f t="shared" si="13"/>
        <v/>
      </c>
      <c r="AK85" s="186" t="str">
        <f t="shared" si="14"/>
        <v/>
      </c>
      <c r="AL85" s="186" t="str">
        <f t="shared" si="15"/>
        <v/>
      </c>
      <c r="AM85" s="186" t="str">
        <f t="shared" si="16"/>
        <v/>
      </c>
      <c r="AN85" s="186" t="str">
        <f t="shared" si="17"/>
        <v/>
      </c>
      <c r="AO85" s="165">
        <f t="shared" si="18"/>
        <v>79</v>
      </c>
      <c r="AP85" s="165">
        <f>IF(AND(LEFT(PQS_tbl[[#This Row],[D]],3)=$AP$6,PQS_tbl[[#This Row],[I]]&gt;0),$AO85,"")</f>
        <v>79</v>
      </c>
      <c r="AQ85" s="165">
        <f>IFERROR(SMALL($AP$7:AP$182,ROWS($AP$7:AP85)),"")</f>
        <v>138</v>
      </c>
      <c r="AR85" s="165" t="str">
        <f>IFERROR(INDEX(PQS_tbl[C],AQ85),"")</f>
        <v>VLS 026 RF Green Line</v>
      </c>
      <c r="AS85" s="165" t="str">
        <f>IF(AND(LEFT(PQS_tbl[[#This Row],[D]],3)=$AS$6,PQS_tbl[[#This Row],[I]]=0,PQS_tbl[[#This Row],[J]]&gt;0),$AO85,"")</f>
        <v/>
      </c>
      <c r="AT85" s="165" t="str">
        <f>IFERROR(SMALL($AS$7:AS$178,ROWS($AS$7:AS85)),"")</f>
        <v/>
      </c>
      <c r="AU85" s="165" t="str">
        <f>IFERROR(INDEX(PQS_tbl[C],AT85),"")</f>
        <v/>
      </c>
      <c r="AV85" s="165" t="str">
        <f>IF(LEFT(PQS_tbl[[#This Row],[E]],1)="S",$AP85,"")</f>
        <v/>
      </c>
      <c r="AW85" s="165" t="str">
        <f>IFERROR(SMALL($AV$7:AV$178,ROWS($AV$7:AV85)),"")</f>
        <v/>
      </c>
      <c r="AX85" s="165" t="str">
        <f>IFERROR(INDEX(PQS_tbl[C],AW85),"")</f>
        <v/>
      </c>
      <c r="AY85" s="165" t="str">
        <f>IF(LEFT(PQS_tbl[[#This Row],[E]],1)="S",$AS85,"")</f>
        <v/>
      </c>
      <c r="AZ85" s="165" t="str">
        <f>IFERROR(SMALL($AY$7:AY$178,ROWS($AY$7:AY85)),"")</f>
        <v/>
      </c>
      <c r="BA85" s="165" t="str">
        <f>IFERROR(INDEX(PQS_tbl[C],AZ85),"")</f>
        <v/>
      </c>
      <c r="BB85" s="165" t="str">
        <f>IF(AND(LEFT(PQS_tbl[[#This Row],[D]],3)=$BB$6,PQS_tbl[[#This Row],[K]]&gt;0),$AO85,"")</f>
        <v/>
      </c>
    </row>
    <row r="86" spans="1:54" s="178" customFormat="1" x14ac:dyDescent="0.3">
      <c r="A86" s="179" t="s">
        <v>344</v>
      </c>
      <c r="B86" s="62" t="s">
        <v>360</v>
      </c>
      <c r="C86" t="s">
        <v>543</v>
      </c>
      <c r="D86" s="61" t="s">
        <v>544</v>
      </c>
      <c r="E86" s="180" t="s">
        <v>363</v>
      </c>
      <c r="F86" s="180" t="s">
        <v>489</v>
      </c>
      <c r="G86" s="180" t="s">
        <v>349</v>
      </c>
      <c r="H86" s="180" t="s">
        <v>477</v>
      </c>
      <c r="I86" s="63">
        <v>196</v>
      </c>
      <c r="J86" s="63"/>
      <c r="K86" s="63"/>
      <c r="L86" s="63"/>
      <c r="M86" s="63"/>
      <c r="N86" s="181">
        <v>31.5</v>
      </c>
      <c r="O86" s="181"/>
      <c r="P86" s="181"/>
      <c r="Q86" s="63">
        <v>0.64</v>
      </c>
      <c r="R86" s="63"/>
      <c r="S86" s="63"/>
      <c r="T86" s="63">
        <v>780</v>
      </c>
      <c r="U86" s="182">
        <f t="shared" si="19"/>
        <v>936</v>
      </c>
      <c r="V86" s="183">
        <v>2016</v>
      </c>
      <c r="W86" s="63">
        <v>209</v>
      </c>
      <c r="X86" s="63"/>
      <c r="Y86" s="63"/>
      <c r="Z86" s="63">
        <v>85</v>
      </c>
      <c r="AA86" s="63">
        <v>70</v>
      </c>
      <c r="AB86" s="63">
        <v>113</v>
      </c>
      <c r="AC86" s="63">
        <v>0.85</v>
      </c>
      <c r="AD86" s="184">
        <v>110</v>
      </c>
      <c r="AE86" s="63"/>
      <c r="AF86" s="185">
        <f t="shared" si="20"/>
        <v>4.7755102040816331</v>
      </c>
      <c r="AG86" s="185" t="str">
        <f t="shared" si="20"/>
        <v/>
      </c>
      <c r="AH86" s="185" t="str">
        <f t="shared" si="11"/>
        <v/>
      </c>
      <c r="AI86" s="186">
        <f t="shared" si="12"/>
        <v>3.2653061224489797E-3</v>
      </c>
      <c r="AJ86" s="186" t="str">
        <f t="shared" si="13"/>
        <v/>
      </c>
      <c r="AK86" s="186" t="str">
        <f t="shared" si="14"/>
        <v/>
      </c>
      <c r="AL86" s="186" t="str">
        <f t="shared" si="15"/>
        <v/>
      </c>
      <c r="AM86" s="186" t="str">
        <f t="shared" si="16"/>
        <v/>
      </c>
      <c r="AN86" s="186" t="str">
        <f t="shared" si="17"/>
        <v/>
      </c>
      <c r="AO86" s="165">
        <f t="shared" si="18"/>
        <v>80</v>
      </c>
      <c r="AP86" s="165">
        <f>IF(AND(LEFT(PQS_tbl[[#This Row],[D]],3)=$AP$6,PQS_tbl[[#This Row],[I]]&gt;0),$AO86,"")</f>
        <v>80</v>
      </c>
      <c r="AQ86" s="165">
        <f>IFERROR(SMALL($AP$7:AP$182,ROWS($AP$7:AP86)),"")</f>
        <v>139</v>
      </c>
      <c r="AR86" s="165" t="str">
        <f>IFERROR(INDEX(PQS_tbl[C],AQ86),"")</f>
        <v>VLS 056 RF SDD</v>
      </c>
      <c r="AS86" s="165" t="str">
        <f>IF(AND(LEFT(PQS_tbl[[#This Row],[D]],3)=$AS$6,PQS_tbl[[#This Row],[I]]=0,PQS_tbl[[#This Row],[J]]&gt;0),$AO86,"")</f>
        <v/>
      </c>
      <c r="AT86" s="165" t="str">
        <f>IFERROR(SMALL($AS$7:AS$178,ROWS($AS$7:AS86)),"")</f>
        <v/>
      </c>
      <c r="AU86" s="165" t="str">
        <f>IFERROR(INDEX(PQS_tbl[C],AT86),"")</f>
        <v/>
      </c>
      <c r="AV86" s="165" t="str">
        <f>IF(LEFT(PQS_tbl[[#This Row],[E]],1)="S",$AP86,"")</f>
        <v/>
      </c>
      <c r="AW86" s="165" t="str">
        <f>IFERROR(SMALL($AV$7:AV$178,ROWS($AV$7:AV86)),"")</f>
        <v/>
      </c>
      <c r="AX86" s="165" t="str">
        <f>IFERROR(INDEX(PQS_tbl[C],AW86),"")</f>
        <v/>
      </c>
      <c r="AY86" s="165" t="str">
        <f>IF(LEFT(PQS_tbl[[#This Row],[E]],1)="S",$AS86,"")</f>
        <v/>
      </c>
      <c r="AZ86" s="165" t="str">
        <f>IFERROR(SMALL($AY$7:AY$178,ROWS($AY$7:AY86)),"")</f>
        <v/>
      </c>
      <c r="BA86" s="165" t="str">
        <f>IFERROR(INDEX(PQS_tbl[C],AZ86),"")</f>
        <v/>
      </c>
      <c r="BB86" s="165" t="str">
        <f>IF(AND(LEFT(PQS_tbl[[#This Row],[D]],3)=$BB$6,PQS_tbl[[#This Row],[K]]&gt;0),$AO86,"")</f>
        <v/>
      </c>
    </row>
    <row r="87" spans="1:54" s="178" customFormat="1" x14ac:dyDescent="0.3">
      <c r="A87" s="179" t="s">
        <v>344</v>
      </c>
      <c r="B87" s="62" t="s">
        <v>467</v>
      </c>
      <c r="C87" t="s">
        <v>545</v>
      </c>
      <c r="D87" s="61" t="s">
        <v>546</v>
      </c>
      <c r="E87" s="180" t="s">
        <v>363</v>
      </c>
      <c r="F87" s="180" t="s">
        <v>348</v>
      </c>
      <c r="G87" s="180" t="s">
        <v>349</v>
      </c>
      <c r="H87" s="180" t="s">
        <v>477</v>
      </c>
      <c r="I87" s="63">
        <v>52.5</v>
      </c>
      <c r="J87" s="63"/>
      <c r="K87" s="63"/>
      <c r="L87" s="63"/>
      <c r="M87" s="63"/>
      <c r="N87" s="181">
        <v>36.17</v>
      </c>
      <c r="O87" s="181"/>
      <c r="P87" s="181"/>
      <c r="Q87" s="63">
        <v>1.2</v>
      </c>
      <c r="R87" s="63"/>
      <c r="S87" s="63"/>
      <c r="T87" s="187">
        <v>590</v>
      </c>
      <c r="U87" s="182">
        <v>590</v>
      </c>
      <c r="V87" s="183">
        <v>2016</v>
      </c>
      <c r="W87" s="63">
        <v>110</v>
      </c>
      <c r="X87" s="63"/>
      <c r="Y87" s="63"/>
      <c r="Z87" s="63">
        <v>86</v>
      </c>
      <c r="AA87" s="63">
        <v>63</v>
      </c>
      <c r="AB87" s="63">
        <v>81.8</v>
      </c>
      <c r="AC87" s="63">
        <v>0.63600000000000001</v>
      </c>
      <c r="AD87" s="184">
        <v>93</v>
      </c>
      <c r="AE87" s="63"/>
      <c r="AF87" s="185">
        <f t="shared" si="20"/>
        <v>11.238095238095237</v>
      </c>
      <c r="AG87" s="185" t="str">
        <f t="shared" si="20"/>
        <v/>
      </c>
      <c r="AH87" s="185" t="str">
        <f t="shared" si="11"/>
        <v/>
      </c>
      <c r="AI87" s="186">
        <f t="shared" si="12"/>
        <v>2.2857142857142857E-2</v>
      </c>
      <c r="AJ87" s="186" t="str">
        <f t="shared" si="13"/>
        <v/>
      </c>
      <c r="AK87" s="186" t="str">
        <f t="shared" si="14"/>
        <v/>
      </c>
      <c r="AL87" s="186" t="str">
        <f t="shared" si="15"/>
        <v/>
      </c>
      <c r="AM87" s="186" t="str">
        <f t="shared" si="16"/>
        <v/>
      </c>
      <c r="AN87" s="186" t="str">
        <f t="shared" si="17"/>
        <v/>
      </c>
      <c r="AO87" s="165">
        <f t="shared" si="18"/>
        <v>81</v>
      </c>
      <c r="AP87" s="165">
        <f>IF(AND(LEFT(PQS_tbl[[#This Row],[D]],3)=$AP$6,PQS_tbl[[#This Row],[I]]&gt;0),$AO87,"")</f>
        <v>81</v>
      </c>
      <c r="AQ87" s="165">
        <f>IFERROR(SMALL($AP$7:AP$182,ROWS($AP$7:AP87)),"")</f>
        <v>140</v>
      </c>
      <c r="AR87" s="165" t="str">
        <f>IFERROR(INDEX(PQS_tbl[C],AQ87),"")</f>
        <v>TCW 4000 SDD</v>
      </c>
      <c r="AS87" s="165" t="str">
        <f>IF(AND(LEFT(PQS_tbl[[#This Row],[D]],3)=$AS$6,PQS_tbl[[#This Row],[I]]=0,PQS_tbl[[#This Row],[J]]&gt;0),$AO87,"")</f>
        <v/>
      </c>
      <c r="AT87" s="165" t="str">
        <f>IFERROR(SMALL($AS$7:AS$178,ROWS($AS$7:AS87)),"")</f>
        <v/>
      </c>
      <c r="AU87" s="165" t="str">
        <f>IFERROR(INDEX(PQS_tbl[C],AT87),"")</f>
        <v/>
      </c>
      <c r="AV87" s="165" t="str">
        <f>IF(LEFT(PQS_tbl[[#This Row],[E]],1)="S",$AP87,"")</f>
        <v/>
      </c>
      <c r="AW87" s="165" t="str">
        <f>IFERROR(SMALL($AV$7:AV$178,ROWS($AV$7:AV87)),"")</f>
        <v/>
      </c>
      <c r="AX87" s="165" t="str">
        <f>IFERROR(INDEX(PQS_tbl[C],AW87),"")</f>
        <v/>
      </c>
      <c r="AY87" s="165" t="str">
        <f>IF(LEFT(PQS_tbl[[#This Row],[E]],1)="S",$AS87,"")</f>
        <v/>
      </c>
      <c r="AZ87" s="165" t="str">
        <f>IFERROR(SMALL($AY$7:AY$178,ROWS($AY$7:AY87)),"")</f>
        <v/>
      </c>
      <c r="BA87" s="165" t="str">
        <f>IFERROR(INDEX(PQS_tbl[C],AZ87),"")</f>
        <v/>
      </c>
      <c r="BB87" s="165" t="str">
        <f>IF(AND(LEFT(PQS_tbl[[#This Row],[D]],3)=$BB$6,PQS_tbl[[#This Row],[K]]&gt;0),$AO87,"")</f>
        <v/>
      </c>
    </row>
    <row r="88" spans="1:54" s="178" customFormat="1" x14ac:dyDescent="0.3">
      <c r="A88" s="179" t="s">
        <v>510</v>
      </c>
      <c r="B88" s="62" t="s">
        <v>463</v>
      </c>
      <c r="C88" t="s">
        <v>547</v>
      </c>
      <c r="D88" s="61" t="s">
        <v>548</v>
      </c>
      <c r="E88" s="180" t="s">
        <v>549</v>
      </c>
      <c r="F88" s="180" t="s">
        <v>489</v>
      </c>
      <c r="G88" s="180" t="s">
        <v>339</v>
      </c>
      <c r="H88" s="180" t="s">
        <v>466</v>
      </c>
      <c r="I88" s="63">
        <v>99</v>
      </c>
      <c r="J88" s="63"/>
      <c r="K88" s="63"/>
      <c r="L88" s="63">
        <v>2.4</v>
      </c>
      <c r="M88" s="63">
        <v>16</v>
      </c>
      <c r="N88" s="181">
        <v>85.24</v>
      </c>
      <c r="O88" s="181"/>
      <c r="P88" s="181"/>
      <c r="Q88" s="63"/>
      <c r="R88" s="63"/>
      <c r="S88" s="63"/>
      <c r="T88" s="63">
        <v>8580</v>
      </c>
      <c r="U88" s="182">
        <f t="shared" si="19"/>
        <v>10296</v>
      </c>
      <c r="V88" s="183">
        <v>2016</v>
      </c>
      <c r="W88" s="63">
        <v>119</v>
      </c>
      <c r="X88" s="63">
        <v>42</v>
      </c>
      <c r="Y88" s="63"/>
      <c r="Z88" s="63">
        <v>127</v>
      </c>
      <c r="AA88" s="63">
        <v>78</v>
      </c>
      <c r="AB88" s="63">
        <v>91</v>
      </c>
      <c r="AC88" s="63">
        <v>1.07</v>
      </c>
      <c r="AD88" s="184">
        <v>125</v>
      </c>
      <c r="AE88" s="63" t="s">
        <v>312</v>
      </c>
      <c r="AF88" s="185">
        <f t="shared" si="20"/>
        <v>104</v>
      </c>
      <c r="AG88" s="185" t="str">
        <f t="shared" si="20"/>
        <v/>
      </c>
      <c r="AH88" s="185">
        <f t="shared" si="11"/>
        <v>4290</v>
      </c>
      <c r="AI88" s="186" t="str">
        <f t="shared" si="12"/>
        <v/>
      </c>
      <c r="AJ88" s="186" t="str">
        <f t="shared" si="13"/>
        <v/>
      </c>
      <c r="AK88" s="186" t="str">
        <f t="shared" si="14"/>
        <v/>
      </c>
      <c r="AL88" s="186" t="str">
        <f t="shared" si="15"/>
        <v/>
      </c>
      <c r="AM88" s="186" t="str">
        <f t="shared" si="16"/>
        <v/>
      </c>
      <c r="AN88" s="186" t="str">
        <f t="shared" si="17"/>
        <v/>
      </c>
      <c r="AO88" s="165">
        <f t="shared" si="18"/>
        <v>82</v>
      </c>
      <c r="AP88" s="165">
        <f>IF(AND(LEFT(PQS_tbl[[#This Row],[D]],3)=$AP$6,PQS_tbl[[#This Row],[I]]&gt;0),$AO88,"")</f>
        <v>82</v>
      </c>
      <c r="AQ88" s="165">
        <f>IFERROR(SMALL($AP$7:AP$182,ROWS($AP$7:AP88)),"")</f>
        <v>141</v>
      </c>
      <c r="AR88" s="165" t="str">
        <f>IFERROR(INDEX(PQS_tbl[C],AQ88),"")</f>
        <v>VLS 500A AC</v>
      </c>
      <c r="AS88" s="165" t="str">
        <f>IF(AND(LEFT(PQS_tbl[[#This Row],[D]],3)=$AS$6,PQS_tbl[[#This Row],[I]]=0,PQS_tbl[[#This Row],[J]]&gt;0),$AO88,"")</f>
        <v/>
      </c>
      <c r="AT88" s="165" t="str">
        <f>IFERROR(SMALL($AS$7:AS$178,ROWS($AS$7:AS88)),"")</f>
        <v/>
      </c>
      <c r="AU88" s="165" t="str">
        <f>IFERROR(INDEX(PQS_tbl[C],AT88),"")</f>
        <v/>
      </c>
      <c r="AV88" s="165">
        <f>IF(LEFT(PQS_tbl[[#This Row],[E]],1)="S",$AP88,"")</f>
        <v>82</v>
      </c>
      <c r="AW88" s="165" t="str">
        <f>IFERROR(SMALL($AV$7:AV$178,ROWS($AV$7:AV88)),"")</f>
        <v/>
      </c>
      <c r="AX88" s="165" t="str">
        <f>IFERROR(INDEX(PQS_tbl[C],AW88),"")</f>
        <v/>
      </c>
      <c r="AY88" s="165" t="str">
        <f>IF(LEFT(PQS_tbl[[#This Row],[E]],1)="S",$AS88,"")</f>
        <v/>
      </c>
      <c r="AZ88" s="165" t="str">
        <f>IFERROR(SMALL($AY$7:AY$178,ROWS($AY$7:AY88)),"")</f>
        <v/>
      </c>
      <c r="BA88" s="165" t="str">
        <f>IFERROR(INDEX(PQS_tbl[C],AZ88),"")</f>
        <v/>
      </c>
      <c r="BB88" s="165" t="str">
        <f>IF(AND(LEFT(PQS_tbl[[#This Row],[D]],3)=$BB$6,PQS_tbl[[#This Row],[K]]&gt;0),$AO88,"")</f>
        <v/>
      </c>
    </row>
    <row r="89" spans="1:54" s="178" customFormat="1" x14ac:dyDescent="0.3">
      <c r="A89" s="179" t="s">
        <v>344</v>
      </c>
      <c r="B89" s="62" t="s">
        <v>409</v>
      </c>
      <c r="C89" t="s">
        <v>550</v>
      </c>
      <c r="D89" s="61" t="s">
        <v>551</v>
      </c>
      <c r="E89" s="180" t="s">
        <v>363</v>
      </c>
      <c r="F89" s="180" t="s">
        <v>348</v>
      </c>
      <c r="G89" s="180" t="s">
        <v>349</v>
      </c>
      <c r="H89" s="180" t="s">
        <v>466</v>
      </c>
      <c r="I89" s="63">
        <v>99</v>
      </c>
      <c r="J89" s="63"/>
      <c r="K89" s="63"/>
      <c r="L89" s="63"/>
      <c r="M89" s="63"/>
      <c r="N89" s="181">
        <v>113.7</v>
      </c>
      <c r="O89" s="181"/>
      <c r="P89" s="181"/>
      <c r="Q89" s="63">
        <v>1.96</v>
      </c>
      <c r="R89" s="63"/>
      <c r="S89" s="63"/>
      <c r="T89" s="188">
        <v>2015</v>
      </c>
      <c r="U89" s="182">
        <v>2015</v>
      </c>
      <c r="V89" s="183">
        <v>2016</v>
      </c>
      <c r="W89" s="63">
        <v>124</v>
      </c>
      <c r="X89" s="63"/>
      <c r="Y89" s="63"/>
      <c r="Z89" s="63">
        <v>178</v>
      </c>
      <c r="AA89" s="63">
        <v>85</v>
      </c>
      <c r="AB89" s="63">
        <v>71</v>
      </c>
      <c r="AC89" s="63">
        <v>1.1319999999999999</v>
      </c>
      <c r="AD89" s="184">
        <v>100</v>
      </c>
      <c r="AE89" s="63" t="s">
        <v>312</v>
      </c>
      <c r="AF89" s="185">
        <f t="shared" si="20"/>
        <v>20.353535353535353</v>
      </c>
      <c r="AG89" s="185" t="str">
        <f t="shared" si="20"/>
        <v/>
      </c>
      <c r="AH89" s="185" t="str">
        <f t="shared" si="11"/>
        <v/>
      </c>
      <c r="AI89" s="186">
        <f t="shared" si="12"/>
        <v>1.9797979797979797E-2</v>
      </c>
      <c r="AJ89" s="186" t="str">
        <f t="shared" si="13"/>
        <v/>
      </c>
      <c r="AK89" s="186" t="str">
        <f t="shared" si="14"/>
        <v/>
      </c>
      <c r="AL89" s="186" t="str">
        <f t="shared" si="15"/>
        <v/>
      </c>
      <c r="AM89" s="186" t="str">
        <f t="shared" si="16"/>
        <v/>
      </c>
      <c r="AN89" s="186" t="str">
        <f t="shared" si="17"/>
        <v/>
      </c>
      <c r="AO89" s="165">
        <f t="shared" si="18"/>
        <v>83</v>
      </c>
      <c r="AP89" s="165">
        <f>IF(AND(LEFT(PQS_tbl[[#This Row],[D]],3)=$AP$6,PQS_tbl[[#This Row],[I]]&gt;0),$AO89,"")</f>
        <v>83</v>
      </c>
      <c r="AQ89" s="165">
        <f>IFERROR(SMALL($AP$7:AP$182,ROWS($AP$7:AP89)),"")</f>
        <v>142</v>
      </c>
      <c r="AR89" s="165" t="str">
        <f>IFERROR(INDEX(PQS_tbl[C],AQ89),"")</f>
        <v>GVR 55 FF DC</v>
      </c>
      <c r="AS89" s="165" t="str">
        <f>IF(AND(LEFT(PQS_tbl[[#This Row],[D]],3)=$AS$6,PQS_tbl[[#This Row],[I]]=0,PQS_tbl[[#This Row],[J]]&gt;0),$AO89,"")</f>
        <v/>
      </c>
      <c r="AT89" s="165" t="str">
        <f>IFERROR(SMALL($AS$7:AS$178,ROWS($AS$7:AS89)),"")</f>
        <v/>
      </c>
      <c r="AU89" s="165" t="str">
        <f>IFERROR(INDEX(PQS_tbl[C],AT89),"")</f>
        <v/>
      </c>
      <c r="AV89" s="165" t="str">
        <f>IF(LEFT(PQS_tbl[[#This Row],[E]],1)="S",$AP89,"")</f>
        <v/>
      </c>
      <c r="AW89" s="165" t="str">
        <f>IFERROR(SMALL($AV$7:AV$178,ROWS($AV$7:AV89)),"")</f>
        <v/>
      </c>
      <c r="AX89" s="165" t="str">
        <f>IFERROR(INDEX(PQS_tbl[C],AW89),"")</f>
        <v/>
      </c>
      <c r="AY89" s="165" t="str">
        <f>IF(LEFT(PQS_tbl[[#This Row],[E]],1)="S",$AS89,"")</f>
        <v/>
      </c>
      <c r="AZ89" s="165" t="str">
        <f>IFERROR(SMALL($AY$7:AY$178,ROWS($AY$7:AY89)),"")</f>
        <v/>
      </c>
      <c r="BA89" s="165" t="str">
        <f>IFERROR(INDEX(PQS_tbl[C],AZ89),"")</f>
        <v/>
      </c>
      <c r="BB89" s="165" t="str">
        <f>IF(AND(LEFT(PQS_tbl[[#This Row],[D]],3)=$BB$6,PQS_tbl[[#This Row],[K]]&gt;0),$AO89,"")</f>
        <v/>
      </c>
    </row>
    <row r="90" spans="1:54" s="178" customFormat="1" x14ac:dyDescent="0.3">
      <c r="A90" s="179" t="s">
        <v>552</v>
      </c>
      <c r="B90" s="62" t="s">
        <v>409</v>
      </c>
      <c r="C90" s="61" t="s">
        <v>553</v>
      </c>
      <c r="D90" s="61" t="s">
        <v>554</v>
      </c>
      <c r="E90" s="180" t="s">
        <v>488</v>
      </c>
      <c r="F90" s="180" t="s">
        <v>489</v>
      </c>
      <c r="G90" s="180" t="s">
        <v>349</v>
      </c>
      <c r="H90" s="180" t="s">
        <v>466</v>
      </c>
      <c r="I90" s="63">
        <v>93</v>
      </c>
      <c r="J90" s="63"/>
      <c r="K90" s="63"/>
      <c r="L90" s="63"/>
      <c r="M90" s="63"/>
      <c r="N90" s="181">
        <v>72</v>
      </c>
      <c r="O90" s="181"/>
      <c r="P90" s="181"/>
      <c r="Q90" s="63"/>
      <c r="R90" s="63"/>
      <c r="S90" s="63"/>
      <c r="T90" s="63">
        <f>3933+1350</f>
        <v>5283</v>
      </c>
      <c r="U90" s="182">
        <f>3933+1350</f>
        <v>5283</v>
      </c>
      <c r="V90" s="183">
        <v>2016</v>
      </c>
      <c r="W90" s="63">
        <v>99</v>
      </c>
      <c r="X90" s="63"/>
      <c r="Y90" s="63"/>
      <c r="Z90" s="63">
        <v>180</v>
      </c>
      <c r="AA90" s="63">
        <v>85</v>
      </c>
      <c r="AB90" s="63">
        <v>73</v>
      </c>
      <c r="AC90" s="63">
        <v>1.1319999999999999</v>
      </c>
      <c r="AD90" s="184">
        <v>115</v>
      </c>
      <c r="AE90" s="63" t="s">
        <v>312</v>
      </c>
      <c r="AF90" s="185">
        <f t="shared" si="20"/>
        <v>56.806451612903224</v>
      </c>
      <c r="AG90" s="185" t="str">
        <f t="shared" si="20"/>
        <v/>
      </c>
      <c r="AH90" s="185" t="str">
        <f t="shared" si="11"/>
        <v/>
      </c>
      <c r="AI90" s="186" t="str">
        <f t="shared" si="12"/>
        <v/>
      </c>
      <c r="AJ90" s="186" t="str">
        <f t="shared" si="13"/>
        <v/>
      </c>
      <c r="AK90" s="186" t="str">
        <f t="shared" si="14"/>
        <v/>
      </c>
      <c r="AL90" s="186" t="str">
        <f t="shared" si="15"/>
        <v/>
      </c>
      <c r="AM90" s="186" t="str">
        <f t="shared" si="16"/>
        <v/>
      </c>
      <c r="AN90" s="186" t="str">
        <f t="shared" si="17"/>
        <v/>
      </c>
      <c r="AO90" s="165">
        <f t="shared" si="18"/>
        <v>84</v>
      </c>
      <c r="AP90" s="165">
        <f>IF(AND(LEFT(PQS_tbl[[#This Row],[D]],3)=$AP$6,PQS_tbl[[#This Row],[I]]&gt;0),$AO90,"")</f>
        <v>84</v>
      </c>
      <c r="AQ90" s="165">
        <f>IFERROR(SMALL($AP$7:AP$182,ROWS($AP$7:AP90)),"")</f>
        <v>143</v>
      </c>
      <c r="AR90" s="165" t="str">
        <f>IFERROR(INDEX(PQS_tbl[C],AQ90),"")</f>
        <v>ZLF80AC</v>
      </c>
      <c r="AS90" s="165" t="str">
        <f>IF(AND(LEFT(PQS_tbl[[#This Row],[D]],3)=$AS$6,PQS_tbl[[#This Row],[I]]=0,PQS_tbl[[#This Row],[J]]&gt;0),$AO90,"")</f>
        <v/>
      </c>
      <c r="AT90" s="165" t="str">
        <f>IFERROR(SMALL($AS$7:AS$178,ROWS($AS$7:AS90)),"")</f>
        <v/>
      </c>
      <c r="AU90" s="165" t="str">
        <f>IFERROR(INDEX(PQS_tbl[C],AT90),"")</f>
        <v/>
      </c>
      <c r="AV90" s="165">
        <f>IF(LEFT(PQS_tbl[[#This Row],[E]],1)="S",$AP90,"")</f>
        <v>84</v>
      </c>
      <c r="AW90" s="165" t="str">
        <f>IFERROR(SMALL($AV$7:AV$178,ROWS($AV$7:AV90)),"")</f>
        <v/>
      </c>
      <c r="AX90" s="165" t="str">
        <f>IFERROR(INDEX(PQS_tbl[C],AW90),"")</f>
        <v/>
      </c>
      <c r="AY90" s="165" t="str">
        <f>IF(LEFT(PQS_tbl[[#This Row],[E]],1)="S",$AS90,"")</f>
        <v/>
      </c>
      <c r="AZ90" s="165" t="str">
        <f>IFERROR(SMALL($AY$7:AY$178,ROWS($AY$7:AY90)),"")</f>
        <v/>
      </c>
      <c r="BA90" s="165" t="str">
        <f>IFERROR(INDEX(PQS_tbl[C],AZ90),"")</f>
        <v/>
      </c>
      <c r="BB90" s="165" t="str">
        <f>IF(AND(LEFT(PQS_tbl[[#This Row],[D]],3)=$BB$6,PQS_tbl[[#This Row],[K]]&gt;0),$AO90,"")</f>
        <v/>
      </c>
    </row>
    <row r="91" spans="1:54" s="178" customFormat="1" x14ac:dyDescent="0.3">
      <c r="A91" s="179" t="s">
        <v>344</v>
      </c>
      <c r="B91" s="62" t="s">
        <v>467</v>
      </c>
      <c r="C91" s="61" t="s">
        <v>503</v>
      </c>
      <c r="D91" s="61" t="s">
        <v>555</v>
      </c>
      <c r="E91" s="180" t="s">
        <v>363</v>
      </c>
      <c r="F91" s="180" t="s">
        <v>348</v>
      </c>
      <c r="G91" s="180" t="s">
        <v>349</v>
      </c>
      <c r="H91" s="180" t="s">
        <v>477</v>
      </c>
      <c r="I91" s="63">
        <v>211</v>
      </c>
      <c r="J91" s="63"/>
      <c r="K91" s="63"/>
      <c r="L91" s="63"/>
      <c r="M91" s="63"/>
      <c r="N91" s="181">
        <v>45.38</v>
      </c>
      <c r="O91" s="181"/>
      <c r="P91" s="181"/>
      <c r="Q91" s="63">
        <v>2.06</v>
      </c>
      <c r="R91" s="63"/>
      <c r="S91" s="63"/>
      <c r="T91" s="63">
        <v>1180</v>
      </c>
      <c r="U91" s="182">
        <v>1180</v>
      </c>
      <c r="V91" s="183">
        <v>2016</v>
      </c>
      <c r="W91" s="63">
        <v>240</v>
      </c>
      <c r="X91" s="63"/>
      <c r="Y91" s="63"/>
      <c r="Z91" s="63">
        <v>165</v>
      </c>
      <c r="AA91" s="63">
        <v>65</v>
      </c>
      <c r="AB91" s="63">
        <v>85.5</v>
      </c>
      <c r="AC91" s="63">
        <v>1.42</v>
      </c>
      <c r="AD91" s="184">
        <v>165</v>
      </c>
      <c r="AE91" s="63"/>
      <c r="AF91" s="185">
        <f t="shared" si="20"/>
        <v>5.592417061611374</v>
      </c>
      <c r="AG91" s="185" t="str">
        <f t="shared" si="20"/>
        <v/>
      </c>
      <c r="AH91" s="185" t="str">
        <f t="shared" si="11"/>
        <v/>
      </c>
      <c r="AI91" s="186">
        <f t="shared" si="12"/>
        <v>9.7630331753554497E-3</v>
      </c>
      <c r="AJ91" s="186" t="str">
        <f t="shared" si="13"/>
        <v/>
      </c>
      <c r="AK91" s="186" t="str">
        <f t="shared" si="14"/>
        <v/>
      </c>
      <c r="AL91" s="186" t="str">
        <f t="shared" si="15"/>
        <v/>
      </c>
      <c r="AM91" s="186" t="str">
        <f t="shared" si="16"/>
        <v/>
      </c>
      <c r="AN91" s="186" t="str">
        <f t="shared" si="17"/>
        <v/>
      </c>
      <c r="AO91" s="165">
        <f t="shared" si="18"/>
        <v>85</v>
      </c>
      <c r="AP91" s="165">
        <f>IF(AND(LEFT(PQS_tbl[[#This Row],[D]],3)=$AP$6,PQS_tbl[[#This Row],[I]]&gt;0),$AO91,"")</f>
        <v>85</v>
      </c>
      <c r="AQ91" s="165">
        <f>IFERROR(SMALL($AP$7:AP$182,ROWS($AP$7:AP91)),"")</f>
        <v>144</v>
      </c>
      <c r="AR91" s="165" t="str">
        <f>IFERROR(INDEX(PQS_tbl[C],AQ91),"")</f>
        <v>HBCD-90</v>
      </c>
      <c r="AS91" s="165" t="str">
        <f>IF(AND(LEFT(PQS_tbl[[#This Row],[D]],3)=$AS$6,PQS_tbl[[#This Row],[I]]=0,PQS_tbl[[#This Row],[J]]&gt;0),$AO91,"")</f>
        <v/>
      </c>
      <c r="AT91" s="165" t="str">
        <f>IFERROR(SMALL($AS$7:AS$178,ROWS($AS$7:AS91)),"")</f>
        <v/>
      </c>
      <c r="AU91" s="165" t="str">
        <f>IFERROR(INDEX(PQS_tbl[C],AT91),"")</f>
        <v/>
      </c>
      <c r="AV91" s="165" t="str">
        <f>IF(LEFT(PQS_tbl[[#This Row],[E]],1)="S",$AP91,"")</f>
        <v/>
      </c>
      <c r="AW91" s="165" t="str">
        <f>IFERROR(SMALL($AV$7:AV$178,ROWS($AV$7:AV91)),"")</f>
        <v/>
      </c>
      <c r="AX91" s="165" t="str">
        <f>IFERROR(INDEX(PQS_tbl[C],AW91),"")</f>
        <v/>
      </c>
      <c r="AY91" s="165" t="str">
        <f>IF(LEFT(PQS_tbl[[#This Row],[E]],1)="S",$AS91,"")</f>
        <v/>
      </c>
      <c r="AZ91" s="165" t="str">
        <f>IFERROR(SMALL($AY$7:AY$178,ROWS($AY$7:AY91)),"")</f>
        <v/>
      </c>
      <c r="BA91" s="165" t="str">
        <f>IFERROR(INDEX(PQS_tbl[C],AZ91),"")</f>
        <v/>
      </c>
      <c r="BB91" s="165" t="str">
        <f>IF(AND(LEFT(PQS_tbl[[#This Row],[D]],3)=$BB$6,PQS_tbl[[#This Row],[K]]&gt;0),$AO91,"")</f>
        <v/>
      </c>
    </row>
    <row r="92" spans="1:54" s="178" customFormat="1" x14ac:dyDescent="0.3">
      <c r="A92" s="179" t="s">
        <v>510</v>
      </c>
      <c r="B92" s="62" t="s">
        <v>513</v>
      </c>
      <c r="C92" s="61" t="s">
        <v>556</v>
      </c>
      <c r="D92" s="61" t="s">
        <v>557</v>
      </c>
      <c r="E92" s="180" t="s">
        <v>488</v>
      </c>
      <c r="F92" s="180" t="s">
        <v>348</v>
      </c>
      <c r="G92" s="180" t="s">
        <v>349</v>
      </c>
      <c r="H92" s="180" t="s">
        <v>466</v>
      </c>
      <c r="I92" s="63">
        <v>15</v>
      </c>
      <c r="J92" s="63"/>
      <c r="K92" s="63"/>
      <c r="L92" s="63"/>
      <c r="M92" s="63"/>
      <c r="N92" s="181">
        <v>101.19</v>
      </c>
      <c r="O92" s="181"/>
      <c r="P92" s="181"/>
      <c r="Q92" s="63"/>
      <c r="R92" s="63"/>
      <c r="S92" s="63"/>
      <c r="T92" s="187">
        <v>2295</v>
      </c>
      <c r="U92" s="182">
        <v>2295</v>
      </c>
      <c r="V92" s="183">
        <v>2016</v>
      </c>
      <c r="W92" s="63">
        <v>2017</v>
      </c>
      <c r="X92" s="63"/>
      <c r="Y92" s="63"/>
      <c r="Z92" s="63">
        <v>78</v>
      </c>
      <c r="AA92" s="63">
        <v>70</v>
      </c>
      <c r="AB92" s="63">
        <v>60.5</v>
      </c>
      <c r="AC92" s="63">
        <v>1.27</v>
      </c>
      <c r="AD92" s="184">
        <v>147</v>
      </c>
      <c r="AE92" s="63" t="s">
        <v>312</v>
      </c>
      <c r="AF92" s="185">
        <f t="shared" si="20"/>
        <v>153</v>
      </c>
      <c r="AG92" s="185" t="str">
        <f t="shared" si="20"/>
        <v/>
      </c>
      <c r="AH92" s="185" t="str">
        <f t="shared" si="11"/>
        <v/>
      </c>
      <c r="AI92" s="186" t="str">
        <f t="shared" si="12"/>
        <v/>
      </c>
      <c r="AJ92" s="186" t="str">
        <f t="shared" si="13"/>
        <v/>
      </c>
      <c r="AK92" s="186" t="str">
        <f t="shared" si="14"/>
        <v/>
      </c>
      <c r="AL92" s="186" t="str">
        <f t="shared" si="15"/>
        <v/>
      </c>
      <c r="AM92" s="186" t="str">
        <f t="shared" si="16"/>
        <v/>
      </c>
      <c r="AN92" s="186" t="str">
        <f t="shared" si="17"/>
        <v/>
      </c>
      <c r="AO92" s="165">
        <f t="shared" si="18"/>
        <v>86</v>
      </c>
      <c r="AP92" s="165">
        <f>IF(AND(LEFT(PQS_tbl[[#This Row],[D]],3)=$AP$6,PQS_tbl[[#This Row],[I]]&gt;0),$AO92,"")</f>
        <v>86</v>
      </c>
      <c r="AQ92" s="165">
        <f>IFERROR(SMALL($AP$7:AP$182,ROWS($AP$7:AP92)),"")</f>
        <v>145</v>
      </c>
      <c r="AR92" s="165" t="str">
        <f>IFERROR(INDEX(PQS_tbl[C],AQ92),"")</f>
        <v>CFD-50 SDD</v>
      </c>
      <c r="AS92" s="165" t="str">
        <f>IF(AND(LEFT(PQS_tbl[[#This Row],[D]],3)=$AS$6,PQS_tbl[[#This Row],[I]]=0,PQS_tbl[[#This Row],[J]]&gt;0),$AO92,"")</f>
        <v/>
      </c>
      <c r="AT92" s="165" t="str">
        <f>IFERROR(SMALL($AS$7:AS$178,ROWS($AS$7:AS92)),"")</f>
        <v/>
      </c>
      <c r="AU92" s="165" t="str">
        <f>IFERROR(INDEX(PQS_tbl[C],AT92),"")</f>
        <v/>
      </c>
      <c r="AV92" s="165">
        <f>IF(LEFT(PQS_tbl[[#This Row],[E]],1)="S",$AP92,"")</f>
        <v>86</v>
      </c>
      <c r="AW92" s="165" t="str">
        <f>IFERROR(SMALL($AV$7:AV$178,ROWS($AV$7:AV92)),"")</f>
        <v/>
      </c>
      <c r="AX92" s="165" t="str">
        <f>IFERROR(INDEX(PQS_tbl[C],AW92),"")</f>
        <v/>
      </c>
      <c r="AY92" s="165" t="str">
        <f>IF(LEFT(PQS_tbl[[#This Row],[E]],1)="S",$AS92,"")</f>
        <v/>
      </c>
      <c r="AZ92" s="165" t="str">
        <f>IFERROR(SMALL($AY$7:AY$178,ROWS($AY$7:AY92)),"")</f>
        <v/>
      </c>
      <c r="BA92" s="165" t="str">
        <f>IFERROR(INDEX(PQS_tbl[C],AZ92),"")</f>
        <v/>
      </c>
      <c r="BB92" s="165" t="str">
        <f>IF(AND(LEFT(PQS_tbl[[#This Row],[D]],3)=$BB$6,PQS_tbl[[#This Row],[K]]&gt;0),$AO92,"")</f>
        <v/>
      </c>
    </row>
    <row r="93" spans="1:54" s="178" customFormat="1" x14ac:dyDescent="0.3">
      <c r="A93" s="179" t="s">
        <v>510</v>
      </c>
      <c r="B93" s="62" t="s">
        <v>385</v>
      </c>
      <c r="C93" s="61" t="s">
        <v>558</v>
      </c>
      <c r="D93" s="61" t="s">
        <v>559</v>
      </c>
      <c r="E93" s="180" t="s">
        <v>488</v>
      </c>
      <c r="F93" s="180" t="s">
        <v>489</v>
      </c>
      <c r="G93" s="180" t="s">
        <v>349</v>
      </c>
      <c r="H93" s="180" t="s">
        <v>466</v>
      </c>
      <c r="I93" s="63">
        <v>132</v>
      </c>
      <c r="J93" s="63"/>
      <c r="K93" s="63"/>
      <c r="L93" s="63"/>
      <c r="M93" s="63"/>
      <c r="N93" s="181">
        <v>79.290000000000006</v>
      </c>
      <c r="O93" s="181"/>
      <c r="P93" s="181"/>
      <c r="Q93" s="63"/>
      <c r="R93" s="63"/>
      <c r="S93" s="63"/>
      <c r="T93" s="187">
        <v>4050</v>
      </c>
      <c r="U93" s="182">
        <v>4050</v>
      </c>
      <c r="V93" s="183">
        <v>2016</v>
      </c>
      <c r="W93" s="63">
        <v>205.2</v>
      </c>
      <c r="X93" s="63"/>
      <c r="Y93" s="63"/>
      <c r="Z93" s="63">
        <v>73.099999999999994</v>
      </c>
      <c r="AA93" s="63">
        <v>94.5</v>
      </c>
      <c r="AB93" s="63">
        <v>128.5</v>
      </c>
      <c r="AC93" s="63">
        <v>1.2</v>
      </c>
      <c r="AD93" s="184">
        <v>129</v>
      </c>
      <c r="AE93" s="63" t="s">
        <v>312</v>
      </c>
      <c r="AF93" s="185">
        <f t="shared" si="20"/>
        <v>30.681818181818183</v>
      </c>
      <c r="AG93" s="185" t="str">
        <f t="shared" si="20"/>
        <v/>
      </c>
      <c r="AH93" s="185" t="str">
        <f t="shared" si="11"/>
        <v/>
      </c>
      <c r="AI93" s="186" t="str">
        <f t="shared" si="12"/>
        <v/>
      </c>
      <c r="AJ93" s="186" t="str">
        <f t="shared" si="13"/>
        <v/>
      </c>
      <c r="AK93" s="186" t="str">
        <f t="shared" si="14"/>
        <v/>
      </c>
      <c r="AL93" s="186" t="str">
        <f t="shared" si="15"/>
        <v/>
      </c>
      <c r="AM93" s="186" t="str">
        <f t="shared" si="16"/>
        <v/>
      </c>
      <c r="AN93" s="186" t="str">
        <f t="shared" si="17"/>
        <v/>
      </c>
      <c r="AO93" s="165">
        <f t="shared" si="18"/>
        <v>87</v>
      </c>
      <c r="AP93" s="165">
        <f>IF(AND(LEFT(PQS_tbl[[#This Row],[D]],3)=$AP$6,PQS_tbl[[#This Row],[I]]&gt;0),$AO93,"")</f>
        <v>87</v>
      </c>
      <c r="AQ93" s="165">
        <f>IFERROR(SMALL($AP$7:AP$182,ROWS($AP$7:AP93)),"")</f>
        <v>147</v>
      </c>
      <c r="AR93" s="165" t="str">
        <f>IFERROR(INDEX(PQS_tbl[C],AQ93),"")</f>
        <v>TCW 40R AC</v>
      </c>
      <c r="AS93" s="165" t="str">
        <f>IF(AND(LEFT(PQS_tbl[[#This Row],[D]],3)=$AS$6,PQS_tbl[[#This Row],[I]]=0,PQS_tbl[[#This Row],[J]]&gt;0),$AO93,"")</f>
        <v/>
      </c>
      <c r="AT93" s="165" t="str">
        <f>IFERROR(SMALL($AS$7:AS$178,ROWS($AS$7:AS93)),"")</f>
        <v/>
      </c>
      <c r="AU93" s="165" t="str">
        <f>IFERROR(INDEX(PQS_tbl[C],AT93),"")</f>
        <v/>
      </c>
      <c r="AV93" s="165">
        <f>IF(LEFT(PQS_tbl[[#This Row],[E]],1)="S",$AP93,"")</f>
        <v>87</v>
      </c>
      <c r="AW93" s="165" t="str">
        <f>IFERROR(SMALL($AV$7:AV$178,ROWS($AV$7:AV93)),"")</f>
        <v/>
      </c>
      <c r="AX93" s="165" t="str">
        <f>IFERROR(INDEX(PQS_tbl[C],AW93),"")</f>
        <v/>
      </c>
      <c r="AY93" s="165" t="str">
        <f>IF(LEFT(PQS_tbl[[#This Row],[E]],1)="S",$AS93,"")</f>
        <v/>
      </c>
      <c r="AZ93" s="165" t="str">
        <f>IFERROR(SMALL($AY$7:AY$178,ROWS($AY$7:AY93)),"")</f>
        <v/>
      </c>
      <c r="BA93" s="165" t="str">
        <f>IFERROR(INDEX(PQS_tbl[C],AZ93),"")</f>
        <v/>
      </c>
      <c r="BB93" s="165" t="str">
        <f>IF(AND(LEFT(PQS_tbl[[#This Row],[D]],3)=$BB$6,PQS_tbl[[#This Row],[K]]&gt;0),$AO93,"")</f>
        <v/>
      </c>
    </row>
    <row r="94" spans="1:54" s="178" customFormat="1" x14ac:dyDescent="0.3">
      <c r="A94" s="179" t="s">
        <v>560</v>
      </c>
      <c r="B94" s="62" t="s">
        <v>561</v>
      </c>
      <c r="C94" s="61" t="s">
        <v>562</v>
      </c>
      <c r="D94" s="61" t="s">
        <v>563</v>
      </c>
      <c r="E94" s="180" t="s">
        <v>488</v>
      </c>
      <c r="F94" s="180" t="s">
        <v>489</v>
      </c>
      <c r="G94" s="180" t="s">
        <v>349</v>
      </c>
      <c r="H94" s="180" t="s">
        <v>466</v>
      </c>
      <c r="I94" s="63">
        <v>55.5</v>
      </c>
      <c r="J94" s="63"/>
      <c r="K94" s="63"/>
      <c r="L94" s="63"/>
      <c r="M94" s="63"/>
      <c r="N94" s="181">
        <v>72.400000000000006</v>
      </c>
      <c r="O94" s="181"/>
      <c r="P94" s="181"/>
      <c r="Q94" s="63"/>
      <c r="R94" s="63"/>
      <c r="S94" s="63"/>
      <c r="T94" s="187">
        <v>2874</v>
      </c>
      <c r="U94" s="182">
        <v>2874</v>
      </c>
      <c r="V94" s="183">
        <v>2016</v>
      </c>
      <c r="W94" s="63">
        <v>108</v>
      </c>
      <c r="X94" s="63"/>
      <c r="Y94" s="63"/>
      <c r="Z94" s="63">
        <v>85</v>
      </c>
      <c r="AA94" s="63">
        <v>72</v>
      </c>
      <c r="AB94" s="63">
        <v>60</v>
      </c>
      <c r="AC94" s="63">
        <v>0.65</v>
      </c>
      <c r="AD94" s="184">
        <v>85</v>
      </c>
      <c r="AE94" s="63" t="s">
        <v>312</v>
      </c>
      <c r="AF94" s="185">
        <f t="shared" si="20"/>
        <v>51.783783783783782</v>
      </c>
      <c r="AG94" s="185" t="str">
        <f t="shared" si="20"/>
        <v/>
      </c>
      <c r="AH94" s="185" t="str">
        <f t="shared" si="11"/>
        <v/>
      </c>
      <c r="AI94" s="186" t="str">
        <f t="shared" si="12"/>
        <v/>
      </c>
      <c r="AJ94" s="186" t="str">
        <f t="shared" si="13"/>
        <v/>
      </c>
      <c r="AK94" s="186" t="str">
        <f t="shared" si="14"/>
        <v/>
      </c>
      <c r="AL94" s="186" t="str">
        <f t="shared" si="15"/>
        <v/>
      </c>
      <c r="AM94" s="186" t="str">
        <f t="shared" si="16"/>
        <v/>
      </c>
      <c r="AN94" s="186" t="str">
        <f t="shared" si="17"/>
        <v/>
      </c>
      <c r="AO94" s="165">
        <f t="shared" si="18"/>
        <v>88</v>
      </c>
      <c r="AP94" s="165">
        <f>IF(AND(LEFT(PQS_tbl[[#This Row],[D]],3)=$AP$6,PQS_tbl[[#This Row],[I]]&gt;0),$AO94,"")</f>
        <v>88</v>
      </c>
      <c r="AQ94" s="165">
        <f>IFERROR(SMALL($AP$7:AP$182,ROWS($AP$7:AP94)),"")</f>
        <v>148</v>
      </c>
      <c r="AR94" s="165" t="str">
        <f>IFERROR(INDEX(PQS_tbl[C],AQ94),"")</f>
        <v>TCW 80 AC</v>
      </c>
      <c r="AS94" s="165" t="str">
        <f>IF(AND(LEFT(PQS_tbl[[#This Row],[D]],3)=$AS$6,PQS_tbl[[#This Row],[I]]=0,PQS_tbl[[#This Row],[J]]&gt;0),$AO94,"")</f>
        <v/>
      </c>
      <c r="AT94" s="165" t="str">
        <f>IFERROR(SMALL($AS$7:AS$178,ROWS($AS$7:AS94)),"")</f>
        <v/>
      </c>
      <c r="AU94" s="165" t="str">
        <f>IFERROR(INDEX(PQS_tbl[C],AT94),"")</f>
        <v/>
      </c>
      <c r="AV94" s="165">
        <f>IF(LEFT(PQS_tbl[[#This Row],[E]],1)="S",$AP94,"")</f>
        <v>88</v>
      </c>
      <c r="AW94" s="165" t="str">
        <f>IFERROR(SMALL($AV$7:AV$178,ROWS($AV$7:AV94)),"")</f>
        <v/>
      </c>
      <c r="AX94" s="165" t="str">
        <f>IFERROR(INDEX(PQS_tbl[C],AW94),"")</f>
        <v/>
      </c>
      <c r="AY94" s="165" t="str">
        <f>IF(LEFT(PQS_tbl[[#This Row],[E]],1)="S",$AS94,"")</f>
        <v/>
      </c>
      <c r="AZ94" s="165" t="str">
        <f>IFERROR(SMALL($AY$7:AY$178,ROWS($AY$7:AY94)),"")</f>
        <v/>
      </c>
      <c r="BA94" s="165" t="str">
        <f>IFERROR(INDEX(PQS_tbl[C],AZ94),"")</f>
        <v/>
      </c>
      <c r="BB94" s="165" t="str">
        <f>IF(AND(LEFT(PQS_tbl[[#This Row],[D]],3)=$BB$6,PQS_tbl[[#This Row],[K]]&gt;0),$AO94,"")</f>
        <v/>
      </c>
    </row>
    <row r="95" spans="1:54" s="178" customFormat="1" x14ac:dyDescent="0.3">
      <c r="A95" s="179" t="s">
        <v>564</v>
      </c>
      <c r="B95" s="62" t="s">
        <v>463</v>
      </c>
      <c r="C95" s="61" t="s">
        <v>565</v>
      </c>
      <c r="D95" s="61" t="s">
        <v>566</v>
      </c>
      <c r="E95" s="180" t="s">
        <v>549</v>
      </c>
      <c r="F95" s="180" t="s">
        <v>489</v>
      </c>
      <c r="G95" s="180" t="s">
        <v>349</v>
      </c>
      <c r="H95" s="180" t="s">
        <v>466</v>
      </c>
      <c r="I95" s="63">
        <v>36</v>
      </c>
      <c r="J95" s="63"/>
      <c r="K95" s="63"/>
      <c r="L95" s="63">
        <v>5.2</v>
      </c>
      <c r="M95" s="63">
        <f>8*0.6</f>
        <v>4.8</v>
      </c>
      <c r="N95" s="181">
        <v>81.540000000000006</v>
      </c>
      <c r="O95" s="181"/>
      <c r="P95" s="181"/>
      <c r="Q95" s="63"/>
      <c r="R95" s="63"/>
      <c r="S95" s="63"/>
      <c r="T95" s="187">
        <v>5279</v>
      </c>
      <c r="U95" s="182">
        <f>T95*1.2</f>
        <v>6334.8</v>
      </c>
      <c r="V95" s="183">
        <v>2016</v>
      </c>
      <c r="W95" s="63">
        <v>46.6</v>
      </c>
      <c r="X95" s="63">
        <f>8*0.6</f>
        <v>4.8</v>
      </c>
      <c r="Y95" s="63"/>
      <c r="Z95" s="63">
        <v>78</v>
      </c>
      <c r="AA95" s="63">
        <v>103</v>
      </c>
      <c r="AB95" s="63">
        <v>90</v>
      </c>
      <c r="AC95" s="63">
        <v>0.88</v>
      </c>
      <c r="AD95" s="184">
        <v>120</v>
      </c>
      <c r="AE95" s="63" t="s">
        <v>312</v>
      </c>
      <c r="AF95" s="185">
        <f t="shared" si="20"/>
        <v>175.96666666666667</v>
      </c>
      <c r="AG95" s="185" t="str">
        <f t="shared" si="20"/>
        <v/>
      </c>
      <c r="AH95" s="185">
        <f t="shared" si="11"/>
        <v>1218.2307692307693</v>
      </c>
      <c r="AI95" s="186" t="str">
        <f t="shared" si="12"/>
        <v/>
      </c>
      <c r="AJ95" s="186" t="str">
        <f t="shared" si="13"/>
        <v/>
      </c>
      <c r="AK95" s="186" t="str">
        <f t="shared" si="14"/>
        <v/>
      </c>
      <c r="AL95" s="186" t="str">
        <f t="shared" si="15"/>
        <v/>
      </c>
      <c r="AM95" s="186" t="str">
        <f t="shared" si="16"/>
        <v/>
      </c>
      <c r="AN95" s="186" t="str">
        <f t="shared" si="17"/>
        <v/>
      </c>
      <c r="AO95" s="165">
        <f t="shared" si="18"/>
        <v>89</v>
      </c>
      <c r="AP95" s="165">
        <f>IF(AND(LEFT(PQS_tbl[[#This Row],[D]],3)=$AP$6,PQS_tbl[[#This Row],[I]]&gt;0),$AO95,"")</f>
        <v>89</v>
      </c>
      <c r="AQ95" s="165">
        <f>IFERROR(SMALL($AP$7:AP$182,ROWS($AP$7:AP95)),"")</f>
        <v>149</v>
      </c>
      <c r="AR95" s="165" t="str">
        <f>IFERROR(INDEX(PQS_tbl[C],AQ95),"")</f>
        <v>HTC-112</v>
      </c>
      <c r="AS95" s="165" t="str">
        <f>IF(AND(LEFT(PQS_tbl[[#This Row],[D]],3)=$AS$6,PQS_tbl[[#This Row],[I]]=0,PQS_tbl[[#This Row],[J]]&gt;0),$AO95,"")</f>
        <v/>
      </c>
      <c r="AT95" s="165" t="str">
        <f>IFERROR(SMALL($AS$7:AS$178,ROWS($AS$7:AS95)),"")</f>
        <v/>
      </c>
      <c r="AU95" s="165" t="str">
        <f>IFERROR(INDEX(PQS_tbl[C],AT95),"")</f>
        <v/>
      </c>
      <c r="AV95" s="165">
        <f>IF(LEFT(PQS_tbl[[#This Row],[E]],1)="S",$AP95,"")</f>
        <v>89</v>
      </c>
      <c r="AW95" s="165" t="str">
        <f>IFERROR(SMALL($AV$7:AV$178,ROWS($AV$7:AV95)),"")</f>
        <v/>
      </c>
      <c r="AX95" s="165" t="str">
        <f>IFERROR(INDEX(PQS_tbl[C],AW95),"")</f>
        <v/>
      </c>
      <c r="AY95" s="165" t="str">
        <f>IF(LEFT(PQS_tbl[[#This Row],[E]],1)="S",$AS95,"")</f>
        <v/>
      </c>
      <c r="AZ95" s="165" t="str">
        <f>IFERROR(SMALL($AY$7:AY$178,ROWS($AY$7:AY95)),"")</f>
        <v/>
      </c>
      <c r="BA95" s="165" t="str">
        <f>IFERROR(INDEX(PQS_tbl[C],AZ95),"")</f>
        <v/>
      </c>
      <c r="BB95" s="165" t="str">
        <f>IF(AND(LEFT(PQS_tbl[[#This Row],[D]],3)=$BB$6,PQS_tbl[[#This Row],[K]]&gt;0),$AO95,"")</f>
        <v/>
      </c>
    </row>
    <row r="96" spans="1:54" s="178" customFormat="1" x14ac:dyDescent="0.3">
      <c r="A96" s="179" t="s">
        <v>564</v>
      </c>
      <c r="B96" s="62" t="s">
        <v>463</v>
      </c>
      <c r="C96" s="61" t="s">
        <v>567</v>
      </c>
      <c r="D96" s="61" t="s">
        <v>568</v>
      </c>
      <c r="E96" s="180" t="s">
        <v>549</v>
      </c>
      <c r="F96" s="180" t="s">
        <v>489</v>
      </c>
      <c r="G96" s="180" t="s">
        <v>349</v>
      </c>
      <c r="H96" s="180" t="s">
        <v>466</v>
      </c>
      <c r="I96" s="63">
        <v>70</v>
      </c>
      <c r="J96" s="63"/>
      <c r="K96" s="63"/>
      <c r="L96" s="63">
        <v>2.5</v>
      </c>
      <c r="M96" s="63">
        <f>16*0.6</f>
        <v>9.6</v>
      </c>
      <c r="N96" s="181">
        <v>73.540000000000006</v>
      </c>
      <c r="O96" s="181"/>
      <c r="P96" s="181"/>
      <c r="Q96" s="63"/>
      <c r="R96" s="63"/>
      <c r="S96" s="63"/>
      <c r="T96" s="63">
        <v>8158</v>
      </c>
      <c r="U96" s="182">
        <f>T96*1.2</f>
        <v>9789.6</v>
      </c>
      <c r="V96" s="183">
        <v>2016</v>
      </c>
      <c r="W96" s="63">
        <v>79</v>
      </c>
      <c r="X96" s="63">
        <v>42</v>
      </c>
      <c r="Y96" s="63"/>
      <c r="Z96" s="63">
        <v>91</v>
      </c>
      <c r="AA96" s="63">
        <v>127</v>
      </c>
      <c r="AB96" s="63">
        <v>78</v>
      </c>
      <c r="AC96" s="63">
        <v>1.07</v>
      </c>
      <c r="AD96" s="184">
        <v>160</v>
      </c>
      <c r="AE96" s="63" t="s">
        <v>312</v>
      </c>
      <c r="AF96" s="185">
        <f t="shared" si="20"/>
        <v>139.85142857142858</v>
      </c>
      <c r="AG96" s="185" t="str">
        <f t="shared" si="20"/>
        <v/>
      </c>
      <c r="AH96" s="185">
        <f t="shared" si="11"/>
        <v>3915.84</v>
      </c>
      <c r="AI96" s="186" t="str">
        <f t="shared" si="12"/>
        <v/>
      </c>
      <c r="AJ96" s="186" t="str">
        <f t="shared" si="13"/>
        <v/>
      </c>
      <c r="AK96" s="186" t="str">
        <f t="shared" si="14"/>
        <v/>
      </c>
      <c r="AL96" s="186" t="str">
        <f t="shared" si="15"/>
        <v/>
      </c>
      <c r="AM96" s="186" t="str">
        <f t="shared" si="16"/>
        <v/>
      </c>
      <c r="AN96" s="186" t="str">
        <f t="shared" si="17"/>
        <v/>
      </c>
      <c r="AO96" s="165">
        <f t="shared" si="18"/>
        <v>90</v>
      </c>
      <c r="AP96" s="165">
        <f>IF(AND(LEFT(PQS_tbl[[#This Row],[D]],3)=$AP$6,PQS_tbl[[#This Row],[I]]&gt;0),$AO96,"")</f>
        <v>90</v>
      </c>
      <c r="AQ96" s="165">
        <f>IFERROR(SMALL($AP$7:AP$182,ROWS($AP$7:AP96)),"")</f>
        <v>150</v>
      </c>
      <c r="AR96" s="165" t="str">
        <f>IFERROR(INDEX(PQS_tbl[C],AQ96),"")</f>
        <v>GVR 55 FF AC</v>
      </c>
      <c r="AS96" s="165" t="str">
        <f>IF(AND(LEFT(PQS_tbl[[#This Row],[D]],3)=$AS$6,PQS_tbl[[#This Row],[I]]=0,PQS_tbl[[#This Row],[J]]&gt;0),$AO96,"")</f>
        <v/>
      </c>
      <c r="AT96" s="165" t="str">
        <f>IFERROR(SMALL($AS$7:AS$178,ROWS($AS$7:AS96)),"")</f>
        <v/>
      </c>
      <c r="AU96" s="165" t="str">
        <f>IFERROR(INDEX(PQS_tbl[C],AT96),"")</f>
        <v/>
      </c>
      <c r="AV96" s="165">
        <f>IF(LEFT(PQS_tbl[[#This Row],[E]],1)="S",$AP96,"")</f>
        <v>90</v>
      </c>
      <c r="AW96" s="165" t="str">
        <f>IFERROR(SMALL($AV$7:AV$178,ROWS($AV$7:AV96)),"")</f>
        <v/>
      </c>
      <c r="AX96" s="165" t="str">
        <f>IFERROR(INDEX(PQS_tbl[C],AW96),"")</f>
        <v/>
      </c>
      <c r="AY96" s="165" t="str">
        <f>IF(LEFT(PQS_tbl[[#This Row],[E]],1)="S",$AS96,"")</f>
        <v/>
      </c>
      <c r="AZ96" s="165" t="str">
        <f>IFERROR(SMALL($AY$7:AY$178,ROWS($AY$7:AY96)),"")</f>
        <v/>
      </c>
      <c r="BA96" s="165" t="str">
        <f>IFERROR(INDEX(PQS_tbl[C],AZ96),"")</f>
        <v/>
      </c>
      <c r="BB96" s="165" t="str">
        <f>IF(AND(LEFT(PQS_tbl[[#This Row],[D]],3)=$BB$6,PQS_tbl[[#This Row],[K]]&gt;0),$AO96,"")</f>
        <v/>
      </c>
    </row>
    <row r="97" spans="1:54" s="178" customFormat="1" x14ac:dyDescent="0.3">
      <c r="A97" s="179" t="s">
        <v>344</v>
      </c>
      <c r="B97" s="62" t="s">
        <v>409</v>
      </c>
      <c r="C97" s="61" t="s">
        <v>569</v>
      </c>
      <c r="D97" s="61" t="s">
        <v>570</v>
      </c>
      <c r="E97" s="180" t="s">
        <v>363</v>
      </c>
      <c r="F97" s="180" t="s">
        <v>348</v>
      </c>
      <c r="G97" s="180" t="s">
        <v>349</v>
      </c>
      <c r="H97" s="180" t="s">
        <v>466</v>
      </c>
      <c r="I97" s="63">
        <v>128</v>
      </c>
      <c r="J97" s="63"/>
      <c r="K97" s="63"/>
      <c r="L97" s="63"/>
      <c r="M97" s="63"/>
      <c r="N97" s="181">
        <v>128.19999999999999</v>
      </c>
      <c r="O97" s="181"/>
      <c r="P97" s="181"/>
      <c r="Q97" s="63">
        <v>2.0299999999999998</v>
      </c>
      <c r="R97" s="63"/>
      <c r="S97" s="63"/>
      <c r="T97" s="187">
        <v>2429</v>
      </c>
      <c r="U97" s="182">
        <v>2429</v>
      </c>
      <c r="V97" s="183">
        <v>2016</v>
      </c>
      <c r="W97" s="63">
        <v>161</v>
      </c>
      <c r="X97" s="63"/>
      <c r="Y97" s="63"/>
      <c r="Z97" s="63">
        <v>190</v>
      </c>
      <c r="AA97" s="63">
        <v>85</v>
      </c>
      <c r="AB97" s="63">
        <v>72</v>
      </c>
      <c r="AC97" s="63">
        <v>1.22</v>
      </c>
      <c r="AD97" s="184">
        <v>116</v>
      </c>
      <c r="AE97" s="63" t="s">
        <v>312</v>
      </c>
      <c r="AF97" s="185">
        <f t="shared" si="20"/>
        <v>18.9765625</v>
      </c>
      <c r="AG97" s="185" t="str">
        <f t="shared" si="20"/>
        <v/>
      </c>
      <c r="AH97" s="185" t="str">
        <f t="shared" si="11"/>
        <v/>
      </c>
      <c r="AI97" s="186">
        <f t="shared" si="12"/>
        <v>1.5859374999999998E-2</v>
      </c>
      <c r="AJ97" s="186" t="str">
        <f t="shared" si="13"/>
        <v/>
      </c>
      <c r="AK97" s="186" t="str">
        <f t="shared" si="14"/>
        <v/>
      </c>
      <c r="AL97" s="186" t="str">
        <f t="shared" si="15"/>
        <v/>
      </c>
      <c r="AM97" s="186" t="str">
        <f t="shared" si="16"/>
        <v/>
      </c>
      <c r="AN97" s="186" t="str">
        <f t="shared" si="17"/>
        <v/>
      </c>
      <c r="AO97" s="165">
        <f t="shared" si="18"/>
        <v>91</v>
      </c>
      <c r="AP97" s="165">
        <f>IF(AND(LEFT(PQS_tbl[[#This Row],[D]],3)=$AP$6,PQS_tbl[[#This Row],[I]]&gt;0),$AO97,"")</f>
        <v>91</v>
      </c>
      <c r="AQ97" s="165">
        <f>IFERROR(SMALL($AP$7:AP$182,ROWS($AP$7:AP97)),"")</f>
        <v>151</v>
      </c>
      <c r="AR97" s="165" t="str">
        <f>IFERROR(INDEX(PQS_tbl[C],AQ97),"")</f>
        <v>GVR 25 Lite</v>
      </c>
      <c r="AS97" s="165" t="str">
        <f>IF(AND(LEFT(PQS_tbl[[#This Row],[D]],3)=$AS$6,PQS_tbl[[#This Row],[I]]=0,PQS_tbl[[#This Row],[J]]&gt;0),$AO97,"")</f>
        <v/>
      </c>
      <c r="AT97" s="165" t="str">
        <f>IFERROR(SMALL($AS$7:AS$178,ROWS($AS$7:AS97)),"")</f>
        <v/>
      </c>
      <c r="AU97" s="165" t="str">
        <f>IFERROR(INDEX(PQS_tbl[C],AT97),"")</f>
        <v/>
      </c>
      <c r="AV97" s="165" t="str">
        <f>IF(LEFT(PQS_tbl[[#This Row],[E]],1)="S",$AP97,"")</f>
        <v/>
      </c>
      <c r="AW97" s="165" t="str">
        <f>IFERROR(SMALL($AV$7:AV$178,ROWS($AV$7:AV97)),"")</f>
        <v/>
      </c>
      <c r="AX97" s="165" t="str">
        <f>IFERROR(INDEX(PQS_tbl[C],AW97),"")</f>
        <v/>
      </c>
      <c r="AY97" s="165" t="str">
        <f>IF(LEFT(PQS_tbl[[#This Row],[E]],1)="S",$AS97,"")</f>
        <v/>
      </c>
      <c r="AZ97" s="165" t="str">
        <f>IFERROR(SMALL($AY$7:AY$178,ROWS($AY$7:AY97)),"")</f>
        <v/>
      </c>
      <c r="BA97" s="165" t="str">
        <f>IFERROR(INDEX(PQS_tbl[C],AZ97),"")</f>
        <v/>
      </c>
      <c r="BB97" s="165" t="str">
        <f>IF(AND(LEFT(PQS_tbl[[#This Row],[D]],3)=$BB$6,PQS_tbl[[#This Row],[K]]&gt;0),$AO97,"")</f>
        <v/>
      </c>
    </row>
    <row r="98" spans="1:54" s="178" customFormat="1" x14ac:dyDescent="0.3">
      <c r="A98" s="179" t="s">
        <v>560</v>
      </c>
      <c r="B98" s="62" t="s">
        <v>463</v>
      </c>
      <c r="C98" s="61" t="s">
        <v>571</v>
      </c>
      <c r="D98" s="61" t="s">
        <v>572</v>
      </c>
      <c r="E98" s="180" t="s">
        <v>488</v>
      </c>
      <c r="F98" s="180" t="s">
        <v>489</v>
      </c>
      <c r="G98" s="180" t="s">
        <v>349</v>
      </c>
      <c r="H98" s="180" t="s">
        <v>466</v>
      </c>
      <c r="I98" s="63">
        <v>89</v>
      </c>
      <c r="J98" s="63"/>
      <c r="K98" s="63"/>
      <c r="L98" s="63"/>
      <c r="M98" s="63"/>
      <c r="N98" s="181">
        <v>116</v>
      </c>
      <c r="O98" s="181"/>
      <c r="P98" s="181"/>
      <c r="Q98" s="63"/>
      <c r="R98" s="63"/>
      <c r="S98" s="63"/>
      <c r="T98" s="63">
        <v>6110</v>
      </c>
      <c r="U98" s="182">
        <f>T98*1.2</f>
        <v>7332</v>
      </c>
      <c r="V98" s="183">
        <v>2016</v>
      </c>
      <c r="W98" s="63">
        <v>278</v>
      </c>
      <c r="X98" s="63"/>
      <c r="Y98" s="63"/>
      <c r="Z98" s="63">
        <v>91</v>
      </c>
      <c r="AA98" s="63">
        <v>127</v>
      </c>
      <c r="AB98" s="63">
        <v>78</v>
      </c>
      <c r="AC98" s="63">
        <v>1.07</v>
      </c>
      <c r="AD98" s="184">
        <v>169</v>
      </c>
      <c r="AE98" s="63" t="s">
        <v>312</v>
      </c>
      <c r="AF98" s="185">
        <f t="shared" ref="AF98:AG113" si="21">IF(I98="","",$U98/I98)</f>
        <v>82.382022471910119</v>
      </c>
      <c r="AG98" s="185" t="str">
        <f t="shared" si="21"/>
        <v/>
      </c>
      <c r="AH98" s="185" t="str">
        <f t="shared" si="11"/>
        <v/>
      </c>
      <c r="AI98" s="186" t="str">
        <f t="shared" si="12"/>
        <v/>
      </c>
      <c r="AJ98" s="186" t="str">
        <f t="shared" si="13"/>
        <v/>
      </c>
      <c r="AK98" s="186" t="str">
        <f t="shared" si="14"/>
        <v/>
      </c>
      <c r="AL98" s="186" t="str">
        <f t="shared" si="15"/>
        <v/>
      </c>
      <c r="AM98" s="186" t="str">
        <f t="shared" si="16"/>
        <v/>
      </c>
      <c r="AN98" s="186" t="str">
        <f t="shared" si="17"/>
        <v/>
      </c>
      <c r="AO98" s="165">
        <f t="shared" si="18"/>
        <v>92</v>
      </c>
      <c r="AP98" s="165">
        <f>IF(AND(LEFT(PQS_tbl[[#This Row],[D]],3)=$AP$6,PQS_tbl[[#This Row],[I]]&gt;0),$AO98,"")</f>
        <v>92</v>
      </c>
      <c r="AQ98" s="165">
        <f>IFERROR(SMALL($AP$7:AP$182,ROWS($AP$7:AP98)),"")</f>
        <v>152</v>
      </c>
      <c r="AR98" s="165" t="str">
        <f>IFERROR(INDEX(PQS_tbl[C],AQ98),"")</f>
        <v>GVR 25 Lite DC</v>
      </c>
      <c r="AS98" s="165" t="str">
        <f>IF(AND(LEFT(PQS_tbl[[#This Row],[D]],3)=$AS$6,PQS_tbl[[#This Row],[I]]=0,PQS_tbl[[#This Row],[J]]&gt;0),$AO98,"")</f>
        <v/>
      </c>
      <c r="AT98" s="165" t="str">
        <f>IFERROR(SMALL($AS$7:AS$178,ROWS($AS$7:AS98)),"")</f>
        <v/>
      </c>
      <c r="AU98" s="165" t="str">
        <f>IFERROR(INDEX(PQS_tbl[C],AT98),"")</f>
        <v/>
      </c>
      <c r="AV98" s="165">
        <f>IF(LEFT(PQS_tbl[[#This Row],[E]],1)="S",$AP98,"")</f>
        <v>92</v>
      </c>
      <c r="AW98" s="165" t="str">
        <f>IFERROR(SMALL($AV$7:AV$178,ROWS($AV$7:AV98)),"")</f>
        <v/>
      </c>
      <c r="AX98" s="165" t="str">
        <f>IFERROR(INDEX(PQS_tbl[C],AW98),"")</f>
        <v/>
      </c>
      <c r="AY98" s="165" t="str">
        <f>IF(LEFT(PQS_tbl[[#This Row],[E]],1)="S",$AS98,"")</f>
        <v/>
      </c>
      <c r="AZ98" s="165" t="str">
        <f>IFERROR(SMALL($AY$7:AY$178,ROWS($AY$7:AY98)),"")</f>
        <v/>
      </c>
      <c r="BA98" s="165" t="str">
        <f>IFERROR(INDEX(PQS_tbl[C],AZ98),"")</f>
        <v/>
      </c>
      <c r="BB98" s="165" t="str">
        <f>IF(AND(LEFT(PQS_tbl[[#This Row],[D]],3)=$BB$6,PQS_tbl[[#This Row],[K]]&gt;0),$AO98,"")</f>
        <v/>
      </c>
    </row>
    <row r="99" spans="1:54" s="178" customFormat="1" x14ac:dyDescent="0.3">
      <c r="A99" s="179" t="s">
        <v>344</v>
      </c>
      <c r="B99" s="62" t="s">
        <v>573</v>
      </c>
      <c r="C99" s="61" t="s">
        <v>574</v>
      </c>
      <c r="D99" s="61" t="s">
        <v>575</v>
      </c>
      <c r="E99" s="180" t="s">
        <v>363</v>
      </c>
      <c r="F99" s="180" t="s">
        <v>489</v>
      </c>
      <c r="G99" s="180" t="s">
        <v>349</v>
      </c>
      <c r="H99" s="180" t="s">
        <v>466</v>
      </c>
      <c r="I99" s="63">
        <v>46.5</v>
      </c>
      <c r="J99" s="63"/>
      <c r="K99" s="63"/>
      <c r="L99" s="63"/>
      <c r="M99" s="63"/>
      <c r="N99" s="181">
        <v>182</v>
      </c>
      <c r="O99" s="181"/>
      <c r="P99" s="181"/>
      <c r="Q99" s="63">
        <v>0.56000000000000005</v>
      </c>
      <c r="R99" s="63"/>
      <c r="S99" s="63"/>
      <c r="T99" s="63">
        <v>1500</v>
      </c>
      <c r="U99" s="182">
        <f>T99</f>
        <v>1500</v>
      </c>
      <c r="V99" s="183">
        <v>2016</v>
      </c>
      <c r="W99" s="63">
        <v>57.7</v>
      </c>
      <c r="X99" s="63"/>
      <c r="Y99" s="63"/>
      <c r="Z99" s="63">
        <v>122</v>
      </c>
      <c r="AA99" s="63">
        <v>75</v>
      </c>
      <c r="AB99" s="63">
        <v>79.5</v>
      </c>
      <c r="AC99" s="63">
        <v>0.91600000000000004</v>
      </c>
      <c r="AD99" s="184">
        <v>125</v>
      </c>
      <c r="AE99" s="63" t="s">
        <v>312</v>
      </c>
      <c r="AF99" s="185">
        <f t="shared" si="21"/>
        <v>32.258064516129032</v>
      </c>
      <c r="AG99" s="185" t="str">
        <f t="shared" si="21"/>
        <v/>
      </c>
      <c r="AH99" s="185" t="str">
        <f t="shared" si="11"/>
        <v/>
      </c>
      <c r="AI99" s="186">
        <f t="shared" si="12"/>
        <v>1.2043010752688174E-2</v>
      </c>
      <c r="AJ99" s="186" t="str">
        <f t="shared" si="13"/>
        <v/>
      </c>
      <c r="AK99" s="186" t="str">
        <f t="shared" si="14"/>
        <v/>
      </c>
      <c r="AL99" s="186" t="str">
        <f t="shared" si="15"/>
        <v/>
      </c>
      <c r="AM99" s="186" t="str">
        <f t="shared" si="16"/>
        <v/>
      </c>
      <c r="AN99" s="186" t="str">
        <f t="shared" si="17"/>
        <v/>
      </c>
      <c r="AO99" s="165">
        <f t="shared" si="18"/>
        <v>93</v>
      </c>
      <c r="AP99" s="165">
        <f>IF(AND(LEFT(PQS_tbl[[#This Row],[D]],3)=$AP$6,PQS_tbl[[#This Row],[I]]&gt;0),$AO99,"")</f>
        <v>93</v>
      </c>
      <c r="AQ99" s="165">
        <f>IFERROR(SMALL($AP$7:AP$182,ROWS($AP$7:AP99)),"")</f>
        <v>153</v>
      </c>
      <c r="AR99" s="165" t="str">
        <f>IFERROR(INDEX(PQS_tbl[C],AQ99),"")</f>
        <v>VLS 054A SDD Greenline</v>
      </c>
      <c r="AS99" s="165" t="str">
        <f>IF(AND(LEFT(PQS_tbl[[#This Row],[D]],3)=$AS$6,PQS_tbl[[#This Row],[I]]=0,PQS_tbl[[#This Row],[J]]&gt;0),$AO99,"")</f>
        <v/>
      </c>
      <c r="AT99" s="165" t="str">
        <f>IFERROR(SMALL($AS$7:AS$178,ROWS($AS$7:AS99)),"")</f>
        <v/>
      </c>
      <c r="AU99" s="165" t="str">
        <f>IFERROR(INDEX(PQS_tbl[C],AT99),"")</f>
        <v/>
      </c>
      <c r="AV99" s="165" t="str">
        <f>IF(LEFT(PQS_tbl[[#This Row],[E]],1)="S",$AP99,"")</f>
        <v/>
      </c>
      <c r="AW99" s="165" t="str">
        <f>IFERROR(SMALL($AV$7:AV$178,ROWS($AV$7:AV99)),"")</f>
        <v/>
      </c>
      <c r="AX99" s="165" t="str">
        <f>IFERROR(INDEX(PQS_tbl[C],AW99),"")</f>
        <v/>
      </c>
      <c r="AY99" s="165" t="str">
        <f>IF(LEFT(PQS_tbl[[#This Row],[E]],1)="S",$AS99,"")</f>
        <v/>
      </c>
      <c r="AZ99" s="165" t="str">
        <f>IFERROR(SMALL($AY$7:AY$178,ROWS($AY$7:AY99)),"")</f>
        <v/>
      </c>
      <c r="BA99" s="165" t="str">
        <f>IFERROR(INDEX(PQS_tbl[C],AZ99),"")</f>
        <v/>
      </c>
      <c r="BB99" s="165" t="str">
        <f>IF(AND(LEFT(PQS_tbl[[#This Row],[D]],3)=$BB$6,PQS_tbl[[#This Row],[K]]&gt;0),$AO99,"")</f>
        <v/>
      </c>
    </row>
    <row r="100" spans="1:54" s="178" customFormat="1" x14ac:dyDescent="0.3">
      <c r="A100" s="179" t="s">
        <v>344</v>
      </c>
      <c r="B100" s="62" t="s">
        <v>573</v>
      </c>
      <c r="C100" s="61" t="s">
        <v>576</v>
      </c>
      <c r="D100" s="61" t="s">
        <v>577</v>
      </c>
      <c r="E100" s="180" t="s">
        <v>363</v>
      </c>
      <c r="F100" s="180" t="s">
        <v>489</v>
      </c>
      <c r="G100" s="180" t="s">
        <v>349</v>
      </c>
      <c r="H100" s="180" t="s">
        <v>466</v>
      </c>
      <c r="I100" s="63">
        <v>99</v>
      </c>
      <c r="J100" s="63"/>
      <c r="K100" s="63"/>
      <c r="L100" s="63"/>
      <c r="M100" s="63"/>
      <c r="N100" s="181">
        <v>300.3</v>
      </c>
      <c r="O100" s="181"/>
      <c r="P100" s="181"/>
      <c r="Q100" s="63">
        <v>0.75</v>
      </c>
      <c r="R100" s="63"/>
      <c r="S100" s="63"/>
      <c r="T100" s="63">
        <v>2300</v>
      </c>
      <c r="U100" s="182">
        <f>T100</f>
        <v>2300</v>
      </c>
      <c r="V100" s="183">
        <v>2016</v>
      </c>
      <c r="W100" s="63">
        <v>121</v>
      </c>
      <c r="X100" s="63"/>
      <c r="Y100" s="63"/>
      <c r="Z100" s="63">
        <v>182</v>
      </c>
      <c r="AA100" s="63">
        <v>75</v>
      </c>
      <c r="AB100" s="63">
        <v>79.5</v>
      </c>
      <c r="AC100" s="63">
        <v>1.3</v>
      </c>
      <c r="AD100" s="184">
        <v>160</v>
      </c>
      <c r="AE100" s="63" t="s">
        <v>312</v>
      </c>
      <c r="AF100" s="185">
        <f t="shared" si="21"/>
        <v>23.232323232323232</v>
      </c>
      <c r="AG100" s="185" t="str">
        <f t="shared" si="21"/>
        <v/>
      </c>
      <c r="AH100" s="185" t="str">
        <f t="shared" si="11"/>
        <v/>
      </c>
      <c r="AI100" s="186">
        <f t="shared" si="12"/>
        <v>7.575757575757576E-3</v>
      </c>
      <c r="AJ100" s="186" t="str">
        <f t="shared" si="13"/>
        <v/>
      </c>
      <c r="AK100" s="186" t="str">
        <f t="shared" si="14"/>
        <v/>
      </c>
      <c r="AL100" s="186" t="str">
        <f t="shared" si="15"/>
        <v/>
      </c>
      <c r="AM100" s="186" t="str">
        <f t="shared" si="16"/>
        <v/>
      </c>
      <c r="AN100" s="186" t="str">
        <f t="shared" si="17"/>
        <v/>
      </c>
      <c r="AO100" s="165">
        <f t="shared" si="18"/>
        <v>94</v>
      </c>
      <c r="AP100" s="165">
        <f>IF(AND(LEFT(PQS_tbl[[#This Row],[D]],3)=$AP$6,PQS_tbl[[#This Row],[I]]&gt;0),$AO100,"")</f>
        <v>94</v>
      </c>
      <c r="AQ100" s="165">
        <f>IFERROR(SMALL($AP$7:AP$182,ROWS($AP$7:AP100)),"")</f>
        <v>154</v>
      </c>
      <c r="AR100" s="165" t="str">
        <f>IFERROR(INDEX(PQS_tbl[C],AQ100),"")</f>
        <v>VLS 094A SDD Greenline</v>
      </c>
      <c r="AS100" s="165" t="str">
        <f>IF(AND(LEFT(PQS_tbl[[#This Row],[D]],3)=$AS$6,PQS_tbl[[#This Row],[I]]=0,PQS_tbl[[#This Row],[J]]&gt;0),$AO100,"")</f>
        <v/>
      </c>
      <c r="AT100" s="165" t="str">
        <f>IFERROR(SMALL($AS$7:AS$178,ROWS($AS$7:AS100)),"")</f>
        <v/>
      </c>
      <c r="AU100" s="165" t="str">
        <f>IFERROR(INDEX(PQS_tbl[C],AT100),"")</f>
        <v/>
      </c>
      <c r="AV100" s="165" t="str">
        <f>IF(LEFT(PQS_tbl[[#This Row],[E]],1)="S",$AP100,"")</f>
        <v/>
      </c>
      <c r="AW100" s="165" t="str">
        <f>IFERROR(SMALL($AV$7:AV$178,ROWS($AV$7:AV100)),"")</f>
        <v/>
      </c>
      <c r="AX100" s="165" t="str">
        <f>IFERROR(INDEX(PQS_tbl[C],AW100),"")</f>
        <v/>
      </c>
      <c r="AY100" s="165" t="str">
        <f>IF(LEFT(PQS_tbl[[#This Row],[E]],1)="S",$AS100,"")</f>
        <v/>
      </c>
      <c r="AZ100" s="165" t="str">
        <f>IFERROR(SMALL($AY$7:AY$178,ROWS($AY$7:AY100)),"")</f>
        <v/>
      </c>
      <c r="BA100" s="165" t="str">
        <f>IFERROR(INDEX(PQS_tbl[C],AZ100),"")</f>
        <v/>
      </c>
      <c r="BB100" s="165" t="str">
        <f>IF(AND(LEFT(PQS_tbl[[#This Row],[D]],3)=$BB$6,PQS_tbl[[#This Row],[K]]&gt;0),$AO100,"")</f>
        <v/>
      </c>
    </row>
    <row r="101" spans="1:54" s="178" customFormat="1" x14ac:dyDescent="0.3">
      <c r="A101" s="179" t="s">
        <v>578</v>
      </c>
      <c r="B101" s="62" t="s">
        <v>385</v>
      </c>
      <c r="C101" s="61" t="s">
        <v>579</v>
      </c>
      <c r="D101" s="61" t="s">
        <v>580</v>
      </c>
      <c r="E101" s="180" t="s">
        <v>549</v>
      </c>
      <c r="F101" s="180" t="s">
        <v>489</v>
      </c>
      <c r="G101" s="180" t="s">
        <v>349</v>
      </c>
      <c r="H101" s="180" t="s">
        <v>466</v>
      </c>
      <c r="I101" s="63">
        <v>102</v>
      </c>
      <c r="J101" s="63"/>
      <c r="K101" s="63"/>
      <c r="L101" s="63">
        <v>2.04</v>
      </c>
      <c r="M101" s="63">
        <v>8.4</v>
      </c>
      <c r="N101" s="181">
        <v>77.989999999999995</v>
      </c>
      <c r="O101" s="181"/>
      <c r="P101" s="181"/>
      <c r="Q101" s="63"/>
      <c r="R101" s="63"/>
      <c r="S101" s="63"/>
      <c r="T101" s="63">
        <v>6800</v>
      </c>
      <c r="U101" s="182">
        <f>T101*1.2</f>
        <v>8160</v>
      </c>
      <c r="V101" s="183">
        <v>2016</v>
      </c>
      <c r="W101" s="63">
        <v>158.1</v>
      </c>
      <c r="X101" s="63">
        <v>42.9</v>
      </c>
      <c r="Y101" s="63"/>
      <c r="Z101" s="63">
        <v>73.5</v>
      </c>
      <c r="AA101" s="63">
        <v>99.2</v>
      </c>
      <c r="AB101" s="63">
        <v>128.30000000000001</v>
      </c>
      <c r="AC101" s="63">
        <v>1.2</v>
      </c>
      <c r="AD101" s="184">
        <v>171</v>
      </c>
      <c r="AE101" s="63" t="s">
        <v>312</v>
      </c>
      <c r="AF101" s="185">
        <f t="shared" si="21"/>
        <v>80</v>
      </c>
      <c r="AG101" s="185" t="str">
        <f t="shared" si="21"/>
        <v/>
      </c>
      <c r="AH101" s="185">
        <f t="shared" si="11"/>
        <v>4000</v>
      </c>
      <c r="AI101" s="186" t="str">
        <f t="shared" si="12"/>
        <v/>
      </c>
      <c r="AJ101" s="186" t="str">
        <f t="shared" si="13"/>
        <v/>
      </c>
      <c r="AK101" s="186" t="str">
        <f t="shared" si="14"/>
        <v/>
      </c>
      <c r="AL101" s="186" t="str">
        <f t="shared" si="15"/>
        <v/>
      </c>
      <c r="AM101" s="186" t="str">
        <f t="shared" si="16"/>
        <v/>
      </c>
      <c r="AN101" s="186" t="str">
        <f t="shared" si="17"/>
        <v/>
      </c>
      <c r="AO101" s="165">
        <f t="shared" si="18"/>
        <v>95</v>
      </c>
      <c r="AP101" s="165">
        <f>IF(AND(LEFT(PQS_tbl[[#This Row],[D]],3)=$AP$6,PQS_tbl[[#This Row],[I]]&gt;0),$AO101,"")</f>
        <v>95</v>
      </c>
      <c r="AQ101" s="165">
        <f>IFERROR(SMALL($AP$7:AP$182,ROWS($AP$7:AP101)),"")</f>
        <v>155</v>
      </c>
      <c r="AR101" s="165" t="str">
        <f>IFERROR(INDEX(PQS_tbl[C],AQ101),"")</f>
        <v>VLS 154A SDD Greenline</v>
      </c>
      <c r="AS101" s="165" t="str">
        <f>IF(AND(LEFT(PQS_tbl[[#This Row],[D]],3)=$AS$6,PQS_tbl[[#This Row],[I]]=0,PQS_tbl[[#This Row],[J]]&gt;0),$AO101,"")</f>
        <v/>
      </c>
      <c r="AT101" s="165" t="str">
        <f>IFERROR(SMALL($AS$7:AS$178,ROWS($AS$7:AS101)),"")</f>
        <v/>
      </c>
      <c r="AU101" s="165" t="str">
        <f>IFERROR(INDEX(PQS_tbl[C],AT101),"")</f>
        <v/>
      </c>
      <c r="AV101" s="165">
        <f>IF(LEFT(PQS_tbl[[#This Row],[E]],1)="S",$AP101,"")</f>
        <v>95</v>
      </c>
      <c r="AW101" s="165" t="str">
        <f>IFERROR(SMALL($AV$7:AV$178,ROWS($AV$7:AV101)),"")</f>
        <v/>
      </c>
      <c r="AX101" s="165" t="str">
        <f>IFERROR(INDEX(PQS_tbl[C],AW101),"")</f>
        <v/>
      </c>
      <c r="AY101" s="165" t="str">
        <f>IF(LEFT(PQS_tbl[[#This Row],[E]],1)="S",$AS101,"")</f>
        <v/>
      </c>
      <c r="AZ101" s="165" t="str">
        <f>IFERROR(SMALL($AY$7:AY$178,ROWS($AY$7:AY101)),"")</f>
        <v/>
      </c>
      <c r="BA101" s="165" t="str">
        <f>IFERROR(INDEX(PQS_tbl[C],AZ101),"")</f>
        <v/>
      </c>
      <c r="BB101" s="165" t="str">
        <f>IF(AND(LEFT(PQS_tbl[[#This Row],[D]],3)=$BB$6,PQS_tbl[[#This Row],[K]]&gt;0),$AO101,"")</f>
        <v/>
      </c>
    </row>
    <row r="102" spans="1:54" s="178" customFormat="1" x14ac:dyDescent="0.3">
      <c r="A102" s="179" t="s">
        <v>560</v>
      </c>
      <c r="B102" s="62" t="s">
        <v>573</v>
      </c>
      <c r="C102" s="61" t="s">
        <v>581</v>
      </c>
      <c r="D102" s="61" t="s">
        <v>582</v>
      </c>
      <c r="E102" s="180" t="s">
        <v>488</v>
      </c>
      <c r="F102" s="180" t="s">
        <v>489</v>
      </c>
      <c r="G102" s="180" t="s">
        <v>349</v>
      </c>
      <c r="H102" s="180" t="s">
        <v>466</v>
      </c>
      <c r="I102" s="63">
        <v>46.5</v>
      </c>
      <c r="J102" s="63"/>
      <c r="K102" s="63"/>
      <c r="L102" s="63"/>
      <c r="M102" s="63"/>
      <c r="N102" s="181">
        <v>134.80000000000001</v>
      </c>
      <c r="O102" s="181"/>
      <c r="P102" s="181"/>
      <c r="Q102" s="63"/>
      <c r="R102" s="63"/>
      <c r="S102" s="63"/>
      <c r="T102" s="63">
        <v>3450</v>
      </c>
      <c r="U102" s="182">
        <f>T102</f>
        <v>3450</v>
      </c>
      <c r="V102" s="183">
        <v>2016</v>
      </c>
      <c r="W102" s="63">
        <v>59.6</v>
      </c>
      <c r="X102" s="63"/>
      <c r="Y102" s="63"/>
      <c r="Z102" s="63">
        <v>121.5</v>
      </c>
      <c r="AA102" s="63">
        <v>79.5</v>
      </c>
      <c r="AB102" s="63">
        <v>75</v>
      </c>
      <c r="AC102" s="63">
        <f>0.916+0.4</f>
        <v>1.3160000000000001</v>
      </c>
      <c r="AD102" s="184">
        <f>125+115</f>
        <v>240</v>
      </c>
      <c r="AE102" s="63" t="s">
        <v>312</v>
      </c>
      <c r="AF102" s="185">
        <f t="shared" si="21"/>
        <v>74.193548387096769</v>
      </c>
      <c r="AG102" s="185" t="str">
        <f t="shared" si="21"/>
        <v/>
      </c>
      <c r="AH102" s="185" t="str">
        <f t="shared" si="11"/>
        <v/>
      </c>
      <c r="AI102" s="186" t="str">
        <f t="shared" si="12"/>
        <v/>
      </c>
      <c r="AJ102" s="186" t="str">
        <f t="shared" si="13"/>
        <v/>
      </c>
      <c r="AK102" s="186" t="str">
        <f t="shared" si="14"/>
        <v/>
      </c>
      <c r="AL102" s="186" t="str">
        <f t="shared" si="15"/>
        <v/>
      </c>
      <c r="AM102" s="186" t="str">
        <f t="shared" si="16"/>
        <v/>
      </c>
      <c r="AN102" s="186" t="str">
        <f t="shared" si="17"/>
        <v/>
      </c>
      <c r="AO102" s="165">
        <f t="shared" si="18"/>
        <v>96</v>
      </c>
      <c r="AP102" s="165">
        <f>IF(AND(LEFT(PQS_tbl[[#This Row],[D]],3)=$AP$6,PQS_tbl[[#This Row],[I]]&gt;0),$AO102,"")</f>
        <v>96</v>
      </c>
      <c r="AQ102" s="165">
        <f>IFERROR(SMALL($AP$7:AP$182,ROWS($AP$7:AP102)),"")</f>
        <v>156</v>
      </c>
      <c r="AR102" s="165" t="str">
        <f>IFERROR(INDEX(PQS_tbl[C],AQ102),"")</f>
        <v>VLS 204A</v>
      </c>
      <c r="AS102" s="165" t="str">
        <f>IF(AND(LEFT(PQS_tbl[[#This Row],[D]],3)=$AS$6,PQS_tbl[[#This Row],[I]]=0,PQS_tbl[[#This Row],[J]]&gt;0),$AO102,"")</f>
        <v/>
      </c>
      <c r="AT102" s="165" t="str">
        <f>IFERROR(SMALL($AS$7:AS$178,ROWS($AS$7:AS102)),"")</f>
        <v/>
      </c>
      <c r="AU102" s="165" t="str">
        <f>IFERROR(INDEX(PQS_tbl[C],AT102),"")</f>
        <v/>
      </c>
      <c r="AV102" s="165">
        <f>IF(LEFT(PQS_tbl[[#This Row],[E]],1)="S",$AP102,"")</f>
        <v>96</v>
      </c>
      <c r="AW102" s="165" t="str">
        <f>IFERROR(SMALL($AV$7:AV$178,ROWS($AV$7:AV102)),"")</f>
        <v/>
      </c>
      <c r="AX102" s="165" t="str">
        <f>IFERROR(INDEX(PQS_tbl[C],AW102),"")</f>
        <v/>
      </c>
      <c r="AY102" s="165" t="str">
        <f>IF(LEFT(PQS_tbl[[#This Row],[E]],1)="S",$AS102,"")</f>
        <v/>
      </c>
      <c r="AZ102" s="165" t="str">
        <f>IFERROR(SMALL($AY$7:AY$178,ROWS($AY$7:AY102)),"")</f>
        <v/>
      </c>
      <c r="BA102" s="165" t="str">
        <f>IFERROR(INDEX(PQS_tbl[C],AZ102),"")</f>
        <v/>
      </c>
      <c r="BB102" s="165" t="str">
        <f>IF(AND(LEFT(PQS_tbl[[#This Row],[D]],3)=$BB$6,PQS_tbl[[#This Row],[K]]&gt;0),$AO102,"")</f>
        <v/>
      </c>
    </row>
    <row r="103" spans="1:54" s="178" customFormat="1" x14ac:dyDescent="0.3">
      <c r="A103" s="179" t="s">
        <v>560</v>
      </c>
      <c r="B103" s="62" t="s">
        <v>573</v>
      </c>
      <c r="C103" s="61" t="s">
        <v>583</v>
      </c>
      <c r="D103" s="61" t="s">
        <v>584</v>
      </c>
      <c r="E103" s="180" t="s">
        <v>488</v>
      </c>
      <c r="F103" s="180" t="s">
        <v>489</v>
      </c>
      <c r="G103" s="180" t="s">
        <v>349</v>
      </c>
      <c r="H103" s="180" t="s">
        <v>466</v>
      </c>
      <c r="I103" s="63">
        <v>99</v>
      </c>
      <c r="J103" s="63"/>
      <c r="K103" s="63"/>
      <c r="L103" s="63"/>
      <c r="M103" s="63"/>
      <c r="N103" s="181">
        <v>175.95</v>
      </c>
      <c r="O103" s="181"/>
      <c r="P103" s="181"/>
      <c r="Q103" s="63"/>
      <c r="R103" s="63"/>
      <c r="S103" s="63"/>
      <c r="T103" s="63">
        <v>4815</v>
      </c>
      <c r="U103" s="182">
        <f>T103</f>
        <v>4815</v>
      </c>
      <c r="V103" s="183">
        <v>2016</v>
      </c>
      <c r="W103" s="63">
        <v>121</v>
      </c>
      <c r="X103" s="63"/>
      <c r="Y103" s="63"/>
      <c r="Z103" s="63">
        <v>182</v>
      </c>
      <c r="AA103" s="63">
        <v>79.5</v>
      </c>
      <c r="AB103" s="63">
        <v>75</v>
      </c>
      <c r="AC103" s="63">
        <f>1.3+0.4</f>
        <v>1.7000000000000002</v>
      </c>
      <c r="AD103" s="184">
        <f>160+115</f>
        <v>275</v>
      </c>
      <c r="AE103" s="63" t="s">
        <v>312</v>
      </c>
      <c r="AF103" s="185">
        <f t="shared" si="21"/>
        <v>48.636363636363633</v>
      </c>
      <c r="AG103" s="185" t="str">
        <f t="shared" si="21"/>
        <v/>
      </c>
      <c r="AH103" s="185" t="str">
        <f t="shared" si="11"/>
        <v/>
      </c>
      <c r="AI103" s="186" t="str">
        <f t="shared" si="12"/>
        <v/>
      </c>
      <c r="AJ103" s="186" t="str">
        <f t="shared" si="13"/>
        <v/>
      </c>
      <c r="AK103" s="186" t="str">
        <f t="shared" si="14"/>
        <v/>
      </c>
      <c r="AL103" s="186" t="str">
        <f t="shared" si="15"/>
        <v/>
      </c>
      <c r="AM103" s="186" t="str">
        <f t="shared" si="16"/>
        <v/>
      </c>
      <c r="AN103" s="186" t="str">
        <f t="shared" si="17"/>
        <v/>
      </c>
      <c r="AO103" s="165">
        <f t="shared" si="18"/>
        <v>97</v>
      </c>
      <c r="AP103" s="165">
        <f>IF(AND(LEFT(PQS_tbl[[#This Row],[D]],3)=$AP$6,PQS_tbl[[#This Row],[I]]&gt;0),$AO103,"")</f>
        <v>97</v>
      </c>
      <c r="AQ103" s="165">
        <f>IFERROR(SMALL($AP$7:AP$182,ROWS($AP$7:AP103)),"")</f>
        <v>157</v>
      </c>
      <c r="AR103" s="165" t="str">
        <f>IFERROR(INDEX(PQS_tbl[C],AQ103),"")</f>
        <v>VLS 304A AC</v>
      </c>
      <c r="AS103" s="165" t="str">
        <f>IF(AND(LEFT(PQS_tbl[[#This Row],[D]],3)=$AS$6,PQS_tbl[[#This Row],[I]]=0,PQS_tbl[[#This Row],[J]]&gt;0),$AO103,"")</f>
        <v/>
      </c>
      <c r="AT103" s="165" t="str">
        <f>IFERROR(SMALL($AS$7:AS$178,ROWS($AS$7:AS103)),"")</f>
        <v/>
      </c>
      <c r="AU103" s="165" t="str">
        <f>IFERROR(INDEX(PQS_tbl[C],AT103),"")</f>
        <v/>
      </c>
      <c r="AV103" s="165">
        <f>IF(LEFT(PQS_tbl[[#This Row],[E]],1)="S",$AP103,"")</f>
        <v>97</v>
      </c>
      <c r="AW103" s="165" t="str">
        <f>IFERROR(SMALL($AV$7:AV$178,ROWS($AV$7:AV103)),"")</f>
        <v/>
      </c>
      <c r="AX103" s="165" t="str">
        <f>IFERROR(INDEX(PQS_tbl[C],AW103),"")</f>
        <v/>
      </c>
      <c r="AY103" s="165" t="str">
        <f>IF(LEFT(PQS_tbl[[#This Row],[E]],1)="S",$AS103,"")</f>
        <v/>
      </c>
      <c r="AZ103" s="165" t="str">
        <f>IFERROR(SMALL($AY$7:AY$178,ROWS($AY$7:AY103)),"")</f>
        <v/>
      </c>
      <c r="BA103" s="165" t="str">
        <f>IFERROR(INDEX(PQS_tbl[C],AZ103),"")</f>
        <v/>
      </c>
      <c r="BB103" s="165" t="str">
        <f>IF(AND(LEFT(PQS_tbl[[#This Row],[D]],3)=$BB$6,PQS_tbl[[#This Row],[K]]&gt;0),$AO103,"")</f>
        <v/>
      </c>
    </row>
    <row r="104" spans="1:54" s="178" customFormat="1" x14ac:dyDescent="0.3">
      <c r="A104" s="179" t="s">
        <v>344</v>
      </c>
      <c r="B104" s="62" t="s">
        <v>409</v>
      </c>
      <c r="C104" s="61" t="s">
        <v>585</v>
      </c>
      <c r="D104" s="61" t="s">
        <v>586</v>
      </c>
      <c r="E104" s="180" t="s">
        <v>363</v>
      </c>
      <c r="F104" s="180" t="s">
        <v>348</v>
      </c>
      <c r="G104" s="180" t="s">
        <v>349</v>
      </c>
      <c r="H104" s="180" t="s">
        <v>466</v>
      </c>
      <c r="I104" s="63">
        <v>27</v>
      </c>
      <c r="J104" s="63"/>
      <c r="K104" s="63"/>
      <c r="L104" s="63"/>
      <c r="M104" s="63"/>
      <c r="N104" s="181">
        <v>77.2</v>
      </c>
      <c r="O104" s="181"/>
      <c r="P104" s="181"/>
      <c r="Q104" s="63">
        <v>1.6819999999999999</v>
      </c>
      <c r="R104" s="63"/>
      <c r="S104" s="63"/>
      <c r="T104" s="63">
        <v>1192</v>
      </c>
      <c r="U104" s="182">
        <f>T104</f>
        <v>1192</v>
      </c>
      <c r="V104" s="183">
        <v>2016</v>
      </c>
      <c r="W104" s="63">
        <v>30</v>
      </c>
      <c r="X104" s="63"/>
      <c r="Y104" s="63"/>
      <c r="Z104" s="63">
        <v>102.8</v>
      </c>
      <c r="AA104" s="63">
        <v>61.9</v>
      </c>
      <c r="AB104" s="63">
        <v>56.3</v>
      </c>
      <c r="AC104" s="63">
        <v>0.372</v>
      </c>
      <c r="AD104" s="184">
        <v>65</v>
      </c>
      <c r="AE104" s="63" t="s">
        <v>312</v>
      </c>
      <c r="AF104" s="185">
        <f t="shared" si="21"/>
        <v>44.148148148148145</v>
      </c>
      <c r="AG104" s="185" t="str">
        <f t="shared" si="21"/>
        <v/>
      </c>
      <c r="AH104" s="185" t="str">
        <f t="shared" si="11"/>
        <v/>
      </c>
      <c r="AI104" s="186">
        <f t="shared" si="12"/>
        <v>6.2296296296296294E-2</v>
      </c>
      <c r="AJ104" s="186" t="str">
        <f t="shared" si="13"/>
        <v/>
      </c>
      <c r="AK104" s="186" t="str">
        <f t="shared" si="14"/>
        <v/>
      </c>
      <c r="AL104" s="186" t="str">
        <f t="shared" si="15"/>
        <v/>
      </c>
      <c r="AM104" s="186" t="str">
        <f t="shared" si="16"/>
        <v/>
      </c>
      <c r="AN104" s="186" t="str">
        <f t="shared" si="17"/>
        <v/>
      </c>
      <c r="AO104" s="165">
        <f t="shared" si="18"/>
        <v>98</v>
      </c>
      <c r="AP104" s="165">
        <f>IF(AND(LEFT(PQS_tbl[[#This Row],[D]],3)=$AP$6,PQS_tbl[[#This Row],[I]]&gt;0),$AO104,"")</f>
        <v>98</v>
      </c>
      <c r="AQ104" s="165">
        <f>IFERROR(SMALL($AP$7:AP$182,ROWS($AP$7:AP104)),"")</f>
        <v>158</v>
      </c>
      <c r="AR104" s="165" t="str">
        <f>IFERROR(INDEX(PQS_tbl[C],AQ104),"")</f>
        <v>VLS 354A AC</v>
      </c>
      <c r="AS104" s="165" t="str">
        <f>IF(AND(LEFT(PQS_tbl[[#This Row],[D]],3)=$AS$6,PQS_tbl[[#This Row],[I]]=0,PQS_tbl[[#This Row],[J]]&gt;0),$AO104,"")</f>
        <v/>
      </c>
      <c r="AT104" s="165" t="str">
        <f>IFERROR(SMALL($AS$7:AS$178,ROWS($AS$7:AS104)),"")</f>
        <v/>
      </c>
      <c r="AU104" s="165" t="str">
        <f>IFERROR(INDEX(PQS_tbl[C],AT104),"")</f>
        <v/>
      </c>
      <c r="AV104" s="165" t="str">
        <f>IF(LEFT(PQS_tbl[[#This Row],[E]],1)="S",$AP104,"")</f>
        <v/>
      </c>
      <c r="AW104" s="165" t="str">
        <f>IFERROR(SMALL($AV$7:AV$178,ROWS($AV$7:AV104)),"")</f>
        <v/>
      </c>
      <c r="AX104" s="165" t="str">
        <f>IFERROR(INDEX(PQS_tbl[C],AW104),"")</f>
        <v/>
      </c>
      <c r="AY104" s="165" t="str">
        <f>IF(LEFT(PQS_tbl[[#This Row],[E]],1)="S",$AS104,"")</f>
        <v/>
      </c>
      <c r="AZ104" s="165" t="str">
        <f>IFERROR(SMALL($AY$7:AY$178,ROWS($AY$7:AY104)),"")</f>
        <v/>
      </c>
      <c r="BA104" s="165" t="str">
        <f>IFERROR(INDEX(PQS_tbl[C],AZ104),"")</f>
        <v/>
      </c>
      <c r="BB104" s="165" t="str">
        <f>IF(AND(LEFT(PQS_tbl[[#This Row],[D]],3)=$BB$6,PQS_tbl[[#This Row],[K]]&gt;0),$AO104,"")</f>
        <v/>
      </c>
    </row>
    <row r="105" spans="1:54" s="178" customFormat="1" x14ac:dyDescent="0.3">
      <c r="A105" s="179" t="s">
        <v>560</v>
      </c>
      <c r="B105" s="62" t="s">
        <v>409</v>
      </c>
      <c r="C105" s="61" t="s">
        <v>587</v>
      </c>
      <c r="D105" s="61" t="s">
        <v>588</v>
      </c>
      <c r="E105" s="180" t="s">
        <v>488</v>
      </c>
      <c r="F105" s="180" t="s">
        <v>348</v>
      </c>
      <c r="G105" s="180" t="s">
        <v>349</v>
      </c>
      <c r="H105" s="180" t="s">
        <v>466</v>
      </c>
      <c r="I105" s="63">
        <v>128</v>
      </c>
      <c r="J105" s="63"/>
      <c r="K105" s="63"/>
      <c r="L105" s="63"/>
      <c r="M105" s="63"/>
      <c r="N105" s="181">
        <v>107.9</v>
      </c>
      <c r="O105" s="181"/>
      <c r="P105" s="181"/>
      <c r="Q105" s="63"/>
      <c r="R105" s="63"/>
      <c r="S105" s="63"/>
      <c r="T105" s="63">
        <v>4355</v>
      </c>
      <c r="U105" s="182">
        <v>4355</v>
      </c>
      <c r="V105" s="183">
        <v>2016</v>
      </c>
      <c r="W105" s="63">
        <v>132</v>
      </c>
      <c r="X105" s="63"/>
      <c r="Y105" s="63"/>
      <c r="Z105" s="63">
        <v>189</v>
      </c>
      <c r="AA105" s="63">
        <v>83</v>
      </c>
      <c r="AB105" s="63">
        <v>71</v>
      </c>
      <c r="AC105" s="63">
        <v>1.22</v>
      </c>
      <c r="AD105" s="184">
        <v>120</v>
      </c>
      <c r="AE105" s="63" t="s">
        <v>312</v>
      </c>
      <c r="AF105" s="185">
        <f t="shared" si="21"/>
        <v>34.0234375</v>
      </c>
      <c r="AG105" s="185" t="str">
        <f t="shared" si="21"/>
        <v/>
      </c>
      <c r="AH105" s="185" t="str">
        <f t="shared" si="11"/>
        <v/>
      </c>
      <c r="AI105" s="186" t="str">
        <f t="shared" si="12"/>
        <v/>
      </c>
      <c r="AJ105" s="186" t="str">
        <f t="shared" si="13"/>
        <v/>
      </c>
      <c r="AK105" s="186" t="str">
        <f t="shared" si="14"/>
        <v/>
      </c>
      <c r="AL105" s="186" t="str">
        <f t="shared" si="15"/>
        <v/>
      </c>
      <c r="AM105" s="186" t="str">
        <f t="shared" si="16"/>
        <v/>
      </c>
      <c r="AN105" s="186" t="str">
        <f t="shared" si="17"/>
        <v/>
      </c>
      <c r="AO105" s="165">
        <f t="shared" si="18"/>
        <v>99</v>
      </c>
      <c r="AP105" s="165">
        <f>IF(AND(LEFT(PQS_tbl[[#This Row],[D]],3)=$AP$6,PQS_tbl[[#This Row],[I]]&gt;0),$AO105,"")</f>
        <v>99</v>
      </c>
      <c r="AQ105" s="165">
        <f>IFERROR(SMALL($AP$7:AP$182,ROWS($AP$7:AP105)),"")</f>
        <v>159</v>
      </c>
      <c r="AR105" s="165" t="str">
        <f>IFERROR(INDEX(PQS_tbl[C],AQ105),"")</f>
        <v>VLS 404A AC</v>
      </c>
      <c r="AS105" s="165" t="str">
        <f>IF(AND(LEFT(PQS_tbl[[#This Row],[D]],3)=$AS$6,PQS_tbl[[#This Row],[I]]=0,PQS_tbl[[#This Row],[J]]&gt;0),$AO105,"")</f>
        <v/>
      </c>
      <c r="AT105" s="165" t="str">
        <f>IFERROR(SMALL($AS$7:AS$178,ROWS($AS$7:AS105)),"")</f>
        <v/>
      </c>
      <c r="AU105" s="165" t="str">
        <f>IFERROR(INDEX(PQS_tbl[C],AT105),"")</f>
        <v/>
      </c>
      <c r="AV105" s="165">
        <f>IF(LEFT(PQS_tbl[[#This Row],[E]],1)="S",$AP105,"")</f>
        <v>99</v>
      </c>
      <c r="AW105" s="165" t="str">
        <f>IFERROR(SMALL($AV$7:AV$178,ROWS($AV$7:AV105)),"")</f>
        <v/>
      </c>
      <c r="AX105" s="165" t="str">
        <f>IFERROR(INDEX(PQS_tbl[C],AW105),"")</f>
        <v/>
      </c>
      <c r="AY105" s="165" t="str">
        <f>IF(LEFT(PQS_tbl[[#This Row],[E]],1)="S",$AS105,"")</f>
        <v/>
      </c>
      <c r="AZ105" s="165" t="str">
        <f>IFERROR(SMALL($AY$7:AY$178,ROWS($AY$7:AY105)),"")</f>
        <v/>
      </c>
      <c r="BA105" s="165" t="str">
        <f>IFERROR(INDEX(PQS_tbl[C],AZ105),"")</f>
        <v/>
      </c>
      <c r="BB105" s="165" t="str">
        <f>IF(AND(LEFT(PQS_tbl[[#This Row],[D]],3)=$BB$6,PQS_tbl[[#This Row],[K]]&gt;0),$AO105,"")</f>
        <v/>
      </c>
    </row>
    <row r="106" spans="1:54" s="178" customFormat="1" x14ac:dyDescent="0.3">
      <c r="A106" s="179" t="s">
        <v>560</v>
      </c>
      <c r="B106" s="62" t="s">
        <v>561</v>
      </c>
      <c r="C106" s="61" t="s">
        <v>589</v>
      </c>
      <c r="D106" s="61" t="s">
        <v>590</v>
      </c>
      <c r="E106" s="180" t="s">
        <v>488</v>
      </c>
      <c r="F106" s="180" t="s">
        <v>489</v>
      </c>
      <c r="G106" s="180" t="s">
        <v>349</v>
      </c>
      <c r="H106" s="180" t="s">
        <v>466</v>
      </c>
      <c r="I106" s="63">
        <v>92</v>
      </c>
      <c r="J106" s="63"/>
      <c r="K106" s="63"/>
      <c r="L106" s="63"/>
      <c r="M106" s="63"/>
      <c r="N106" s="181">
        <v>72.5</v>
      </c>
      <c r="O106" s="181"/>
      <c r="P106" s="181">
        <v>360</v>
      </c>
      <c r="Q106" s="63"/>
      <c r="R106" s="63"/>
      <c r="S106" s="63"/>
      <c r="T106" s="63">
        <v>3214</v>
      </c>
      <c r="U106" s="182">
        <f>T106*1.2</f>
        <v>3856.7999999999997</v>
      </c>
      <c r="V106" s="183">
        <v>2016</v>
      </c>
      <c r="W106" s="63">
        <v>151</v>
      </c>
      <c r="X106" s="63"/>
      <c r="Y106" s="63"/>
      <c r="Z106" s="63">
        <v>86</v>
      </c>
      <c r="AA106" s="63">
        <v>93</v>
      </c>
      <c r="AB106" s="63">
        <v>70</v>
      </c>
      <c r="AC106" s="63">
        <v>0.83</v>
      </c>
      <c r="AD106" s="184">
        <v>108</v>
      </c>
      <c r="AE106" s="63" t="s">
        <v>312</v>
      </c>
      <c r="AF106" s="185">
        <f t="shared" si="21"/>
        <v>41.92173913043478</v>
      </c>
      <c r="AG106" s="185" t="str">
        <f t="shared" si="21"/>
        <v/>
      </c>
      <c r="AH106" s="185" t="str">
        <f t="shared" si="11"/>
        <v/>
      </c>
      <c r="AI106" s="186" t="str">
        <f t="shared" si="12"/>
        <v/>
      </c>
      <c r="AJ106" s="186" t="str">
        <f t="shared" si="13"/>
        <v/>
      </c>
      <c r="AK106" s="186" t="str">
        <f t="shared" si="14"/>
        <v/>
      </c>
      <c r="AL106" s="186" t="str">
        <f t="shared" si="15"/>
        <v/>
      </c>
      <c r="AM106" s="186" t="str">
        <f t="shared" si="16"/>
        <v/>
      </c>
      <c r="AN106" s="186" t="str">
        <f t="shared" si="17"/>
        <v/>
      </c>
      <c r="AO106" s="165">
        <f t="shared" si="18"/>
        <v>100</v>
      </c>
      <c r="AP106" s="165">
        <f>IF(AND(LEFT(PQS_tbl[[#This Row],[D]],3)=$AP$6,PQS_tbl[[#This Row],[I]]&gt;0),$AO106,"")</f>
        <v>100</v>
      </c>
      <c r="AQ106" s="165">
        <f>IFERROR(SMALL($AP$7:AP$182,ROWS($AP$7:AP106)),"")</f>
        <v>160</v>
      </c>
      <c r="AR106" s="165" t="str">
        <f>IFERROR(INDEX(PQS_tbl[C],AQ106),"")</f>
        <v>VLS 504A AC</v>
      </c>
      <c r="AS106" s="165" t="str">
        <f>IF(AND(LEFT(PQS_tbl[[#This Row],[D]],3)=$AS$6,PQS_tbl[[#This Row],[I]]=0,PQS_tbl[[#This Row],[J]]&gt;0),$AO106,"")</f>
        <v/>
      </c>
      <c r="AT106" s="165" t="str">
        <f>IFERROR(SMALL($AS$7:AS$178,ROWS($AS$7:AS106)),"")</f>
        <v/>
      </c>
      <c r="AU106" s="165" t="str">
        <f>IFERROR(INDEX(PQS_tbl[C],AT106),"")</f>
        <v/>
      </c>
      <c r="AV106" s="165">
        <f>IF(LEFT(PQS_tbl[[#This Row],[E]],1)="S",$AP106,"")</f>
        <v>100</v>
      </c>
      <c r="AW106" s="165" t="str">
        <f>IFERROR(SMALL($AV$7:AV$178,ROWS($AV$7:AV106)),"")</f>
        <v/>
      </c>
      <c r="AX106" s="165" t="str">
        <f>IFERROR(INDEX(PQS_tbl[C],AW106),"")</f>
        <v/>
      </c>
      <c r="AY106" s="165" t="str">
        <f>IF(LEFT(PQS_tbl[[#This Row],[E]],1)="S",$AS106,"")</f>
        <v/>
      </c>
      <c r="AZ106" s="165" t="str">
        <f>IFERROR(SMALL($AY$7:AY$178,ROWS($AY$7:AY106)),"")</f>
        <v/>
      </c>
      <c r="BA106" s="165" t="str">
        <f>IFERROR(INDEX(PQS_tbl[C],AZ106),"")</f>
        <v/>
      </c>
      <c r="BB106" s="165" t="str">
        <f>IF(AND(LEFT(PQS_tbl[[#This Row],[D]],3)=$BB$6,PQS_tbl[[#This Row],[K]]&gt;0),$AO106,"")</f>
        <v/>
      </c>
    </row>
    <row r="107" spans="1:54" s="178" customFormat="1" x14ac:dyDescent="0.3">
      <c r="A107" s="179" t="s">
        <v>560</v>
      </c>
      <c r="B107" s="62" t="s">
        <v>561</v>
      </c>
      <c r="C107" s="61" t="s">
        <v>591</v>
      </c>
      <c r="D107" s="61" t="s">
        <v>592</v>
      </c>
      <c r="E107" s="180" t="s">
        <v>488</v>
      </c>
      <c r="F107" s="180" t="s">
        <v>489</v>
      </c>
      <c r="G107" s="180" t="s">
        <v>349</v>
      </c>
      <c r="H107" s="180" t="s">
        <v>466</v>
      </c>
      <c r="I107" s="63">
        <v>170</v>
      </c>
      <c r="J107" s="63"/>
      <c r="K107" s="63"/>
      <c r="L107" s="63"/>
      <c r="M107" s="63"/>
      <c r="N107" s="181">
        <v>73.400000000000006</v>
      </c>
      <c r="O107" s="181"/>
      <c r="P107" s="181">
        <v>360</v>
      </c>
      <c r="Q107" s="63"/>
      <c r="R107" s="63"/>
      <c r="S107" s="63"/>
      <c r="T107" s="63">
        <v>4053</v>
      </c>
      <c r="U107" s="182">
        <f>T107*1.2</f>
        <v>4863.5999999999995</v>
      </c>
      <c r="V107" s="183">
        <v>2016</v>
      </c>
      <c r="W107" s="63">
        <v>248</v>
      </c>
      <c r="X107" s="63"/>
      <c r="Y107" s="63"/>
      <c r="Z107" s="63">
        <v>86</v>
      </c>
      <c r="AA107" s="63">
        <v>127</v>
      </c>
      <c r="AB107" s="63">
        <v>70</v>
      </c>
      <c r="AC107" s="63">
        <v>0.83</v>
      </c>
      <c r="AD107" s="184">
        <v>108</v>
      </c>
      <c r="AE107" s="63" t="s">
        <v>312</v>
      </c>
      <c r="AF107" s="185">
        <f t="shared" si="21"/>
        <v>28.609411764705879</v>
      </c>
      <c r="AG107" s="185" t="str">
        <f t="shared" si="21"/>
        <v/>
      </c>
      <c r="AH107" s="185" t="str">
        <f t="shared" si="11"/>
        <v/>
      </c>
      <c r="AI107" s="186" t="str">
        <f t="shared" si="12"/>
        <v/>
      </c>
      <c r="AJ107" s="186" t="str">
        <f t="shared" si="13"/>
        <v/>
      </c>
      <c r="AK107" s="186" t="str">
        <f t="shared" si="14"/>
        <v/>
      </c>
      <c r="AL107" s="186" t="str">
        <f t="shared" si="15"/>
        <v/>
      </c>
      <c r="AM107" s="186" t="str">
        <f t="shared" si="16"/>
        <v/>
      </c>
      <c r="AN107" s="186" t="str">
        <f t="shared" si="17"/>
        <v/>
      </c>
      <c r="AO107" s="165">
        <f t="shared" si="18"/>
        <v>101</v>
      </c>
      <c r="AP107" s="165">
        <f>IF(AND(LEFT(PQS_tbl[[#This Row],[D]],3)=$AP$6,PQS_tbl[[#This Row],[I]]&gt;0),$AO107,"")</f>
        <v>101</v>
      </c>
      <c r="AQ107" s="165">
        <f>IFERROR(SMALL($AP$7:AP$182,ROWS($AP$7:AP107)),"")</f>
        <v>161</v>
      </c>
      <c r="AR107" s="165" t="str">
        <f>IFERROR(INDEX(PQS_tbl[C],AQ107),"")</f>
        <v>HBC-120</v>
      </c>
      <c r="AS107" s="165" t="str">
        <f>IF(AND(LEFT(PQS_tbl[[#This Row],[D]],3)=$AS$6,PQS_tbl[[#This Row],[I]]=0,PQS_tbl[[#This Row],[J]]&gt;0),$AO107,"")</f>
        <v/>
      </c>
      <c r="AT107" s="165" t="str">
        <f>IFERROR(SMALL($AS$7:AS$178,ROWS($AS$7:AS107)),"")</f>
        <v/>
      </c>
      <c r="AU107" s="165" t="str">
        <f>IFERROR(INDEX(PQS_tbl[C],AT107),"")</f>
        <v/>
      </c>
      <c r="AV107" s="165">
        <f>IF(LEFT(PQS_tbl[[#This Row],[E]],1)="S",$AP107,"")</f>
        <v>101</v>
      </c>
      <c r="AW107" s="165" t="str">
        <f>IFERROR(SMALL($AV$7:AV$178,ROWS($AV$7:AV107)),"")</f>
        <v/>
      </c>
      <c r="AX107" s="165" t="str">
        <f>IFERROR(INDEX(PQS_tbl[C],AW107),"")</f>
        <v/>
      </c>
      <c r="AY107" s="165" t="str">
        <f>IF(LEFT(PQS_tbl[[#This Row],[E]],1)="S",$AS107,"")</f>
        <v/>
      </c>
      <c r="AZ107" s="165" t="str">
        <f>IFERROR(SMALL($AY$7:AY$178,ROWS($AY$7:AY107)),"")</f>
        <v/>
      </c>
      <c r="BA107" s="165" t="str">
        <f>IFERROR(INDEX(PQS_tbl[C],AZ107),"")</f>
        <v/>
      </c>
      <c r="BB107" s="165" t="str">
        <f>IF(AND(LEFT(PQS_tbl[[#This Row],[D]],3)=$BB$6,PQS_tbl[[#This Row],[K]]&gt;0),$AO107,"")</f>
        <v/>
      </c>
    </row>
    <row r="108" spans="1:54" s="178" customFormat="1" x14ac:dyDescent="0.3">
      <c r="A108" s="179" t="s">
        <v>560</v>
      </c>
      <c r="B108" s="62" t="s">
        <v>409</v>
      </c>
      <c r="C108" s="61" t="s">
        <v>593</v>
      </c>
      <c r="D108" s="61" t="s">
        <v>594</v>
      </c>
      <c r="E108" s="180" t="s">
        <v>488</v>
      </c>
      <c r="F108" s="180" t="s">
        <v>489</v>
      </c>
      <c r="G108" s="180" t="s">
        <v>595</v>
      </c>
      <c r="H108" s="180" t="s">
        <v>466</v>
      </c>
      <c r="I108" s="63">
        <v>27</v>
      </c>
      <c r="J108" s="63"/>
      <c r="K108" s="63"/>
      <c r="L108" s="63"/>
      <c r="M108" s="63"/>
      <c r="N108" s="181">
        <v>77.05</v>
      </c>
      <c r="O108" s="181"/>
      <c r="P108" s="181"/>
      <c r="Q108" s="63"/>
      <c r="R108" s="63"/>
      <c r="S108" s="63"/>
      <c r="T108" s="63">
        <v>2064</v>
      </c>
      <c r="U108" s="182">
        <f>T108</f>
        <v>2064</v>
      </c>
      <c r="V108" s="183">
        <v>2016</v>
      </c>
      <c r="W108" s="63">
        <v>33</v>
      </c>
      <c r="X108" s="63"/>
      <c r="Y108" s="63"/>
      <c r="Z108" s="63">
        <v>102.5</v>
      </c>
      <c r="AA108" s="63">
        <v>56</v>
      </c>
      <c r="AB108" s="63">
        <v>60</v>
      </c>
      <c r="AC108" s="63">
        <v>0.372</v>
      </c>
      <c r="AD108" s="184">
        <v>65</v>
      </c>
      <c r="AE108" s="63" t="s">
        <v>312</v>
      </c>
      <c r="AF108" s="185">
        <f t="shared" si="21"/>
        <v>76.444444444444443</v>
      </c>
      <c r="AG108" s="185" t="str">
        <f t="shared" si="21"/>
        <v/>
      </c>
      <c r="AH108" s="185" t="str">
        <f t="shared" si="11"/>
        <v/>
      </c>
      <c r="AI108" s="186" t="str">
        <f t="shared" si="12"/>
        <v/>
      </c>
      <c r="AJ108" s="186" t="str">
        <f t="shared" si="13"/>
        <v/>
      </c>
      <c r="AK108" s="186" t="str">
        <f t="shared" si="14"/>
        <v/>
      </c>
      <c r="AL108" s="186" t="str">
        <f t="shared" si="15"/>
        <v/>
      </c>
      <c r="AM108" s="186" t="str">
        <f t="shared" si="16"/>
        <v/>
      </c>
      <c r="AN108" s="186" t="str">
        <f t="shared" si="17"/>
        <v/>
      </c>
      <c r="AO108" s="165">
        <f t="shared" si="18"/>
        <v>102</v>
      </c>
      <c r="AP108" s="165">
        <f>IF(AND(LEFT(PQS_tbl[[#This Row],[D]],3)=$AP$6,PQS_tbl[[#This Row],[I]]&gt;0),$AO108,"")</f>
        <v>102</v>
      </c>
      <c r="AQ108" s="165">
        <f>IFERROR(SMALL($AP$7:AP$182,ROWS($AP$7:AP108)),"")</f>
        <v>162</v>
      </c>
      <c r="AR108" s="165" t="str">
        <f>IFERROR(INDEX(PQS_tbl[C],AQ108),"")</f>
        <v>HBC-240</v>
      </c>
      <c r="AS108" s="165" t="str">
        <f>IF(AND(LEFT(PQS_tbl[[#This Row],[D]],3)=$AS$6,PQS_tbl[[#This Row],[I]]=0,PQS_tbl[[#This Row],[J]]&gt;0),$AO108,"")</f>
        <v/>
      </c>
      <c r="AT108" s="165" t="str">
        <f>IFERROR(SMALL($AS$7:AS$178,ROWS($AS$7:AS108)),"")</f>
        <v/>
      </c>
      <c r="AU108" s="165" t="str">
        <f>IFERROR(INDEX(PQS_tbl[C],AT108),"")</f>
        <v/>
      </c>
      <c r="AV108" s="165">
        <f>IF(LEFT(PQS_tbl[[#This Row],[E]],1)="S",$AP108,"")</f>
        <v>102</v>
      </c>
      <c r="AW108" s="165" t="str">
        <f>IFERROR(SMALL($AV$7:AV$178,ROWS($AV$7:AV108)),"")</f>
        <v/>
      </c>
      <c r="AX108" s="165" t="str">
        <f>IFERROR(INDEX(PQS_tbl[C],AW108),"")</f>
        <v/>
      </c>
      <c r="AY108" s="165" t="str">
        <f>IF(LEFT(PQS_tbl[[#This Row],[E]],1)="S",$AS108,"")</f>
        <v/>
      </c>
      <c r="AZ108" s="165" t="str">
        <f>IFERROR(SMALL($AY$7:AY$178,ROWS($AY$7:AY108)),"")</f>
        <v/>
      </c>
      <c r="BA108" s="165" t="str">
        <f>IFERROR(INDEX(PQS_tbl[C],AZ108),"")</f>
        <v/>
      </c>
      <c r="BB108" s="165" t="str">
        <f>IF(AND(LEFT(PQS_tbl[[#This Row],[D]],3)=$BB$6,PQS_tbl[[#This Row],[K]]&gt;0),$AO108,"")</f>
        <v/>
      </c>
    </row>
    <row r="109" spans="1:54" s="178" customFormat="1" x14ac:dyDescent="0.3">
      <c r="A109" s="179" t="s">
        <v>596</v>
      </c>
      <c r="B109" s="62" t="s">
        <v>467</v>
      </c>
      <c r="C109" s="61" t="s">
        <v>597</v>
      </c>
      <c r="D109" s="61" t="s">
        <v>598</v>
      </c>
      <c r="E109" s="180" t="s">
        <v>488</v>
      </c>
      <c r="F109" s="180" t="s">
        <v>489</v>
      </c>
      <c r="G109" s="180" t="s">
        <v>349</v>
      </c>
      <c r="H109" s="180" t="s">
        <v>477</v>
      </c>
      <c r="I109" s="63">
        <v>21</v>
      </c>
      <c r="J109" s="63"/>
      <c r="K109" s="63"/>
      <c r="L109" s="63"/>
      <c r="M109" s="63"/>
      <c r="N109" s="181">
        <v>109.21</v>
      </c>
      <c r="O109" s="181"/>
      <c r="P109" s="181"/>
      <c r="Q109" s="63">
        <v>0.77800000000000002</v>
      </c>
      <c r="R109" s="63"/>
      <c r="S109" s="63"/>
      <c r="T109" s="63">
        <v>2600</v>
      </c>
      <c r="U109" s="182">
        <f>T109</f>
        <v>2600</v>
      </c>
      <c r="V109" s="183">
        <v>2016</v>
      </c>
      <c r="W109" s="63">
        <v>60</v>
      </c>
      <c r="X109" s="63"/>
      <c r="Y109" s="63"/>
      <c r="Z109" s="63">
        <v>78.8</v>
      </c>
      <c r="AA109" s="63">
        <v>65.400000000000006</v>
      </c>
      <c r="AB109" s="63">
        <v>87.5</v>
      </c>
      <c r="AC109" s="63">
        <v>0.7</v>
      </c>
      <c r="AD109" s="184">
        <v>110</v>
      </c>
      <c r="AE109" s="63"/>
      <c r="AF109" s="185">
        <f t="shared" si="21"/>
        <v>123.80952380952381</v>
      </c>
      <c r="AG109" s="185" t="str">
        <f t="shared" si="21"/>
        <v/>
      </c>
      <c r="AH109" s="185" t="str">
        <f t="shared" si="11"/>
        <v/>
      </c>
      <c r="AI109" s="186">
        <f t="shared" si="12"/>
        <v>3.7047619047619051E-2</v>
      </c>
      <c r="AJ109" s="186" t="str">
        <f t="shared" si="13"/>
        <v/>
      </c>
      <c r="AK109" s="186" t="str">
        <f t="shared" si="14"/>
        <v/>
      </c>
      <c r="AL109" s="186" t="str">
        <f t="shared" si="15"/>
        <v/>
      </c>
      <c r="AM109" s="186" t="str">
        <f t="shared" si="16"/>
        <v/>
      </c>
      <c r="AN109" s="186" t="str">
        <f t="shared" si="17"/>
        <v/>
      </c>
      <c r="AO109" s="165">
        <f t="shared" si="18"/>
        <v>103</v>
      </c>
      <c r="AP109" s="165">
        <f>IF(AND(LEFT(PQS_tbl[[#This Row],[D]],3)=$AP$6,PQS_tbl[[#This Row],[I]]&gt;0),$AO109,"")</f>
        <v>103</v>
      </c>
      <c r="AQ109" s="165">
        <f>IFERROR(SMALL($AP$7:AP$182,ROWS($AP$7:AP109)),"")</f>
        <v>163</v>
      </c>
      <c r="AR109" s="165" t="str">
        <f>IFERROR(INDEX(PQS_tbl[C],AQ109),"")</f>
        <v>HTC-120</v>
      </c>
      <c r="AS109" s="165" t="str">
        <f>IF(AND(LEFT(PQS_tbl[[#This Row],[D]],3)=$AS$6,PQS_tbl[[#This Row],[I]]=0,PQS_tbl[[#This Row],[J]]&gt;0),$AO109,"")</f>
        <v/>
      </c>
      <c r="AT109" s="165" t="str">
        <f>IFERROR(SMALL($AS$7:AS$178,ROWS($AS$7:AS109)),"")</f>
        <v/>
      </c>
      <c r="AU109" s="165" t="str">
        <f>IFERROR(INDEX(PQS_tbl[C],AT109),"")</f>
        <v/>
      </c>
      <c r="AV109" s="165">
        <f>IF(LEFT(PQS_tbl[[#This Row],[E]],1)="S",$AP109,"")</f>
        <v>103</v>
      </c>
      <c r="AW109" s="165" t="str">
        <f>IFERROR(SMALL($AV$7:AV$178,ROWS($AV$7:AV109)),"")</f>
        <v/>
      </c>
      <c r="AX109" s="165" t="str">
        <f>IFERROR(INDEX(PQS_tbl[C],AW109),"")</f>
        <v/>
      </c>
      <c r="AY109" s="165" t="str">
        <f>IF(LEFT(PQS_tbl[[#This Row],[E]],1)="S",$AS109,"")</f>
        <v/>
      </c>
      <c r="AZ109" s="165" t="str">
        <f>IFERROR(SMALL($AY$7:AY$178,ROWS($AY$7:AY109)),"")</f>
        <v/>
      </c>
      <c r="BA109" s="165" t="str">
        <f>IFERROR(INDEX(PQS_tbl[C],AZ109),"")</f>
        <v/>
      </c>
      <c r="BB109" s="165" t="str">
        <f>IF(AND(LEFT(PQS_tbl[[#This Row],[D]],3)=$BB$6,PQS_tbl[[#This Row],[K]]&gt;0),$AO109,"")</f>
        <v/>
      </c>
    </row>
    <row r="110" spans="1:54" s="178" customFormat="1" x14ac:dyDescent="0.3">
      <c r="A110" s="179" t="s">
        <v>599</v>
      </c>
      <c r="B110" s="62" t="s">
        <v>467</v>
      </c>
      <c r="C110" s="61" t="s">
        <v>600</v>
      </c>
      <c r="D110" s="61" t="s">
        <v>601</v>
      </c>
      <c r="E110" s="180" t="s">
        <v>356</v>
      </c>
      <c r="F110" s="180" t="s">
        <v>489</v>
      </c>
      <c r="G110" s="180" t="s">
        <v>349</v>
      </c>
      <c r="H110" s="180" t="s">
        <v>466</v>
      </c>
      <c r="I110" s="63">
        <v>100</v>
      </c>
      <c r="J110" s="63"/>
      <c r="K110" s="63"/>
      <c r="L110" s="63">
        <v>2.08</v>
      </c>
      <c r="M110" s="63">
        <f>10.67/0.6</f>
        <v>17.783333333333335</v>
      </c>
      <c r="N110" s="181">
        <v>121.27</v>
      </c>
      <c r="O110" s="181"/>
      <c r="P110" s="181"/>
      <c r="Q110" s="63"/>
      <c r="R110" s="63"/>
      <c r="S110" s="63"/>
      <c r="T110" s="63">
        <v>6300</v>
      </c>
      <c r="U110" s="182">
        <f>T110</f>
        <v>6300</v>
      </c>
      <c r="V110" s="183">
        <v>2016</v>
      </c>
      <c r="W110" s="63">
        <v>120</v>
      </c>
      <c r="X110" s="63">
        <v>40</v>
      </c>
      <c r="Y110" s="63"/>
      <c r="Z110" s="63">
        <v>169.5</v>
      </c>
      <c r="AA110" s="63">
        <v>86.5</v>
      </c>
      <c r="AB110" s="63">
        <v>82.5</v>
      </c>
      <c r="AC110" s="63">
        <v>1.6</v>
      </c>
      <c r="AD110" s="184">
        <v>186</v>
      </c>
      <c r="AE110" s="63" t="s">
        <v>312</v>
      </c>
      <c r="AF110" s="185">
        <f t="shared" si="21"/>
        <v>63</v>
      </c>
      <c r="AG110" s="185" t="str">
        <f t="shared" si="21"/>
        <v/>
      </c>
      <c r="AH110" s="185">
        <f t="shared" si="11"/>
        <v>3028.8461538461538</v>
      </c>
      <c r="AI110" s="186" t="str">
        <f t="shared" si="12"/>
        <v/>
      </c>
      <c r="AJ110" s="186" t="str">
        <f t="shared" si="13"/>
        <v/>
      </c>
      <c r="AK110" s="186" t="str">
        <f t="shared" si="14"/>
        <v/>
      </c>
      <c r="AL110" s="186" t="str">
        <f t="shared" si="15"/>
        <v/>
      </c>
      <c r="AM110" s="186" t="str">
        <f t="shared" si="16"/>
        <v/>
      </c>
      <c r="AN110" s="186" t="str">
        <f t="shared" si="17"/>
        <v/>
      </c>
      <c r="AO110" s="165">
        <f t="shared" si="18"/>
        <v>104</v>
      </c>
      <c r="AP110" s="165">
        <f>IF(AND(LEFT(PQS_tbl[[#This Row],[D]],3)=$AP$6,PQS_tbl[[#This Row],[I]]&gt;0),$AO110,"")</f>
        <v>104</v>
      </c>
      <c r="AQ110" s="165">
        <f>IFERROR(SMALL($AP$7:AP$182,ROWS($AP$7:AP110)),"")</f>
        <v>164</v>
      </c>
      <c r="AR110" s="165" t="str">
        <f>IFERROR(INDEX(PQS_tbl[C],AQ110),"")</f>
        <v>HTC-240</v>
      </c>
      <c r="AS110" s="165" t="str">
        <f>IF(AND(LEFT(PQS_tbl[[#This Row],[D]],3)=$AS$6,PQS_tbl[[#This Row],[I]]=0,PQS_tbl[[#This Row],[J]]&gt;0),$AO110,"")</f>
        <v/>
      </c>
      <c r="AT110" s="165" t="str">
        <f>IFERROR(SMALL($AS$7:AS$178,ROWS($AS$7:AS110)),"")</f>
        <v/>
      </c>
      <c r="AU110" s="165" t="str">
        <f>IFERROR(INDEX(PQS_tbl[C],AT110),"")</f>
        <v/>
      </c>
      <c r="AV110" s="165">
        <f>IF(LEFT(PQS_tbl[[#This Row],[E]],1)="S",$AP110,"")</f>
        <v>104</v>
      </c>
      <c r="AW110" s="165" t="str">
        <f>IFERROR(SMALL($AV$7:AV$178,ROWS($AV$7:AV110)),"")</f>
        <v/>
      </c>
      <c r="AX110" s="165" t="str">
        <f>IFERROR(INDEX(PQS_tbl[C],AW110),"")</f>
        <v/>
      </c>
      <c r="AY110" s="165" t="str">
        <f>IF(LEFT(PQS_tbl[[#This Row],[E]],1)="S",$AS110,"")</f>
        <v/>
      </c>
      <c r="AZ110" s="165" t="str">
        <f>IFERROR(SMALL($AY$7:AY$178,ROWS($AY$7:AY110)),"")</f>
        <v/>
      </c>
      <c r="BA110" s="165" t="str">
        <f>IFERROR(INDEX(PQS_tbl[C],AZ110),"")</f>
        <v/>
      </c>
      <c r="BB110" s="165" t="str">
        <f>IF(AND(LEFT(PQS_tbl[[#This Row],[D]],3)=$BB$6,PQS_tbl[[#This Row],[K]]&gt;0),$AO110,"")</f>
        <v/>
      </c>
    </row>
    <row r="111" spans="1:54" s="178" customFormat="1" x14ac:dyDescent="0.3">
      <c r="A111" s="179" t="s">
        <v>560</v>
      </c>
      <c r="B111" s="62" t="s">
        <v>385</v>
      </c>
      <c r="C111" s="61" t="s">
        <v>602</v>
      </c>
      <c r="D111" s="61" t="s">
        <v>603</v>
      </c>
      <c r="E111" s="180" t="s">
        <v>488</v>
      </c>
      <c r="F111" s="180" t="s">
        <v>489</v>
      </c>
      <c r="G111" s="180" t="s">
        <v>349</v>
      </c>
      <c r="H111" s="180" t="s">
        <v>466</v>
      </c>
      <c r="I111" s="63">
        <v>110</v>
      </c>
      <c r="J111" s="63"/>
      <c r="K111" s="63"/>
      <c r="L111" s="63"/>
      <c r="M111" s="63"/>
      <c r="N111" s="181">
        <v>78.09</v>
      </c>
      <c r="O111" s="181"/>
      <c r="P111" s="181"/>
      <c r="Q111" s="63"/>
      <c r="R111" s="63"/>
      <c r="S111" s="63"/>
      <c r="T111" s="63">
        <v>3400</v>
      </c>
      <c r="U111" s="182">
        <f>T111*1.2</f>
        <v>4080</v>
      </c>
      <c r="V111" s="183">
        <v>2016</v>
      </c>
      <c r="W111" s="63">
        <v>205</v>
      </c>
      <c r="X111" s="63"/>
      <c r="Y111" s="63"/>
      <c r="Z111" s="63">
        <v>74</v>
      </c>
      <c r="AA111" s="63">
        <v>95.9</v>
      </c>
      <c r="AB111" s="63">
        <v>128.19999999999999</v>
      </c>
      <c r="AC111" s="63">
        <v>1.2</v>
      </c>
      <c r="AD111" s="184">
        <v>129</v>
      </c>
      <c r="AE111" s="63" t="s">
        <v>312</v>
      </c>
      <c r="AF111" s="185">
        <f t="shared" si="21"/>
        <v>37.090909090909093</v>
      </c>
      <c r="AG111" s="185" t="str">
        <f t="shared" si="21"/>
        <v/>
      </c>
      <c r="AH111" s="185" t="str">
        <f t="shared" si="11"/>
        <v/>
      </c>
      <c r="AI111" s="186" t="str">
        <f t="shared" si="12"/>
        <v/>
      </c>
      <c r="AJ111" s="186" t="str">
        <f t="shared" si="13"/>
        <v/>
      </c>
      <c r="AK111" s="186" t="str">
        <f t="shared" si="14"/>
        <v/>
      </c>
      <c r="AL111" s="186" t="str">
        <f t="shared" si="15"/>
        <v/>
      </c>
      <c r="AM111" s="186" t="str">
        <f t="shared" si="16"/>
        <v/>
      </c>
      <c r="AN111" s="186" t="str">
        <f t="shared" si="17"/>
        <v/>
      </c>
      <c r="AO111" s="165">
        <f t="shared" si="18"/>
        <v>105</v>
      </c>
      <c r="AP111" s="165">
        <f>IF(AND(LEFT(PQS_tbl[[#This Row],[D]],3)=$AP$6,PQS_tbl[[#This Row],[I]]&gt;0),$AO111,"")</f>
        <v>105</v>
      </c>
      <c r="AQ111" s="165">
        <f>IFERROR(SMALL($AP$7:AP$182,ROWS($AP$7:AP111)),"")</f>
        <v>165</v>
      </c>
      <c r="AR111" s="165" t="str">
        <f>IFERROR(INDEX(PQS_tbl[C],AQ111),"")</f>
        <v>ARKTEK YBC-10 SDD</v>
      </c>
      <c r="AS111" s="165" t="str">
        <f>IF(AND(LEFT(PQS_tbl[[#This Row],[D]],3)=$AS$6,PQS_tbl[[#This Row],[I]]=0,PQS_tbl[[#This Row],[J]]&gt;0),$AO111,"")</f>
        <v/>
      </c>
      <c r="AT111" s="165" t="str">
        <f>IFERROR(SMALL($AS$7:AS$178,ROWS($AS$7:AS111)),"")</f>
        <v/>
      </c>
      <c r="AU111" s="165" t="str">
        <f>IFERROR(INDEX(PQS_tbl[C],AT111),"")</f>
        <v/>
      </c>
      <c r="AV111" s="165">
        <f>IF(LEFT(PQS_tbl[[#This Row],[E]],1)="S",$AP111,"")</f>
        <v>105</v>
      </c>
      <c r="AW111" s="165" t="str">
        <f>IFERROR(SMALL($AV$7:AV$178,ROWS($AV$7:AV111)),"")</f>
        <v/>
      </c>
      <c r="AX111" s="165" t="str">
        <f>IFERROR(INDEX(PQS_tbl[C],AW111),"")</f>
        <v/>
      </c>
      <c r="AY111" s="165" t="str">
        <f>IF(LEFT(PQS_tbl[[#This Row],[E]],1)="S",$AS111,"")</f>
        <v/>
      </c>
      <c r="AZ111" s="165" t="str">
        <f>IFERROR(SMALL($AY$7:AY$178,ROWS($AY$7:AY111)),"")</f>
        <v/>
      </c>
      <c r="BA111" s="165" t="str">
        <f>IFERROR(INDEX(PQS_tbl[C],AZ111),"")</f>
        <v/>
      </c>
      <c r="BB111" s="165" t="str">
        <f>IF(AND(LEFT(PQS_tbl[[#This Row],[D]],3)=$BB$6,PQS_tbl[[#This Row],[K]]&gt;0),$AO111,"")</f>
        <v/>
      </c>
    </row>
    <row r="112" spans="1:54" s="178" customFormat="1" x14ac:dyDescent="0.3">
      <c r="A112" s="179" t="s">
        <v>560</v>
      </c>
      <c r="B112" s="62" t="s">
        <v>385</v>
      </c>
      <c r="C112" s="61" t="s">
        <v>604</v>
      </c>
      <c r="D112" s="61" t="s">
        <v>605</v>
      </c>
      <c r="E112" s="180" t="s">
        <v>488</v>
      </c>
      <c r="F112" s="180" t="s">
        <v>489</v>
      </c>
      <c r="G112" s="180" t="s">
        <v>349</v>
      </c>
      <c r="H112" s="180" t="s">
        <v>466</v>
      </c>
      <c r="I112" s="63">
        <v>88</v>
      </c>
      <c r="J112" s="63"/>
      <c r="K112" s="63"/>
      <c r="L112" s="63"/>
      <c r="M112" s="63"/>
      <c r="N112" s="181">
        <v>78.09</v>
      </c>
      <c r="O112" s="181"/>
      <c r="P112" s="181"/>
      <c r="Q112" s="63"/>
      <c r="R112" s="63"/>
      <c r="S112" s="63"/>
      <c r="T112" s="63">
        <v>4280</v>
      </c>
      <c r="U112" s="182">
        <f>T112*1.2</f>
        <v>5136</v>
      </c>
      <c r="V112" s="183">
        <v>2016</v>
      </c>
      <c r="W112" s="63">
        <v>205</v>
      </c>
      <c r="X112" s="63"/>
      <c r="Y112" s="63"/>
      <c r="Z112" s="63">
        <v>74</v>
      </c>
      <c r="AA112" s="63">
        <v>95.9</v>
      </c>
      <c r="AB112" s="63">
        <v>128.19999999999999</v>
      </c>
      <c r="AC112" s="63">
        <v>1.2</v>
      </c>
      <c r="AD112" s="184">
        <v>129</v>
      </c>
      <c r="AE112" s="63" t="s">
        <v>312</v>
      </c>
      <c r="AF112" s="185">
        <f t="shared" si="21"/>
        <v>58.363636363636367</v>
      </c>
      <c r="AG112" s="185" t="str">
        <f t="shared" si="21"/>
        <v/>
      </c>
      <c r="AH112" s="185" t="str">
        <f t="shared" si="11"/>
        <v/>
      </c>
      <c r="AI112" s="186" t="str">
        <f t="shared" si="12"/>
        <v/>
      </c>
      <c r="AJ112" s="186" t="str">
        <f t="shared" si="13"/>
        <v/>
      </c>
      <c r="AK112" s="186" t="str">
        <f t="shared" si="14"/>
        <v/>
      </c>
      <c r="AL112" s="186" t="str">
        <f t="shared" si="15"/>
        <v/>
      </c>
      <c r="AM112" s="186" t="str">
        <f t="shared" si="16"/>
        <v/>
      </c>
      <c r="AN112" s="186" t="str">
        <f t="shared" si="17"/>
        <v/>
      </c>
      <c r="AO112" s="165">
        <f t="shared" si="18"/>
        <v>106</v>
      </c>
      <c r="AP112" s="165">
        <f>IF(AND(LEFT(PQS_tbl[[#This Row],[D]],3)=$AP$6,PQS_tbl[[#This Row],[I]]&gt;0),$AO112,"")</f>
        <v>106</v>
      </c>
      <c r="AQ112" s="165">
        <f>IFERROR(SMALL($AP$7:AP$182,ROWS($AP$7:AP112)),"")</f>
        <v>166</v>
      </c>
      <c r="AR112" s="165" t="str">
        <f>IFERROR(INDEX(PQS_tbl[C],AQ112),"")</f>
        <v>VLS 076 SDD</v>
      </c>
      <c r="AS112" s="165" t="str">
        <f>IF(AND(LEFT(PQS_tbl[[#This Row],[D]],3)=$AS$6,PQS_tbl[[#This Row],[I]]=0,PQS_tbl[[#This Row],[J]]&gt;0),$AO112,"")</f>
        <v/>
      </c>
      <c r="AT112" s="165" t="str">
        <f>IFERROR(SMALL($AS$7:AS$178,ROWS($AS$7:AS112)),"")</f>
        <v/>
      </c>
      <c r="AU112" s="165" t="str">
        <f>IFERROR(INDEX(PQS_tbl[C],AT112),"")</f>
        <v/>
      </c>
      <c r="AV112" s="165">
        <f>IF(LEFT(PQS_tbl[[#This Row],[E]],1)="S",$AP112,"")</f>
        <v>106</v>
      </c>
      <c r="AW112" s="165" t="str">
        <f>IFERROR(SMALL($AV$7:AV$178,ROWS($AV$7:AV112)),"")</f>
        <v/>
      </c>
      <c r="AX112" s="165" t="str">
        <f>IFERROR(INDEX(PQS_tbl[C],AW112),"")</f>
        <v/>
      </c>
      <c r="AY112" s="165" t="str">
        <f>IF(LEFT(PQS_tbl[[#This Row],[E]],1)="S",$AS112,"")</f>
        <v/>
      </c>
      <c r="AZ112" s="165" t="str">
        <f>IFERROR(SMALL($AY$7:AY$178,ROWS($AY$7:AY112)),"")</f>
        <v/>
      </c>
      <c r="BA112" s="165" t="str">
        <f>IFERROR(INDEX(PQS_tbl[C],AZ112),"")</f>
        <v/>
      </c>
      <c r="BB112" s="165" t="str">
        <f>IF(AND(LEFT(PQS_tbl[[#This Row],[D]],3)=$BB$6,PQS_tbl[[#This Row],[K]]&gt;0),$AO112,"")</f>
        <v/>
      </c>
    </row>
    <row r="113" spans="1:54" s="178" customFormat="1" x14ac:dyDescent="0.3">
      <c r="A113" s="189" t="s">
        <v>606</v>
      </c>
      <c r="B113" s="190" t="s">
        <v>607</v>
      </c>
      <c r="C113" s="191" t="s">
        <v>608</v>
      </c>
      <c r="D113" s="191" t="s">
        <v>609</v>
      </c>
      <c r="E113" s="192" t="s">
        <v>390</v>
      </c>
      <c r="F113" s="192" t="s">
        <v>348</v>
      </c>
      <c r="G113" s="192" t="s">
        <v>349</v>
      </c>
      <c r="H113" s="192" t="s">
        <v>470</v>
      </c>
      <c r="I113" s="193"/>
      <c r="J113" s="193">
        <v>147</v>
      </c>
      <c r="K113" s="193"/>
      <c r="L113" s="193">
        <v>14.5</v>
      </c>
      <c r="M113" s="193"/>
      <c r="N113" s="194">
        <v>6.44</v>
      </c>
      <c r="O113" s="194"/>
      <c r="P113" s="194"/>
      <c r="Q113" s="193">
        <v>3.31</v>
      </c>
      <c r="R113" s="193"/>
      <c r="S113" s="193"/>
      <c r="T113" s="193">
        <v>450</v>
      </c>
      <c r="U113" s="195">
        <v>450</v>
      </c>
      <c r="V113" s="196">
        <v>2016</v>
      </c>
      <c r="W113" s="193"/>
      <c r="X113" s="193">
        <v>147</v>
      </c>
      <c r="Y113" s="193"/>
      <c r="Z113" s="193">
        <v>79</v>
      </c>
      <c r="AA113" s="193">
        <v>88</v>
      </c>
      <c r="AB113" s="193">
        <v>59.5</v>
      </c>
      <c r="AC113" s="193">
        <v>0.41</v>
      </c>
      <c r="AD113" s="197">
        <v>45</v>
      </c>
      <c r="AE113" s="63" t="s">
        <v>312</v>
      </c>
      <c r="AF113" s="185" t="str">
        <f t="shared" si="21"/>
        <v/>
      </c>
      <c r="AG113" s="185">
        <f t="shared" si="21"/>
        <v>3.0612244897959182</v>
      </c>
      <c r="AH113" s="185">
        <f t="shared" si="11"/>
        <v>31.03448275862069</v>
      </c>
      <c r="AI113" s="186" t="str">
        <f t="shared" si="12"/>
        <v/>
      </c>
      <c r="AJ113" s="186" t="str">
        <f t="shared" si="13"/>
        <v/>
      </c>
      <c r="AK113" s="186">
        <f t="shared" si="14"/>
        <v>2.251700680272109E-2</v>
      </c>
      <c r="AL113" s="186" t="str">
        <f t="shared" si="15"/>
        <v/>
      </c>
      <c r="AM113" s="186">
        <f t="shared" si="16"/>
        <v>0.22827586206896552</v>
      </c>
      <c r="AN113" s="186" t="str">
        <f t="shared" si="17"/>
        <v/>
      </c>
      <c r="AO113" s="165">
        <f t="shared" si="18"/>
        <v>107</v>
      </c>
      <c r="AP113" s="165" t="str">
        <f>IF(AND(LEFT(PQS_tbl[[#This Row],[D]],3)=$AP$6,PQS_tbl[[#This Row],[I]]&gt;0),$AO113,"")</f>
        <v/>
      </c>
      <c r="AQ113" s="165">
        <f>IFERROR(SMALL($AP$7:AP$182,ROWS($AP$7:AP113)),"")</f>
        <v>167</v>
      </c>
      <c r="AR113" s="165" t="str">
        <f>IFERROR(INDEX(PQS_tbl[C],AQ113),"")</f>
        <v>VLS 174A AC</v>
      </c>
      <c r="AS113" s="165">
        <f>IF(AND(LEFT(PQS_tbl[[#This Row],[D]],3)=$AS$6,PQS_tbl[[#This Row],[I]]=0,PQS_tbl[[#This Row],[J]]&gt;0),$AO113,"")</f>
        <v>107</v>
      </c>
      <c r="AT113" s="165" t="str">
        <f>IFERROR(SMALL($AS$7:AS$178,ROWS($AS$7:AS113)),"")</f>
        <v/>
      </c>
      <c r="AU113" s="165" t="str">
        <f>IFERROR(INDEX(PQS_tbl[C],AT113),"")</f>
        <v/>
      </c>
      <c r="AV113" s="165" t="str">
        <f>IF(LEFT(PQS_tbl[[#This Row],[E]],1)="S",$AP113,"")</f>
        <v/>
      </c>
      <c r="AW113" s="165" t="str">
        <f>IFERROR(SMALL($AV$7:AV$178,ROWS($AV$7:AV113)),"")</f>
        <v/>
      </c>
      <c r="AX113" s="165" t="str">
        <f>IFERROR(INDEX(PQS_tbl[C],AW113),"")</f>
        <v/>
      </c>
      <c r="AY113" s="165" t="str">
        <f>IF(LEFT(PQS_tbl[[#This Row],[E]],1)="S",$AS113,"")</f>
        <v/>
      </c>
      <c r="AZ113" s="165" t="str">
        <f>IFERROR(SMALL($AY$7:AY$178,ROWS($AY$7:AY113)),"")</f>
        <v/>
      </c>
      <c r="BA113" s="165" t="str">
        <f>IFERROR(INDEX(PQS_tbl[C],AZ113),"")</f>
        <v/>
      </c>
      <c r="BB113" s="165" t="str">
        <f>IF(AND(LEFT(PQS_tbl[[#This Row],[D]],3)=$BB$6,PQS_tbl[[#This Row],[K]]&gt;0),$AO113,"")</f>
        <v/>
      </c>
    </row>
    <row r="114" spans="1:54" s="178" customFormat="1" x14ac:dyDescent="0.3">
      <c r="A114" s="179" t="s">
        <v>606</v>
      </c>
      <c r="B114" s="62" t="s">
        <v>607</v>
      </c>
      <c r="C114" s="61" t="s">
        <v>610</v>
      </c>
      <c r="D114" s="61" t="s">
        <v>611</v>
      </c>
      <c r="E114" s="180" t="s">
        <v>390</v>
      </c>
      <c r="F114" s="180" t="s">
        <v>348</v>
      </c>
      <c r="G114" s="180" t="s">
        <v>349</v>
      </c>
      <c r="H114" s="180" t="s">
        <v>470</v>
      </c>
      <c r="I114" s="63"/>
      <c r="J114" s="63">
        <v>240</v>
      </c>
      <c r="K114" s="63"/>
      <c r="L114" s="63">
        <v>38.299999999999997</v>
      </c>
      <c r="M114" s="63"/>
      <c r="N114" s="181">
        <v>58.36</v>
      </c>
      <c r="O114" s="181"/>
      <c r="P114" s="181"/>
      <c r="Q114" s="63">
        <v>3.37</v>
      </c>
      <c r="R114" s="63"/>
      <c r="S114" s="63"/>
      <c r="T114" s="63">
        <v>540</v>
      </c>
      <c r="U114" s="182">
        <v>540</v>
      </c>
      <c r="V114" s="183">
        <v>2016</v>
      </c>
      <c r="W114" s="63"/>
      <c r="X114" s="63">
        <v>300</v>
      </c>
      <c r="Y114" s="63"/>
      <c r="Z114" s="63">
        <v>122.6</v>
      </c>
      <c r="AA114" s="63">
        <v>79</v>
      </c>
      <c r="AB114" s="63">
        <v>94.5</v>
      </c>
      <c r="AC114" s="63">
        <v>0.92</v>
      </c>
      <c r="AD114" s="184">
        <v>75</v>
      </c>
      <c r="AE114" s="63" t="s">
        <v>312</v>
      </c>
      <c r="AF114" s="185" t="str">
        <f t="shared" ref="AF114:AG129" si="22">IF(I114="","",$U114/I114)</f>
        <v/>
      </c>
      <c r="AG114" s="185">
        <f t="shared" si="22"/>
        <v>2.25</v>
      </c>
      <c r="AH114" s="185">
        <f t="shared" si="11"/>
        <v>14.099216710182768</v>
      </c>
      <c r="AI114" s="186" t="str">
        <f t="shared" si="12"/>
        <v/>
      </c>
      <c r="AJ114" s="186" t="str">
        <f t="shared" si="13"/>
        <v/>
      </c>
      <c r="AK114" s="186">
        <f t="shared" si="14"/>
        <v>1.4041666666666668E-2</v>
      </c>
      <c r="AL114" s="186" t="str">
        <f t="shared" si="15"/>
        <v/>
      </c>
      <c r="AM114" s="186">
        <f t="shared" si="16"/>
        <v>8.7989556135770239E-2</v>
      </c>
      <c r="AN114" s="186" t="str">
        <f t="shared" si="17"/>
        <v/>
      </c>
      <c r="AO114" s="165">
        <f t="shared" si="18"/>
        <v>108</v>
      </c>
      <c r="AP114" s="165" t="str">
        <f>IF(AND(LEFT(PQS_tbl[[#This Row],[D]],3)=$AP$6,PQS_tbl[[#This Row],[I]]&gt;0),$AO114,"")</f>
        <v/>
      </c>
      <c r="AQ114" s="165">
        <f>IFERROR(SMALL($AP$7:AP$182,ROWS($AP$7:AP114)),"")</f>
        <v>168</v>
      </c>
      <c r="AR114" s="165" t="str">
        <f>IFERROR(INDEX(PQS_tbl[C],AQ114),"")</f>
        <v>TCW 80-SDD</v>
      </c>
      <c r="AS114" s="165">
        <f>IF(AND(LEFT(PQS_tbl[[#This Row],[D]],3)=$AS$6,PQS_tbl[[#This Row],[I]]=0,PQS_tbl[[#This Row],[J]]&gt;0),$AO114,"")</f>
        <v>108</v>
      </c>
      <c r="AT114" s="165" t="str">
        <f>IFERROR(SMALL($AS$7:AS$178,ROWS($AS$7:AS114)),"")</f>
        <v/>
      </c>
      <c r="AU114" s="165" t="str">
        <f>IFERROR(INDEX(PQS_tbl[C],AT114),"")</f>
        <v/>
      </c>
      <c r="AV114" s="165" t="str">
        <f>IF(LEFT(PQS_tbl[[#This Row],[E]],1)="S",$AP114,"")</f>
        <v/>
      </c>
      <c r="AW114" s="165" t="str">
        <f>IFERROR(SMALL($AV$7:AV$178,ROWS($AV$7:AV114)),"")</f>
        <v/>
      </c>
      <c r="AX114" s="165" t="str">
        <f>IFERROR(INDEX(PQS_tbl[C],AW114),"")</f>
        <v/>
      </c>
      <c r="AY114" s="165" t="str">
        <f>IF(LEFT(PQS_tbl[[#This Row],[E]],1)="S",$AS114,"")</f>
        <v/>
      </c>
      <c r="AZ114" s="165" t="str">
        <f>IFERROR(SMALL($AY$7:AY$178,ROWS($AY$7:AY114)),"")</f>
        <v/>
      </c>
      <c r="BA114" s="165" t="str">
        <f>IFERROR(INDEX(PQS_tbl[C],AZ114),"")</f>
        <v/>
      </c>
      <c r="BB114" s="165" t="str">
        <f>IF(AND(LEFT(PQS_tbl[[#This Row],[D]],3)=$BB$6,PQS_tbl[[#This Row],[K]]&gt;0),$AO114,"")</f>
        <v/>
      </c>
    </row>
    <row r="115" spans="1:54" s="178" customFormat="1" x14ac:dyDescent="0.3">
      <c r="A115" s="179" t="s">
        <v>612</v>
      </c>
      <c r="B115" s="62" t="s">
        <v>561</v>
      </c>
      <c r="C115" s="61" t="s">
        <v>613</v>
      </c>
      <c r="D115" s="61" t="s">
        <v>614</v>
      </c>
      <c r="E115" s="180" t="s">
        <v>363</v>
      </c>
      <c r="F115" s="180" t="s">
        <v>489</v>
      </c>
      <c r="G115" s="180" t="s">
        <v>349</v>
      </c>
      <c r="H115" s="180" t="s">
        <v>466</v>
      </c>
      <c r="I115" s="63">
        <v>60</v>
      </c>
      <c r="J115" s="63"/>
      <c r="K115" s="63"/>
      <c r="L115" s="63"/>
      <c r="M115" s="63"/>
      <c r="N115" s="181">
        <v>54</v>
      </c>
      <c r="O115" s="181"/>
      <c r="P115" s="181"/>
      <c r="Q115" s="63">
        <v>0.56999999999999995</v>
      </c>
      <c r="R115" s="63"/>
      <c r="S115" s="63"/>
      <c r="T115" s="63">
        <v>669</v>
      </c>
      <c r="U115" s="182">
        <f t="shared" ref="U115:U124" si="23">T115*1.2</f>
        <v>802.8</v>
      </c>
      <c r="V115" s="183">
        <v>2016</v>
      </c>
      <c r="W115" s="63">
        <v>113</v>
      </c>
      <c r="X115" s="63"/>
      <c r="Y115" s="63"/>
      <c r="Z115" s="63">
        <v>85</v>
      </c>
      <c r="AA115" s="63">
        <v>73</v>
      </c>
      <c r="AB115" s="63">
        <v>70</v>
      </c>
      <c r="AC115" s="63">
        <v>0.57999999999999996</v>
      </c>
      <c r="AD115" s="184">
        <v>70</v>
      </c>
      <c r="AE115" s="63" t="s">
        <v>312</v>
      </c>
      <c r="AF115" s="185">
        <f t="shared" si="22"/>
        <v>13.379999999999999</v>
      </c>
      <c r="AG115" s="185" t="str">
        <f t="shared" si="22"/>
        <v/>
      </c>
      <c r="AH115" s="185" t="str">
        <f t="shared" si="11"/>
        <v/>
      </c>
      <c r="AI115" s="186">
        <f t="shared" si="12"/>
        <v>9.4999999999999998E-3</v>
      </c>
      <c r="AJ115" s="186" t="str">
        <f t="shared" si="13"/>
        <v/>
      </c>
      <c r="AK115" s="186" t="str">
        <f t="shared" si="14"/>
        <v/>
      </c>
      <c r="AL115" s="186" t="str">
        <f t="shared" si="15"/>
        <v/>
      </c>
      <c r="AM115" s="186" t="str">
        <f t="shared" si="16"/>
        <v/>
      </c>
      <c r="AN115" s="186" t="str">
        <f t="shared" si="17"/>
        <v/>
      </c>
      <c r="AO115" s="165">
        <f t="shared" si="18"/>
        <v>109</v>
      </c>
      <c r="AP115" s="165">
        <f>IF(AND(LEFT(PQS_tbl[[#This Row],[D]],3)=$AP$6,PQS_tbl[[#This Row],[I]]&gt;0),$AO115,"")</f>
        <v>109</v>
      </c>
      <c r="AQ115" s="165">
        <f>IFERROR(SMALL($AP$7:AP$182,ROWS($AP$7:AP115)),"")</f>
        <v>169</v>
      </c>
      <c r="AR115" s="165" t="str">
        <f>IFERROR(INDEX(PQS_tbl[C],AQ115),"")</f>
        <v>IceVolt 300P</v>
      </c>
      <c r="AS115" s="165" t="str">
        <f>IF(AND(LEFT(PQS_tbl[[#This Row],[D]],3)=$AS$6,PQS_tbl[[#This Row],[I]]=0,PQS_tbl[[#This Row],[J]]&gt;0),$AO115,"")</f>
        <v/>
      </c>
      <c r="AT115" s="165" t="str">
        <f>IFERROR(SMALL($AS$7:AS$178,ROWS($AS$7:AS115)),"")</f>
        <v/>
      </c>
      <c r="AU115" s="165" t="str">
        <f>IFERROR(INDEX(PQS_tbl[C],AT115),"")</f>
        <v/>
      </c>
      <c r="AV115" s="165" t="str">
        <f>IF(LEFT(PQS_tbl[[#This Row],[E]],1)="S",$AP115,"")</f>
        <v/>
      </c>
      <c r="AW115" s="165" t="str">
        <f>IFERROR(SMALL($AV$7:AV$178,ROWS($AV$7:AV115)),"")</f>
        <v/>
      </c>
      <c r="AX115" s="165" t="str">
        <f>IFERROR(INDEX(PQS_tbl[C],AW115),"")</f>
        <v/>
      </c>
      <c r="AY115" s="165" t="str">
        <f>IF(LEFT(PQS_tbl[[#This Row],[E]],1)="S",$AS115,"")</f>
        <v/>
      </c>
      <c r="AZ115" s="165" t="str">
        <f>IFERROR(SMALL($AY$7:AY$178,ROWS($AY$7:AY115)),"")</f>
        <v/>
      </c>
      <c r="BA115" s="165" t="str">
        <f>IFERROR(INDEX(PQS_tbl[C],AZ115),"")</f>
        <v/>
      </c>
      <c r="BB115" s="165" t="str">
        <f>IF(AND(LEFT(PQS_tbl[[#This Row],[D]],3)=$BB$6,PQS_tbl[[#This Row],[K]]&gt;0),$AO115,"")</f>
        <v/>
      </c>
    </row>
    <row r="116" spans="1:54" s="178" customFormat="1" x14ac:dyDescent="0.3">
      <c r="A116" s="179" t="s">
        <v>612</v>
      </c>
      <c r="B116" s="62" t="s">
        <v>561</v>
      </c>
      <c r="C116" s="61" t="s">
        <v>615</v>
      </c>
      <c r="D116" s="61" t="s">
        <v>616</v>
      </c>
      <c r="E116" s="180" t="s">
        <v>363</v>
      </c>
      <c r="F116" s="180" t="s">
        <v>489</v>
      </c>
      <c r="G116" s="180" t="s">
        <v>349</v>
      </c>
      <c r="H116" s="180" t="s">
        <v>466</v>
      </c>
      <c r="I116" s="63">
        <v>98</v>
      </c>
      <c r="J116" s="63"/>
      <c r="K116" s="63"/>
      <c r="L116" s="63"/>
      <c r="M116" s="63"/>
      <c r="N116" s="181">
        <v>55.5</v>
      </c>
      <c r="O116" s="181"/>
      <c r="P116" s="181"/>
      <c r="Q116" s="63">
        <v>0.6</v>
      </c>
      <c r="R116" s="63"/>
      <c r="S116" s="63"/>
      <c r="T116" s="63">
        <v>882</v>
      </c>
      <c r="U116" s="182">
        <f t="shared" si="23"/>
        <v>1058.3999999999999</v>
      </c>
      <c r="V116" s="183">
        <v>2016</v>
      </c>
      <c r="W116" s="63">
        <v>157</v>
      </c>
      <c r="X116" s="63"/>
      <c r="Y116" s="63"/>
      <c r="Z116" s="63">
        <v>85</v>
      </c>
      <c r="AA116" s="63">
        <v>92</v>
      </c>
      <c r="AB116" s="63">
        <v>70</v>
      </c>
      <c r="AC116" s="63">
        <v>0.75</v>
      </c>
      <c r="AD116" s="184">
        <v>93</v>
      </c>
      <c r="AE116" s="63" t="s">
        <v>312</v>
      </c>
      <c r="AF116" s="185">
        <f t="shared" si="22"/>
        <v>10.799999999999999</v>
      </c>
      <c r="AG116" s="185" t="str">
        <f t="shared" si="22"/>
        <v/>
      </c>
      <c r="AH116" s="185" t="str">
        <f t="shared" si="11"/>
        <v/>
      </c>
      <c r="AI116" s="186">
        <f t="shared" si="12"/>
        <v>6.1224489795918364E-3</v>
      </c>
      <c r="AJ116" s="186" t="str">
        <f t="shared" si="13"/>
        <v/>
      </c>
      <c r="AK116" s="186" t="str">
        <f t="shared" si="14"/>
        <v/>
      </c>
      <c r="AL116" s="186" t="str">
        <f t="shared" si="15"/>
        <v/>
      </c>
      <c r="AM116" s="186" t="str">
        <f t="shared" si="16"/>
        <v/>
      </c>
      <c r="AN116" s="186" t="str">
        <f t="shared" si="17"/>
        <v/>
      </c>
      <c r="AO116" s="165">
        <f t="shared" si="18"/>
        <v>110</v>
      </c>
      <c r="AP116" s="165">
        <f>IF(AND(LEFT(PQS_tbl[[#This Row],[D]],3)=$AP$6,PQS_tbl[[#This Row],[I]]&gt;0),$AO116,"")</f>
        <v>110</v>
      </c>
      <c r="AQ116" s="165">
        <f>IFERROR(SMALL($AP$7:AP$182,ROWS($AP$7:AP116)),"")</f>
        <v>170</v>
      </c>
      <c r="AR116" s="165" t="str">
        <f>IFERROR(INDEX(PQS_tbl[C],AQ116),"")</f>
        <v xml:space="preserve"> TCW 120 AC</v>
      </c>
      <c r="AS116" s="165" t="str">
        <f>IF(AND(LEFT(PQS_tbl[[#This Row],[D]],3)=$AS$6,PQS_tbl[[#This Row],[I]]=0,PQS_tbl[[#This Row],[J]]&gt;0),$AO116,"")</f>
        <v/>
      </c>
      <c r="AT116" s="165" t="str">
        <f>IFERROR(SMALL($AS$7:AS$178,ROWS($AS$7:AS116)),"")</f>
        <v/>
      </c>
      <c r="AU116" s="165" t="str">
        <f>IFERROR(INDEX(PQS_tbl[C],AT116),"")</f>
        <v/>
      </c>
      <c r="AV116" s="165" t="str">
        <f>IF(LEFT(PQS_tbl[[#This Row],[E]],1)="S",$AP116,"")</f>
        <v/>
      </c>
      <c r="AW116" s="165" t="str">
        <f>IFERROR(SMALL($AV$7:AV$178,ROWS($AV$7:AV116)),"")</f>
        <v/>
      </c>
      <c r="AX116" s="165" t="str">
        <f>IFERROR(INDEX(PQS_tbl[C],AW116),"")</f>
        <v/>
      </c>
      <c r="AY116" s="165" t="str">
        <f>IF(LEFT(PQS_tbl[[#This Row],[E]],1)="S",$AS116,"")</f>
        <v/>
      </c>
      <c r="AZ116" s="165" t="str">
        <f>IFERROR(SMALL($AY$7:AY$178,ROWS($AY$7:AY116)),"")</f>
        <v/>
      </c>
      <c r="BA116" s="165" t="str">
        <f>IFERROR(INDEX(PQS_tbl[C],AZ116),"")</f>
        <v/>
      </c>
      <c r="BB116" s="165" t="str">
        <f>IF(AND(LEFT(PQS_tbl[[#This Row],[D]],3)=$BB$6,PQS_tbl[[#This Row],[K]]&gt;0),$AO116,"")</f>
        <v/>
      </c>
    </row>
    <row r="117" spans="1:54" s="178" customFormat="1" x14ac:dyDescent="0.3">
      <c r="A117" s="179" t="s">
        <v>612</v>
      </c>
      <c r="B117" s="62" t="s">
        <v>561</v>
      </c>
      <c r="C117" s="61" t="s">
        <v>617</v>
      </c>
      <c r="D117" s="61" t="s">
        <v>618</v>
      </c>
      <c r="E117" s="180" t="s">
        <v>363</v>
      </c>
      <c r="F117" s="180" t="s">
        <v>489</v>
      </c>
      <c r="G117" s="180" t="s">
        <v>349</v>
      </c>
      <c r="H117" s="180" t="s">
        <v>466</v>
      </c>
      <c r="I117" s="63">
        <v>127</v>
      </c>
      <c r="J117" s="63"/>
      <c r="K117" s="63"/>
      <c r="L117" s="63"/>
      <c r="M117" s="63"/>
      <c r="N117" s="181">
        <v>54.7</v>
      </c>
      <c r="O117" s="181"/>
      <c r="P117" s="181"/>
      <c r="Q117" s="63">
        <v>0.62</v>
      </c>
      <c r="R117" s="63"/>
      <c r="S117" s="63"/>
      <c r="T117" s="63">
        <v>924</v>
      </c>
      <c r="U117" s="182">
        <f t="shared" si="23"/>
        <v>1108.8</v>
      </c>
      <c r="V117" s="183">
        <v>2016</v>
      </c>
      <c r="W117" s="63">
        <v>209</v>
      </c>
      <c r="X117" s="63"/>
      <c r="Y117" s="63"/>
      <c r="Z117" s="63">
        <v>85</v>
      </c>
      <c r="AA117" s="63">
        <v>113</v>
      </c>
      <c r="AB117" s="63">
        <v>70</v>
      </c>
      <c r="AC117" s="63">
        <v>0.85</v>
      </c>
      <c r="AD117" s="184">
        <v>110</v>
      </c>
      <c r="AE117" s="63" t="s">
        <v>312</v>
      </c>
      <c r="AF117" s="185">
        <f t="shared" si="22"/>
        <v>8.7307086614173226</v>
      </c>
      <c r="AG117" s="185" t="str">
        <f t="shared" si="22"/>
        <v/>
      </c>
      <c r="AH117" s="185" t="str">
        <f t="shared" si="11"/>
        <v/>
      </c>
      <c r="AI117" s="186">
        <f t="shared" si="12"/>
        <v>4.8818897637795278E-3</v>
      </c>
      <c r="AJ117" s="186" t="str">
        <f t="shared" si="13"/>
        <v/>
      </c>
      <c r="AK117" s="186" t="str">
        <f t="shared" si="14"/>
        <v/>
      </c>
      <c r="AL117" s="186" t="str">
        <f t="shared" si="15"/>
        <v/>
      </c>
      <c r="AM117" s="186" t="str">
        <f t="shared" si="16"/>
        <v/>
      </c>
      <c r="AN117" s="186" t="str">
        <f t="shared" si="17"/>
        <v/>
      </c>
      <c r="AO117" s="165">
        <f t="shared" si="18"/>
        <v>111</v>
      </c>
      <c r="AP117" s="165">
        <f>IF(AND(LEFT(PQS_tbl[[#This Row],[D]],3)=$AP$6,PQS_tbl[[#This Row],[I]]&gt;0),$AO117,"")</f>
        <v>111</v>
      </c>
      <c r="AQ117" s="165">
        <f>IFERROR(SMALL($AP$7:AP$182,ROWS($AP$7:AP117)),"")</f>
        <v>171</v>
      </c>
      <c r="AR117" s="165" t="str">
        <f>IFERROR(INDEX(PQS_tbl[C],AQ117),"")</f>
        <v xml:space="preserve"> TCW 120 SDD</v>
      </c>
      <c r="AS117" s="165" t="str">
        <f>IF(AND(LEFT(PQS_tbl[[#This Row],[D]],3)=$AS$6,PQS_tbl[[#This Row],[I]]=0,PQS_tbl[[#This Row],[J]]&gt;0),$AO117,"")</f>
        <v/>
      </c>
      <c r="AT117" s="165" t="str">
        <f>IFERROR(SMALL($AS$7:AS$178,ROWS($AS$7:AS117)),"")</f>
        <v/>
      </c>
      <c r="AU117" s="165" t="str">
        <f>IFERROR(INDEX(PQS_tbl[C],AT117),"")</f>
        <v/>
      </c>
      <c r="AV117" s="165" t="str">
        <f>IF(LEFT(PQS_tbl[[#This Row],[E]],1)="S",$AP117,"")</f>
        <v/>
      </c>
      <c r="AW117" s="165" t="str">
        <f>IFERROR(SMALL($AV$7:AV$178,ROWS($AV$7:AV117)),"")</f>
        <v/>
      </c>
      <c r="AX117" s="165" t="str">
        <f>IFERROR(INDEX(PQS_tbl[C],AW117),"")</f>
        <v/>
      </c>
      <c r="AY117" s="165" t="str">
        <f>IF(LEFT(PQS_tbl[[#This Row],[E]],1)="S",$AS117,"")</f>
        <v/>
      </c>
      <c r="AZ117" s="165" t="str">
        <f>IFERROR(SMALL($AY$7:AY$178,ROWS($AY$7:AY117)),"")</f>
        <v/>
      </c>
      <c r="BA117" s="165" t="str">
        <f>IFERROR(INDEX(PQS_tbl[C],AZ117),"")</f>
        <v/>
      </c>
      <c r="BB117" s="165" t="str">
        <f>IF(AND(LEFT(PQS_tbl[[#This Row],[D]],3)=$BB$6,PQS_tbl[[#This Row],[K]]&gt;0),$AO117,"")</f>
        <v/>
      </c>
    </row>
    <row r="118" spans="1:54" s="178" customFormat="1" x14ac:dyDescent="0.3">
      <c r="A118" s="179" t="s">
        <v>612</v>
      </c>
      <c r="B118" s="62" t="s">
        <v>561</v>
      </c>
      <c r="C118" s="61" t="s">
        <v>619</v>
      </c>
      <c r="D118" s="61" t="s">
        <v>620</v>
      </c>
      <c r="E118" s="180" t="s">
        <v>363</v>
      </c>
      <c r="F118" s="180" t="s">
        <v>489</v>
      </c>
      <c r="G118" s="180" t="s">
        <v>349</v>
      </c>
      <c r="H118" s="180" t="s">
        <v>466</v>
      </c>
      <c r="I118" s="63">
        <v>145</v>
      </c>
      <c r="J118" s="63"/>
      <c r="K118" s="63"/>
      <c r="L118" s="63"/>
      <c r="M118" s="63"/>
      <c r="N118" s="181">
        <v>55</v>
      </c>
      <c r="O118" s="181"/>
      <c r="P118" s="181"/>
      <c r="Q118" s="63">
        <v>0.67</v>
      </c>
      <c r="R118" s="63"/>
      <c r="S118" s="63"/>
      <c r="T118" s="63">
        <v>1005</v>
      </c>
      <c r="U118" s="182">
        <f t="shared" si="23"/>
        <v>1206</v>
      </c>
      <c r="V118" s="183">
        <v>2016</v>
      </c>
      <c r="W118" s="63">
        <v>235</v>
      </c>
      <c r="X118" s="63"/>
      <c r="Y118" s="63"/>
      <c r="Z118" s="63">
        <v>86</v>
      </c>
      <c r="AA118" s="63">
        <v>127</v>
      </c>
      <c r="AB118" s="63">
        <v>70</v>
      </c>
      <c r="AC118" s="63">
        <v>1.02</v>
      </c>
      <c r="AD118" s="184">
        <v>126</v>
      </c>
      <c r="AE118" s="63" t="s">
        <v>312</v>
      </c>
      <c r="AF118" s="185">
        <f t="shared" si="22"/>
        <v>8.3172413793103441</v>
      </c>
      <c r="AG118" s="185" t="str">
        <f t="shared" si="22"/>
        <v/>
      </c>
      <c r="AH118" s="185" t="str">
        <f t="shared" si="11"/>
        <v/>
      </c>
      <c r="AI118" s="186">
        <f t="shared" si="12"/>
        <v>4.6206896551724145E-3</v>
      </c>
      <c r="AJ118" s="186" t="str">
        <f t="shared" si="13"/>
        <v/>
      </c>
      <c r="AK118" s="186" t="str">
        <f t="shared" si="14"/>
        <v/>
      </c>
      <c r="AL118" s="186" t="str">
        <f t="shared" si="15"/>
        <v/>
      </c>
      <c r="AM118" s="186" t="str">
        <f t="shared" si="16"/>
        <v/>
      </c>
      <c r="AN118" s="186" t="str">
        <f t="shared" si="17"/>
        <v/>
      </c>
      <c r="AO118" s="165">
        <f t="shared" si="18"/>
        <v>112</v>
      </c>
      <c r="AP118" s="165">
        <f>IF(AND(LEFT(PQS_tbl[[#This Row],[D]],3)=$AP$6,PQS_tbl[[#This Row],[I]]&gt;0),$AO118,"")</f>
        <v>112</v>
      </c>
      <c r="AQ118" s="165" t="str">
        <f>IFERROR(SMALL($AP$7:AP$182,ROWS($AP$7:AP118)),"")</f>
        <v/>
      </c>
      <c r="AR118" s="165" t="str">
        <f>IFERROR(INDEX(PQS_tbl[C],AQ118),"")</f>
        <v/>
      </c>
      <c r="AS118" s="165" t="str">
        <f>IF(AND(LEFT(PQS_tbl[[#This Row],[D]],3)=$AS$6,PQS_tbl[[#This Row],[I]]=0,PQS_tbl[[#This Row],[J]]&gt;0),$AO118,"")</f>
        <v/>
      </c>
      <c r="AT118" s="165" t="str">
        <f>IFERROR(SMALL($AS$7:AS$178,ROWS($AS$7:AS118)),"")</f>
        <v/>
      </c>
      <c r="AU118" s="165" t="str">
        <f>IFERROR(INDEX(PQS_tbl[C],AT118),"")</f>
        <v/>
      </c>
      <c r="AV118" s="165" t="str">
        <f>IF(LEFT(PQS_tbl[[#This Row],[E]],1)="S",$AP118,"")</f>
        <v/>
      </c>
      <c r="AW118" s="165" t="str">
        <f>IFERROR(SMALL($AV$7:AV$178,ROWS($AV$7:AV118)),"")</f>
        <v/>
      </c>
      <c r="AX118" s="165" t="str">
        <f>IFERROR(INDEX(PQS_tbl[C],AW118),"")</f>
        <v/>
      </c>
      <c r="AY118" s="165" t="str">
        <f>IF(LEFT(PQS_tbl[[#This Row],[E]],1)="S",$AS118,"")</f>
        <v/>
      </c>
      <c r="AZ118" s="165" t="str">
        <f>IFERROR(SMALL($AY$7:AY$178,ROWS($AY$7:AY118)),"")</f>
        <v/>
      </c>
      <c r="BA118" s="165" t="str">
        <f>IFERROR(INDEX(PQS_tbl[C],AZ118),"")</f>
        <v/>
      </c>
      <c r="BB118" s="165" t="str">
        <f>IF(AND(LEFT(PQS_tbl[[#This Row],[D]],3)=$BB$6,PQS_tbl[[#This Row],[K]]&gt;0),$AO118,"")</f>
        <v/>
      </c>
    </row>
    <row r="119" spans="1:54" s="178" customFormat="1" x14ac:dyDescent="0.3">
      <c r="A119" s="179" t="s">
        <v>612</v>
      </c>
      <c r="B119" s="62" t="s">
        <v>463</v>
      </c>
      <c r="C119" s="61" t="s">
        <v>621</v>
      </c>
      <c r="D119" s="61" t="s">
        <v>622</v>
      </c>
      <c r="E119" s="180" t="s">
        <v>363</v>
      </c>
      <c r="F119" s="180" t="s">
        <v>489</v>
      </c>
      <c r="G119" s="180" t="s">
        <v>349</v>
      </c>
      <c r="H119" s="180" t="s">
        <v>466</v>
      </c>
      <c r="I119" s="63">
        <v>240</v>
      </c>
      <c r="J119" s="63"/>
      <c r="K119" s="63"/>
      <c r="L119" s="63"/>
      <c r="M119" s="63"/>
      <c r="N119" s="181">
        <v>77.3</v>
      </c>
      <c r="O119" s="181"/>
      <c r="P119" s="181"/>
      <c r="Q119" s="63">
        <v>0.85</v>
      </c>
      <c r="R119" s="63"/>
      <c r="S119" s="63"/>
      <c r="T119" s="63">
        <v>3307</v>
      </c>
      <c r="U119" s="182">
        <f t="shared" si="23"/>
        <v>3968.3999999999996</v>
      </c>
      <c r="V119" s="183">
        <v>2016</v>
      </c>
      <c r="W119" s="63">
        <v>149</v>
      </c>
      <c r="X119" s="63"/>
      <c r="Y119" s="63"/>
      <c r="Z119" s="63">
        <v>91.5</v>
      </c>
      <c r="AA119" s="63">
        <v>162.5</v>
      </c>
      <c r="AB119" s="63">
        <v>78</v>
      </c>
      <c r="AC119" s="63">
        <v>0.88</v>
      </c>
      <c r="AD119" s="184">
        <v>174</v>
      </c>
      <c r="AE119" s="63" t="s">
        <v>312</v>
      </c>
      <c r="AF119" s="185">
        <f t="shared" si="22"/>
        <v>16.535</v>
      </c>
      <c r="AG119" s="185" t="str">
        <f t="shared" si="22"/>
        <v/>
      </c>
      <c r="AH119" s="185" t="str">
        <f t="shared" si="11"/>
        <v/>
      </c>
      <c r="AI119" s="186">
        <f t="shared" si="12"/>
        <v>3.5416666666666665E-3</v>
      </c>
      <c r="AJ119" s="186" t="str">
        <f t="shared" si="13"/>
        <v/>
      </c>
      <c r="AK119" s="186" t="str">
        <f t="shared" si="14"/>
        <v/>
      </c>
      <c r="AL119" s="186" t="str">
        <f t="shared" si="15"/>
        <v/>
      </c>
      <c r="AM119" s="186" t="str">
        <f t="shared" si="16"/>
        <v/>
      </c>
      <c r="AN119" s="186" t="str">
        <f t="shared" si="17"/>
        <v/>
      </c>
      <c r="AO119" s="165">
        <f t="shared" si="18"/>
        <v>113</v>
      </c>
      <c r="AP119" s="165">
        <f>IF(AND(LEFT(PQS_tbl[[#This Row],[D]],3)=$AP$6,PQS_tbl[[#This Row],[I]]&gt;0),$AO119,"")</f>
        <v>113</v>
      </c>
      <c r="AQ119" s="165" t="str">
        <f>IFERROR(SMALL($AP$7:AP$182,ROWS($AP$7:AP119)),"")</f>
        <v/>
      </c>
      <c r="AR119" s="165" t="str">
        <f>IFERROR(INDEX(PQS_tbl[C],AQ119),"")</f>
        <v/>
      </c>
      <c r="AS119" s="165" t="str">
        <f>IF(AND(LEFT(PQS_tbl[[#This Row],[D]],3)=$AS$6,PQS_tbl[[#This Row],[I]]=0,PQS_tbl[[#This Row],[J]]&gt;0),$AO119,"")</f>
        <v/>
      </c>
      <c r="AT119" s="165" t="str">
        <f>IFERROR(SMALL($AS$7:AS$178,ROWS($AS$7:AS119)),"")</f>
        <v/>
      </c>
      <c r="AU119" s="165" t="str">
        <f>IFERROR(INDEX(PQS_tbl[C],AT119),"")</f>
        <v/>
      </c>
      <c r="AV119" s="165" t="str">
        <f>IF(LEFT(PQS_tbl[[#This Row],[E]],1)="S",$AP119,"")</f>
        <v/>
      </c>
      <c r="AW119" s="165" t="str">
        <f>IFERROR(SMALL($AV$7:AV$178,ROWS($AV$7:AV119)),"")</f>
        <v/>
      </c>
      <c r="AX119" s="165" t="str">
        <f>IFERROR(INDEX(PQS_tbl[C],AW119),"")</f>
        <v/>
      </c>
      <c r="AY119" s="165" t="str">
        <f>IF(LEFT(PQS_tbl[[#This Row],[E]],1)="S",$AS119,"")</f>
        <v/>
      </c>
      <c r="AZ119" s="165" t="str">
        <f>IFERROR(SMALL($AY$7:AY$178,ROWS($AY$7:AY119)),"")</f>
        <v/>
      </c>
      <c r="BA119" s="165" t="str">
        <f>IFERROR(INDEX(PQS_tbl[C],AZ119),"")</f>
        <v/>
      </c>
      <c r="BB119" s="165" t="str">
        <f>IF(AND(LEFT(PQS_tbl[[#This Row],[D]],3)=$BB$6,PQS_tbl[[#This Row],[K]]&gt;0),$AO119,"")</f>
        <v/>
      </c>
    </row>
    <row r="120" spans="1:54" s="178" customFormat="1" x14ac:dyDescent="0.3">
      <c r="A120" s="179" t="s">
        <v>560</v>
      </c>
      <c r="B120" s="62" t="s">
        <v>463</v>
      </c>
      <c r="C120" s="61" t="s">
        <v>623</v>
      </c>
      <c r="D120" s="61" t="s">
        <v>624</v>
      </c>
      <c r="E120" s="180" t="s">
        <v>488</v>
      </c>
      <c r="F120" s="180" t="s">
        <v>489</v>
      </c>
      <c r="G120" s="180" t="s">
        <v>349</v>
      </c>
      <c r="H120" s="180" t="s">
        <v>466</v>
      </c>
      <c r="I120" s="63">
        <v>16</v>
      </c>
      <c r="J120" s="63"/>
      <c r="K120" s="63"/>
      <c r="L120" s="63"/>
      <c r="M120" s="63"/>
      <c r="N120" s="181">
        <v>81.8</v>
      </c>
      <c r="O120" s="181"/>
      <c r="P120" s="181"/>
      <c r="Q120" s="63"/>
      <c r="R120" s="63"/>
      <c r="S120" s="63"/>
      <c r="T120" s="63">
        <v>4244</v>
      </c>
      <c r="U120" s="182">
        <f t="shared" si="23"/>
        <v>5092.8</v>
      </c>
      <c r="V120" s="183">
        <v>2016</v>
      </c>
      <c r="W120" s="63">
        <v>26.5</v>
      </c>
      <c r="X120" s="63"/>
      <c r="Y120" s="63"/>
      <c r="Z120" s="63">
        <v>95</v>
      </c>
      <c r="AA120" s="63">
        <v>73</v>
      </c>
      <c r="AB120" s="63">
        <v>73</v>
      </c>
      <c r="AC120" s="63">
        <v>0.65</v>
      </c>
      <c r="AD120" s="184">
        <v>85</v>
      </c>
      <c r="AE120" s="63" t="s">
        <v>312</v>
      </c>
      <c r="AF120" s="185">
        <f t="shared" si="22"/>
        <v>318.3</v>
      </c>
      <c r="AG120" s="185" t="str">
        <f t="shared" si="22"/>
        <v/>
      </c>
      <c r="AH120" s="185" t="str">
        <f t="shared" si="11"/>
        <v/>
      </c>
      <c r="AI120" s="186" t="str">
        <f t="shared" si="12"/>
        <v/>
      </c>
      <c r="AJ120" s="186" t="str">
        <f t="shared" si="13"/>
        <v/>
      </c>
      <c r="AK120" s="186" t="str">
        <f t="shared" si="14"/>
        <v/>
      </c>
      <c r="AL120" s="186" t="str">
        <f t="shared" si="15"/>
        <v/>
      </c>
      <c r="AM120" s="186" t="str">
        <f t="shared" si="16"/>
        <v/>
      </c>
      <c r="AN120" s="186" t="str">
        <f t="shared" si="17"/>
        <v/>
      </c>
      <c r="AO120" s="165">
        <f t="shared" si="18"/>
        <v>114</v>
      </c>
      <c r="AP120" s="165">
        <f>IF(AND(LEFT(PQS_tbl[[#This Row],[D]],3)=$AP$6,PQS_tbl[[#This Row],[I]]&gt;0),$AO120,"")</f>
        <v>114</v>
      </c>
      <c r="AQ120" s="165" t="str">
        <f>IFERROR(SMALL($AP$7:AP$182,ROWS($AP$7:AP120)),"")</f>
        <v/>
      </c>
      <c r="AR120" s="165" t="str">
        <f>IFERROR(INDEX(PQS_tbl[C],AQ120),"")</f>
        <v/>
      </c>
      <c r="AS120" s="165" t="str">
        <f>IF(AND(LEFT(PQS_tbl[[#This Row],[D]],3)=$AS$6,PQS_tbl[[#This Row],[I]]=0,PQS_tbl[[#This Row],[J]]&gt;0),$AO120,"")</f>
        <v/>
      </c>
      <c r="AT120" s="165" t="str">
        <f>IFERROR(SMALL($AS$7:AS$178,ROWS($AS$7:AS120)),"")</f>
        <v/>
      </c>
      <c r="AU120" s="165" t="str">
        <f>IFERROR(INDEX(PQS_tbl[C],AT120),"")</f>
        <v/>
      </c>
      <c r="AV120" s="165">
        <f>IF(LEFT(PQS_tbl[[#This Row],[E]],1)="S",$AP120,"")</f>
        <v>114</v>
      </c>
      <c r="AW120" s="165" t="str">
        <f>IFERROR(SMALL($AV$7:AV$178,ROWS($AV$7:AV120)),"")</f>
        <v/>
      </c>
      <c r="AX120" s="165" t="str">
        <f>IFERROR(INDEX(PQS_tbl[C],AW120),"")</f>
        <v/>
      </c>
      <c r="AY120" s="165" t="str">
        <f>IF(LEFT(PQS_tbl[[#This Row],[E]],1)="S",$AS120,"")</f>
        <v/>
      </c>
      <c r="AZ120" s="165" t="str">
        <f>IFERROR(SMALL($AY$7:AY$178,ROWS($AY$7:AY120)),"")</f>
        <v/>
      </c>
      <c r="BA120" s="165" t="str">
        <f>IFERROR(INDEX(PQS_tbl[C],AZ120),"")</f>
        <v/>
      </c>
      <c r="BB120" s="165" t="str">
        <f>IF(AND(LEFT(PQS_tbl[[#This Row],[D]],3)=$BB$6,PQS_tbl[[#This Row],[K]]&gt;0),$AO120,"")</f>
        <v/>
      </c>
    </row>
    <row r="121" spans="1:54" s="178" customFormat="1" x14ac:dyDescent="0.3">
      <c r="A121" s="189" t="s">
        <v>560</v>
      </c>
      <c r="B121" s="190" t="s">
        <v>463</v>
      </c>
      <c r="C121" s="191" t="s">
        <v>625</v>
      </c>
      <c r="D121" s="191" t="s">
        <v>626</v>
      </c>
      <c r="E121" s="192" t="s">
        <v>488</v>
      </c>
      <c r="F121" s="192" t="s">
        <v>489</v>
      </c>
      <c r="G121" s="192" t="s">
        <v>349</v>
      </c>
      <c r="H121" s="192" t="s">
        <v>466</v>
      </c>
      <c r="I121" s="193">
        <v>36</v>
      </c>
      <c r="J121" s="193"/>
      <c r="K121" s="193"/>
      <c r="L121" s="193"/>
      <c r="M121" s="193"/>
      <c r="N121" s="194">
        <v>81.540000000000006</v>
      </c>
      <c r="O121" s="194"/>
      <c r="P121" s="194">
        <v>250</v>
      </c>
      <c r="Q121" s="193"/>
      <c r="R121" s="193"/>
      <c r="S121" s="193"/>
      <c r="T121" s="193">
        <v>4840</v>
      </c>
      <c r="U121" s="195">
        <f t="shared" si="23"/>
        <v>5808</v>
      </c>
      <c r="V121" s="196">
        <v>2016</v>
      </c>
      <c r="W121" s="193">
        <v>46.6</v>
      </c>
      <c r="X121" s="193"/>
      <c r="Y121" s="193"/>
      <c r="Z121" s="193">
        <v>90</v>
      </c>
      <c r="AA121" s="193">
        <v>78</v>
      </c>
      <c r="AB121" s="193">
        <v>103</v>
      </c>
      <c r="AC121" s="193">
        <v>0.88</v>
      </c>
      <c r="AD121" s="197">
        <v>120</v>
      </c>
      <c r="AE121" s="63" t="s">
        <v>312</v>
      </c>
      <c r="AF121" s="185">
        <f t="shared" si="22"/>
        <v>161.33333333333334</v>
      </c>
      <c r="AG121" s="185" t="str">
        <f t="shared" si="22"/>
        <v/>
      </c>
      <c r="AH121" s="185" t="str">
        <f t="shared" si="11"/>
        <v/>
      </c>
      <c r="AI121" s="186" t="str">
        <f t="shared" si="12"/>
        <v/>
      </c>
      <c r="AJ121" s="186" t="str">
        <f t="shared" si="13"/>
        <v/>
      </c>
      <c r="AK121" s="186" t="str">
        <f t="shared" si="14"/>
        <v/>
      </c>
      <c r="AL121" s="186" t="str">
        <f t="shared" si="15"/>
        <v/>
      </c>
      <c r="AM121" s="186" t="str">
        <f t="shared" si="16"/>
        <v/>
      </c>
      <c r="AN121" s="186" t="str">
        <f t="shared" si="17"/>
        <v/>
      </c>
      <c r="AO121" s="165">
        <f t="shared" si="18"/>
        <v>115</v>
      </c>
      <c r="AP121" s="165">
        <f>IF(AND(LEFT(PQS_tbl[[#This Row],[D]],3)=$AP$6,PQS_tbl[[#This Row],[I]]&gt;0),$AO121,"")</f>
        <v>115</v>
      </c>
      <c r="AQ121" s="165" t="str">
        <f>IFERROR(SMALL($AP$7:AP$182,ROWS($AP$7:AP121)),"")</f>
        <v/>
      </c>
      <c r="AR121" s="165" t="str">
        <f>IFERROR(INDEX(PQS_tbl[C],AQ121),"")</f>
        <v/>
      </c>
      <c r="AS121" s="165" t="str">
        <f>IF(AND(LEFT(PQS_tbl[[#This Row],[D]],3)=$AS$6,PQS_tbl[[#This Row],[I]]=0,PQS_tbl[[#This Row],[J]]&gt;0),$AO121,"")</f>
        <v/>
      </c>
      <c r="AT121" s="165" t="str">
        <f>IFERROR(SMALL($AS$7:AS$178,ROWS($AS$7:AS121)),"")</f>
        <v/>
      </c>
      <c r="AU121" s="165" t="str">
        <f>IFERROR(INDEX(PQS_tbl[C],AT121),"")</f>
        <v/>
      </c>
      <c r="AV121" s="165">
        <f>IF(LEFT(PQS_tbl[[#This Row],[E]],1)="S",$AP121,"")</f>
        <v>115</v>
      </c>
      <c r="AW121" s="165" t="str">
        <f>IFERROR(SMALL($AV$7:AV$178,ROWS($AV$7:AV121)),"")</f>
        <v/>
      </c>
      <c r="AX121" s="165" t="str">
        <f>IFERROR(INDEX(PQS_tbl[C],AW121),"")</f>
        <v/>
      </c>
      <c r="AY121" s="165" t="str">
        <f>IF(LEFT(PQS_tbl[[#This Row],[E]],1)="S",$AS121,"")</f>
        <v/>
      </c>
      <c r="AZ121" s="165" t="str">
        <f>IFERROR(SMALL($AY$7:AY$178,ROWS($AY$7:AY121)),"")</f>
        <v/>
      </c>
      <c r="BA121" s="165" t="str">
        <f>IFERROR(INDEX(PQS_tbl[C],AZ121),"")</f>
        <v/>
      </c>
      <c r="BB121" s="165" t="str">
        <f>IF(AND(LEFT(PQS_tbl[[#This Row],[D]],3)=$BB$6,PQS_tbl[[#This Row],[K]]&gt;0),$AO121,"")</f>
        <v/>
      </c>
    </row>
    <row r="122" spans="1:54" s="178" customFormat="1" x14ac:dyDescent="0.3">
      <c r="A122" s="179" t="s">
        <v>560</v>
      </c>
      <c r="B122" s="62" t="s">
        <v>561</v>
      </c>
      <c r="C122" s="61" t="s">
        <v>627</v>
      </c>
      <c r="D122" s="61" t="s">
        <v>628</v>
      </c>
      <c r="E122" s="180" t="s">
        <v>488</v>
      </c>
      <c r="F122" s="180" t="s">
        <v>489</v>
      </c>
      <c r="G122" s="180" t="s">
        <v>349</v>
      </c>
      <c r="H122" s="180" t="s">
        <v>466</v>
      </c>
      <c r="I122" s="63">
        <v>25.5</v>
      </c>
      <c r="J122" s="63"/>
      <c r="K122" s="63"/>
      <c r="L122" s="63"/>
      <c r="M122" s="63"/>
      <c r="N122" s="181">
        <v>81.7</v>
      </c>
      <c r="O122" s="181"/>
      <c r="P122" s="181">
        <v>360</v>
      </c>
      <c r="Q122" s="63"/>
      <c r="R122" s="63"/>
      <c r="S122" s="63"/>
      <c r="T122" s="63">
        <v>2585</v>
      </c>
      <c r="U122" s="182">
        <f t="shared" si="23"/>
        <v>3102</v>
      </c>
      <c r="V122" s="183">
        <v>2016</v>
      </c>
      <c r="W122" s="63">
        <v>36</v>
      </c>
      <c r="X122" s="63"/>
      <c r="Y122" s="63"/>
      <c r="Z122" s="63">
        <v>83</v>
      </c>
      <c r="AA122" s="63">
        <v>55.5</v>
      </c>
      <c r="AB122" s="63">
        <v>64.5</v>
      </c>
      <c r="AC122" s="63">
        <v>0.63</v>
      </c>
      <c r="AD122" s="184">
        <v>75</v>
      </c>
      <c r="AE122" s="63" t="s">
        <v>312</v>
      </c>
      <c r="AF122" s="185">
        <f t="shared" si="22"/>
        <v>121.64705882352941</v>
      </c>
      <c r="AG122" s="185" t="str">
        <f t="shared" si="22"/>
        <v/>
      </c>
      <c r="AH122" s="185" t="str">
        <f t="shared" si="11"/>
        <v/>
      </c>
      <c r="AI122" s="186" t="str">
        <f t="shared" si="12"/>
        <v/>
      </c>
      <c r="AJ122" s="186" t="str">
        <f t="shared" si="13"/>
        <v/>
      </c>
      <c r="AK122" s="186" t="str">
        <f t="shared" si="14"/>
        <v/>
      </c>
      <c r="AL122" s="186" t="str">
        <f t="shared" si="15"/>
        <v/>
      </c>
      <c r="AM122" s="186" t="str">
        <f t="shared" si="16"/>
        <v/>
      </c>
      <c r="AN122" s="186" t="str">
        <f t="shared" si="17"/>
        <v/>
      </c>
      <c r="AO122" s="165">
        <f t="shared" si="18"/>
        <v>116</v>
      </c>
      <c r="AP122" s="165">
        <f>IF(AND(LEFT(PQS_tbl[[#This Row],[D]],3)=$AP$6,PQS_tbl[[#This Row],[I]]&gt;0),$AO122,"")</f>
        <v>116</v>
      </c>
      <c r="AQ122" s="165" t="str">
        <f>IFERROR(SMALL($AP$7:AP$182,ROWS($AP$7:AP122)),"")</f>
        <v/>
      </c>
      <c r="AR122" s="165" t="str">
        <f>IFERROR(INDEX(PQS_tbl[C],AQ122),"")</f>
        <v/>
      </c>
      <c r="AS122" s="165" t="str">
        <f>IF(AND(LEFT(PQS_tbl[[#This Row],[D]],3)=$AS$6,PQS_tbl[[#This Row],[I]]=0,PQS_tbl[[#This Row],[J]]&gt;0),$AO122,"")</f>
        <v/>
      </c>
      <c r="AT122" s="165" t="str">
        <f>IFERROR(SMALL($AS$7:AS$178,ROWS($AS$7:AS122)),"")</f>
        <v/>
      </c>
      <c r="AU122" s="165" t="str">
        <f>IFERROR(INDEX(PQS_tbl[C],AT122),"")</f>
        <v/>
      </c>
      <c r="AV122" s="165">
        <f>IF(LEFT(PQS_tbl[[#This Row],[E]],1)="S",$AP122,"")</f>
        <v>116</v>
      </c>
      <c r="AW122" s="165" t="str">
        <f>IFERROR(SMALL($AV$7:AV$178,ROWS($AV$7:AV122)),"")</f>
        <v/>
      </c>
      <c r="AX122" s="165" t="str">
        <f>IFERROR(INDEX(PQS_tbl[C],AW122),"")</f>
        <v/>
      </c>
      <c r="AY122" s="165" t="str">
        <f>IF(LEFT(PQS_tbl[[#This Row],[E]],1)="S",$AS122,"")</f>
        <v/>
      </c>
      <c r="AZ122" s="165" t="str">
        <f>IFERROR(SMALL($AY$7:AY$178,ROWS($AY$7:AY122)),"")</f>
        <v/>
      </c>
      <c r="BA122" s="165" t="str">
        <f>IFERROR(INDEX(PQS_tbl[C],AZ122),"")</f>
        <v/>
      </c>
      <c r="BB122" s="165" t="str">
        <f>IF(AND(LEFT(PQS_tbl[[#This Row],[D]],3)=$BB$6,PQS_tbl[[#This Row],[K]]&gt;0),$AO122,"")</f>
        <v/>
      </c>
    </row>
    <row r="123" spans="1:54" s="178" customFormat="1" x14ac:dyDescent="0.3">
      <c r="A123" s="179" t="s">
        <v>629</v>
      </c>
      <c r="B123" s="62" t="s">
        <v>360</v>
      </c>
      <c r="C123" s="61" t="s">
        <v>630</v>
      </c>
      <c r="D123" s="61" t="s">
        <v>631</v>
      </c>
      <c r="E123" s="180" t="s">
        <v>347</v>
      </c>
      <c r="F123" s="180" t="s">
        <v>348</v>
      </c>
      <c r="G123" s="180" t="s">
        <v>349</v>
      </c>
      <c r="H123" s="180" t="s">
        <v>477</v>
      </c>
      <c r="I123" s="63">
        <v>52.5</v>
      </c>
      <c r="J123" s="63"/>
      <c r="K123" s="63"/>
      <c r="L123" s="63">
        <f>6*0.6</f>
        <v>3.5999999999999996</v>
      </c>
      <c r="M123" s="63">
        <f>6*0.6</f>
        <v>3.5999999999999996</v>
      </c>
      <c r="N123" s="181">
        <v>20.2</v>
      </c>
      <c r="O123" s="181"/>
      <c r="P123" s="181"/>
      <c r="Q123" s="63">
        <v>1.8</v>
      </c>
      <c r="R123" s="63"/>
      <c r="S123" s="63"/>
      <c r="T123" s="63">
        <v>954</v>
      </c>
      <c r="U123" s="182">
        <f t="shared" si="23"/>
        <v>1144.8</v>
      </c>
      <c r="V123" s="183">
        <v>2016</v>
      </c>
      <c r="W123" s="63">
        <v>75</v>
      </c>
      <c r="X123" s="63">
        <v>5.0999999999999996</v>
      </c>
      <c r="Y123" s="63"/>
      <c r="Z123" s="63">
        <v>84.5</v>
      </c>
      <c r="AA123" s="63">
        <v>72.5</v>
      </c>
      <c r="AB123" s="63">
        <v>71</v>
      </c>
      <c r="AC123" s="63">
        <v>0.57999999999999996</v>
      </c>
      <c r="AD123" s="184">
        <v>98</v>
      </c>
      <c r="AE123" s="63"/>
      <c r="AF123" s="185">
        <f t="shared" si="22"/>
        <v>21.805714285714284</v>
      </c>
      <c r="AG123" s="185" t="str">
        <f t="shared" si="22"/>
        <v/>
      </c>
      <c r="AH123" s="185">
        <f t="shared" si="11"/>
        <v>318</v>
      </c>
      <c r="AI123" s="186">
        <f t="shared" si="12"/>
        <v>3.4285714285714287E-2</v>
      </c>
      <c r="AJ123" s="186" t="str">
        <f t="shared" si="13"/>
        <v/>
      </c>
      <c r="AK123" s="186" t="str">
        <f t="shared" si="14"/>
        <v/>
      </c>
      <c r="AL123" s="186" t="str">
        <f t="shared" si="15"/>
        <v/>
      </c>
      <c r="AM123" s="186">
        <f t="shared" si="16"/>
        <v>0.50000000000000011</v>
      </c>
      <c r="AN123" s="186" t="str">
        <f t="shared" si="17"/>
        <v/>
      </c>
      <c r="AO123" s="165">
        <f t="shared" si="18"/>
        <v>117</v>
      </c>
      <c r="AP123" s="165">
        <f>IF(AND(LEFT(PQS_tbl[[#This Row],[D]],3)=$AP$6,PQS_tbl[[#This Row],[I]]&gt;0),$AO123,"")</f>
        <v>117</v>
      </c>
      <c r="AQ123" s="165" t="str">
        <f>IFERROR(SMALL($AP$7:AP$182,ROWS($AP$7:AP123)),"")</f>
        <v/>
      </c>
      <c r="AR123" s="165" t="str">
        <f>IFERROR(INDEX(PQS_tbl[C],AQ123),"")</f>
        <v/>
      </c>
      <c r="AS123" s="165" t="str">
        <f>IF(AND(LEFT(PQS_tbl[[#This Row],[D]],3)=$AS$6,PQS_tbl[[#This Row],[I]]=0,PQS_tbl[[#This Row],[J]]&gt;0),$AO123,"")</f>
        <v/>
      </c>
      <c r="AT123" s="165" t="str">
        <f>IFERROR(SMALL($AS$7:AS$178,ROWS($AS$7:AS123)),"")</f>
        <v/>
      </c>
      <c r="AU123" s="165" t="str">
        <f>IFERROR(INDEX(PQS_tbl[C],AT123),"")</f>
        <v/>
      </c>
      <c r="AV123" s="165" t="str">
        <f>IF(LEFT(PQS_tbl[[#This Row],[E]],1)="S",$AP123,"")</f>
        <v/>
      </c>
      <c r="AW123" s="165" t="str">
        <f>IFERROR(SMALL($AV$7:AV$178,ROWS($AV$7:AV123)),"")</f>
        <v/>
      </c>
      <c r="AX123" s="165" t="str">
        <f>IFERROR(INDEX(PQS_tbl[C],AW123),"")</f>
        <v/>
      </c>
      <c r="AY123" s="165" t="str">
        <f>IF(LEFT(PQS_tbl[[#This Row],[E]],1)="S",$AS123,"")</f>
        <v/>
      </c>
      <c r="AZ123" s="165" t="str">
        <f>IFERROR(SMALL($AY$7:AY$178,ROWS($AY$7:AY123)),"")</f>
        <v/>
      </c>
      <c r="BA123" s="165" t="str">
        <f>IFERROR(INDEX(PQS_tbl[C],AZ123),"")</f>
        <v/>
      </c>
      <c r="BB123" s="165" t="str">
        <f>IF(AND(LEFT(PQS_tbl[[#This Row],[D]],3)=$BB$6,PQS_tbl[[#This Row],[K]]&gt;0),$AO123,"")</f>
        <v/>
      </c>
    </row>
    <row r="124" spans="1:54" s="178" customFormat="1" x14ac:dyDescent="0.3">
      <c r="A124" s="179" t="s">
        <v>632</v>
      </c>
      <c r="B124" s="62" t="s">
        <v>463</v>
      </c>
      <c r="C124" s="61" t="s">
        <v>633</v>
      </c>
      <c r="D124" s="61" t="s">
        <v>634</v>
      </c>
      <c r="E124" s="180" t="s">
        <v>635</v>
      </c>
      <c r="F124" s="180" t="s">
        <v>636</v>
      </c>
      <c r="G124" s="180" t="s">
        <v>349</v>
      </c>
      <c r="H124" s="180" t="s">
        <v>470</v>
      </c>
      <c r="I124" s="63"/>
      <c r="J124" s="63">
        <v>204</v>
      </c>
      <c r="K124" s="63"/>
      <c r="L124" s="63">
        <f>54</f>
        <v>54</v>
      </c>
      <c r="M124" s="63">
        <f>162</f>
        <v>162</v>
      </c>
      <c r="N124" s="181"/>
      <c r="O124" s="181"/>
      <c r="P124" s="181"/>
      <c r="Q124" s="63">
        <v>2.15</v>
      </c>
      <c r="R124" s="63"/>
      <c r="S124" s="63"/>
      <c r="T124" s="63">
        <v>2789</v>
      </c>
      <c r="U124" s="182">
        <f t="shared" si="23"/>
        <v>3346.7999999999997</v>
      </c>
      <c r="V124" s="183">
        <v>2016</v>
      </c>
      <c r="W124" s="63"/>
      <c r="X124" s="63">
        <v>204</v>
      </c>
      <c r="Y124" s="63"/>
      <c r="Z124" s="63">
        <v>91</v>
      </c>
      <c r="AA124" s="63">
        <v>127</v>
      </c>
      <c r="AB124" s="63">
        <v>78</v>
      </c>
      <c r="AC124" s="63">
        <v>1.07</v>
      </c>
      <c r="AD124" s="184">
        <v>126</v>
      </c>
      <c r="AE124" s="63" t="s">
        <v>312</v>
      </c>
      <c r="AF124" s="185" t="str">
        <f t="shared" si="22"/>
        <v/>
      </c>
      <c r="AG124" s="185">
        <f t="shared" si="22"/>
        <v>16.405882352941177</v>
      </c>
      <c r="AH124" s="185">
        <f t="shared" si="11"/>
        <v>61.977777777777774</v>
      </c>
      <c r="AI124" s="186" t="str">
        <f t="shared" si="12"/>
        <v/>
      </c>
      <c r="AJ124" s="186" t="str">
        <f t="shared" si="13"/>
        <v/>
      </c>
      <c r="AK124" s="186">
        <f t="shared" si="14"/>
        <v>1.0539215686274509E-2</v>
      </c>
      <c r="AL124" s="186" t="str">
        <f t="shared" si="15"/>
        <v/>
      </c>
      <c r="AM124" s="186">
        <f t="shared" si="16"/>
        <v>3.981481481481481E-2</v>
      </c>
      <c r="AN124" s="186" t="str">
        <f t="shared" si="17"/>
        <v/>
      </c>
      <c r="AO124" s="165">
        <f t="shared" si="18"/>
        <v>118</v>
      </c>
      <c r="AP124" s="165" t="str">
        <f>IF(AND(LEFT(PQS_tbl[[#This Row],[D]],3)=$AP$6,PQS_tbl[[#This Row],[I]]&gt;0),$AO124,"")</f>
        <v/>
      </c>
      <c r="AQ124" s="165" t="str">
        <f>IFERROR(SMALL($AP$7:AP$182,ROWS($AP$7:AP124)),"")</f>
        <v/>
      </c>
      <c r="AR124" s="165" t="str">
        <f>IFERROR(INDEX(PQS_tbl[C],AQ124),"")</f>
        <v/>
      </c>
      <c r="AS124" s="165">
        <f>IF(AND(LEFT(PQS_tbl[[#This Row],[D]],3)=$AS$6,PQS_tbl[[#This Row],[I]]=0,PQS_tbl[[#This Row],[J]]&gt;0),$AO124,"")</f>
        <v>118</v>
      </c>
      <c r="AT124" s="165" t="str">
        <f>IFERROR(SMALL($AS$7:AS$178,ROWS($AS$7:AS124)),"")</f>
        <v/>
      </c>
      <c r="AU124" s="165" t="str">
        <f>IFERROR(INDEX(PQS_tbl[C],AT124),"")</f>
        <v/>
      </c>
      <c r="AV124" s="165" t="str">
        <f>IF(LEFT(PQS_tbl[[#This Row],[E]],1)="S",$AP124,"")</f>
        <v/>
      </c>
      <c r="AW124" s="165" t="str">
        <f>IFERROR(SMALL($AV$7:AV$178,ROWS($AV$7:AV124)),"")</f>
        <v/>
      </c>
      <c r="AX124" s="165" t="str">
        <f>IFERROR(INDEX(PQS_tbl[C],AW124),"")</f>
        <v/>
      </c>
      <c r="AY124" s="165" t="str">
        <f>IF(LEFT(PQS_tbl[[#This Row],[E]],1)="S",$AS124,"")</f>
        <v/>
      </c>
      <c r="AZ124" s="165" t="str">
        <f>IFERROR(SMALL($AY$7:AY$178,ROWS($AY$7:AY124)),"")</f>
        <v/>
      </c>
      <c r="BA124" s="165" t="str">
        <f>IFERROR(INDEX(PQS_tbl[C],AZ124),"")</f>
        <v/>
      </c>
      <c r="BB124" s="165" t="str">
        <f>IF(AND(LEFT(PQS_tbl[[#This Row],[D]],3)=$BB$6,PQS_tbl[[#This Row],[K]]&gt;0),$AO124,"")</f>
        <v/>
      </c>
    </row>
    <row r="125" spans="1:54" s="178" customFormat="1" x14ac:dyDescent="0.3">
      <c r="A125" s="179" t="s">
        <v>612</v>
      </c>
      <c r="B125" s="62" t="s">
        <v>385</v>
      </c>
      <c r="C125" s="61" t="s">
        <v>637</v>
      </c>
      <c r="D125" s="61" t="s">
        <v>638</v>
      </c>
      <c r="E125" s="180" t="s">
        <v>363</v>
      </c>
      <c r="F125" s="180" t="s">
        <v>489</v>
      </c>
      <c r="G125" s="180" t="s">
        <v>349</v>
      </c>
      <c r="H125" s="180" t="s">
        <v>466</v>
      </c>
      <c r="I125" s="63">
        <v>184.5</v>
      </c>
      <c r="J125" s="63"/>
      <c r="K125" s="63"/>
      <c r="L125" s="63"/>
      <c r="M125" s="63"/>
      <c r="N125" s="181">
        <v>94</v>
      </c>
      <c r="O125" s="181"/>
      <c r="P125" s="181"/>
      <c r="Q125" s="63">
        <v>0.80300000000000005</v>
      </c>
      <c r="R125" s="63"/>
      <c r="S125" s="63"/>
      <c r="T125" s="63">
        <v>2600</v>
      </c>
      <c r="U125" s="182">
        <f>T125*1</f>
        <v>2600</v>
      </c>
      <c r="V125" s="183">
        <v>2016</v>
      </c>
      <c r="W125" s="63">
        <v>203.2</v>
      </c>
      <c r="X125" s="63"/>
      <c r="Y125" s="63"/>
      <c r="Z125" s="63">
        <v>98.6</v>
      </c>
      <c r="AA125" s="63">
        <v>128.69999999999999</v>
      </c>
      <c r="AB125" s="63">
        <v>78</v>
      </c>
      <c r="AC125" s="63">
        <v>1.29</v>
      </c>
      <c r="AD125" s="184">
        <v>172</v>
      </c>
      <c r="AE125" s="63" t="s">
        <v>312</v>
      </c>
      <c r="AF125" s="185">
        <f t="shared" si="22"/>
        <v>14.092140921409214</v>
      </c>
      <c r="AG125" s="185" t="str">
        <f t="shared" si="22"/>
        <v/>
      </c>
      <c r="AH125" s="185" t="str">
        <f t="shared" si="11"/>
        <v/>
      </c>
      <c r="AI125" s="186">
        <f t="shared" si="12"/>
        <v>4.3523035230352307E-3</v>
      </c>
      <c r="AJ125" s="186" t="str">
        <f t="shared" si="13"/>
        <v/>
      </c>
      <c r="AK125" s="186" t="str">
        <f t="shared" si="14"/>
        <v/>
      </c>
      <c r="AL125" s="186" t="str">
        <f t="shared" si="15"/>
        <v/>
      </c>
      <c r="AM125" s="186" t="str">
        <f t="shared" si="16"/>
        <v/>
      </c>
      <c r="AN125" s="186" t="str">
        <f t="shared" si="17"/>
        <v/>
      </c>
      <c r="AO125" s="165">
        <f t="shared" si="18"/>
        <v>119</v>
      </c>
      <c r="AP125" s="165">
        <f>IF(AND(LEFT(PQS_tbl[[#This Row],[D]],3)=$AP$6,PQS_tbl[[#This Row],[I]]&gt;0),$AO125,"")</f>
        <v>119</v>
      </c>
      <c r="AQ125" s="165" t="str">
        <f>IFERROR(SMALL($AP$7:AP$182,ROWS($AP$7:AP125)),"")</f>
        <v/>
      </c>
      <c r="AR125" s="165" t="str">
        <f>IFERROR(INDEX(PQS_tbl[C],AQ125),"")</f>
        <v/>
      </c>
      <c r="AS125" s="165" t="str">
        <f>IF(AND(LEFT(PQS_tbl[[#This Row],[D]],3)=$AS$6,PQS_tbl[[#This Row],[I]]=0,PQS_tbl[[#This Row],[J]]&gt;0),$AO125,"")</f>
        <v/>
      </c>
      <c r="AT125" s="165" t="str">
        <f>IFERROR(SMALL($AS$7:AS$178,ROWS($AS$7:AS125)),"")</f>
        <v/>
      </c>
      <c r="AU125" s="165" t="str">
        <f>IFERROR(INDEX(PQS_tbl[C],AT125),"")</f>
        <v/>
      </c>
      <c r="AV125" s="165" t="str">
        <f>IF(LEFT(PQS_tbl[[#This Row],[E]],1)="S",$AP125,"")</f>
        <v/>
      </c>
      <c r="AW125" s="165" t="str">
        <f>IFERROR(SMALL($AV$7:AV$178,ROWS($AV$7:AV125)),"")</f>
        <v/>
      </c>
      <c r="AX125" s="165" t="str">
        <f>IFERROR(INDEX(PQS_tbl[C],AW125),"")</f>
        <v/>
      </c>
      <c r="AY125" s="165" t="str">
        <f>IF(LEFT(PQS_tbl[[#This Row],[E]],1)="S",$AS125,"")</f>
        <v/>
      </c>
      <c r="AZ125" s="165" t="str">
        <f>IFERROR(SMALL($AY$7:AY$178,ROWS($AY$7:AY125)),"")</f>
        <v/>
      </c>
      <c r="BA125" s="165" t="str">
        <f>IFERROR(INDEX(PQS_tbl[C],AZ125),"")</f>
        <v/>
      </c>
      <c r="BB125" s="165" t="str">
        <f>IF(AND(LEFT(PQS_tbl[[#This Row],[D]],3)=$BB$6,PQS_tbl[[#This Row],[K]]&gt;0),$AO125,"")</f>
        <v/>
      </c>
    </row>
    <row r="126" spans="1:54" s="178" customFormat="1" x14ac:dyDescent="0.3">
      <c r="A126" s="179" t="s">
        <v>639</v>
      </c>
      <c r="B126" s="62" t="s">
        <v>463</v>
      </c>
      <c r="C126" s="61" t="s">
        <v>640</v>
      </c>
      <c r="D126" s="61" t="s">
        <v>641</v>
      </c>
      <c r="E126" s="180" t="s">
        <v>642</v>
      </c>
      <c r="F126" s="180" t="s">
        <v>489</v>
      </c>
      <c r="G126" s="180" t="s">
        <v>349</v>
      </c>
      <c r="H126" s="180" t="s">
        <v>470</v>
      </c>
      <c r="I126" s="63"/>
      <c r="J126" s="63">
        <v>64</v>
      </c>
      <c r="K126" s="63"/>
      <c r="L126" s="63">
        <v>2.16</v>
      </c>
      <c r="M126" s="63">
        <f>20</f>
        <v>20</v>
      </c>
      <c r="N126" s="181">
        <f>5*24</f>
        <v>120</v>
      </c>
      <c r="O126" s="181"/>
      <c r="P126" s="181"/>
      <c r="Q126" s="63"/>
      <c r="R126" s="63"/>
      <c r="S126" s="63"/>
      <c r="T126" s="63">
        <v>5279</v>
      </c>
      <c r="U126" s="182">
        <f>T126*1</f>
        <v>5279</v>
      </c>
      <c r="V126" s="183">
        <v>2016</v>
      </c>
      <c r="W126" s="63"/>
      <c r="X126" s="63">
        <v>64</v>
      </c>
      <c r="Y126" s="63"/>
      <c r="Z126" s="63">
        <v>90</v>
      </c>
      <c r="AA126" s="63">
        <v>103</v>
      </c>
      <c r="AB126" s="63">
        <v>78</v>
      </c>
      <c r="AC126" s="63">
        <v>0.88</v>
      </c>
      <c r="AD126" s="184">
        <v>119</v>
      </c>
      <c r="AE126" s="63" t="s">
        <v>312</v>
      </c>
      <c r="AF126" s="185" t="str">
        <f t="shared" si="22"/>
        <v/>
      </c>
      <c r="AG126" s="185">
        <f t="shared" si="22"/>
        <v>82.484375</v>
      </c>
      <c r="AH126" s="185">
        <f t="shared" si="11"/>
        <v>2443.9814814814813</v>
      </c>
      <c r="AI126" s="186" t="str">
        <f t="shared" si="12"/>
        <v/>
      </c>
      <c r="AJ126" s="186" t="str">
        <f t="shared" si="13"/>
        <v/>
      </c>
      <c r="AK126" s="186" t="str">
        <f t="shared" si="14"/>
        <v/>
      </c>
      <c r="AL126" s="186" t="str">
        <f t="shared" si="15"/>
        <v/>
      </c>
      <c r="AM126" s="186" t="str">
        <f t="shared" si="16"/>
        <v/>
      </c>
      <c r="AN126" s="186" t="str">
        <f t="shared" si="17"/>
        <v/>
      </c>
      <c r="AO126" s="165">
        <f t="shared" si="18"/>
        <v>120</v>
      </c>
      <c r="AP126" s="165" t="str">
        <f>IF(AND(LEFT(PQS_tbl[[#This Row],[D]],3)=$AP$6,PQS_tbl[[#This Row],[I]]&gt;0),$AO126,"")</f>
        <v/>
      </c>
      <c r="AQ126" s="165" t="str">
        <f>IFERROR(SMALL($AP$7:AP$182,ROWS($AP$7:AP126)),"")</f>
        <v/>
      </c>
      <c r="AR126" s="165" t="str">
        <f>IFERROR(INDEX(PQS_tbl[C],AQ126),"")</f>
        <v/>
      </c>
      <c r="AS126" s="165">
        <f>IF(AND(LEFT(PQS_tbl[[#This Row],[D]],3)=$AS$6,PQS_tbl[[#This Row],[I]]=0,PQS_tbl[[#This Row],[J]]&gt;0),$AO126,"")</f>
        <v>120</v>
      </c>
      <c r="AT126" s="165" t="str">
        <f>IFERROR(SMALL($AS$7:AS$178,ROWS($AS$7:AS126)),"")</f>
        <v/>
      </c>
      <c r="AU126" s="165" t="str">
        <f>IFERROR(INDEX(PQS_tbl[C],AT126),"")</f>
        <v/>
      </c>
      <c r="AV126" s="165" t="str">
        <f>IF(LEFT(PQS_tbl[[#This Row],[E]],1)="S",$AP126,"")</f>
        <v/>
      </c>
      <c r="AW126" s="165" t="str">
        <f>IFERROR(SMALL($AV$7:AV$178,ROWS($AV$7:AV126)),"")</f>
        <v/>
      </c>
      <c r="AX126" s="165" t="str">
        <f>IFERROR(INDEX(PQS_tbl[C],AW126),"")</f>
        <v/>
      </c>
      <c r="AY126" s="165">
        <f>IF(LEFT(PQS_tbl[[#This Row],[E]],1)="S",$AS126,"")</f>
        <v>120</v>
      </c>
      <c r="AZ126" s="165" t="str">
        <f>IFERROR(SMALL($AY$7:AY$178,ROWS($AY$7:AY126)),"")</f>
        <v/>
      </c>
      <c r="BA126" s="165" t="str">
        <f>IFERROR(INDEX(PQS_tbl[C],AZ126),"")</f>
        <v/>
      </c>
      <c r="BB126" s="165" t="str">
        <f>IF(AND(LEFT(PQS_tbl[[#This Row],[D]],3)=$BB$6,PQS_tbl[[#This Row],[K]]&gt;0),$AO126,"")</f>
        <v/>
      </c>
    </row>
    <row r="127" spans="1:54" s="178" customFormat="1" x14ac:dyDescent="0.3">
      <c r="A127" s="189" t="s">
        <v>643</v>
      </c>
      <c r="B127" s="190" t="s">
        <v>467</v>
      </c>
      <c r="C127" s="191" t="s">
        <v>644</v>
      </c>
      <c r="D127" s="191" t="s">
        <v>645</v>
      </c>
      <c r="E127" s="192" t="s">
        <v>549</v>
      </c>
      <c r="F127" s="192" t="s">
        <v>489</v>
      </c>
      <c r="G127" s="192" t="s">
        <v>349</v>
      </c>
      <c r="H127" s="192" t="s">
        <v>466</v>
      </c>
      <c r="I127" s="193">
        <v>37.5</v>
      </c>
      <c r="J127" s="193">
        <v>12</v>
      </c>
      <c r="K127" s="193"/>
      <c r="L127" s="193">
        <v>2.08</v>
      </c>
      <c r="M127" s="193">
        <v>12</v>
      </c>
      <c r="N127" s="194">
        <v>114.9</v>
      </c>
      <c r="O127" s="194"/>
      <c r="P127" s="194"/>
      <c r="Q127" s="193"/>
      <c r="R127" s="193"/>
      <c r="S127" s="193"/>
      <c r="T127" s="193">
        <v>4500</v>
      </c>
      <c r="U127" s="195">
        <f>T127*1</f>
        <v>4500</v>
      </c>
      <c r="V127" s="196">
        <v>2016</v>
      </c>
      <c r="W127" s="193">
        <v>37.5</v>
      </c>
      <c r="X127" s="193">
        <v>32</v>
      </c>
      <c r="Y127" s="193"/>
      <c r="Z127" s="193">
        <v>112</v>
      </c>
      <c r="AA127" s="193">
        <v>65.400000000000006</v>
      </c>
      <c r="AB127" s="193">
        <v>87.5</v>
      </c>
      <c r="AC127" s="193">
        <v>0.98</v>
      </c>
      <c r="AD127" s="197">
        <v>108</v>
      </c>
      <c r="AE127" s="63" t="s">
        <v>312</v>
      </c>
      <c r="AF127" s="185">
        <f t="shared" si="22"/>
        <v>120</v>
      </c>
      <c r="AG127" s="185">
        <f t="shared" si="22"/>
        <v>375</v>
      </c>
      <c r="AH127" s="185">
        <f t="shared" si="11"/>
        <v>2163.4615384615386</v>
      </c>
      <c r="AI127" s="186" t="str">
        <f t="shared" si="12"/>
        <v/>
      </c>
      <c r="AJ127" s="186" t="str">
        <f t="shared" si="13"/>
        <v/>
      </c>
      <c r="AK127" s="186" t="str">
        <f t="shared" si="14"/>
        <v/>
      </c>
      <c r="AL127" s="186" t="str">
        <f t="shared" si="15"/>
        <v/>
      </c>
      <c r="AM127" s="186" t="str">
        <f t="shared" si="16"/>
        <v/>
      </c>
      <c r="AN127" s="186" t="str">
        <f t="shared" si="17"/>
        <v/>
      </c>
      <c r="AO127" s="165">
        <f t="shared" si="18"/>
        <v>121</v>
      </c>
      <c r="AP127" s="165">
        <f>IF(AND(LEFT(PQS_tbl[[#This Row],[D]],3)=$AP$6,PQS_tbl[[#This Row],[I]]&gt;0),$AO127,"")</f>
        <v>121</v>
      </c>
      <c r="AQ127" s="165" t="str">
        <f>IFERROR(SMALL($AP$7:AP$182,ROWS($AP$7:AP127)),"")</f>
        <v/>
      </c>
      <c r="AR127" s="165" t="str">
        <f>IFERROR(INDEX(PQS_tbl[C],AQ127),"")</f>
        <v/>
      </c>
      <c r="AS127" s="165" t="str">
        <f>IF(AND(LEFT(PQS_tbl[[#This Row],[D]],3)=$AS$6,PQS_tbl[[#This Row],[I]]=0,PQS_tbl[[#This Row],[J]]&gt;0),$AO127,"")</f>
        <v/>
      </c>
      <c r="AT127" s="165" t="str">
        <f>IFERROR(SMALL($AS$7:AS$178,ROWS($AS$7:AS127)),"")</f>
        <v/>
      </c>
      <c r="AU127" s="165" t="str">
        <f>IFERROR(INDEX(PQS_tbl[C],AT127),"")</f>
        <v/>
      </c>
      <c r="AV127" s="165">
        <f>IF(LEFT(PQS_tbl[[#This Row],[E]],1)="S",$AP127,"")</f>
        <v>121</v>
      </c>
      <c r="AW127" s="165" t="str">
        <f>IFERROR(SMALL($AV$7:AV$178,ROWS($AV$7:AV127)),"")</f>
        <v/>
      </c>
      <c r="AX127" s="165" t="str">
        <f>IFERROR(INDEX(PQS_tbl[C],AW127),"")</f>
        <v/>
      </c>
      <c r="AY127" s="165" t="str">
        <f>IF(LEFT(PQS_tbl[[#This Row],[E]],1)="S",$AS127,"")</f>
        <v/>
      </c>
      <c r="AZ127" s="165" t="str">
        <f>IFERROR(SMALL($AY$7:AY$178,ROWS($AY$7:AY127)),"")</f>
        <v/>
      </c>
      <c r="BA127" s="165" t="str">
        <f>IFERROR(INDEX(PQS_tbl[C],AZ127),"")</f>
        <v/>
      </c>
      <c r="BB127" s="165" t="str">
        <f>IF(AND(LEFT(PQS_tbl[[#This Row],[D]],3)=$BB$6,PQS_tbl[[#This Row],[K]]&gt;0),$AO127,"")</f>
        <v/>
      </c>
    </row>
    <row r="128" spans="1:54" s="178" customFormat="1" x14ac:dyDescent="0.3">
      <c r="A128" s="179" t="s">
        <v>646</v>
      </c>
      <c r="B128" s="62" t="s">
        <v>467</v>
      </c>
      <c r="C128" s="61" t="s">
        <v>647</v>
      </c>
      <c r="D128" s="61" t="s">
        <v>648</v>
      </c>
      <c r="E128" s="180" t="s">
        <v>488</v>
      </c>
      <c r="F128" s="180" t="s">
        <v>489</v>
      </c>
      <c r="G128" s="180" t="s">
        <v>349</v>
      </c>
      <c r="H128" s="180" t="s">
        <v>466</v>
      </c>
      <c r="I128" s="63">
        <v>22.5</v>
      </c>
      <c r="J128" s="63"/>
      <c r="K128" s="63"/>
      <c r="L128" s="63"/>
      <c r="M128" s="63"/>
      <c r="N128" s="181">
        <v>117</v>
      </c>
      <c r="O128" s="181"/>
      <c r="P128" s="181"/>
      <c r="Q128" s="63"/>
      <c r="R128" s="63"/>
      <c r="S128" s="63"/>
      <c r="T128" s="63">
        <v>2700</v>
      </c>
      <c r="U128" s="182">
        <v>2700</v>
      </c>
      <c r="V128" s="183">
        <v>2016</v>
      </c>
      <c r="W128" s="63">
        <v>40</v>
      </c>
      <c r="X128" s="63"/>
      <c r="Y128" s="63"/>
      <c r="Z128" s="63">
        <v>78.8</v>
      </c>
      <c r="AA128" s="63">
        <v>65</v>
      </c>
      <c r="AB128" s="63">
        <v>87.5</v>
      </c>
      <c r="AC128" s="63">
        <v>0.7</v>
      </c>
      <c r="AD128" s="184">
        <v>75</v>
      </c>
      <c r="AE128" s="63" t="s">
        <v>312</v>
      </c>
      <c r="AF128" s="185">
        <f t="shared" si="22"/>
        <v>120</v>
      </c>
      <c r="AG128" s="185" t="str">
        <f t="shared" si="22"/>
        <v/>
      </c>
      <c r="AH128" s="185" t="str">
        <f t="shared" si="11"/>
        <v/>
      </c>
      <c r="AI128" s="186" t="str">
        <f t="shared" si="12"/>
        <v/>
      </c>
      <c r="AJ128" s="186" t="str">
        <f t="shared" si="13"/>
        <v/>
      </c>
      <c r="AK128" s="186" t="str">
        <f t="shared" si="14"/>
        <v/>
      </c>
      <c r="AL128" s="186" t="str">
        <f t="shared" si="15"/>
        <v/>
      </c>
      <c r="AM128" s="186" t="str">
        <f t="shared" si="16"/>
        <v/>
      </c>
      <c r="AN128" s="186" t="str">
        <f t="shared" si="17"/>
        <v/>
      </c>
      <c r="AO128" s="165">
        <f t="shared" si="18"/>
        <v>122</v>
      </c>
      <c r="AP128" s="165">
        <f>IF(AND(LEFT(PQS_tbl[[#This Row],[D]],3)=$AP$6,PQS_tbl[[#This Row],[I]]&gt;0),$AO128,"")</f>
        <v>122</v>
      </c>
      <c r="AQ128" s="165" t="str">
        <f>IFERROR(SMALL($AP$7:AP$182,ROWS($AP$7:AP128)),"")</f>
        <v/>
      </c>
      <c r="AR128" s="165" t="str">
        <f>IFERROR(INDEX(PQS_tbl[C],AQ128),"")</f>
        <v/>
      </c>
      <c r="AS128" s="165" t="str">
        <f>IF(AND(LEFT(PQS_tbl[[#This Row],[D]],3)=$AS$6,PQS_tbl[[#This Row],[I]]=0,PQS_tbl[[#This Row],[J]]&gt;0),$AO128,"")</f>
        <v/>
      </c>
      <c r="AT128" s="165" t="str">
        <f>IFERROR(SMALL($AS$7:AS$178,ROWS($AS$7:AS128)),"")</f>
        <v/>
      </c>
      <c r="AU128" s="165" t="str">
        <f>IFERROR(INDEX(PQS_tbl[C],AT128),"")</f>
        <v/>
      </c>
      <c r="AV128" s="165">
        <f>IF(LEFT(PQS_tbl[[#This Row],[E]],1)="S",$AP128,"")</f>
        <v>122</v>
      </c>
      <c r="AW128" s="165" t="str">
        <f>IFERROR(SMALL($AV$7:AV$178,ROWS($AV$7:AV128)),"")</f>
        <v/>
      </c>
      <c r="AX128" s="165" t="str">
        <f>IFERROR(INDEX(PQS_tbl[C],AW128),"")</f>
        <v/>
      </c>
      <c r="AY128" s="165" t="str">
        <f>IF(LEFT(PQS_tbl[[#This Row],[E]],1)="S",$AS128,"")</f>
        <v/>
      </c>
      <c r="AZ128" s="165" t="str">
        <f>IFERROR(SMALL($AY$7:AY$178,ROWS($AY$7:AY128)),"")</f>
        <v/>
      </c>
      <c r="BA128" s="165" t="str">
        <f>IFERROR(INDEX(PQS_tbl[C],AZ128),"")</f>
        <v/>
      </c>
      <c r="BB128" s="165" t="str">
        <f>IF(AND(LEFT(PQS_tbl[[#This Row],[D]],3)=$BB$6,PQS_tbl[[#This Row],[K]]&gt;0),$AO128,"")</f>
        <v/>
      </c>
    </row>
    <row r="129" spans="1:54" s="178" customFormat="1" x14ac:dyDescent="0.3">
      <c r="A129" s="179" t="s">
        <v>646</v>
      </c>
      <c r="B129" s="62" t="s">
        <v>467</v>
      </c>
      <c r="C129" s="61" t="s">
        <v>649</v>
      </c>
      <c r="D129" s="61" t="s">
        <v>650</v>
      </c>
      <c r="E129" s="180" t="s">
        <v>488</v>
      </c>
      <c r="F129" s="180" t="s">
        <v>489</v>
      </c>
      <c r="G129" s="180" t="s">
        <v>349</v>
      </c>
      <c r="H129" s="180" t="s">
        <v>466</v>
      </c>
      <c r="I129" s="63">
        <v>59</v>
      </c>
      <c r="J129" s="63"/>
      <c r="K129" s="63"/>
      <c r="L129" s="63"/>
      <c r="M129" s="63"/>
      <c r="N129" s="181">
        <v>96</v>
      </c>
      <c r="O129" s="181"/>
      <c r="P129" s="181"/>
      <c r="Q129" s="63"/>
      <c r="R129" s="63"/>
      <c r="S129" s="63"/>
      <c r="T129" s="63">
        <v>3000</v>
      </c>
      <c r="U129" s="182">
        <v>3000</v>
      </c>
      <c r="V129" s="183">
        <v>2016</v>
      </c>
      <c r="W129" s="63">
        <v>110</v>
      </c>
      <c r="X129" s="63"/>
      <c r="Y129" s="63"/>
      <c r="Z129" s="63">
        <v>78.8</v>
      </c>
      <c r="AA129" s="63">
        <v>65.400000000000006</v>
      </c>
      <c r="AB129" s="63">
        <v>112.8</v>
      </c>
      <c r="AC129" s="63">
        <v>0.98</v>
      </c>
      <c r="AD129" s="184">
        <v>94</v>
      </c>
      <c r="AE129" s="63" t="s">
        <v>312</v>
      </c>
      <c r="AF129" s="185">
        <f t="shared" si="22"/>
        <v>50.847457627118644</v>
      </c>
      <c r="AG129" s="185" t="str">
        <f t="shared" si="22"/>
        <v/>
      </c>
      <c r="AH129" s="185" t="str">
        <f t="shared" si="11"/>
        <v/>
      </c>
      <c r="AI129" s="186" t="str">
        <f t="shared" si="12"/>
        <v/>
      </c>
      <c r="AJ129" s="186" t="str">
        <f t="shared" si="13"/>
        <v/>
      </c>
      <c r="AK129" s="186" t="str">
        <f t="shared" si="14"/>
        <v/>
      </c>
      <c r="AL129" s="186" t="str">
        <f t="shared" si="15"/>
        <v/>
      </c>
      <c r="AM129" s="186" t="str">
        <f t="shared" si="16"/>
        <v/>
      </c>
      <c r="AN129" s="186" t="str">
        <f t="shared" si="17"/>
        <v/>
      </c>
      <c r="AO129" s="165">
        <f t="shared" si="18"/>
        <v>123</v>
      </c>
      <c r="AP129" s="165">
        <f>IF(AND(LEFT(PQS_tbl[[#This Row],[D]],3)=$AP$6,PQS_tbl[[#This Row],[I]]&gt;0),$AO129,"")</f>
        <v>123</v>
      </c>
      <c r="AQ129" s="165" t="str">
        <f>IFERROR(SMALL($AP$7:AP$182,ROWS($AP$7:AP129)),"")</f>
        <v/>
      </c>
      <c r="AR129" s="165" t="str">
        <f>IFERROR(INDEX(PQS_tbl[C],AQ129),"")</f>
        <v/>
      </c>
      <c r="AS129" s="165" t="str">
        <f>IF(AND(LEFT(PQS_tbl[[#This Row],[D]],3)=$AS$6,PQS_tbl[[#This Row],[I]]=0,PQS_tbl[[#This Row],[J]]&gt;0),$AO129,"")</f>
        <v/>
      </c>
      <c r="AT129" s="165" t="str">
        <f>IFERROR(SMALL($AS$7:AS$178,ROWS($AS$7:AS129)),"")</f>
        <v/>
      </c>
      <c r="AU129" s="165" t="str">
        <f>IFERROR(INDEX(PQS_tbl[C],AT129),"")</f>
        <v/>
      </c>
      <c r="AV129" s="165">
        <f>IF(LEFT(PQS_tbl[[#This Row],[E]],1)="S",$AP129,"")</f>
        <v>123</v>
      </c>
      <c r="AW129" s="165" t="str">
        <f>IFERROR(SMALL($AV$7:AV$178,ROWS($AV$7:AV129)),"")</f>
        <v/>
      </c>
      <c r="AX129" s="165" t="str">
        <f>IFERROR(INDEX(PQS_tbl[C],AW129),"")</f>
        <v/>
      </c>
      <c r="AY129" s="165" t="str">
        <f>IF(LEFT(PQS_tbl[[#This Row],[E]],1)="S",$AS129,"")</f>
        <v/>
      </c>
      <c r="AZ129" s="165" t="str">
        <f>IFERROR(SMALL($AY$7:AY$178,ROWS($AY$7:AY129)),"")</f>
        <v/>
      </c>
      <c r="BA129" s="165" t="str">
        <f>IFERROR(INDEX(PQS_tbl[C],AZ129),"")</f>
        <v/>
      </c>
      <c r="BB129" s="165" t="str">
        <f>IF(AND(LEFT(PQS_tbl[[#This Row],[D]],3)=$BB$6,PQS_tbl[[#This Row],[K]]&gt;0),$AO129,"")</f>
        <v/>
      </c>
    </row>
    <row r="130" spans="1:54" s="178" customFormat="1" x14ac:dyDescent="0.3">
      <c r="A130" s="179" t="s">
        <v>564</v>
      </c>
      <c r="B130" s="62" t="s">
        <v>463</v>
      </c>
      <c r="C130" s="61" t="s">
        <v>651</v>
      </c>
      <c r="D130" s="61" t="s">
        <v>652</v>
      </c>
      <c r="E130" s="180" t="s">
        <v>549</v>
      </c>
      <c r="F130" s="180" t="s">
        <v>489</v>
      </c>
      <c r="G130" s="180" t="s">
        <v>349</v>
      </c>
      <c r="H130" s="180" t="s">
        <v>466</v>
      </c>
      <c r="I130" s="63">
        <v>16</v>
      </c>
      <c r="J130" s="63">
        <v>2.4</v>
      </c>
      <c r="K130" s="63"/>
      <c r="L130" s="63">
        <v>1.97</v>
      </c>
      <c r="M130" s="63">
        <f>4*0.6</f>
        <v>2.4</v>
      </c>
      <c r="N130" s="181">
        <v>84</v>
      </c>
      <c r="O130" s="181"/>
      <c r="P130" s="181"/>
      <c r="Q130" s="63"/>
      <c r="R130" s="63"/>
      <c r="S130" s="63"/>
      <c r="T130" s="63">
        <v>4277</v>
      </c>
      <c r="U130" s="182">
        <f>T130*1.2</f>
        <v>5132.3999999999996</v>
      </c>
      <c r="V130" s="183">
        <v>2016</v>
      </c>
      <c r="W130" s="63">
        <v>26.5</v>
      </c>
      <c r="X130" s="63">
        <v>2.4</v>
      </c>
      <c r="Y130" s="63"/>
      <c r="Z130" s="63">
        <v>95</v>
      </c>
      <c r="AA130" s="63">
        <v>73</v>
      </c>
      <c r="AB130" s="63">
        <v>73</v>
      </c>
      <c r="AC130" s="63">
        <v>0.65</v>
      </c>
      <c r="AD130" s="184">
        <v>87</v>
      </c>
      <c r="AE130" s="63" t="s">
        <v>312</v>
      </c>
      <c r="AF130" s="185">
        <f t="shared" ref="AF130:AG145" si="24">IF(I130="","",$U130/I130)</f>
        <v>320.77499999999998</v>
      </c>
      <c r="AG130" s="185">
        <f t="shared" si="24"/>
        <v>2138.5</v>
      </c>
      <c r="AH130" s="185">
        <f t="shared" si="11"/>
        <v>2605.2791878172588</v>
      </c>
      <c r="AI130" s="186" t="str">
        <f t="shared" si="12"/>
        <v/>
      </c>
      <c r="AJ130" s="186" t="str">
        <f t="shared" si="13"/>
        <v/>
      </c>
      <c r="AK130" s="186" t="str">
        <f t="shared" si="14"/>
        <v/>
      </c>
      <c r="AL130" s="186" t="str">
        <f t="shared" si="15"/>
        <v/>
      </c>
      <c r="AM130" s="186" t="str">
        <f t="shared" si="16"/>
        <v/>
      </c>
      <c r="AN130" s="186" t="str">
        <f t="shared" si="17"/>
        <v/>
      </c>
      <c r="AO130" s="165">
        <f t="shared" si="18"/>
        <v>124</v>
      </c>
      <c r="AP130" s="165">
        <f>IF(AND(LEFT(PQS_tbl[[#This Row],[D]],3)=$AP$6,PQS_tbl[[#This Row],[I]]&gt;0),$AO130,"")</f>
        <v>124</v>
      </c>
      <c r="AQ130" s="165" t="str">
        <f>IFERROR(SMALL($AP$7:AP$182,ROWS($AP$7:AP130)),"")</f>
        <v/>
      </c>
      <c r="AR130" s="165" t="str">
        <f>IFERROR(INDEX(PQS_tbl[C],AQ130),"")</f>
        <v/>
      </c>
      <c r="AS130" s="165" t="str">
        <f>IF(AND(LEFT(PQS_tbl[[#This Row],[D]],3)=$AS$6,PQS_tbl[[#This Row],[I]]=0,PQS_tbl[[#This Row],[J]]&gt;0),$AO130,"")</f>
        <v/>
      </c>
      <c r="AT130" s="165" t="str">
        <f>IFERROR(SMALL($AS$7:AS$178,ROWS($AS$7:AS130)),"")</f>
        <v/>
      </c>
      <c r="AU130" s="165" t="str">
        <f>IFERROR(INDEX(PQS_tbl[C],AT130),"")</f>
        <v/>
      </c>
      <c r="AV130" s="165">
        <f>IF(LEFT(PQS_tbl[[#This Row],[E]],1)="S",$AP130,"")</f>
        <v>124</v>
      </c>
      <c r="AW130" s="165" t="str">
        <f>IFERROR(SMALL($AV$7:AV$178,ROWS($AV$7:AV130)),"")</f>
        <v/>
      </c>
      <c r="AX130" s="165" t="str">
        <f>IFERROR(INDEX(PQS_tbl[C],AW130),"")</f>
        <v/>
      </c>
      <c r="AY130" s="165" t="str">
        <f>IF(LEFT(PQS_tbl[[#This Row],[E]],1)="S",$AS130,"")</f>
        <v/>
      </c>
      <c r="AZ130" s="165" t="str">
        <f>IFERROR(SMALL($AY$7:AY$178,ROWS($AY$7:AY130)),"")</f>
        <v/>
      </c>
      <c r="BA130" s="165" t="str">
        <f>IFERROR(INDEX(PQS_tbl[C],AZ130),"")</f>
        <v/>
      </c>
      <c r="BB130" s="165" t="str">
        <f>IF(AND(LEFT(PQS_tbl[[#This Row],[D]],3)=$BB$6,PQS_tbl[[#This Row],[K]]&gt;0),$AO130,"")</f>
        <v/>
      </c>
    </row>
    <row r="131" spans="1:54" s="178" customFormat="1" x14ac:dyDescent="0.3">
      <c r="A131" s="179" t="s">
        <v>560</v>
      </c>
      <c r="B131" s="62" t="s">
        <v>385</v>
      </c>
      <c r="C131" s="61" t="s">
        <v>653</v>
      </c>
      <c r="D131" s="61" t="s">
        <v>654</v>
      </c>
      <c r="E131" s="180" t="s">
        <v>488</v>
      </c>
      <c r="F131" s="180" t="s">
        <v>489</v>
      </c>
      <c r="G131" s="180" t="s">
        <v>349</v>
      </c>
      <c r="H131" s="180" t="s">
        <v>466</v>
      </c>
      <c r="I131" s="63">
        <v>52.5</v>
      </c>
      <c r="J131" s="63"/>
      <c r="K131" s="63"/>
      <c r="L131" s="63"/>
      <c r="M131" s="63"/>
      <c r="N131" s="181">
        <v>74.150000000000006</v>
      </c>
      <c r="O131" s="181"/>
      <c r="P131" s="181"/>
      <c r="Q131" s="63"/>
      <c r="R131" s="63"/>
      <c r="S131" s="63"/>
      <c r="T131" s="63">
        <v>2750</v>
      </c>
      <c r="U131" s="182">
        <f>T131*1.2</f>
        <v>3300</v>
      </c>
      <c r="V131" s="183">
        <v>2016</v>
      </c>
      <c r="W131" s="63">
        <v>82</v>
      </c>
      <c r="X131" s="63"/>
      <c r="Y131" s="63"/>
      <c r="Z131" s="63">
        <v>96</v>
      </c>
      <c r="AA131" s="63">
        <v>100</v>
      </c>
      <c r="AB131" s="63">
        <v>74</v>
      </c>
      <c r="AC131" s="63">
        <v>1.02</v>
      </c>
      <c r="AD131" s="184">
        <v>129</v>
      </c>
      <c r="AE131" s="63" t="s">
        <v>312</v>
      </c>
      <c r="AF131" s="185">
        <f t="shared" si="24"/>
        <v>62.857142857142854</v>
      </c>
      <c r="AG131" s="185" t="str">
        <f t="shared" si="24"/>
        <v/>
      </c>
      <c r="AH131" s="185" t="str">
        <f t="shared" si="11"/>
        <v/>
      </c>
      <c r="AI131" s="186" t="str">
        <f t="shared" si="12"/>
        <v/>
      </c>
      <c r="AJ131" s="186" t="str">
        <f t="shared" si="13"/>
        <v/>
      </c>
      <c r="AK131" s="186" t="str">
        <f t="shared" si="14"/>
        <v/>
      </c>
      <c r="AL131" s="186" t="str">
        <f t="shared" si="15"/>
        <v/>
      </c>
      <c r="AM131" s="186" t="str">
        <f t="shared" si="16"/>
        <v/>
      </c>
      <c r="AN131" s="186" t="str">
        <f t="shared" si="17"/>
        <v/>
      </c>
      <c r="AO131" s="165">
        <f t="shared" si="18"/>
        <v>125</v>
      </c>
      <c r="AP131" s="165">
        <f>IF(AND(LEFT(PQS_tbl[[#This Row],[D]],3)=$AP$6,PQS_tbl[[#This Row],[I]]&gt;0),$AO131,"")</f>
        <v>125</v>
      </c>
      <c r="AQ131" s="165" t="str">
        <f>IFERROR(SMALL($AP$7:AP$182,ROWS($AP$7:AP131)),"")</f>
        <v/>
      </c>
      <c r="AR131" s="165" t="str">
        <f>IFERROR(INDEX(PQS_tbl[C],AQ131),"")</f>
        <v/>
      </c>
      <c r="AS131" s="165" t="str">
        <f>IF(AND(LEFT(PQS_tbl[[#This Row],[D]],3)=$AS$6,PQS_tbl[[#This Row],[I]]=0,PQS_tbl[[#This Row],[J]]&gt;0),$AO131,"")</f>
        <v/>
      </c>
      <c r="AT131" s="165" t="str">
        <f>IFERROR(SMALL($AS$7:AS$178,ROWS($AS$7:AS131)),"")</f>
        <v/>
      </c>
      <c r="AU131" s="165" t="str">
        <f>IFERROR(INDEX(PQS_tbl[C],AT131),"")</f>
        <v/>
      </c>
      <c r="AV131" s="165">
        <f>IF(LEFT(PQS_tbl[[#This Row],[E]],1)="S",$AP131,"")</f>
        <v>125</v>
      </c>
      <c r="AW131" s="165" t="str">
        <f>IFERROR(SMALL($AV$7:AV$178,ROWS($AV$7:AV131)),"")</f>
        <v/>
      </c>
      <c r="AX131" s="165" t="str">
        <f>IFERROR(INDEX(PQS_tbl[C],AW131),"")</f>
        <v/>
      </c>
      <c r="AY131" s="165" t="str">
        <f>IF(LEFT(PQS_tbl[[#This Row],[E]],1)="S",$AS131,"")</f>
        <v/>
      </c>
      <c r="AZ131" s="165" t="str">
        <f>IFERROR(SMALL($AY$7:AY$178,ROWS($AY$7:AY131)),"")</f>
        <v/>
      </c>
      <c r="BA131" s="165" t="str">
        <f>IFERROR(INDEX(PQS_tbl[C],AZ131),"")</f>
        <v/>
      </c>
      <c r="BB131" s="165" t="str">
        <f>IF(AND(LEFT(PQS_tbl[[#This Row],[D]],3)=$BB$6,PQS_tbl[[#This Row],[K]]&gt;0),$AO131,"")</f>
        <v/>
      </c>
    </row>
    <row r="132" spans="1:54" s="178" customFormat="1" x14ac:dyDescent="0.3">
      <c r="A132" s="189" t="s">
        <v>612</v>
      </c>
      <c r="B132" s="190" t="s">
        <v>607</v>
      </c>
      <c r="C132" s="191" t="s">
        <v>655</v>
      </c>
      <c r="D132" s="191" t="s">
        <v>656</v>
      </c>
      <c r="E132" s="192" t="s">
        <v>363</v>
      </c>
      <c r="F132" s="192" t="s">
        <v>348</v>
      </c>
      <c r="G132" s="192" t="s">
        <v>349</v>
      </c>
      <c r="H132" s="192" t="s">
        <v>466</v>
      </c>
      <c r="I132" s="193">
        <v>50</v>
      </c>
      <c r="J132" s="193"/>
      <c r="K132" s="193"/>
      <c r="L132" s="193"/>
      <c r="M132" s="193"/>
      <c r="N132" s="194">
        <v>135</v>
      </c>
      <c r="O132" s="194"/>
      <c r="P132" s="194"/>
      <c r="Q132" s="193">
        <v>0.77</v>
      </c>
      <c r="R132" s="193"/>
      <c r="S132" s="193"/>
      <c r="T132" s="193">
        <v>1400</v>
      </c>
      <c r="U132" s="195">
        <v>1400</v>
      </c>
      <c r="V132" s="196">
        <v>2016</v>
      </c>
      <c r="W132" s="193">
        <v>68</v>
      </c>
      <c r="X132" s="193"/>
      <c r="Y132" s="193"/>
      <c r="Z132" s="193">
        <v>158.80000000000001</v>
      </c>
      <c r="AA132" s="193">
        <v>54.5</v>
      </c>
      <c r="AB132" s="193">
        <v>65.5</v>
      </c>
      <c r="AC132" s="193">
        <v>0.77</v>
      </c>
      <c r="AD132" s="197">
        <v>100</v>
      </c>
      <c r="AE132" s="63" t="s">
        <v>312</v>
      </c>
      <c r="AF132" s="185">
        <f t="shared" si="24"/>
        <v>28</v>
      </c>
      <c r="AG132" s="185" t="str">
        <f t="shared" si="24"/>
        <v/>
      </c>
      <c r="AH132" s="185" t="str">
        <f t="shared" si="11"/>
        <v/>
      </c>
      <c r="AI132" s="186">
        <f t="shared" si="12"/>
        <v>1.54E-2</v>
      </c>
      <c r="AJ132" s="186" t="str">
        <f t="shared" si="13"/>
        <v/>
      </c>
      <c r="AK132" s="186" t="str">
        <f t="shared" si="14"/>
        <v/>
      </c>
      <c r="AL132" s="186" t="str">
        <f t="shared" si="15"/>
        <v/>
      </c>
      <c r="AM132" s="186" t="str">
        <f t="shared" si="16"/>
        <v/>
      </c>
      <c r="AN132" s="186" t="str">
        <f t="shared" si="17"/>
        <v/>
      </c>
      <c r="AO132" s="165">
        <f t="shared" si="18"/>
        <v>126</v>
      </c>
      <c r="AP132" s="165">
        <f>IF(AND(LEFT(PQS_tbl[[#This Row],[D]],3)=$AP$6,PQS_tbl[[#This Row],[I]]&gt;0),$AO132,"")</f>
        <v>126</v>
      </c>
      <c r="AQ132" s="165" t="str">
        <f>IFERROR(SMALL($AP$7:AP$182,ROWS($AP$7:AP132)),"")</f>
        <v/>
      </c>
      <c r="AR132" s="165" t="str">
        <f>IFERROR(INDEX(PQS_tbl[C],AQ132),"")</f>
        <v/>
      </c>
      <c r="AS132" s="165" t="str">
        <f>IF(AND(LEFT(PQS_tbl[[#This Row],[D]],3)=$AS$6,PQS_tbl[[#This Row],[I]]=0,PQS_tbl[[#This Row],[J]]&gt;0),$AO132,"")</f>
        <v/>
      </c>
      <c r="AT132" s="165" t="str">
        <f>IFERROR(SMALL($AS$7:AS$178,ROWS($AS$7:AS132)),"")</f>
        <v/>
      </c>
      <c r="AU132" s="165" t="str">
        <f>IFERROR(INDEX(PQS_tbl[C],AT132),"")</f>
        <v/>
      </c>
      <c r="AV132" s="165" t="str">
        <f>IF(LEFT(PQS_tbl[[#This Row],[E]],1)="S",$AP132,"")</f>
        <v/>
      </c>
      <c r="AW132" s="165" t="str">
        <f>IFERROR(SMALL($AV$7:AV$178,ROWS($AV$7:AV132)),"")</f>
        <v/>
      </c>
      <c r="AX132" s="165" t="str">
        <f>IFERROR(INDEX(PQS_tbl[C],AW132),"")</f>
        <v/>
      </c>
      <c r="AY132" s="165" t="str">
        <f>IF(LEFT(PQS_tbl[[#This Row],[E]],1)="S",$AS132,"")</f>
        <v/>
      </c>
      <c r="AZ132" s="165" t="str">
        <f>IFERROR(SMALL($AY$7:AY$178,ROWS($AY$7:AY132)),"")</f>
        <v/>
      </c>
      <c r="BA132" s="165" t="str">
        <f>IFERROR(INDEX(PQS_tbl[C],AZ132),"")</f>
        <v/>
      </c>
      <c r="BB132" s="165" t="str">
        <f>IF(AND(LEFT(PQS_tbl[[#This Row],[D]],3)=$BB$6,PQS_tbl[[#This Row],[K]]&gt;0),$AO132,"")</f>
        <v/>
      </c>
    </row>
    <row r="133" spans="1:54" s="178" customFormat="1" x14ac:dyDescent="0.3">
      <c r="A133" s="179" t="s">
        <v>657</v>
      </c>
      <c r="B133" s="62" t="s">
        <v>573</v>
      </c>
      <c r="C133" s="61" t="s">
        <v>658</v>
      </c>
      <c r="D133" s="61" t="s">
        <v>659</v>
      </c>
      <c r="E133" s="180" t="s">
        <v>363</v>
      </c>
      <c r="F133" s="180" t="s">
        <v>489</v>
      </c>
      <c r="G133" s="180" t="s">
        <v>349</v>
      </c>
      <c r="H133" s="180" t="s">
        <v>466</v>
      </c>
      <c r="I133" s="63">
        <v>51</v>
      </c>
      <c r="J133" s="63"/>
      <c r="K133" s="63"/>
      <c r="L133" s="63"/>
      <c r="M133" s="63"/>
      <c r="N133" s="181">
        <v>89.43</v>
      </c>
      <c r="O133" s="181"/>
      <c r="P133" s="181"/>
      <c r="Q133" s="63">
        <v>2.04</v>
      </c>
      <c r="R133" s="63"/>
      <c r="S133" s="63"/>
      <c r="T133" s="63">
        <v>900</v>
      </c>
      <c r="U133" s="182">
        <v>900</v>
      </c>
      <c r="V133" s="183">
        <v>2016</v>
      </c>
      <c r="W133" s="63">
        <v>69</v>
      </c>
      <c r="X133" s="63"/>
      <c r="Y133" s="63"/>
      <c r="Z133" s="63">
        <v>151.5</v>
      </c>
      <c r="AA133" s="63">
        <v>73.5</v>
      </c>
      <c r="AB133" s="63">
        <v>62</v>
      </c>
      <c r="AC133" s="63">
        <v>0.86</v>
      </c>
      <c r="AD133" s="184">
        <v>115</v>
      </c>
      <c r="AE133" s="63" t="s">
        <v>312</v>
      </c>
      <c r="AF133" s="185">
        <f t="shared" si="24"/>
        <v>17.647058823529413</v>
      </c>
      <c r="AG133" s="185" t="str">
        <f t="shared" si="24"/>
        <v/>
      </c>
      <c r="AH133" s="185" t="str">
        <f t="shared" si="11"/>
        <v/>
      </c>
      <c r="AI133" s="186">
        <f t="shared" si="12"/>
        <v>0.04</v>
      </c>
      <c r="AJ133" s="186" t="str">
        <f t="shared" si="13"/>
        <v/>
      </c>
      <c r="AK133" s="186" t="str">
        <f t="shared" si="14"/>
        <v/>
      </c>
      <c r="AL133" s="186" t="str">
        <f t="shared" si="15"/>
        <v/>
      </c>
      <c r="AM133" s="186" t="str">
        <f t="shared" si="16"/>
        <v/>
      </c>
      <c r="AN133" s="186" t="str">
        <f t="shared" si="17"/>
        <v/>
      </c>
      <c r="AO133" s="165">
        <f t="shared" si="18"/>
        <v>127</v>
      </c>
      <c r="AP133" s="165">
        <f>IF(AND(LEFT(PQS_tbl[[#This Row],[D]],3)=$AP$6,PQS_tbl[[#This Row],[I]]&gt;0),$AO133,"")</f>
        <v>127</v>
      </c>
      <c r="AQ133" s="165" t="str">
        <f>IFERROR(SMALL($AP$7:AP$182,ROWS($AP$7:AP133)),"")</f>
        <v/>
      </c>
      <c r="AR133" s="165" t="str">
        <f>IFERROR(INDEX(PQS_tbl[C],AQ133),"")</f>
        <v/>
      </c>
      <c r="AS133" s="165" t="str">
        <f>IF(AND(LEFT(PQS_tbl[[#This Row],[D]],3)=$AS$6,PQS_tbl[[#This Row],[I]]=0,PQS_tbl[[#This Row],[J]]&gt;0),$AO133,"")</f>
        <v/>
      </c>
      <c r="AT133" s="165" t="str">
        <f>IFERROR(SMALL($AS$7:AS$178,ROWS($AS$7:AS133)),"")</f>
        <v/>
      </c>
      <c r="AU133" s="165" t="str">
        <f>IFERROR(INDEX(PQS_tbl[C],AT133),"")</f>
        <v/>
      </c>
      <c r="AV133" s="165" t="str">
        <f>IF(LEFT(PQS_tbl[[#This Row],[E]],1)="S",$AP133,"")</f>
        <v/>
      </c>
      <c r="AW133" s="165" t="str">
        <f>IFERROR(SMALL($AV$7:AV$178,ROWS($AV$7:AV133)),"")</f>
        <v/>
      </c>
      <c r="AX133" s="165" t="str">
        <f>IFERROR(INDEX(PQS_tbl[C],AW133),"")</f>
        <v/>
      </c>
      <c r="AY133" s="165" t="str">
        <f>IF(LEFT(PQS_tbl[[#This Row],[E]],1)="S",$AS133,"")</f>
        <v/>
      </c>
      <c r="AZ133" s="165" t="str">
        <f>IFERROR(SMALL($AY$7:AY$178,ROWS($AY$7:AY133)),"")</f>
        <v/>
      </c>
      <c r="BA133" s="165" t="str">
        <f>IFERROR(INDEX(PQS_tbl[C],AZ133),"")</f>
        <v/>
      </c>
      <c r="BB133" s="165" t="str">
        <f>IF(AND(LEFT(PQS_tbl[[#This Row],[D]],3)=$BB$6,PQS_tbl[[#This Row],[K]]&gt;0),$AO133,"")</f>
        <v/>
      </c>
    </row>
    <row r="134" spans="1:54" s="178" customFormat="1" x14ac:dyDescent="0.3">
      <c r="A134" s="179" t="s">
        <v>657</v>
      </c>
      <c r="B134" s="62" t="s">
        <v>573</v>
      </c>
      <c r="C134" s="61" t="s">
        <v>660</v>
      </c>
      <c r="D134" s="61" t="s">
        <v>661</v>
      </c>
      <c r="E134" s="180" t="s">
        <v>363</v>
      </c>
      <c r="F134" s="180" t="s">
        <v>489</v>
      </c>
      <c r="G134" s="180" t="s">
        <v>349</v>
      </c>
      <c r="H134" s="180" t="s">
        <v>466</v>
      </c>
      <c r="I134" s="63">
        <v>72.5</v>
      </c>
      <c r="J134" s="63"/>
      <c r="K134" s="63"/>
      <c r="L134" s="63"/>
      <c r="M134" s="63"/>
      <c r="N134" s="181">
        <v>81</v>
      </c>
      <c r="O134" s="181"/>
      <c r="P134" s="181"/>
      <c r="Q134" s="63">
        <v>2.77</v>
      </c>
      <c r="R134" s="63"/>
      <c r="S134" s="63"/>
      <c r="T134" s="63">
        <v>972</v>
      </c>
      <c r="U134" s="182">
        <v>972</v>
      </c>
      <c r="V134" s="183">
        <v>2016</v>
      </c>
      <c r="W134" s="63">
        <v>99</v>
      </c>
      <c r="X134" s="63"/>
      <c r="Y134" s="63"/>
      <c r="Z134" s="63">
        <v>151</v>
      </c>
      <c r="AA134" s="63">
        <v>73.5</v>
      </c>
      <c r="AB134" s="63">
        <v>62</v>
      </c>
      <c r="AC134" s="63">
        <v>0.86</v>
      </c>
      <c r="AD134" s="184">
        <v>115</v>
      </c>
      <c r="AE134" s="63" t="s">
        <v>312</v>
      </c>
      <c r="AF134" s="185">
        <f t="shared" si="24"/>
        <v>13.406896551724138</v>
      </c>
      <c r="AG134" s="185" t="str">
        <f t="shared" si="24"/>
        <v/>
      </c>
      <c r="AH134" s="185" t="str">
        <f t="shared" si="11"/>
        <v/>
      </c>
      <c r="AI134" s="186">
        <f t="shared" si="12"/>
        <v>3.8206896551724136E-2</v>
      </c>
      <c r="AJ134" s="186" t="str">
        <f t="shared" si="13"/>
        <v/>
      </c>
      <c r="AK134" s="186" t="str">
        <f t="shared" si="14"/>
        <v/>
      </c>
      <c r="AL134" s="186" t="str">
        <f t="shared" si="15"/>
        <v/>
      </c>
      <c r="AM134" s="186" t="str">
        <f t="shared" si="16"/>
        <v/>
      </c>
      <c r="AN134" s="186" t="str">
        <f t="shared" si="17"/>
        <v/>
      </c>
      <c r="AO134" s="165">
        <f t="shared" si="18"/>
        <v>128</v>
      </c>
      <c r="AP134" s="165">
        <f>IF(AND(LEFT(PQS_tbl[[#This Row],[D]],3)=$AP$6,PQS_tbl[[#This Row],[I]]&gt;0),$AO134,"")</f>
        <v>128</v>
      </c>
      <c r="AQ134" s="165" t="str">
        <f>IFERROR(SMALL($AP$7:AP$182,ROWS($AP$7:AP134)),"")</f>
        <v/>
      </c>
      <c r="AR134" s="165" t="str">
        <f>IFERROR(INDEX(PQS_tbl[C],AQ134),"")</f>
        <v/>
      </c>
      <c r="AS134" s="165" t="str">
        <f>IF(AND(LEFT(PQS_tbl[[#This Row],[D]],3)=$AS$6,PQS_tbl[[#This Row],[I]]=0,PQS_tbl[[#This Row],[J]]&gt;0),$AO134,"")</f>
        <v/>
      </c>
      <c r="AT134" s="165" t="str">
        <f>IFERROR(SMALL($AS$7:AS$178,ROWS($AS$7:AS134)),"")</f>
        <v/>
      </c>
      <c r="AU134" s="165" t="str">
        <f>IFERROR(INDEX(PQS_tbl[C],AT134),"")</f>
        <v/>
      </c>
      <c r="AV134" s="165" t="str">
        <f>IF(LEFT(PQS_tbl[[#This Row],[E]],1)="S",$AP134,"")</f>
        <v/>
      </c>
      <c r="AW134" s="165" t="str">
        <f>IFERROR(SMALL($AV$7:AV$178,ROWS($AV$7:AV134)),"")</f>
        <v/>
      </c>
      <c r="AX134" s="165" t="str">
        <f>IFERROR(INDEX(PQS_tbl[C],AW134),"")</f>
        <v/>
      </c>
      <c r="AY134" s="165" t="str">
        <f>IF(LEFT(PQS_tbl[[#This Row],[E]],1)="S",$AS134,"")</f>
        <v/>
      </c>
      <c r="AZ134" s="165" t="str">
        <f>IFERROR(SMALL($AY$7:AY$178,ROWS($AY$7:AY134)),"")</f>
        <v/>
      </c>
      <c r="BA134" s="165" t="str">
        <f>IFERROR(INDEX(PQS_tbl[C],AZ134),"")</f>
        <v/>
      </c>
      <c r="BB134" s="165" t="str">
        <f>IF(AND(LEFT(PQS_tbl[[#This Row],[D]],3)=$BB$6,PQS_tbl[[#This Row],[K]]&gt;0),$AO134,"")</f>
        <v/>
      </c>
    </row>
    <row r="135" spans="1:54" s="178" customFormat="1" x14ac:dyDescent="0.3">
      <c r="A135" s="179" t="s">
        <v>657</v>
      </c>
      <c r="B135" s="62" t="s">
        <v>573</v>
      </c>
      <c r="C135" s="61" t="s">
        <v>662</v>
      </c>
      <c r="D135" s="61" t="s">
        <v>663</v>
      </c>
      <c r="E135" s="180" t="s">
        <v>363</v>
      </c>
      <c r="F135" s="180" t="s">
        <v>489</v>
      </c>
      <c r="G135" s="180" t="s">
        <v>349</v>
      </c>
      <c r="H135" s="180" t="s">
        <v>466</v>
      </c>
      <c r="I135" s="63">
        <v>98.5</v>
      </c>
      <c r="J135" s="63"/>
      <c r="K135" s="63"/>
      <c r="L135" s="63"/>
      <c r="M135" s="63"/>
      <c r="N135" s="181">
        <v>59.34</v>
      </c>
      <c r="O135" s="181"/>
      <c r="P135" s="181"/>
      <c r="Q135" s="63">
        <v>1.73</v>
      </c>
      <c r="R135" s="63"/>
      <c r="S135" s="63"/>
      <c r="T135" s="63">
        <v>1050</v>
      </c>
      <c r="U135" s="182">
        <v>1050</v>
      </c>
      <c r="V135" s="183">
        <v>2016</v>
      </c>
      <c r="W135" s="63">
        <v>124</v>
      </c>
      <c r="X135" s="63"/>
      <c r="Y135" s="63"/>
      <c r="Z135" s="63">
        <v>170</v>
      </c>
      <c r="AA135" s="63">
        <v>73.5</v>
      </c>
      <c r="AB135" s="63">
        <v>62</v>
      </c>
      <c r="AC135" s="63">
        <v>0.95</v>
      </c>
      <c r="AD135" s="184">
        <v>125</v>
      </c>
      <c r="AE135" s="63" t="s">
        <v>312</v>
      </c>
      <c r="AF135" s="185">
        <f t="shared" si="24"/>
        <v>10.659898477157361</v>
      </c>
      <c r="AG135" s="185" t="str">
        <f t="shared" si="24"/>
        <v/>
      </c>
      <c r="AH135" s="185" t="str">
        <f t="shared" ref="AH135:AH186" si="25">IF(L135="","",$U135/L135)</f>
        <v/>
      </c>
      <c r="AI135" s="186">
        <f t="shared" ref="AI135:AI186" si="26">IF(OR(I135="",Q135=""),"",Q135/I135)</f>
        <v>1.7563451776649745E-2</v>
      </c>
      <c r="AJ135" s="186" t="str">
        <f t="shared" ref="AJ135:AJ186" si="27">IF(OR(I135="",S135=""),"",S135/I135)</f>
        <v/>
      </c>
      <c r="AK135" s="186" t="str">
        <f t="shared" ref="AK135:AK186" si="28">IF(OR(J135="",Q135=""),"",Q135/J135)</f>
        <v/>
      </c>
      <c r="AL135" s="186" t="str">
        <f t="shared" ref="AL135:AL186" si="29">IF(OR(J135="",S135=""),"",S135/J135)</f>
        <v/>
      </c>
      <c r="AM135" s="186" t="str">
        <f t="shared" ref="AM135:AM186" si="30">IF(OR(L135="",Q135=""),"",Q135/L135)</f>
        <v/>
      </c>
      <c r="AN135" s="186" t="str">
        <f t="shared" ref="AN135:AN186" si="31">IF(OR(L135="",S135=""),"",S135/L135)</f>
        <v/>
      </c>
      <c r="AO135" s="165">
        <f t="shared" si="18"/>
        <v>129</v>
      </c>
      <c r="AP135" s="165">
        <f>IF(AND(LEFT(PQS_tbl[[#This Row],[D]],3)=$AP$6,PQS_tbl[[#This Row],[I]]&gt;0),$AO135,"")</f>
        <v>129</v>
      </c>
      <c r="AQ135" s="165" t="str">
        <f>IFERROR(SMALL($AP$7:AP$182,ROWS($AP$7:AP135)),"")</f>
        <v/>
      </c>
      <c r="AR135" s="165" t="str">
        <f>IFERROR(INDEX(PQS_tbl[C],AQ135),"")</f>
        <v/>
      </c>
      <c r="AS135" s="165" t="str">
        <f>IF(AND(LEFT(PQS_tbl[[#This Row],[D]],3)=$AS$6,PQS_tbl[[#This Row],[I]]=0,PQS_tbl[[#This Row],[J]]&gt;0),$AO135,"")</f>
        <v/>
      </c>
      <c r="AT135" s="165" t="str">
        <f>IFERROR(SMALL($AS$7:AS$178,ROWS($AS$7:AS135)),"")</f>
        <v/>
      </c>
      <c r="AU135" s="165" t="str">
        <f>IFERROR(INDEX(PQS_tbl[C],AT135),"")</f>
        <v/>
      </c>
      <c r="AV135" s="165" t="str">
        <f>IF(LEFT(PQS_tbl[[#This Row],[E]],1)="S",$AP135,"")</f>
        <v/>
      </c>
      <c r="AW135" s="165" t="str">
        <f>IFERROR(SMALL($AV$7:AV$178,ROWS($AV$7:AV135)),"")</f>
        <v/>
      </c>
      <c r="AX135" s="165" t="str">
        <f>IFERROR(INDEX(PQS_tbl[C],AW135),"")</f>
        <v/>
      </c>
      <c r="AY135" s="165" t="str">
        <f>IF(LEFT(PQS_tbl[[#This Row],[E]],1)="S",$AS135,"")</f>
        <v/>
      </c>
      <c r="AZ135" s="165" t="str">
        <f>IFERROR(SMALL($AY$7:AY$178,ROWS($AY$7:AY135)),"")</f>
        <v/>
      </c>
      <c r="BA135" s="165" t="str">
        <f>IFERROR(INDEX(PQS_tbl[C],AZ135),"")</f>
        <v/>
      </c>
      <c r="BB135" s="165" t="str">
        <f>IF(AND(LEFT(PQS_tbl[[#This Row],[D]],3)=$BB$6,PQS_tbl[[#This Row],[K]]&gt;0),$AO135,"")</f>
        <v/>
      </c>
    </row>
    <row r="136" spans="1:54" s="178" customFormat="1" x14ac:dyDescent="0.3">
      <c r="A136" s="179" t="s">
        <v>657</v>
      </c>
      <c r="B136" s="62" t="s">
        <v>573</v>
      </c>
      <c r="C136" s="61" t="s">
        <v>664</v>
      </c>
      <c r="D136" s="61" t="s">
        <v>665</v>
      </c>
      <c r="E136" s="180" t="s">
        <v>363</v>
      </c>
      <c r="F136" s="180" t="s">
        <v>489</v>
      </c>
      <c r="G136" s="180" t="s">
        <v>349</v>
      </c>
      <c r="H136" s="180" t="s">
        <v>466</v>
      </c>
      <c r="I136" s="63">
        <v>225</v>
      </c>
      <c r="J136" s="63"/>
      <c r="K136" s="63"/>
      <c r="L136" s="63"/>
      <c r="M136" s="63"/>
      <c r="N136" s="181">
        <v>55</v>
      </c>
      <c r="O136" s="181"/>
      <c r="P136" s="181"/>
      <c r="Q136" s="63">
        <v>2.38</v>
      </c>
      <c r="R136" s="63"/>
      <c r="S136" s="63"/>
      <c r="T136" s="63">
        <v>1800</v>
      </c>
      <c r="U136" s="182">
        <v>1800</v>
      </c>
      <c r="V136" s="183">
        <v>2016</v>
      </c>
      <c r="W136" s="63">
        <v>278</v>
      </c>
      <c r="X136" s="63"/>
      <c r="Y136" s="63"/>
      <c r="Z136" s="63">
        <v>182</v>
      </c>
      <c r="AA136" s="63">
        <v>79.5</v>
      </c>
      <c r="AB136" s="63">
        <v>75</v>
      </c>
      <c r="AC136" s="63">
        <v>1.3</v>
      </c>
      <c r="AD136" s="184">
        <v>160</v>
      </c>
      <c r="AE136" s="63" t="s">
        <v>312</v>
      </c>
      <c r="AF136" s="185">
        <f t="shared" si="24"/>
        <v>8</v>
      </c>
      <c r="AG136" s="185" t="str">
        <f t="shared" si="24"/>
        <v/>
      </c>
      <c r="AH136" s="185" t="str">
        <f t="shared" si="25"/>
        <v/>
      </c>
      <c r="AI136" s="186">
        <f t="shared" si="26"/>
        <v>1.0577777777777778E-2</v>
      </c>
      <c r="AJ136" s="186" t="str">
        <f t="shared" si="27"/>
        <v/>
      </c>
      <c r="AK136" s="186" t="str">
        <f t="shared" si="28"/>
        <v/>
      </c>
      <c r="AL136" s="186" t="str">
        <f t="shared" si="29"/>
        <v/>
      </c>
      <c r="AM136" s="186" t="str">
        <f t="shared" si="30"/>
        <v/>
      </c>
      <c r="AN136" s="186" t="str">
        <f t="shared" si="31"/>
        <v/>
      </c>
      <c r="AO136" s="165">
        <f t="shared" si="18"/>
        <v>130</v>
      </c>
      <c r="AP136" s="165">
        <f>IF(AND(LEFT(PQS_tbl[[#This Row],[D]],3)=$AP$6,PQS_tbl[[#This Row],[I]]&gt;0),$AO136,"")</f>
        <v>130</v>
      </c>
      <c r="AQ136" s="165" t="str">
        <f>IFERROR(SMALL($AP$7:AP$182,ROWS($AP$7:AP136)),"")</f>
        <v/>
      </c>
      <c r="AR136" s="165" t="str">
        <f>IFERROR(INDEX(PQS_tbl[C],AQ136),"")</f>
        <v/>
      </c>
      <c r="AS136" s="165" t="str">
        <f>IF(AND(LEFT(PQS_tbl[[#This Row],[D]],3)=$AS$6,PQS_tbl[[#This Row],[I]]=0,PQS_tbl[[#This Row],[J]]&gt;0),$AO136,"")</f>
        <v/>
      </c>
      <c r="AT136" s="165" t="str">
        <f>IFERROR(SMALL($AS$7:AS$178,ROWS($AS$7:AS136)),"")</f>
        <v/>
      </c>
      <c r="AU136" s="165" t="str">
        <f>IFERROR(INDEX(PQS_tbl[C],AT136),"")</f>
        <v/>
      </c>
      <c r="AV136" s="165" t="str">
        <f>IF(LEFT(PQS_tbl[[#This Row],[E]],1)="S",$AP136,"")</f>
        <v/>
      </c>
      <c r="AW136" s="165" t="str">
        <f>IFERROR(SMALL($AV$7:AV$178,ROWS($AV$7:AV136)),"")</f>
        <v/>
      </c>
      <c r="AX136" s="165" t="str">
        <f>IFERROR(INDEX(PQS_tbl[C],AW136),"")</f>
        <v/>
      </c>
      <c r="AY136" s="165" t="str">
        <f>IF(LEFT(PQS_tbl[[#This Row],[E]],1)="S",$AS136,"")</f>
        <v/>
      </c>
      <c r="AZ136" s="165" t="str">
        <f>IFERROR(SMALL($AY$7:AY$178,ROWS($AY$7:AY136)),"")</f>
        <v/>
      </c>
      <c r="BA136" s="165" t="str">
        <f>IFERROR(INDEX(PQS_tbl[C],AZ136),"")</f>
        <v/>
      </c>
      <c r="BB136" s="165" t="str">
        <f>IF(AND(LEFT(PQS_tbl[[#This Row],[D]],3)=$BB$6,PQS_tbl[[#This Row],[K]]&gt;0),$AO136,"")</f>
        <v/>
      </c>
    </row>
    <row r="137" spans="1:54" x14ac:dyDescent="0.25">
      <c r="A137" s="189" t="s">
        <v>564</v>
      </c>
      <c r="B137" s="190" t="s">
        <v>385</v>
      </c>
      <c r="C137" s="191" t="s">
        <v>666</v>
      </c>
      <c r="D137" s="191" t="s">
        <v>667</v>
      </c>
      <c r="E137" s="192" t="s">
        <v>549</v>
      </c>
      <c r="F137" s="192" t="s">
        <v>489</v>
      </c>
      <c r="G137" s="192" t="s">
        <v>349</v>
      </c>
      <c r="H137" s="192" t="s">
        <v>466</v>
      </c>
      <c r="I137" s="193">
        <v>57</v>
      </c>
      <c r="J137" s="193">
        <v>24</v>
      </c>
      <c r="K137" s="193"/>
      <c r="L137" s="193">
        <f>4*0.6</f>
        <v>2.4</v>
      </c>
      <c r="M137" s="193">
        <f>23*0.6</f>
        <v>13.799999999999999</v>
      </c>
      <c r="N137" s="194">
        <v>82.48</v>
      </c>
      <c r="O137" s="194"/>
      <c r="P137" s="194"/>
      <c r="Q137" s="193"/>
      <c r="R137" s="193"/>
      <c r="S137" s="193"/>
      <c r="T137" s="193">
        <v>4750</v>
      </c>
      <c r="U137" s="195">
        <f>T137*1.2</f>
        <v>5700</v>
      </c>
      <c r="V137" s="196">
        <v>2016</v>
      </c>
      <c r="W137" s="193">
        <v>124</v>
      </c>
      <c r="X137" s="193"/>
      <c r="Y137" s="193"/>
      <c r="Z137" s="193">
        <v>95.9</v>
      </c>
      <c r="AA137" s="193">
        <v>128</v>
      </c>
      <c r="AB137" s="193">
        <v>74</v>
      </c>
      <c r="AC137" s="193">
        <v>1.2</v>
      </c>
      <c r="AD137" s="197">
        <v>170</v>
      </c>
      <c r="AE137" s="63" t="s">
        <v>312</v>
      </c>
      <c r="AF137" s="185">
        <f t="shared" si="24"/>
        <v>100</v>
      </c>
      <c r="AG137" s="185">
        <f t="shared" si="24"/>
        <v>237.5</v>
      </c>
      <c r="AH137" s="185">
        <f t="shared" si="25"/>
        <v>2375</v>
      </c>
      <c r="AI137" s="186" t="str">
        <f t="shared" si="26"/>
        <v/>
      </c>
      <c r="AJ137" s="186" t="str">
        <f t="shared" si="27"/>
        <v/>
      </c>
      <c r="AK137" s="186" t="str">
        <f t="shared" si="28"/>
        <v/>
      </c>
      <c r="AL137" s="186" t="str">
        <f t="shared" si="29"/>
        <v/>
      </c>
      <c r="AM137" s="186" t="str">
        <f t="shared" si="30"/>
        <v/>
      </c>
      <c r="AN137" s="186" t="str">
        <f t="shared" si="31"/>
        <v/>
      </c>
      <c r="AO137" s="165">
        <f t="shared" ref="AO137:AO186" si="32">AO136+1</f>
        <v>131</v>
      </c>
      <c r="AP137" s="165">
        <f>IF(AND(LEFT(PQS_tbl[[#This Row],[D]],3)=$AP$6,PQS_tbl[[#This Row],[I]]&gt;0),$AO137,"")</f>
        <v>131</v>
      </c>
      <c r="AQ137" s="165" t="str">
        <f>IFERROR(SMALL($AP$7:AP$182,ROWS($AP$7:AP137)),"")</f>
        <v/>
      </c>
      <c r="AR137" s="165" t="str">
        <f>IFERROR(INDEX(PQS_tbl[C],AQ137),"")</f>
        <v/>
      </c>
      <c r="AS137" s="165" t="str">
        <f>IF(AND(LEFT(PQS_tbl[[#This Row],[D]],3)=$AS$6,PQS_tbl[[#This Row],[I]]=0,PQS_tbl[[#This Row],[J]]&gt;0),$AO137,"")</f>
        <v/>
      </c>
      <c r="AT137" s="165" t="str">
        <f>IFERROR(SMALL($AS$7:AS$178,ROWS($AS$7:AS137)),"")</f>
        <v/>
      </c>
      <c r="AU137" s="165" t="str">
        <f>IFERROR(INDEX(PQS_tbl[C],AT137),"")</f>
        <v/>
      </c>
      <c r="AV137" s="165">
        <f>IF(LEFT(PQS_tbl[[#This Row],[E]],1)="S",$AP137,"")</f>
        <v>131</v>
      </c>
      <c r="AW137" s="165" t="str">
        <f>IFERROR(SMALL($AV$7:AV$178,ROWS($AV$7:AV137)),"")</f>
        <v/>
      </c>
      <c r="AX137" s="165" t="str">
        <f>IFERROR(INDEX(PQS_tbl[C],AW137),"")</f>
        <v/>
      </c>
      <c r="AY137" s="165" t="str">
        <f>IF(LEFT(PQS_tbl[[#This Row],[E]],1)="S",$AS137,"")</f>
        <v/>
      </c>
      <c r="AZ137" s="165" t="str">
        <f>IFERROR(SMALL($AY$7:AY$178,ROWS($AY$7:AY137)),"")</f>
        <v/>
      </c>
      <c r="BA137" s="165" t="str">
        <f>IFERROR(INDEX(PQS_tbl[C],AZ137),"")</f>
        <v/>
      </c>
      <c r="BB137" s="165" t="str">
        <f>IF(AND(LEFT(PQS_tbl[[#This Row],[D]],3)=$BB$6,PQS_tbl[[#This Row],[K]]&gt;0),$AO137,"")</f>
        <v/>
      </c>
    </row>
    <row r="138" spans="1:54" x14ac:dyDescent="0.25">
      <c r="A138" s="179" t="s">
        <v>560</v>
      </c>
      <c r="B138" s="62" t="s">
        <v>385</v>
      </c>
      <c r="C138" s="61" t="s">
        <v>668</v>
      </c>
      <c r="D138" s="61" t="s">
        <v>669</v>
      </c>
      <c r="E138" s="180" t="s">
        <v>488</v>
      </c>
      <c r="F138" s="180" t="s">
        <v>489</v>
      </c>
      <c r="G138" s="180" t="s">
        <v>349</v>
      </c>
      <c r="H138" s="180" t="s">
        <v>466</v>
      </c>
      <c r="I138" s="63">
        <v>25.5</v>
      </c>
      <c r="J138" s="63"/>
      <c r="K138" s="63"/>
      <c r="L138" s="63"/>
      <c r="M138" s="63"/>
      <c r="N138" s="181">
        <v>72.09</v>
      </c>
      <c r="O138" s="181"/>
      <c r="P138" s="181"/>
      <c r="Q138" s="63"/>
      <c r="R138" s="63"/>
      <c r="S138" s="63"/>
      <c r="T138" s="63">
        <v>2500</v>
      </c>
      <c r="U138" s="182">
        <v>3000</v>
      </c>
      <c r="V138" s="183">
        <v>2017</v>
      </c>
      <c r="W138" s="63">
        <v>39</v>
      </c>
      <c r="X138" s="63"/>
      <c r="Y138" s="63"/>
      <c r="Z138" s="63">
        <v>98.7</v>
      </c>
      <c r="AA138" s="63">
        <v>89</v>
      </c>
      <c r="AB138" s="63">
        <v>75.5</v>
      </c>
      <c r="AC138" s="63">
        <v>1.02</v>
      </c>
      <c r="AD138" s="184">
        <v>129</v>
      </c>
      <c r="AE138" s="63" t="s">
        <v>312</v>
      </c>
      <c r="AF138" s="185">
        <f t="shared" si="24"/>
        <v>117.64705882352941</v>
      </c>
      <c r="AG138" s="185" t="str">
        <f t="shared" si="24"/>
        <v/>
      </c>
      <c r="AH138" s="185" t="str">
        <f t="shared" si="25"/>
        <v/>
      </c>
      <c r="AI138" s="186" t="str">
        <f t="shared" si="26"/>
        <v/>
      </c>
      <c r="AJ138" s="186" t="str">
        <f t="shared" si="27"/>
        <v/>
      </c>
      <c r="AK138" s="186" t="str">
        <f t="shared" si="28"/>
        <v/>
      </c>
      <c r="AL138" s="186" t="str">
        <f t="shared" si="29"/>
        <v/>
      </c>
      <c r="AM138" s="186" t="str">
        <f t="shared" si="30"/>
        <v/>
      </c>
      <c r="AN138" s="186" t="str">
        <f t="shared" si="31"/>
        <v/>
      </c>
      <c r="AO138" s="165">
        <f t="shared" si="32"/>
        <v>132</v>
      </c>
      <c r="AP138" s="165">
        <f>IF(AND(LEFT(PQS_tbl[[#This Row],[D]],3)=$AP$6,PQS_tbl[[#This Row],[I]]&gt;0),$AO138,"")</f>
        <v>132</v>
      </c>
      <c r="AQ138" s="165" t="str">
        <f>IFERROR(SMALL($AP$7:AP$182,ROWS($AP$7:AP138)),"")</f>
        <v/>
      </c>
      <c r="AR138" s="165" t="str">
        <f>IFERROR(INDEX(PQS_tbl[C],AQ138),"")</f>
        <v/>
      </c>
      <c r="AS138" s="165" t="str">
        <f>IF(AND(LEFT(PQS_tbl[[#This Row],[D]],3)=$AS$6,PQS_tbl[[#This Row],[I]]=0,PQS_tbl[[#This Row],[J]]&gt;0),$AO138,"")</f>
        <v/>
      </c>
      <c r="AT138" s="165" t="str">
        <f>IFERROR(SMALL($AS$7:AS$178,ROWS($AS$7:AS138)),"")</f>
        <v/>
      </c>
      <c r="AU138" s="165" t="str">
        <f>IFERROR(INDEX(PQS_tbl[C],AT138),"")</f>
        <v/>
      </c>
      <c r="AV138" s="165">
        <f>IF(LEFT(PQS_tbl[[#This Row],[E]],1)="S",$AP138,"")</f>
        <v>132</v>
      </c>
      <c r="AW138" s="165" t="str">
        <f>IFERROR(SMALL($AV$7:AV$178,ROWS($AV$7:AV138)),"")</f>
        <v/>
      </c>
      <c r="AX138" s="165" t="str">
        <f>IFERROR(INDEX(PQS_tbl[C],AW138),"")</f>
        <v/>
      </c>
      <c r="AY138" s="165" t="str">
        <f>IF(LEFT(PQS_tbl[[#This Row],[E]],1)="S",$AS138,"")</f>
        <v/>
      </c>
      <c r="AZ138" s="165" t="str">
        <f>IFERROR(SMALL($AY$7:AY$178,ROWS($AY$7:AY138)),"")</f>
        <v/>
      </c>
      <c r="BA138" s="165" t="str">
        <f>IFERROR(INDEX(PQS_tbl[C],AZ138),"")</f>
        <v/>
      </c>
      <c r="BB138" s="165" t="str">
        <f>IF(AND(LEFT(PQS_tbl[[#This Row],[D]],3)=$BB$6,PQS_tbl[[#This Row],[K]]&gt;0),$AO138,"")</f>
        <v/>
      </c>
    </row>
    <row r="139" spans="1:54" x14ac:dyDescent="0.25">
      <c r="A139" s="179" t="s">
        <v>670</v>
      </c>
      <c r="B139" s="62" t="s">
        <v>467</v>
      </c>
      <c r="C139" s="61" t="s">
        <v>671</v>
      </c>
      <c r="D139" s="61" t="s">
        <v>672</v>
      </c>
      <c r="E139" s="180" t="s">
        <v>642</v>
      </c>
      <c r="F139" s="180" t="s">
        <v>489</v>
      </c>
      <c r="G139" s="180" t="s">
        <v>349</v>
      </c>
      <c r="H139" s="180" t="s">
        <v>470</v>
      </c>
      <c r="I139" s="63"/>
      <c r="J139" s="63">
        <v>48</v>
      </c>
      <c r="K139" s="63"/>
      <c r="L139" s="63">
        <v>2.4</v>
      </c>
      <c r="M139" s="63">
        <v>20</v>
      </c>
      <c r="N139" s="181">
        <v>120</v>
      </c>
      <c r="O139" s="181"/>
      <c r="P139" s="181"/>
      <c r="Q139" s="63"/>
      <c r="R139" s="63"/>
      <c r="S139" s="63"/>
      <c r="T139" s="63">
        <v>2900</v>
      </c>
      <c r="U139" s="182">
        <v>2900</v>
      </c>
      <c r="V139" s="183">
        <v>2017</v>
      </c>
      <c r="W139" s="63"/>
      <c r="X139" s="63">
        <v>48</v>
      </c>
      <c r="Y139" s="63"/>
      <c r="Z139" s="63">
        <v>78.8</v>
      </c>
      <c r="AA139" s="63">
        <v>65.400000000000006</v>
      </c>
      <c r="AB139" s="63">
        <v>87.5</v>
      </c>
      <c r="AC139" s="63">
        <v>0.7</v>
      </c>
      <c r="AD139" s="184">
        <v>65</v>
      </c>
      <c r="AE139" s="63" t="s">
        <v>312</v>
      </c>
      <c r="AF139" s="185" t="str">
        <f t="shared" si="24"/>
        <v/>
      </c>
      <c r="AG139" s="185">
        <f t="shared" si="24"/>
        <v>60.416666666666664</v>
      </c>
      <c r="AH139" s="185">
        <f t="shared" si="25"/>
        <v>1208.3333333333335</v>
      </c>
      <c r="AI139" s="186" t="str">
        <f t="shared" si="26"/>
        <v/>
      </c>
      <c r="AJ139" s="186" t="str">
        <f t="shared" si="27"/>
        <v/>
      </c>
      <c r="AK139" s="186" t="str">
        <f t="shared" si="28"/>
        <v/>
      </c>
      <c r="AL139" s="186" t="str">
        <f t="shared" si="29"/>
        <v/>
      </c>
      <c r="AM139" s="186" t="str">
        <f t="shared" si="30"/>
        <v/>
      </c>
      <c r="AN139" s="186" t="str">
        <f t="shared" si="31"/>
        <v/>
      </c>
      <c r="AO139" s="165">
        <f t="shared" si="32"/>
        <v>133</v>
      </c>
      <c r="AP139" s="165" t="str">
        <f>IF(AND(LEFT(PQS_tbl[[#This Row],[D]],3)=$AP$6,PQS_tbl[[#This Row],[I]]&gt;0),$AO139,"")</f>
        <v/>
      </c>
      <c r="AQ139" s="165" t="str">
        <f>IFERROR(SMALL($AP$7:AP$182,ROWS($AP$7:AP139)),"")</f>
        <v/>
      </c>
      <c r="AR139" s="165" t="str">
        <f>IFERROR(INDEX(PQS_tbl[C],AQ139),"")</f>
        <v/>
      </c>
      <c r="AS139" s="165">
        <f>IF(AND(LEFT(PQS_tbl[[#This Row],[D]],3)=$AS$6,PQS_tbl[[#This Row],[I]]=0,PQS_tbl[[#This Row],[J]]&gt;0),$AO139,"")</f>
        <v>133</v>
      </c>
      <c r="AT139" s="165" t="str">
        <f>IFERROR(SMALL($AS$7:AS$178,ROWS($AS$7:AS139)),"")</f>
        <v/>
      </c>
      <c r="AU139" s="165" t="str">
        <f>IFERROR(INDEX(PQS_tbl[C],AT139),"")</f>
        <v/>
      </c>
      <c r="AV139" s="165" t="str">
        <f>IF(LEFT(PQS_tbl[[#This Row],[E]],1)="S",$AP139,"")</f>
        <v/>
      </c>
      <c r="AW139" s="165" t="str">
        <f>IFERROR(SMALL($AV$7:AV$178,ROWS($AV$7:AV139)),"")</f>
        <v/>
      </c>
      <c r="AX139" s="165" t="str">
        <f>IFERROR(INDEX(PQS_tbl[C],AW139),"")</f>
        <v/>
      </c>
      <c r="AY139" s="165">
        <f>IF(LEFT(PQS_tbl[[#This Row],[E]],1)="S",$AS139,"")</f>
        <v>133</v>
      </c>
      <c r="AZ139" s="165" t="str">
        <f>IFERROR(SMALL($AY$7:AY$178,ROWS($AY$7:AY139)),"")</f>
        <v/>
      </c>
      <c r="BA139" s="165" t="str">
        <f>IFERROR(INDEX(PQS_tbl[C],AZ139),"")</f>
        <v/>
      </c>
      <c r="BB139" s="165" t="str">
        <f>IF(AND(LEFT(PQS_tbl[[#This Row],[D]],3)=$BB$6,PQS_tbl[[#This Row],[K]]&gt;0),$AO139,"")</f>
        <v/>
      </c>
    </row>
    <row r="140" spans="1:54" x14ac:dyDescent="0.25">
      <c r="A140" s="179" t="s">
        <v>657</v>
      </c>
      <c r="B140" s="62" t="s">
        <v>467</v>
      </c>
      <c r="C140" s="61" t="s">
        <v>673</v>
      </c>
      <c r="D140" s="61" t="s">
        <v>674</v>
      </c>
      <c r="E140" s="180" t="s">
        <v>363</v>
      </c>
      <c r="F140" s="180" t="s">
        <v>489</v>
      </c>
      <c r="G140" s="180" t="s">
        <v>349</v>
      </c>
      <c r="H140" s="180" t="s">
        <v>466</v>
      </c>
      <c r="I140" s="63">
        <v>211</v>
      </c>
      <c r="J140" s="63"/>
      <c r="K140" s="63"/>
      <c r="L140" s="63"/>
      <c r="M140" s="63"/>
      <c r="N140" s="181">
        <v>34.4</v>
      </c>
      <c r="O140" s="181"/>
      <c r="P140" s="181"/>
      <c r="Q140" s="63">
        <v>1.62</v>
      </c>
      <c r="R140" s="63"/>
      <c r="S140" s="63"/>
      <c r="T140" s="63">
        <v>1050</v>
      </c>
      <c r="U140" s="182">
        <v>1050</v>
      </c>
      <c r="V140" s="183">
        <v>2017</v>
      </c>
      <c r="W140" s="63">
        <v>260</v>
      </c>
      <c r="X140" s="63"/>
      <c r="Y140" s="63"/>
      <c r="Z140" s="63">
        <v>165</v>
      </c>
      <c r="AA140" s="63">
        <v>65.400000000000006</v>
      </c>
      <c r="AB140" s="63">
        <v>78.8</v>
      </c>
      <c r="AC140" s="63">
        <v>0.91</v>
      </c>
      <c r="AD140" s="184">
        <v>132</v>
      </c>
      <c r="AE140" s="63" t="s">
        <v>312</v>
      </c>
      <c r="AF140" s="185">
        <f t="shared" si="24"/>
        <v>4.9763033175355451</v>
      </c>
      <c r="AG140" s="185" t="str">
        <f t="shared" si="24"/>
        <v/>
      </c>
      <c r="AH140" s="185" t="str">
        <f t="shared" si="25"/>
        <v/>
      </c>
      <c r="AI140" s="186">
        <f t="shared" si="26"/>
        <v>7.677725118483413E-3</v>
      </c>
      <c r="AJ140" s="186" t="str">
        <f t="shared" si="27"/>
        <v/>
      </c>
      <c r="AK140" s="186" t="str">
        <f t="shared" si="28"/>
        <v/>
      </c>
      <c r="AL140" s="186" t="str">
        <f t="shared" si="29"/>
        <v/>
      </c>
      <c r="AM140" s="186" t="str">
        <f t="shared" si="30"/>
        <v/>
      </c>
      <c r="AN140" s="186" t="str">
        <f t="shared" si="31"/>
        <v/>
      </c>
      <c r="AO140" s="165">
        <f t="shared" si="32"/>
        <v>134</v>
      </c>
      <c r="AP140" s="165">
        <f>IF(AND(LEFT(PQS_tbl[[#This Row],[D]],3)=$AP$6,PQS_tbl[[#This Row],[I]]&gt;0),$AO140,"")</f>
        <v>134</v>
      </c>
      <c r="AQ140" s="165" t="str">
        <f>IFERROR(SMALL($AP$7:AP$182,ROWS($AP$7:AP140)),"")</f>
        <v/>
      </c>
      <c r="AR140" s="165" t="str">
        <f>IFERROR(INDEX(PQS_tbl[C],AQ140),"")</f>
        <v/>
      </c>
      <c r="AS140" s="165" t="str">
        <f>IF(AND(LEFT(PQS_tbl[[#This Row],[D]],3)=$AS$6,PQS_tbl[[#This Row],[I]]=0,PQS_tbl[[#This Row],[J]]&gt;0),$AO140,"")</f>
        <v/>
      </c>
      <c r="AT140" s="165" t="str">
        <f>IFERROR(SMALL($AS$7:AS$178,ROWS($AS$7:AS140)),"")</f>
        <v/>
      </c>
      <c r="AU140" s="165" t="str">
        <f>IFERROR(INDEX(PQS_tbl[C],AT140),"")</f>
        <v/>
      </c>
      <c r="AV140" s="165" t="str">
        <f>IF(LEFT(PQS_tbl[[#This Row],[E]],1)="S",$AP140,"")</f>
        <v/>
      </c>
      <c r="AW140" s="165" t="str">
        <f>IFERROR(SMALL($AV$7:AV$178,ROWS($AV$7:AV140)),"")</f>
        <v/>
      </c>
      <c r="AX140" s="165" t="str">
        <f>IFERROR(INDEX(PQS_tbl[C],AW140),"")</f>
        <v/>
      </c>
      <c r="AY140" s="165" t="str">
        <f>IF(LEFT(PQS_tbl[[#This Row],[E]],1)="S",$AS140,"")</f>
        <v/>
      </c>
      <c r="AZ140" s="165" t="str">
        <f>IFERROR(SMALL($AY$7:AY$178,ROWS($AY$7:AY140)),"")</f>
        <v/>
      </c>
      <c r="BA140" s="165" t="str">
        <f>IFERROR(INDEX(PQS_tbl[C],AZ140),"")</f>
        <v/>
      </c>
      <c r="BB140" s="165" t="str">
        <f>IF(AND(LEFT(PQS_tbl[[#This Row],[D]],3)=$BB$6,PQS_tbl[[#This Row],[K]]&gt;0),$AO140,"")</f>
        <v/>
      </c>
    </row>
    <row r="141" spans="1:54" x14ac:dyDescent="0.25">
      <c r="A141" s="179" t="s">
        <v>657</v>
      </c>
      <c r="B141" s="62" t="s">
        <v>467</v>
      </c>
      <c r="C141" s="61" t="s">
        <v>675</v>
      </c>
      <c r="D141" s="61" t="s">
        <v>676</v>
      </c>
      <c r="E141" s="180" t="s">
        <v>363</v>
      </c>
      <c r="F141" s="180" t="s">
        <v>489</v>
      </c>
      <c r="G141" s="180" t="s">
        <v>349</v>
      </c>
      <c r="H141" s="180" t="s">
        <v>466</v>
      </c>
      <c r="I141" s="63">
        <v>122</v>
      </c>
      <c r="J141" s="63"/>
      <c r="K141" s="63"/>
      <c r="L141" s="63"/>
      <c r="M141" s="63"/>
      <c r="N141" s="181">
        <v>30.16</v>
      </c>
      <c r="O141" s="181"/>
      <c r="P141" s="181"/>
      <c r="Q141" s="63">
        <v>0.61</v>
      </c>
      <c r="R141" s="63"/>
      <c r="S141" s="63"/>
      <c r="T141" s="63">
        <v>900</v>
      </c>
      <c r="U141" s="182">
        <v>900</v>
      </c>
      <c r="V141" s="183">
        <v>2017</v>
      </c>
      <c r="W141" s="63">
        <v>150</v>
      </c>
      <c r="X141" s="63"/>
      <c r="Y141" s="63"/>
      <c r="Z141" s="63">
        <v>112.8</v>
      </c>
      <c r="AA141" s="63">
        <v>65.400000000000006</v>
      </c>
      <c r="AB141" s="63">
        <v>78.8</v>
      </c>
      <c r="AC141" s="63">
        <v>0.61</v>
      </c>
      <c r="AD141" s="184">
        <v>85</v>
      </c>
      <c r="AE141" s="63" t="s">
        <v>312</v>
      </c>
      <c r="AF141" s="185">
        <f t="shared" si="24"/>
        <v>7.3770491803278686</v>
      </c>
      <c r="AG141" s="185" t="str">
        <f t="shared" si="24"/>
        <v/>
      </c>
      <c r="AH141" s="185" t="str">
        <f t="shared" si="25"/>
        <v/>
      </c>
      <c r="AI141" s="186">
        <f t="shared" si="26"/>
        <v>5.0000000000000001E-3</v>
      </c>
      <c r="AJ141" s="186" t="str">
        <f t="shared" si="27"/>
        <v/>
      </c>
      <c r="AK141" s="186" t="str">
        <f t="shared" si="28"/>
        <v/>
      </c>
      <c r="AL141" s="186" t="str">
        <f t="shared" si="29"/>
        <v/>
      </c>
      <c r="AM141" s="186" t="str">
        <f t="shared" si="30"/>
        <v/>
      </c>
      <c r="AN141" s="186" t="str">
        <f t="shared" si="31"/>
        <v/>
      </c>
      <c r="AO141" s="165">
        <f t="shared" si="32"/>
        <v>135</v>
      </c>
      <c r="AP141" s="165">
        <f>IF(AND(LEFT(PQS_tbl[[#This Row],[D]],3)=$AP$6,PQS_tbl[[#This Row],[I]]&gt;0),$AO141,"")</f>
        <v>135</v>
      </c>
      <c r="AQ141" s="165" t="str">
        <f>IFERROR(SMALL($AP$7:AP$182,ROWS($AP$7:AP141)),"")</f>
        <v/>
      </c>
      <c r="AR141" s="165" t="str">
        <f>IFERROR(INDEX(PQS_tbl[C],AQ141),"")</f>
        <v/>
      </c>
      <c r="AS141" s="165" t="str">
        <f>IF(AND(LEFT(PQS_tbl[[#This Row],[D]],3)=$AS$6,PQS_tbl[[#This Row],[I]]=0,PQS_tbl[[#This Row],[J]]&gt;0),$AO141,"")</f>
        <v/>
      </c>
      <c r="AT141" s="165" t="str">
        <f>IFERROR(SMALL($AS$7:AS$178,ROWS($AS$7:AS141)),"")</f>
        <v/>
      </c>
      <c r="AU141" s="165" t="str">
        <f>IFERROR(INDEX(PQS_tbl[C],AT141),"")</f>
        <v/>
      </c>
      <c r="AV141" s="165" t="str">
        <f>IF(LEFT(PQS_tbl[[#This Row],[E]],1)="S",$AP141,"")</f>
        <v/>
      </c>
      <c r="AW141" s="165" t="str">
        <f>IFERROR(SMALL($AV$7:AV$178,ROWS($AV$7:AV141)),"")</f>
        <v/>
      </c>
      <c r="AX141" s="165" t="str">
        <f>IFERROR(INDEX(PQS_tbl[C],AW141),"")</f>
        <v/>
      </c>
      <c r="AY141" s="165" t="str">
        <f>IF(LEFT(PQS_tbl[[#This Row],[E]],1)="S",$AS141,"")</f>
        <v/>
      </c>
      <c r="AZ141" s="165" t="str">
        <f>IFERROR(SMALL($AY$7:AY$178,ROWS($AY$7:AY141)),"")</f>
        <v/>
      </c>
      <c r="BA141" s="165" t="str">
        <f>IFERROR(INDEX(PQS_tbl[C],AZ141),"")</f>
        <v/>
      </c>
      <c r="BB141" s="165" t="str">
        <f>IF(AND(LEFT(PQS_tbl[[#This Row],[D]],3)=$BB$6,PQS_tbl[[#This Row],[K]]&gt;0),$AO141,"")</f>
        <v/>
      </c>
    </row>
    <row r="142" spans="1:54" x14ac:dyDescent="0.25">
      <c r="A142" s="179" t="s">
        <v>657</v>
      </c>
      <c r="B142" s="62" t="s">
        <v>467</v>
      </c>
      <c r="C142" s="61" t="s">
        <v>677</v>
      </c>
      <c r="D142" s="61" t="s">
        <v>678</v>
      </c>
      <c r="E142" s="180" t="s">
        <v>363</v>
      </c>
      <c r="F142" s="180" t="s">
        <v>489</v>
      </c>
      <c r="G142" s="180" t="s">
        <v>349</v>
      </c>
      <c r="H142" s="180" t="s">
        <v>466</v>
      </c>
      <c r="I142" s="63">
        <v>61</v>
      </c>
      <c r="J142" s="63"/>
      <c r="K142" s="63"/>
      <c r="L142" s="63"/>
      <c r="M142" s="63"/>
      <c r="N142" s="181">
        <v>31.5</v>
      </c>
      <c r="O142" s="181"/>
      <c r="P142" s="181"/>
      <c r="Q142" s="63">
        <v>0.63</v>
      </c>
      <c r="R142" s="63"/>
      <c r="S142" s="63"/>
      <c r="T142" s="63">
        <v>720</v>
      </c>
      <c r="U142" s="182">
        <v>720</v>
      </c>
      <c r="V142" s="183">
        <v>2017</v>
      </c>
      <c r="W142" s="63">
        <v>80</v>
      </c>
      <c r="X142" s="63"/>
      <c r="Y142" s="63"/>
      <c r="Z142" s="63">
        <v>87.5</v>
      </c>
      <c r="AA142" s="63">
        <v>65.400000000000006</v>
      </c>
      <c r="AB142" s="63">
        <v>78.8</v>
      </c>
      <c r="AC142" s="63">
        <v>0.45</v>
      </c>
      <c r="AD142" s="184">
        <v>75</v>
      </c>
      <c r="AE142" s="63" t="s">
        <v>312</v>
      </c>
      <c r="AF142" s="185">
        <f t="shared" si="24"/>
        <v>11.803278688524591</v>
      </c>
      <c r="AG142" s="185" t="str">
        <f t="shared" si="24"/>
        <v/>
      </c>
      <c r="AH142" s="185" t="str">
        <f t="shared" si="25"/>
        <v/>
      </c>
      <c r="AI142" s="186">
        <f t="shared" si="26"/>
        <v>1.0327868852459017E-2</v>
      </c>
      <c r="AJ142" s="186" t="str">
        <f t="shared" si="27"/>
        <v/>
      </c>
      <c r="AK142" s="186" t="str">
        <f t="shared" si="28"/>
        <v/>
      </c>
      <c r="AL142" s="186" t="str">
        <f t="shared" si="29"/>
        <v/>
      </c>
      <c r="AM142" s="186" t="str">
        <f t="shared" si="30"/>
        <v/>
      </c>
      <c r="AN142" s="186" t="str">
        <f t="shared" si="31"/>
        <v/>
      </c>
      <c r="AO142" s="165">
        <f t="shared" si="32"/>
        <v>136</v>
      </c>
      <c r="AP142" s="165">
        <f>IF(AND(LEFT(PQS_tbl[[#This Row],[D]],3)=$AP$6,PQS_tbl[[#This Row],[I]]&gt;0),$AO142,"")</f>
        <v>136</v>
      </c>
      <c r="AQ142" s="165" t="str">
        <f>IFERROR(SMALL($AP$7:AP$182,ROWS($AP$7:AP142)),"")</f>
        <v/>
      </c>
      <c r="AR142" s="165" t="str">
        <f>IFERROR(INDEX(PQS_tbl[C],AQ142),"")</f>
        <v/>
      </c>
      <c r="AS142" s="165" t="str">
        <f>IF(AND(LEFT(PQS_tbl[[#This Row],[D]],3)=$AS$6,PQS_tbl[[#This Row],[I]]=0,PQS_tbl[[#This Row],[J]]&gt;0),$AO142,"")</f>
        <v/>
      </c>
      <c r="AT142" s="165" t="str">
        <f>IFERROR(SMALL($AS$7:AS$178,ROWS($AS$7:AS142)),"")</f>
        <v/>
      </c>
      <c r="AU142" s="165" t="str">
        <f>IFERROR(INDEX(PQS_tbl[C],AT142),"")</f>
        <v/>
      </c>
      <c r="AV142" s="165" t="str">
        <f>IF(LEFT(PQS_tbl[[#This Row],[E]],1)="S",$AP142,"")</f>
        <v/>
      </c>
      <c r="AW142" s="165" t="str">
        <f>IFERROR(SMALL($AV$7:AV$178,ROWS($AV$7:AV142)),"")</f>
        <v/>
      </c>
      <c r="AX142" s="165" t="str">
        <f>IFERROR(INDEX(PQS_tbl[C],AW142),"")</f>
        <v/>
      </c>
      <c r="AY142" s="165" t="str">
        <f>IF(LEFT(PQS_tbl[[#This Row],[E]],1)="S",$AS142,"")</f>
        <v/>
      </c>
      <c r="AZ142" s="165" t="str">
        <f>IFERROR(SMALL($AY$7:AY$178,ROWS($AY$7:AY142)),"")</f>
        <v/>
      </c>
      <c r="BA142" s="165" t="str">
        <f>IFERROR(INDEX(PQS_tbl[C],AZ142),"")</f>
        <v/>
      </c>
      <c r="BB142" s="165" t="str">
        <f>IF(AND(LEFT(PQS_tbl[[#This Row],[D]],3)=$BB$6,PQS_tbl[[#This Row],[K]]&gt;0),$AO142,"")</f>
        <v/>
      </c>
    </row>
    <row r="143" spans="1:54" x14ac:dyDescent="0.25">
      <c r="A143" s="189" t="s">
        <v>560</v>
      </c>
      <c r="B143" s="190" t="s">
        <v>463</v>
      </c>
      <c r="C143" s="191" t="s">
        <v>679</v>
      </c>
      <c r="D143" s="191" t="s">
        <v>680</v>
      </c>
      <c r="E143" s="192" t="s">
        <v>488</v>
      </c>
      <c r="F143" s="192" t="s">
        <v>489</v>
      </c>
      <c r="G143" s="192" t="s">
        <v>349</v>
      </c>
      <c r="H143" s="192" t="s">
        <v>466</v>
      </c>
      <c r="I143" s="193">
        <v>16</v>
      </c>
      <c r="J143" s="193"/>
      <c r="K143" s="193"/>
      <c r="L143" s="193"/>
      <c r="M143" s="193"/>
      <c r="N143" s="194">
        <v>477.56</v>
      </c>
      <c r="O143" s="194"/>
      <c r="P143" s="194"/>
      <c r="Q143" s="193"/>
      <c r="R143" s="193"/>
      <c r="S143" s="193"/>
      <c r="T143" s="193">
        <v>5898</v>
      </c>
      <c r="U143" s="195">
        <v>7077.5999999999995</v>
      </c>
      <c r="V143" s="196">
        <v>2017</v>
      </c>
      <c r="W143" s="193">
        <v>24.5</v>
      </c>
      <c r="X143" s="193"/>
      <c r="Y143" s="193"/>
      <c r="Z143" s="193">
        <v>113</v>
      </c>
      <c r="AA143" s="193">
        <v>85</v>
      </c>
      <c r="AB143" s="193">
        <v>78</v>
      </c>
      <c r="AC143" s="193">
        <v>1.04</v>
      </c>
      <c r="AD143" s="197">
        <v>200</v>
      </c>
      <c r="AE143" s="63" t="s">
        <v>312</v>
      </c>
      <c r="AF143" s="185">
        <f t="shared" si="24"/>
        <v>442.34999999999997</v>
      </c>
      <c r="AG143" s="185" t="str">
        <f t="shared" si="24"/>
        <v/>
      </c>
      <c r="AH143" s="185" t="str">
        <f t="shared" si="25"/>
        <v/>
      </c>
      <c r="AI143" s="186" t="str">
        <f t="shared" si="26"/>
        <v/>
      </c>
      <c r="AJ143" s="186" t="str">
        <f t="shared" si="27"/>
        <v/>
      </c>
      <c r="AK143" s="186" t="str">
        <f t="shared" si="28"/>
        <v/>
      </c>
      <c r="AL143" s="186" t="str">
        <f t="shared" si="29"/>
        <v/>
      </c>
      <c r="AM143" s="186" t="str">
        <f t="shared" si="30"/>
        <v/>
      </c>
      <c r="AN143" s="186" t="str">
        <f t="shared" si="31"/>
        <v/>
      </c>
      <c r="AO143" s="165">
        <f t="shared" si="32"/>
        <v>137</v>
      </c>
      <c r="AP143" s="165">
        <f>IF(AND(LEFT(PQS_tbl[[#This Row],[D]],3)=$AP$6,PQS_tbl[[#This Row],[I]]&gt;0),$AO143,"")</f>
        <v>137</v>
      </c>
      <c r="AQ143" s="165" t="str">
        <f>IFERROR(SMALL($AP$7:AP$182,ROWS($AP$7:AP143)),"")</f>
        <v/>
      </c>
      <c r="AR143" s="165" t="str">
        <f>IFERROR(INDEX(PQS_tbl[C],AQ143),"")</f>
        <v/>
      </c>
      <c r="AS143" s="165" t="str">
        <f>IF(AND(LEFT(PQS_tbl[[#This Row],[D]],3)=$AS$6,PQS_tbl[[#This Row],[I]]=0,PQS_tbl[[#This Row],[J]]&gt;0),$AO143,"")</f>
        <v/>
      </c>
      <c r="AT143" s="165" t="str">
        <f>IFERROR(SMALL($AS$7:AS$178,ROWS($AS$7:AS143)),"")</f>
        <v/>
      </c>
      <c r="AU143" s="165" t="str">
        <f>IFERROR(INDEX(PQS_tbl[C],AT143),"")</f>
        <v/>
      </c>
      <c r="AV143" s="165">
        <f>IF(LEFT(PQS_tbl[[#This Row],[E]],1)="S",$AP143,"")</f>
        <v>137</v>
      </c>
      <c r="AW143" s="165" t="str">
        <f>IFERROR(SMALL($AV$7:AV$178,ROWS($AV$7:AV143)),"")</f>
        <v/>
      </c>
      <c r="AX143" s="165" t="str">
        <f>IFERROR(INDEX(PQS_tbl[C],AW143),"")</f>
        <v/>
      </c>
      <c r="AY143" s="165" t="str">
        <f>IF(LEFT(PQS_tbl[[#This Row],[E]],1)="S",$AS143,"")</f>
        <v/>
      </c>
      <c r="AZ143" s="165" t="str">
        <f>IFERROR(SMALL($AY$7:AY$178,ROWS($AY$7:AY143)),"")</f>
        <v/>
      </c>
      <c r="BA143" s="165" t="str">
        <f>IFERROR(INDEX(PQS_tbl[C],AZ143),"")</f>
        <v/>
      </c>
      <c r="BB143" s="165" t="str">
        <f>IF(AND(LEFT(PQS_tbl[[#This Row],[D]],3)=$BB$6,PQS_tbl[[#This Row],[K]]&gt;0),$AO143,"")</f>
        <v/>
      </c>
    </row>
    <row r="144" spans="1:54" x14ac:dyDescent="0.25">
      <c r="A144" s="179" t="s">
        <v>681</v>
      </c>
      <c r="B144" s="62" t="s">
        <v>561</v>
      </c>
      <c r="C144" s="61" t="s">
        <v>682</v>
      </c>
      <c r="D144" s="61" t="s">
        <v>683</v>
      </c>
      <c r="E144" s="180" t="s">
        <v>549</v>
      </c>
      <c r="F144" s="180" t="s">
        <v>489</v>
      </c>
      <c r="G144" s="180" t="s">
        <v>349</v>
      </c>
      <c r="H144" s="180" t="s">
        <v>466</v>
      </c>
      <c r="I144" s="63">
        <v>20</v>
      </c>
      <c r="J144" s="63">
        <v>34.299999999999997</v>
      </c>
      <c r="K144" s="63"/>
      <c r="L144" s="63">
        <v>1.8</v>
      </c>
      <c r="M144" s="63">
        <v>17.399999999999999</v>
      </c>
      <c r="N144" s="181">
        <v>72.22</v>
      </c>
      <c r="O144" s="181"/>
      <c r="P144" s="181"/>
      <c r="Q144" s="63"/>
      <c r="R144" s="63"/>
      <c r="S144" s="63"/>
      <c r="T144" s="63">
        <v>4550</v>
      </c>
      <c r="U144" s="182">
        <v>5460</v>
      </c>
      <c r="V144" s="183">
        <v>2017</v>
      </c>
      <c r="W144" s="63">
        <v>35</v>
      </c>
      <c r="X144" s="63"/>
      <c r="Y144" s="63"/>
      <c r="Z144" s="63">
        <v>88</v>
      </c>
      <c r="AA144" s="63">
        <v>111</v>
      </c>
      <c r="AB144" s="63">
        <v>65</v>
      </c>
      <c r="AC144" s="63">
        <v>0.92</v>
      </c>
      <c r="AD144" s="184">
        <v>141</v>
      </c>
      <c r="AE144" s="63" t="s">
        <v>312</v>
      </c>
      <c r="AF144" s="185">
        <f t="shared" si="24"/>
        <v>273</v>
      </c>
      <c r="AG144" s="185">
        <f t="shared" si="24"/>
        <v>159.18367346938777</v>
      </c>
      <c r="AH144" s="185">
        <f t="shared" si="25"/>
        <v>3033.3333333333335</v>
      </c>
      <c r="AI144" s="186" t="str">
        <f t="shared" si="26"/>
        <v/>
      </c>
      <c r="AJ144" s="186" t="str">
        <f t="shared" si="27"/>
        <v/>
      </c>
      <c r="AK144" s="186" t="str">
        <f t="shared" si="28"/>
        <v/>
      </c>
      <c r="AL144" s="186" t="str">
        <f t="shared" si="29"/>
        <v/>
      </c>
      <c r="AM144" s="186" t="str">
        <f t="shared" si="30"/>
        <v/>
      </c>
      <c r="AN144" s="186" t="str">
        <f t="shared" si="31"/>
        <v/>
      </c>
      <c r="AO144" s="165">
        <f t="shared" si="32"/>
        <v>138</v>
      </c>
      <c r="AP144" s="165">
        <f>IF(AND(LEFT(PQS_tbl[[#This Row],[D]],3)=$AP$6,PQS_tbl[[#This Row],[I]]&gt;0),$AO144,"")</f>
        <v>138</v>
      </c>
      <c r="AQ144" s="165" t="str">
        <f>IFERROR(SMALL($AP$7:AP$182,ROWS($AP$7:AP144)),"")</f>
        <v/>
      </c>
      <c r="AR144" s="165" t="str">
        <f>IFERROR(INDEX(PQS_tbl[C],AQ144),"")</f>
        <v/>
      </c>
      <c r="AS144" s="165" t="str">
        <f>IF(AND(LEFT(PQS_tbl[[#This Row],[D]],3)=$AS$6,PQS_tbl[[#This Row],[I]]=0,PQS_tbl[[#This Row],[J]]&gt;0),$AO144,"")</f>
        <v/>
      </c>
      <c r="AT144" s="165" t="str">
        <f>IFERROR(SMALL($AS$7:AS$178,ROWS($AS$7:AS144)),"")</f>
        <v/>
      </c>
      <c r="AU144" s="165" t="str">
        <f>IFERROR(INDEX(PQS_tbl[C],AT144),"")</f>
        <v/>
      </c>
      <c r="AV144" s="165">
        <f>IF(LEFT(PQS_tbl[[#This Row],[E]],1)="S",$AP144,"")</f>
        <v>138</v>
      </c>
      <c r="AW144" s="165" t="str">
        <f>IFERROR(SMALL($AV$7:AV$178,ROWS($AV$7:AV144)),"")</f>
        <v/>
      </c>
      <c r="AX144" s="165" t="str">
        <f>IFERROR(INDEX(PQS_tbl[C],AW144),"")</f>
        <v/>
      </c>
      <c r="AY144" s="165" t="str">
        <f>IF(LEFT(PQS_tbl[[#This Row],[E]],1)="S",$AS144,"")</f>
        <v/>
      </c>
      <c r="AZ144" s="165" t="str">
        <f>IFERROR(SMALL($AY$7:AY$178,ROWS($AY$7:AY144)),"")</f>
        <v/>
      </c>
      <c r="BA144" s="165" t="str">
        <f>IFERROR(INDEX(PQS_tbl[C],AZ144),"")</f>
        <v/>
      </c>
      <c r="BB144" s="165" t="str">
        <f>IF(AND(LEFT(PQS_tbl[[#This Row],[D]],3)=$BB$6,PQS_tbl[[#This Row],[K]]&gt;0),$AO144,"")</f>
        <v/>
      </c>
    </row>
    <row r="145" spans="1:54" x14ac:dyDescent="0.25">
      <c r="A145" s="189" t="s">
        <v>681</v>
      </c>
      <c r="B145" s="62" t="s">
        <v>561</v>
      </c>
      <c r="C145" s="191" t="s">
        <v>684</v>
      </c>
      <c r="D145" s="191" t="s">
        <v>685</v>
      </c>
      <c r="E145" s="192" t="s">
        <v>549</v>
      </c>
      <c r="F145" s="192" t="s">
        <v>489</v>
      </c>
      <c r="G145" s="192" t="s">
        <v>349</v>
      </c>
      <c r="H145" s="192" t="s">
        <v>466</v>
      </c>
      <c r="I145" s="193">
        <v>36</v>
      </c>
      <c r="J145" s="193">
        <v>34.299999999999997</v>
      </c>
      <c r="K145" s="193"/>
      <c r="L145" s="193">
        <v>1.8</v>
      </c>
      <c r="M145" s="193">
        <v>17.399999999999999</v>
      </c>
      <c r="N145" s="194">
        <v>72</v>
      </c>
      <c r="O145" s="194"/>
      <c r="P145" s="194"/>
      <c r="Q145" s="193"/>
      <c r="R145" s="193"/>
      <c r="S145" s="193"/>
      <c r="T145" s="193">
        <v>4835</v>
      </c>
      <c r="U145" s="195">
        <v>5802</v>
      </c>
      <c r="V145" s="196">
        <v>2017</v>
      </c>
      <c r="W145" s="193">
        <v>49.3</v>
      </c>
      <c r="X145" s="193"/>
      <c r="Y145" s="193"/>
      <c r="Z145" s="193">
        <v>88</v>
      </c>
      <c r="AA145" s="193">
        <v>111</v>
      </c>
      <c r="AB145" s="193">
        <v>65</v>
      </c>
      <c r="AC145" s="193">
        <v>0.92</v>
      </c>
      <c r="AD145" s="197">
        <v>141</v>
      </c>
      <c r="AE145" s="63" t="s">
        <v>312</v>
      </c>
      <c r="AF145" s="185">
        <f t="shared" si="24"/>
        <v>161.16666666666666</v>
      </c>
      <c r="AG145" s="185">
        <f t="shared" si="24"/>
        <v>169.15451895043734</v>
      </c>
      <c r="AH145" s="185">
        <f t="shared" si="25"/>
        <v>3223.333333333333</v>
      </c>
      <c r="AI145" s="186" t="str">
        <f t="shared" si="26"/>
        <v/>
      </c>
      <c r="AJ145" s="186" t="str">
        <f t="shared" si="27"/>
        <v/>
      </c>
      <c r="AK145" s="186" t="str">
        <f t="shared" si="28"/>
        <v/>
      </c>
      <c r="AL145" s="186" t="str">
        <f t="shared" si="29"/>
        <v/>
      </c>
      <c r="AM145" s="186" t="str">
        <f t="shared" si="30"/>
        <v/>
      </c>
      <c r="AN145" s="186" t="str">
        <f t="shared" si="31"/>
        <v/>
      </c>
      <c r="AO145" s="165">
        <f t="shared" si="32"/>
        <v>139</v>
      </c>
      <c r="AP145" s="165">
        <f>IF(AND(LEFT(PQS_tbl[[#This Row],[D]],3)=$AP$6,PQS_tbl[[#This Row],[I]]&gt;0),$AO145,"")</f>
        <v>139</v>
      </c>
      <c r="AQ145" s="165" t="str">
        <f>IFERROR(SMALL($AP$7:AP$182,ROWS($AP$7:AP145)),"")</f>
        <v/>
      </c>
      <c r="AR145" s="165" t="str">
        <f>IFERROR(INDEX(PQS_tbl[C],AQ145),"")</f>
        <v/>
      </c>
      <c r="AS145" s="165" t="str">
        <f>IF(AND(LEFT(PQS_tbl[[#This Row],[D]],3)=$AS$6,PQS_tbl[[#This Row],[I]]=0,PQS_tbl[[#This Row],[J]]&gt;0),$AO145,"")</f>
        <v/>
      </c>
      <c r="AT145" s="165" t="str">
        <f>IFERROR(SMALL($AS$7:AS$178,ROWS($AS$7:AS145)),"")</f>
        <v/>
      </c>
      <c r="AU145" s="165" t="str">
        <f>IFERROR(INDEX(PQS_tbl[C],AT145),"")</f>
        <v/>
      </c>
      <c r="AV145" s="165">
        <f>IF(LEFT(PQS_tbl[[#This Row],[E]],1)="S",$AP145,"")</f>
        <v>139</v>
      </c>
      <c r="AW145" s="165" t="str">
        <f>IFERROR(SMALL($AV$7:AV$178,ROWS($AV$7:AV145)),"")</f>
        <v/>
      </c>
      <c r="AX145" s="165" t="str">
        <f>IFERROR(INDEX(PQS_tbl[C],AW145),"")</f>
        <v/>
      </c>
      <c r="AY145" s="165" t="str">
        <f>IF(LEFT(PQS_tbl[[#This Row],[E]],1)="S",$AS145,"")</f>
        <v/>
      </c>
      <c r="AZ145" s="165" t="str">
        <f>IFERROR(SMALL($AY$7:AY$178,ROWS($AY$7:AY145)),"")</f>
        <v/>
      </c>
      <c r="BA145" s="165" t="str">
        <f>IFERROR(INDEX(PQS_tbl[C],AZ145),"")</f>
        <v/>
      </c>
      <c r="BB145" s="165" t="str">
        <f>IF(AND(LEFT(PQS_tbl[[#This Row],[D]],3)=$BB$6,PQS_tbl[[#This Row],[K]]&gt;0),$AO145,"")</f>
        <v/>
      </c>
    </row>
    <row r="146" spans="1:54" x14ac:dyDescent="0.25">
      <c r="A146" s="179" t="s">
        <v>560</v>
      </c>
      <c r="B146" s="62" t="s">
        <v>463</v>
      </c>
      <c r="C146" s="61" t="s">
        <v>686</v>
      </c>
      <c r="D146" s="61" t="s">
        <v>687</v>
      </c>
      <c r="E146" s="180" t="s">
        <v>488</v>
      </c>
      <c r="F146" s="180" t="s">
        <v>489</v>
      </c>
      <c r="G146" s="180" t="s">
        <v>349</v>
      </c>
      <c r="H146" s="180" t="s">
        <v>466</v>
      </c>
      <c r="I146" s="63">
        <v>220</v>
      </c>
      <c r="J146" s="63"/>
      <c r="K146" s="63"/>
      <c r="L146" s="63"/>
      <c r="M146" s="63"/>
      <c r="N146" s="181">
        <v>91.16</v>
      </c>
      <c r="O146" s="181"/>
      <c r="P146" s="181"/>
      <c r="Q146" s="63"/>
      <c r="R146" s="63"/>
      <c r="S146" s="63"/>
      <c r="T146" s="63">
        <v>6138</v>
      </c>
      <c r="U146" s="182">
        <v>7365.5999999999995</v>
      </c>
      <c r="V146" s="183">
        <v>2018</v>
      </c>
      <c r="W146" s="63">
        <v>250</v>
      </c>
      <c r="X146" s="63"/>
      <c r="Y146" s="63"/>
      <c r="Z146" s="63">
        <v>91.5</v>
      </c>
      <c r="AA146" s="63">
        <v>162.5</v>
      </c>
      <c r="AB146" s="63">
        <v>78</v>
      </c>
      <c r="AC146" s="63">
        <v>1.36</v>
      </c>
      <c r="AD146" s="184">
        <v>192</v>
      </c>
      <c r="AE146" s="63" t="s">
        <v>312</v>
      </c>
      <c r="AF146" s="185">
        <f t="shared" ref="AF146:AG161" si="33">IF(I146="","",$U146/I146)</f>
        <v>33.479999999999997</v>
      </c>
      <c r="AG146" s="185" t="str">
        <f t="shared" si="33"/>
        <v/>
      </c>
      <c r="AH146" s="185" t="str">
        <f t="shared" si="25"/>
        <v/>
      </c>
      <c r="AI146" s="186" t="str">
        <f t="shared" si="26"/>
        <v/>
      </c>
      <c r="AJ146" s="186" t="str">
        <f t="shared" si="27"/>
        <v/>
      </c>
      <c r="AK146" s="186" t="str">
        <f t="shared" si="28"/>
        <v/>
      </c>
      <c r="AL146" s="186" t="str">
        <f t="shared" si="29"/>
        <v/>
      </c>
      <c r="AM146" s="186" t="str">
        <f t="shared" si="30"/>
        <v/>
      </c>
      <c r="AN146" s="186" t="str">
        <f t="shared" si="31"/>
        <v/>
      </c>
      <c r="AO146" s="165">
        <f t="shared" si="32"/>
        <v>140</v>
      </c>
      <c r="AP146" s="165">
        <f>IF(AND(LEFT(PQS_tbl[[#This Row],[D]],3)=$AP$6,PQS_tbl[[#This Row],[I]]&gt;0),$AO146,"")</f>
        <v>140</v>
      </c>
      <c r="AQ146" s="165" t="str">
        <f>IFERROR(SMALL($AP$7:AP$182,ROWS($AP$7:AP146)),"")</f>
        <v/>
      </c>
      <c r="AR146" s="165" t="str">
        <f>IFERROR(INDEX(PQS_tbl[C],AQ146),"")</f>
        <v/>
      </c>
      <c r="AS146" s="165" t="str">
        <f>IF(AND(LEFT(PQS_tbl[[#This Row],[D]],3)=$AS$6,PQS_tbl[[#This Row],[I]]=0,PQS_tbl[[#This Row],[J]]&gt;0),$AO146,"")</f>
        <v/>
      </c>
      <c r="AT146" s="165" t="str">
        <f>IFERROR(SMALL($AS$7:AS$178,ROWS($AS$7:AS146)),"")</f>
        <v/>
      </c>
      <c r="AU146" s="165" t="str">
        <f>IFERROR(INDEX(PQS_tbl[C],AT146),"")</f>
        <v/>
      </c>
      <c r="AV146" s="165">
        <f>IF(LEFT(PQS_tbl[[#This Row],[E]],1)="S",$AP146,"")</f>
        <v>140</v>
      </c>
      <c r="AW146" s="165" t="str">
        <f>IFERROR(SMALL($AV$7:AV$178,ROWS($AV$7:AV146)),"")</f>
        <v/>
      </c>
      <c r="AX146" s="165" t="str">
        <f>IFERROR(INDEX(PQS_tbl[C],AW146),"")</f>
        <v/>
      </c>
      <c r="AY146" s="165" t="str">
        <f>IF(LEFT(PQS_tbl[[#This Row],[E]],1)="S",$AS146,"")</f>
        <v/>
      </c>
      <c r="AZ146" s="165" t="str">
        <f>IFERROR(SMALL($AY$7:AY$178,ROWS($AY$7:AY146)),"")</f>
        <v/>
      </c>
      <c r="BA146" s="165" t="str">
        <f>IFERROR(INDEX(PQS_tbl[C],AZ146),"")</f>
        <v/>
      </c>
      <c r="BB146" s="165" t="str">
        <f>IF(AND(LEFT(PQS_tbl[[#This Row],[D]],3)=$BB$6,PQS_tbl[[#This Row],[K]]&gt;0),$AO146,"")</f>
        <v/>
      </c>
    </row>
    <row r="147" spans="1:54" x14ac:dyDescent="0.25">
      <c r="A147" s="179" t="s">
        <v>657</v>
      </c>
      <c r="B147" s="62" t="s">
        <v>561</v>
      </c>
      <c r="C147" s="61" t="s">
        <v>688</v>
      </c>
      <c r="D147" s="61" t="s">
        <v>689</v>
      </c>
      <c r="E147" s="180" t="s">
        <v>363</v>
      </c>
      <c r="F147" s="180" t="s">
        <v>489</v>
      </c>
      <c r="G147" s="180" t="s">
        <v>349</v>
      </c>
      <c r="H147" s="180" t="s">
        <v>466</v>
      </c>
      <c r="I147" s="63">
        <v>242</v>
      </c>
      <c r="J147" s="63"/>
      <c r="K147" s="63"/>
      <c r="L147" s="63"/>
      <c r="M147" s="63"/>
      <c r="N147" s="181">
        <v>55.27</v>
      </c>
      <c r="O147" s="181"/>
      <c r="P147" s="181"/>
      <c r="Q147" s="63">
        <v>0.63800000000000001</v>
      </c>
      <c r="R147" s="63"/>
      <c r="S147" s="63"/>
      <c r="T147" s="63"/>
      <c r="U147" s="182"/>
      <c r="V147" s="183">
        <v>2018</v>
      </c>
      <c r="W147" s="63">
        <v>314</v>
      </c>
      <c r="X147" s="63"/>
      <c r="Y147" s="63"/>
      <c r="Z147" s="63">
        <v>84.5</v>
      </c>
      <c r="AA147" s="63">
        <v>156.30000000000001</v>
      </c>
      <c r="AB147" s="63">
        <v>70</v>
      </c>
      <c r="AC147" s="63">
        <v>1.1599999999999999</v>
      </c>
      <c r="AD147" s="184">
        <v>150</v>
      </c>
      <c r="AE147" s="63" t="s">
        <v>312</v>
      </c>
      <c r="AF147" s="185">
        <f t="shared" si="33"/>
        <v>0</v>
      </c>
      <c r="AG147" s="185" t="str">
        <f t="shared" si="33"/>
        <v/>
      </c>
      <c r="AH147" s="185" t="str">
        <f t="shared" si="25"/>
        <v/>
      </c>
      <c r="AI147" s="186">
        <f t="shared" si="26"/>
        <v>2.6363636363636363E-3</v>
      </c>
      <c r="AJ147" s="186" t="str">
        <f t="shared" si="27"/>
        <v/>
      </c>
      <c r="AK147" s="186" t="str">
        <f t="shared" si="28"/>
        <v/>
      </c>
      <c r="AL147" s="186" t="str">
        <f t="shared" si="29"/>
        <v/>
      </c>
      <c r="AM147" s="186" t="str">
        <f t="shared" si="30"/>
        <v/>
      </c>
      <c r="AN147" s="186" t="str">
        <f t="shared" si="31"/>
        <v/>
      </c>
      <c r="AO147" s="165">
        <f t="shared" si="32"/>
        <v>141</v>
      </c>
      <c r="AP147" s="165">
        <f>IF(AND(LEFT(PQS_tbl[[#This Row],[D]],3)=$AP$6,PQS_tbl[[#This Row],[I]]&gt;0),$AO147,"")</f>
        <v>141</v>
      </c>
      <c r="AQ147" s="165" t="str">
        <f>IFERROR(SMALL($AP$7:AP$182,ROWS($AP$7:AP147)),"")</f>
        <v/>
      </c>
      <c r="AR147" s="165" t="str">
        <f>IFERROR(INDEX(PQS_tbl[C],AQ147),"")</f>
        <v/>
      </c>
      <c r="AS147" s="165" t="str">
        <f>IF(AND(LEFT(PQS_tbl[[#This Row],[D]],3)=$AS$6,PQS_tbl[[#This Row],[I]]=0,PQS_tbl[[#This Row],[J]]&gt;0),$AO147,"")</f>
        <v/>
      </c>
      <c r="AT147" s="165" t="str">
        <f>IFERROR(SMALL($AS$7:AS$178,ROWS($AS$7:AS147)),"")</f>
        <v/>
      </c>
      <c r="AU147" s="165" t="str">
        <f>IFERROR(INDEX(PQS_tbl[C],AT147),"")</f>
        <v/>
      </c>
      <c r="AV147" s="165" t="str">
        <f>IF(LEFT(PQS_tbl[[#This Row],[E]],1)="S",$AP147,"")</f>
        <v/>
      </c>
      <c r="AW147" s="165" t="str">
        <f>IFERROR(SMALL($AV$7:AV$178,ROWS($AV$7:AV147)),"")</f>
        <v/>
      </c>
      <c r="AX147" s="165" t="str">
        <f>IFERROR(INDEX(PQS_tbl[C],AW147),"")</f>
        <v/>
      </c>
      <c r="AY147" s="165" t="str">
        <f>IF(LEFT(PQS_tbl[[#This Row],[E]],1)="S",$AS147,"")</f>
        <v/>
      </c>
      <c r="AZ147" s="165" t="str">
        <f>IFERROR(SMALL($AY$7:AY$178,ROWS($AY$7:AY147)),"")</f>
        <v/>
      </c>
      <c r="BA147" s="165" t="str">
        <f>IFERROR(INDEX(PQS_tbl[C],AZ147),"")</f>
        <v/>
      </c>
      <c r="BB147" s="165" t="str">
        <f>IF(AND(LEFT(PQS_tbl[[#This Row],[D]],3)=$BB$6,PQS_tbl[[#This Row],[K]]&gt;0),$AO147,"")</f>
        <v/>
      </c>
    </row>
    <row r="148" spans="1:54" x14ac:dyDescent="0.25">
      <c r="A148" s="179" t="s">
        <v>690</v>
      </c>
      <c r="B148" s="62" t="s">
        <v>573</v>
      </c>
      <c r="C148" s="61" t="s">
        <v>691</v>
      </c>
      <c r="D148" s="61" t="s">
        <v>692</v>
      </c>
      <c r="E148" s="180" t="s">
        <v>549</v>
      </c>
      <c r="F148" s="180" t="s">
        <v>636</v>
      </c>
      <c r="G148" s="180" t="s">
        <v>349</v>
      </c>
      <c r="H148" s="180" t="s">
        <v>466</v>
      </c>
      <c r="I148" s="63">
        <v>58</v>
      </c>
      <c r="J148" s="63">
        <v>44</v>
      </c>
      <c r="K148" s="63"/>
      <c r="L148" s="63"/>
      <c r="M148" s="63">
        <v>14.4</v>
      </c>
      <c r="N148" s="181">
        <v>283.3</v>
      </c>
      <c r="O148" s="181"/>
      <c r="P148" s="181"/>
      <c r="Q148" s="63"/>
      <c r="R148" s="63"/>
      <c r="S148" s="63"/>
      <c r="T148" s="63">
        <v>5995</v>
      </c>
      <c r="U148" s="182">
        <v>5995</v>
      </c>
      <c r="V148" s="183">
        <v>2018</v>
      </c>
      <c r="W148" s="63">
        <v>90</v>
      </c>
      <c r="X148" s="63"/>
      <c r="Y148" s="63"/>
      <c r="Z148" s="63">
        <v>183</v>
      </c>
      <c r="AA148" s="63">
        <v>79.5</v>
      </c>
      <c r="AB148" s="63">
        <v>75</v>
      </c>
      <c r="AC148" s="63">
        <v>1.73</v>
      </c>
      <c r="AD148" s="184">
        <v>380</v>
      </c>
      <c r="AE148" s="63" t="s">
        <v>312</v>
      </c>
      <c r="AF148" s="185">
        <f t="shared" si="33"/>
        <v>103.36206896551724</v>
      </c>
      <c r="AG148" s="185">
        <f t="shared" si="33"/>
        <v>136.25</v>
      </c>
      <c r="AH148" s="185" t="str">
        <f t="shared" si="25"/>
        <v/>
      </c>
      <c r="AI148" s="186" t="str">
        <f t="shared" si="26"/>
        <v/>
      </c>
      <c r="AJ148" s="186" t="str">
        <f t="shared" si="27"/>
        <v/>
      </c>
      <c r="AK148" s="186" t="str">
        <f t="shared" si="28"/>
        <v/>
      </c>
      <c r="AL148" s="186" t="str">
        <f t="shared" si="29"/>
        <v/>
      </c>
      <c r="AM148" s="186" t="str">
        <f t="shared" si="30"/>
        <v/>
      </c>
      <c r="AN148" s="186" t="str">
        <f t="shared" si="31"/>
        <v/>
      </c>
      <c r="AO148" s="165">
        <f t="shared" si="32"/>
        <v>142</v>
      </c>
      <c r="AP148" s="165">
        <f>IF(AND(LEFT(PQS_tbl[[#This Row],[D]],3)=$AP$6,PQS_tbl[[#This Row],[I]]&gt;0),$AO148,"")</f>
        <v>142</v>
      </c>
      <c r="AQ148" s="165" t="str">
        <f>IFERROR(SMALL($AP$7:AP$182,ROWS($AP$7:AP148)),"")</f>
        <v/>
      </c>
      <c r="AR148" s="165" t="str">
        <f>IFERROR(INDEX(PQS_tbl[C],AQ148),"")</f>
        <v/>
      </c>
      <c r="AS148" s="165" t="str">
        <f>IF(AND(LEFT(PQS_tbl[[#This Row],[D]],3)=$AS$6,PQS_tbl[[#This Row],[I]]=0,PQS_tbl[[#This Row],[J]]&gt;0),$AO148,"")</f>
        <v/>
      </c>
      <c r="AT148" s="165" t="str">
        <f>IFERROR(SMALL($AS$7:AS$178,ROWS($AS$7:AS148)),"")</f>
        <v/>
      </c>
      <c r="AU148" s="165" t="str">
        <f>IFERROR(INDEX(PQS_tbl[C],AT148),"")</f>
        <v/>
      </c>
      <c r="AV148" s="165">
        <f>IF(LEFT(PQS_tbl[[#This Row],[E]],1)="S",$AP148,"")</f>
        <v>142</v>
      </c>
      <c r="AW148" s="165" t="str">
        <f>IFERROR(SMALL($AV$7:AV$178,ROWS($AV$7:AV148)),"")</f>
        <v/>
      </c>
      <c r="AX148" s="165" t="str">
        <f>IFERROR(INDEX(PQS_tbl[C],AW148),"")</f>
        <v/>
      </c>
      <c r="AY148" s="165" t="str">
        <f>IF(LEFT(PQS_tbl[[#This Row],[E]],1)="S",$AS148,"")</f>
        <v/>
      </c>
      <c r="AZ148" s="165" t="str">
        <f>IFERROR(SMALL($AY$7:AY$178,ROWS($AY$7:AY148)),"")</f>
        <v/>
      </c>
      <c r="BA148" s="165" t="str">
        <f>IFERROR(INDEX(PQS_tbl[C],AZ148),"")</f>
        <v/>
      </c>
      <c r="BB148" s="165" t="str">
        <f>IF(AND(LEFT(PQS_tbl[[#This Row],[D]],3)=$BB$6,PQS_tbl[[#This Row],[K]]&gt;0),$AO148,"")</f>
        <v/>
      </c>
    </row>
    <row r="149" spans="1:54" x14ac:dyDescent="0.25">
      <c r="A149" s="189" t="s">
        <v>657</v>
      </c>
      <c r="B149" s="190" t="s">
        <v>409</v>
      </c>
      <c r="C149" s="191" t="s">
        <v>693</v>
      </c>
      <c r="D149" s="191" t="s">
        <v>694</v>
      </c>
      <c r="E149" s="192" t="s">
        <v>363</v>
      </c>
      <c r="F149" s="192" t="s">
        <v>348</v>
      </c>
      <c r="G149" s="192" t="s">
        <v>349</v>
      </c>
      <c r="H149" s="192" t="s">
        <v>466</v>
      </c>
      <c r="I149" s="193">
        <v>77</v>
      </c>
      <c r="J149" s="193"/>
      <c r="K149" s="193"/>
      <c r="L149" s="193"/>
      <c r="M149" s="193"/>
      <c r="N149" s="194">
        <v>105.17</v>
      </c>
      <c r="O149" s="194"/>
      <c r="P149" s="194"/>
      <c r="Q149" s="193">
        <v>1.4</v>
      </c>
      <c r="R149" s="193"/>
      <c r="S149" s="193"/>
      <c r="T149" s="193">
        <v>1566</v>
      </c>
      <c r="U149" s="195">
        <v>1566</v>
      </c>
      <c r="V149" s="196">
        <v>2018</v>
      </c>
      <c r="W149" s="193">
        <v>94</v>
      </c>
      <c r="X149" s="193"/>
      <c r="Y149" s="193"/>
      <c r="Z149" s="193">
        <v>167</v>
      </c>
      <c r="AA149" s="193">
        <v>85</v>
      </c>
      <c r="AB149" s="193">
        <v>71</v>
      </c>
      <c r="AC149" s="193">
        <v>1.1319999999999999</v>
      </c>
      <c r="AD149" s="197">
        <v>142</v>
      </c>
      <c r="AE149" s="63" t="s">
        <v>312</v>
      </c>
      <c r="AF149" s="185">
        <f t="shared" si="33"/>
        <v>20.337662337662337</v>
      </c>
      <c r="AG149" s="185" t="str">
        <f t="shared" si="33"/>
        <v/>
      </c>
      <c r="AH149" s="185" t="str">
        <f t="shared" si="25"/>
        <v/>
      </c>
      <c r="AI149" s="186">
        <f t="shared" si="26"/>
        <v>1.8181818181818181E-2</v>
      </c>
      <c r="AJ149" s="186" t="str">
        <f t="shared" si="27"/>
        <v/>
      </c>
      <c r="AK149" s="186" t="str">
        <f t="shared" si="28"/>
        <v/>
      </c>
      <c r="AL149" s="186" t="str">
        <f t="shared" si="29"/>
        <v/>
      </c>
      <c r="AM149" s="186" t="str">
        <f t="shared" si="30"/>
        <v/>
      </c>
      <c r="AN149" s="186" t="str">
        <f t="shared" si="31"/>
        <v/>
      </c>
      <c r="AO149" s="165">
        <f t="shared" si="32"/>
        <v>143</v>
      </c>
      <c r="AP149" s="165">
        <f>IF(AND(LEFT(PQS_tbl[[#This Row],[D]],3)=$AP$6,PQS_tbl[[#This Row],[I]]&gt;0),$AO149,"")</f>
        <v>143</v>
      </c>
      <c r="AQ149" s="165" t="str">
        <f>IFERROR(SMALL($AP$7:AP$182,ROWS($AP$7:AP149)),"")</f>
        <v/>
      </c>
      <c r="AR149" s="165" t="str">
        <f>IFERROR(INDEX(PQS_tbl[C],AQ149),"")</f>
        <v/>
      </c>
      <c r="AS149" s="165" t="str">
        <f>IF(AND(LEFT(PQS_tbl[[#This Row],[D]],3)=$AS$6,PQS_tbl[[#This Row],[I]]=0,PQS_tbl[[#This Row],[J]]&gt;0),$AO149,"")</f>
        <v/>
      </c>
      <c r="AT149" s="165" t="str">
        <f>IFERROR(SMALL($AS$7:AS$178,ROWS($AS$7:AS149)),"")</f>
        <v/>
      </c>
      <c r="AU149" s="165" t="str">
        <f>IFERROR(INDEX(PQS_tbl[C],AT149),"")</f>
        <v/>
      </c>
      <c r="AV149" s="165" t="str">
        <f>IF(LEFT(PQS_tbl[[#This Row],[E]],1)="S",$AP149,"")</f>
        <v/>
      </c>
      <c r="AW149" s="165" t="str">
        <f>IFERROR(SMALL($AV$7:AV$178,ROWS($AV$7:AV149)),"")</f>
        <v/>
      </c>
      <c r="AX149" s="165" t="str">
        <f>IFERROR(INDEX(PQS_tbl[C],AW149),"")</f>
        <v/>
      </c>
      <c r="AY149" s="165" t="str">
        <f>IF(LEFT(PQS_tbl[[#This Row],[E]],1)="S",$AS149,"")</f>
        <v/>
      </c>
      <c r="AZ149" s="165" t="str">
        <f>IFERROR(SMALL($AY$7:AY$178,ROWS($AY$7:AY149)),"")</f>
        <v/>
      </c>
      <c r="BA149" s="165" t="str">
        <f>IFERROR(INDEX(PQS_tbl[C],AZ149),"")</f>
        <v/>
      </c>
      <c r="BB149" s="165" t="str">
        <f>IF(AND(LEFT(PQS_tbl[[#This Row],[D]],3)=$BB$6,PQS_tbl[[#This Row],[K]]&gt;0),$AO149,"")</f>
        <v/>
      </c>
    </row>
    <row r="150" spans="1:54" x14ac:dyDescent="0.25">
      <c r="A150" s="179" t="s">
        <v>629</v>
      </c>
      <c r="B150" s="62" t="s">
        <v>467</v>
      </c>
      <c r="C150" s="61" t="s">
        <v>695</v>
      </c>
      <c r="D150" s="61" t="s">
        <v>696</v>
      </c>
      <c r="E150" s="180" t="s">
        <v>347</v>
      </c>
      <c r="F150" s="180" t="s">
        <v>489</v>
      </c>
      <c r="G150" s="180" t="s">
        <v>349</v>
      </c>
      <c r="H150" s="180" t="s">
        <v>466</v>
      </c>
      <c r="I150" s="63">
        <v>30</v>
      </c>
      <c r="J150" s="63">
        <v>32</v>
      </c>
      <c r="K150" s="63"/>
      <c r="L150" s="63">
        <v>4</v>
      </c>
      <c r="M150" s="63">
        <v>32</v>
      </c>
      <c r="N150" s="181">
        <v>63.48</v>
      </c>
      <c r="O150" s="181"/>
      <c r="P150" s="181"/>
      <c r="Q150" s="63">
        <v>0.97</v>
      </c>
      <c r="R150" s="63"/>
      <c r="S150" s="63"/>
      <c r="T150" s="63">
        <v>1500</v>
      </c>
      <c r="U150" s="182">
        <v>1500</v>
      </c>
      <c r="V150" s="183">
        <v>2018</v>
      </c>
      <c r="W150" s="63">
        <v>42</v>
      </c>
      <c r="X150" s="63">
        <v>32</v>
      </c>
      <c r="Y150" s="63"/>
      <c r="Z150" s="63">
        <v>112.8</v>
      </c>
      <c r="AA150" s="63">
        <v>87.5</v>
      </c>
      <c r="AB150" s="63">
        <v>65.400000000000006</v>
      </c>
      <c r="AC150" s="63">
        <v>0.98</v>
      </c>
      <c r="AD150" s="184">
        <v>118</v>
      </c>
      <c r="AE150" s="63" t="s">
        <v>312</v>
      </c>
      <c r="AF150" s="185">
        <f t="shared" si="33"/>
        <v>50</v>
      </c>
      <c r="AG150" s="185">
        <f t="shared" si="33"/>
        <v>46.875</v>
      </c>
      <c r="AH150" s="185">
        <f t="shared" si="25"/>
        <v>375</v>
      </c>
      <c r="AI150" s="186">
        <f t="shared" si="26"/>
        <v>3.2333333333333332E-2</v>
      </c>
      <c r="AJ150" s="186" t="str">
        <f t="shared" si="27"/>
        <v/>
      </c>
      <c r="AK150" s="186">
        <f t="shared" si="28"/>
        <v>3.0312499999999999E-2</v>
      </c>
      <c r="AL150" s="186" t="str">
        <f t="shared" si="29"/>
        <v/>
      </c>
      <c r="AM150" s="186">
        <f t="shared" si="30"/>
        <v>0.24249999999999999</v>
      </c>
      <c r="AN150" s="186" t="str">
        <f t="shared" si="31"/>
        <v/>
      </c>
      <c r="AO150" s="165">
        <f t="shared" si="32"/>
        <v>144</v>
      </c>
      <c r="AP150" s="165">
        <f>IF(AND(LEFT(PQS_tbl[[#This Row],[D]],3)=$AP$6,PQS_tbl[[#This Row],[I]]&gt;0),$AO150,"")</f>
        <v>144</v>
      </c>
      <c r="AQ150" s="165" t="str">
        <f>IFERROR(SMALL($AP$7:AP$182,ROWS($AP$7:AP150)),"")</f>
        <v/>
      </c>
      <c r="AR150" s="165" t="str">
        <f>IFERROR(INDEX(PQS_tbl[C],AQ150),"")</f>
        <v/>
      </c>
      <c r="AS150" s="165" t="str">
        <f>IF(AND(LEFT(PQS_tbl[[#This Row],[D]],3)=$AS$6,PQS_tbl[[#This Row],[I]]=0,PQS_tbl[[#This Row],[J]]&gt;0),$AO150,"")</f>
        <v/>
      </c>
      <c r="AT150" s="165" t="str">
        <f>IFERROR(SMALL($AS$7:AS$178,ROWS($AS$7:AS150)),"")</f>
        <v/>
      </c>
      <c r="AU150" s="165" t="str">
        <f>IFERROR(INDEX(PQS_tbl[C],AT150),"")</f>
        <v/>
      </c>
      <c r="AV150" s="165" t="str">
        <f>IF(LEFT(PQS_tbl[[#This Row],[E]],1)="S",$AP150,"")</f>
        <v/>
      </c>
      <c r="AW150" s="165" t="str">
        <f>IFERROR(SMALL($AV$7:AV$178,ROWS($AV$7:AV150)),"")</f>
        <v/>
      </c>
      <c r="AX150" s="165" t="str">
        <f>IFERROR(INDEX(PQS_tbl[C],AW150),"")</f>
        <v/>
      </c>
      <c r="AY150" s="165" t="str">
        <f>IF(LEFT(PQS_tbl[[#This Row],[E]],1)="S",$AS150,"")</f>
        <v/>
      </c>
      <c r="AZ150" s="165" t="str">
        <f>IFERROR(SMALL($AY$7:AY$178,ROWS($AY$7:AY150)),"")</f>
        <v/>
      </c>
      <c r="BA150" s="165" t="str">
        <f>IFERROR(INDEX(PQS_tbl[C],AZ150),"")</f>
        <v/>
      </c>
      <c r="BB150" s="165" t="str">
        <f>IF(AND(LEFT(PQS_tbl[[#This Row],[D]],3)=$BB$6,PQS_tbl[[#This Row],[K]]&gt;0),$AO150,"")</f>
        <v/>
      </c>
    </row>
    <row r="151" spans="1:54" x14ac:dyDescent="0.25">
      <c r="A151" s="189" t="s">
        <v>560</v>
      </c>
      <c r="B151" s="190" t="s">
        <v>607</v>
      </c>
      <c r="C151" s="191" t="s">
        <v>697</v>
      </c>
      <c r="D151" s="191" t="s">
        <v>698</v>
      </c>
      <c r="E151" s="192" t="s">
        <v>488</v>
      </c>
      <c r="F151" s="192" t="s">
        <v>489</v>
      </c>
      <c r="G151" s="192" t="s">
        <v>349</v>
      </c>
      <c r="H151" s="192" t="s">
        <v>466</v>
      </c>
      <c r="I151" s="193">
        <v>50</v>
      </c>
      <c r="J151" s="193"/>
      <c r="K151" s="193"/>
      <c r="L151" s="193"/>
      <c r="M151" s="193"/>
      <c r="N151" s="194">
        <v>120</v>
      </c>
      <c r="O151" s="194"/>
      <c r="P151" s="194"/>
      <c r="Q151" s="193"/>
      <c r="R151" s="193"/>
      <c r="S151" s="193"/>
      <c r="T151" s="193">
        <v>3200</v>
      </c>
      <c r="U151" s="195">
        <v>3200</v>
      </c>
      <c r="V151" s="196"/>
      <c r="W151" s="193">
        <v>68</v>
      </c>
      <c r="X151" s="193"/>
      <c r="Y151" s="193"/>
      <c r="Z151" s="193">
        <v>158.80000000000001</v>
      </c>
      <c r="AA151" s="193">
        <v>65.5</v>
      </c>
      <c r="AB151" s="193">
        <v>54.5</v>
      </c>
      <c r="AC151" s="193">
        <v>0.78</v>
      </c>
      <c r="AD151" s="197">
        <v>95</v>
      </c>
      <c r="AE151" s="63" t="s">
        <v>312</v>
      </c>
      <c r="AF151" s="185">
        <f t="shared" si="33"/>
        <v>64</v>
      </c>
      <c r="AG151" s="185" t="str">
        <f t="shared" si="33"/>
        <v/>
      </c>
      <c r="AH151" s="185" t="str">
        <f t="shared" si="25"/>
        <v/>
      </c>
      <c r="AI151" s="186" t="str">
        <f t="shared" si="26"/>
        <v/>
      </c>
      <c r="AJ151" s="186" t="str">
        <f t="shared" si="27"/>
        <v/>
      </c>
      <c r="AK151" s="186" t="str">
        <f t="shared" si="28"/>
        <v/>
      </c>
      <c r="AL151" s="186" t="str">
        <f t="shared" si="29"/>
        <v/>
      </c>
      <c r="AM151" s="186" t="str">
        <f t="shared" si="30"/>
        <v/>
      </c>
      <c r="AN151" s="186" t="str">
        <f t="shared" si="31"/>
        <v/>
      </c>
      <c r="AO151" s="165">
        <f t="shared" si="32"/>
        <v>145</v>
      </c>
      <c r="AP151" s="165">
        <f>IF(AND(LEFT(PQS_tbl[[#This Row],[D]],3)=$AP$6,PQS_tbl[[#This Row],[I]]&gt;0),$AO151,"")</f>
        <v>145</v>
      </c>
      <c r="AQ151" s="165" t="str">
        <f>IFERROR(SMALL($AP$7:AP$182,ROWS($AP$7:AP151)),"")</f>
        <v/>
      </c>
      <c r="AR151" s="165" t="str">
        <f>IFERROR(INDEX(PQS_tbl[C],AQ151),"")</f>
        <v/>
      </c>
      <c r="AS151" s="165" t="str">
        <f>IF(AND(LEFT(PQS_tbl[[#This Row],[D]],3)=$AS$6,PQS_tbl[[#This Row],[I]]=0,PQS_tbl[[#This Row],[J]]&gt;0),$AO151,"")</f>
        <v/>
      </c>
      <c r="AT151" s="165" t="str">
        <f>IFERROR(SMALL($AS$7:AS$178,ROWS($AS$7:AS151)),"")</f>
        <v/>
      </c>
      <c r="AU151" s="165" t="str">
        <f>IFERROR(INDEX(PQS_tbl[C],AT151),"")</f>
        <v/>
      </c>
      <c r="AV151" s="165">
        <f>IF(LEFT(PQS_tbl[[#This Row],[E]],1)="S",$AP151,"")</f>
        <v>145</v>
      </c>
      <c r="AW151" s="165" t="str">
        <f>IFERROR(SMALL($AV$7:AV$178,ROWS($AV$7:AV151)),"")</f>
        <v/>
      </c>
      <c r="AX151" s="165" t="str">
        <f>IFERROR(INDEX(PQS_tbl[C],AW151),"")</f>
        <v/>
      </c>
      <c r="AY151" s="165" t="str">
        <f>IF(LEFT(PQS_tbl[[#This Row],[E]],1)="S",$AS151,"")</f>
        <v/>
      </c>
      <c r="AZ151" s="165" t="str">
        <f>IFERROR(SMALL($AY$7:AY$178,ROWS($AY$7:AY151)),"")</f>
        <v/>
      </c>
      <c r="BA151" s="165" t="str">
        <f>IFERROR(INDEX(PQS_tbl[C],AZ151),"")</f>
        <v/>
      </c>
      <c r="BB151" s="165" t="str">
        <f>IF(AND(LEFT(PQS_tbl[[#This Row],[D]],3)=$BB$6,PQS_tbl[[#This Row],[K]]&gt;0),$AO151,"")</f>
        <v/>
      </c>
    </row>
    <row r="152" spans="1:54" x14ac:dyDescent="0.25">
      <c r="A152" s="179" t="s">
        <v>670</v>
      </c>
      <c r="B152" s="62" t="s">
        <v>360</v>
      </c>
      <c r="C152" s="61" t="s">
        <v>699</v>
      </c>
      <c r="D152" s="61" t="s">
        <v>700</v>
      </c>
      <c r="E152" s="180" t="s">
        <v>488</v>
      </c>
      <c r="F152" s="180" t="s">
        <v>489</v>
      </c>
      <c r="G152" s="180" t="s">
        <v>349</v>
      </c>
      <c r="H152" s="180" t="s">
        <v>470</v>
      </c>
      <c r="I152" s="63"/>
      <c r="J152" s="63">
        <v>17.399999999999999</v>
      </c>
      <c r="K152" s="63"/>
      <c r="L152" s="63">
        <v>1.6</v>
      </c>
      <c r="M152" s="63">
        <v>17.399999999999999</v>
      </c>
      <c r="N152" s="181"/>
      <c r="O152" s="181"/>
      <c r="P152" s="181"/>
      <c r="Q152" s="63"/>
      <c r="R152" s="63"/>
      <c r="S152" s="63"/>
      <c r="T152" s="63">
        <v>2635</v>
      </c>
      <c r="U152" s="182">
        <v>3162</v>
      </c>
      <c r="V152" s="183">
        <v>2018</v>
      </c>
      <c r="W152" s="63">
        <v>34.299999999999997</v>
      </c>
      <c r="X152" s="63"/>
      <c r="Y152" s="63"/>
      <c r="Z152" s="63">
        <v>85</v>
      </c>
      <c r="AA152" s="63">
        <v>55.5</v>
      </c>
      <c r="AB152" s="63">
        <v>65</v>
      </c>
      <c r="AC152" s="63">
        <v>1.42</v>
      </c>
      <c r="AD152" s="184">
        <v>167</v>
      </c>
      <c r="AE152" s="63" t="s">
        <v>312</v>
      </c>
      <c r="AF152" s="185" t="str">
        <f t="shared" si="33"/>
        <v/>
      </c>
      <c r="AG152" s="185">
        <f t="shared" si="33"/>
        <v>181.72413793103451</v>
      </c>
      <c r="AH152" s="185">
        <f t="shared" si="25"/>
        <v>1976.25</v>
      </c>
      <c r="AI152" s="186" t="str">
        <f t="shared" si="26"/>
        <v/>
      </c>
      <c r="AJ152" s="186" t="str">
        <f t="shared" si="27"/>
        <v/>
      </c>
      <c r="AK152" s="186" t="str">
        <f t="shared" si="28"/>
        <v/>
      </c>
      <c r="AL152" s="186" t="str">
        <f t="shared" si="29"/>
        <v/>
      </c>
      <c r="AM152" s="186" t="str">
        <f t="shared" si="30"/>
        <v/>
      </c>
      <c r="AN152" s="186" t="str">
        <f t="shared" si="31"/>
        <v/>
      </c>
      <c r="AO152" s="165">
        <f t="shared" si="32"/>
        <v>146</v>
      </c>
      <c r="AP152" s="165" t="str">
        <f>IF(AND(LEFT(PQS_tbl[[#This Row],[D]],3)=$AP$6,PQS_tbl[[#This Row],[I]]&gt;0),$AO152,"")</f>
        <v/>
      </c>
      <c r="AQ152" s="165" t="str">
        <f>IFERROR(SMALL($AP$7:AP$182,ROWS($AP$7:AP152)),"")</f>
        <v/>
      </c>
      <c r="AR152" s="165" t="str">
        <f>IFERROR(INDEX(PQS_tbl[C],AQ152),"")</f>
        <v/>
      </c>
      <c r="AS152" s="165">
        <f>IF(AND(LEFT(PQS_tbl[[#This Row],[D]],3)=$AS$6,PQS_tbl[[#This Row],[I]]=0,PQS_tbl[[#This Row],[J]]&gt;0),$AO152,"")</f>
        <v>146</v>
      </c>
      <c r="AT152" s="165" t="str">
        <f>IFERROR(SMALL($AS$7:AS$178,ROWS($AS$7:AS152)),"")</f>
        <v/>
      </c>
      <c r="AV152" s="165" t="str">
        <f>IF(LEFT(PQS_tbl[[#This Row],[E]],1)="S",$AP152,"")</f>
        <v/>
      </c>
      <c r="AW152" s="165" t="str">
        <f>IFERROR(SMALL($AV$7:AV$178,ROWS($AV$7:AV152)),"")</f>
        <v/>
      </c>
      <c r="AX152" s="165"/>
      <c r="AY152" s="165">
        <f>IF(LEFT(PQS_tbl[[#This Row],[E]],1)="S",$AS152,"")</f>
        <v>146</v>
      </c>
      <c r="AZ152" s="165" t="str">
        <f>IFERROR(SMALL($AY$7:AY$178,ROWS($AY$7:AY152)),"")</f>
        <v/>
      </c>
      <c r="BA152" s="165"/>
      <c r="BB152" s="165" t="str">
        <f>IF(AND(LEFT(PQS_tbl[[#This Row],[D]],3)=$BB$6,PQS_tbl[[#This Row],[K]]&gt;0),$AO152,"")</f>
        <v/>
      </c>
    </row>
    <row r="153" spans="1:54" x14ac:dyDescent="0.25">
      <c r="A153" s="179" t="s">
        <v>612</v>
      </c>
      <c r="B153" s="62" t="s">
        <v>463</v>
      </c>
      <c r="C153" s="61" t="s">
        <v>701</v>
      </c>
      <c r="D153" s="61" t="s">
        <v>702</v>
      </c>
      <c r="E153" s="180" t="s">
        <v>363</v>
      </c>
      <c r="F153" s="180" t="s">
        <v>489</v>
      </c>
      <c r="G153" s="180" t="s">
        <v>349</v>
      </c>
      <c r="H153" s="180" t="s">
        <v>466</v>
      </c>
      <c r="I153" s="63">
        <v>36.5</v>
      </c>
      <c r="J153" s="63"/>
      <c r="K153" s="63"/>
      <c r="L153" s="63"/>
      <c r="M153" s="63"/>
      <c r="N153" s="181">
        <v>121.54</v>
      </c>
      <c r="O153" s="181"/>
      <c r="P153" s="181"/>
      <c r="Q153" s="63">
        <v>0.8</v>
      </c>
      <c r="R153" s="63"/>
      <c r="S153" s="63"/>
      <c r="T153" s="63">
        <v>2770</v>
      </c>
      <c r="U153" s="182">
        <v>3324</v>
      </c>
      <c r="V153" s="183">
        <v>2019</v>
      </c>
      <c r="W153" s="63">
        <v>45</v>
      </c>
      <c r="X153" s="63"/>
      <c r="Y153" s="63"/>
      <c r="Z153" s="63">
        <v>103</v>
      </c>
      <c r="AA153" s="63">
        <v>78</v>
      </c>
      <c r="AB153" s="63">
        <v>90</v>
      </c>
      <c r="AC153" s="63">
        <v>0.88</v>
      </c>
      <c r="AD153" s="184">
        <v>128</v>
      </c>
      <c r="AE153" s="63" t="s">
        <v>312</v>
      </c>
      <c r="AF153" s="185">
        <f t="shared" si="33"/>
        <v>91.06849315068493</v>
      </c>
      <c r="AG153" s="185" t="str">
        <f t="shared" si="33"/>
        <v/>
      </c>
      <c r="AH153" s="185" t="str">
        <f t="shared" si="25"/>
        <v/>
      </c>
      <c r="AI153" s="186">
        <f t="shared" si="26"/>
        <v>2.1917808219178082E-2</v>
      </c>
      <c r="AJ153" s="186" t="str">
        <f t="shared" si="27"/>
        <v/>
      </c>
      <c r="AK153" s="186" t="str">
        <f t="shared" si="28"/>
        <v/>
      </c>
      <c r="AL153" s="186" t="str">
        <f t="shared" si="29"/>
        <v/>
      </c>
      <c r="AM153" s="186" t="str">
        <f t="shared" si="30"/>
        <v/>
      </c>
      <c r="AN153" s="186" t="str">
        <f t="shared" si="31"/>
        <v/>
      </c>
      <c r="AO153" s="165">
        <f t="shared" si="32"/>
        <v>147</v>
      </c>
      <c r="AP153" s="165">
        <f>IF(AND(LEFT(PQS_tbl[[#This Row],[D]],3)=$AP$6,PQS_tbl[[#This Row],[I]]&gt;0),$AO153,"")</f>
        <v>147</v>
      </c>
      <c r="AQ153" s="165" t="str">
        <f>IFERROR(SMALL($AP$7:AP$182,ROWS($AP$7:AP153)),"")</f>
        <v/>
      </c>
      <c r="AR153" s="165" t="str">
        <f>IFERROR(INDEX(PQS_tbl[C],AQ153),"")</f>
        <v/>
      </c>
      <c r="AS153" s="165" t="str">
        <f>IF(AND(LEFT(PQS_tbl[[#This Row],[D]],3)=$AS$6,PQS_tbl[[#This Row],[I]]=0,PQS_tbl[[#This Row],[J]]&gt;0),$AO153,"")</f>
        <v/>
      </c>
      <c r="AT153" s="165" t="str">
        <f>IFERROR(SMALL($AS$7:AS$178,ROWS($AS$7:AS153)),"")</f>
        <v/>
      </c>
      <c r="AV153" s="165" t="str">
        <f>IF(LEFT(PQS_tbl[[#This Row],[E]],1)="S",$AP153,"")</f>
        <v/>
      </c>
      <c r="AW153" s="165" t="str">
        <f>IFERROR(SMALL($AV$7:AV$178,ROWS($AV$7:AV153)),"")</f>
        <v/>
      </c>
      <c r="AX153" s="165"/>
      <c r="AY153" s="165" t="str">
        <f>IF(LEFT(PQS_tbl[[#This Row],[E]],1)="S",$AS153,"")</f>
        <v/>
      </c>
      <c r="AZ153" s="165" t="str">
        <f>IFERROR(SMALL($AY$7:AY$178,ROWS($AY$7:AY153)),"")</f>
        <v/>
      </c>
      <c r="BA153" s="165"/>
      <c r="BB153" s="165" t="str">
        <f>IF(AND(LEFT(PQS_tbl[[#This Row],[D]],3)=$BB$6,PQS_tbl[[#This Row],[K]]&gt;0),$AO153,"")</f>
        <v/>
      </c>
    </row>
    <row r="154" spans="1:54" x14ac:dyDescent="0.25">
      <c r="A154" s="179" t="s">
        <v>612</v>
      </c>
      <c r="B154" s="62" t="s">
        <v>463</v>
      </c>
      <c r="C154" s="61" t="s">
        <v>703</v>
      </c>
      <c r="D154" s="61" t="s">
        <v>704</v>
      </c>
      <c r="E154" s="180" t="s">
        <v>363</v>
      </c>
      <c r="F154" s="180" t="s">
        <v>489</v>
      </c>
      <c r="G154" s="180" t="s">
        <v>349</v>
      </c>
      <c r="H154" s="180" t="s">
        <v>466</v>
      </c>
      <c r="I154" s="63">
        <v>80.5</v>
      </c>
      <c r="J154" s="63"/>
      <c r="K154" s="63"/>
      <c r="L154" s="63"/>
      <c r="M154" s="63"/>
      <c r="N154" s="181">
        <v>72.09</v>
      </c>
      <c r="O154" s="181"/>
      <c r="P154" s="181"/>
      <c r="Q154" s="63">
        <v>1.1599999999999999</v>
      </c>
      <c r="R154" s="63"/>
      <c r="S154" s="63"/>
      <c r="T154" s="63">
        <v>2992</v>
      </c>
      <c r="U154" s="182">
        <v>3590.4</v>
      </c>
      <c r="V154" s="183">
        <v>2019</v>
      </c>
      <c r="W154" s="63">
        <v>82.5</v>
      </c>
      <c r="X154" s="63"/>
      <c r="Y154" s="63"/>
      <c r="Z154" s="63">
        <v>103</v>
      </c>
      <c r="AA154" s="63">
        <v>78</v>
      </c>
      <c r="AB154" s="63">
        <v>90</v>
      </c>
      <c r="AC154" s="63">
        <v>0.88</v>
      </c>
      <c r="AD154" s="184">
        <v>128</v>
      </c>
      <c r="AE154" s="63" t="s">
        <v>312</v>
      </c>
      <c r="AF154" s="185">
        <f t="shared" si="33"/>
        <v>44.601242236024845</v>
      </c>
      <c r="AG154" s="185" t="str">
        <f t="shared" si="33"/>
        <v/>
      </c>
      <c r="AH154" s="185" t="str">
        <f t="shared" si="25"/>
        <v/>
      </c>
      <c r="AI154" s="186">
        <f t="shared" si="26"/>
        <v>1.4409937888198757E-2</v>
      </c>
      <c r="AJ154" s="186" t="str">
        <f t="shared" si="27"/>
        <v/>
      </c>
      <c r="AK154" s="186" t="str">
        <f t="shared" si="28"/>
        <v/>
      </c>
      <c r="AL154" s="186" t="str">
        <f t="shared" si="29"/>
        <v/>
      </c>
      <c r="AM154" s="186" t="str">
        <f t="shared" si="30"/>
        <v/>
      </c>
      <c r="AN154" s="186" t="str">
        <f t="shared" si="31"/>
        <v/>
      </c>
      <c r="AO154" s="165">
        <f t="shared" si="32"/>
        <v>148</v>
      </c>
      <c r="AP154" s="165">
        <f>IF(AND(LEFT(PQS_tbl[[#This Row],[D]],3)=$AP$6,PQS_tbl[[#This Row],[I]]&gt;0),$AO154,"")</f>
        <v>148</v>
      </c>
      <c r="AQ154" s="165" t="str">
        <f>IFERROR(SMALL($AP$7:AP$182,ROWS($AP$7:AP154)),"")</f>
        <v/>
      </c>
      <c r="AR154" s="165" t="str">
        <f>IFERROR(INDEX(PQS_tbl[C],AQ154),"")</f>
        <v/>
      </c>
      <c r="AS154" s="165" t="str">
        <f>IF(AND(LEFT(PQS_tbl[[#This Row],[D]],3)=$AS$6,PQS_tbl[[#This Row],[I]]=0,PQS_tbl[[#This Row],[J]]&gt;0),$AO154,"")</f>
        <v/>
      </c>
      <c r="AT154" s="165" t="str">
        <f>IFERROR(SMALL($AS$7:AS$178,ROWS($AS$7:AS154)),"")</f>
        <v/>
      </c>
      <c r="AV154" s="165" t="str">
        <f>IF(LEFT(PQS_tbl[[#This Row],[E]],1)="S",$AP154,"")</f>
        <v/>
      </c>
      <c r="AW154" s="165" t="str">
        <f>IFERROR(SMALL($AV$7:AV$178,ROWS($AV$7:AV154)),"")</f>
        <v/>
      </c>
      <c r="AX154" s="165"/>
      <c r="AY154" s="165" t="str">
        <f>IF(LEFT(PQS_tbl[[#This Row],[E]],1)="S",$AS154,"")</f>
        <v/>
      </c>
      <c r="AZ154" s="165" t="str">
        <f>IFERROR(SMALL($AY$7:AY$178,ROWS($AY$7:AY154)),"")</f>
        <v/>
      </c>
      <c r="BA154" s="165"/>
      <c r="BB154" s="165" t="str">
        <f>IF(AND(LEFT(PQS_tbl[[#This Row],[D]],3)=$BB$6,PQS_tbl[[#This Row],[K]]&gt;0),$AO154,"")</f>
        <v/>
      </c>
    </row>
    <row r="155" spans="1:54" x14ac:dyDescent="0.25">
      <c r="A155" s="189" t="s">
        <v>560</v>
      </c>
      <c r="B155" s="190" t="s">
        <v>467</v>
      </c>
      <c r="C155" s="191" t="s">
        <v>705</v>
      </c>
      <c r="D155" s="191" t="s">
        <v>706</v>
      </c>
      <c r="E155" s="192" t="s">
        <v>488</v>
      </c>
      <c r="F155" s="192" t="s">
        <v>489</v>
      </c>
      <c r="G155" s="192" t="s">
        <v>349</v>
      </c>
      <c r="H155" s="192" t="s">
        <v>466</v>
      </c>
      <c r="I155" s="193">
        <v>75</v>
      </c>
      <c r="J155" s="193"/>
      <c r="K155" s="193"/>
      <c r="L155" s="193"/>
      <c r="M155" s="193"/>
      <c r="N155" s="194">
        <v>92.48</v>
      </c>
      <c r="O155" s="194"/>
      <c r="P155" s="194"/>
      <c r="Q155" s="193"/>
      <c r="R155" s="193"/>
      <c r="S155" s="193"/>
      <c r="T155" s="193">
        <v>3150</v>
      </c>
      <c r="U155" s="195">
        <v>3150</v>
      </c>
      <c r="V155" s="196">
        <v>2019</v>
      </c>
      <c r="W155" s="193">
        <v>112</v>
      </c>
      <c r="X155" s="193"/>
      <c r="Y155" s="193"/>
      <c r="Z155" s="193">
        <v>112.8</v>
      </c>
      <c r="AA155" s="193">
        <v>65.400000000000006</v>
      </c>
      <c r="AB155" s="193">
        <v>87.5</v>
      </c>
      <c r="AC155" s="193"/>
      <c r="AD155" s="197"/>
      <c r="AE155" s="63" t="s">
        <v>312</v>
      </c>
      <c r="AF155" s="185">
        <f t="shared" si="33"/>
        <v>42</v>
      </c>
      <c r="AG155" s="185" t="str">
        <f t="shared" si="33"/>
        <v/>
      </c>
      <c r="AH155" s="185" t="str">
        <f t="shared" si="25"/>
        <v/>
      </c>
      <c r="AI155" s="186" t="str">
        <f t="shared" si="26"/>
        <v/>
      </c>
      <c r="AJ155" s="186" t="str">
        <f t="shared" si="27"/>
        <v/>
      </c>
      <c r="AK155" s="186" t="str">
        <f t="shared" si="28"/>
        <v/>
      </c>
      <c r="AL155" s="186" t="str">
        <f t="shared" si="29"/>
        <v/>
      </c>
      <c r="AM155" s="186" t="str">
        <f t="shared" si="30"/>
        <v/>
      </c>
      <c r="AN155" s="186" t="str">
        <f t="shared" si="31"/>
        <v/>
      </c>
      <c r="AO155" s="165">
        <f t="shared" si="32"/>
        <v>149</v>
      </c>
      <c r="AP155" s="165">
        <f>IF(AND(LEFT(PQS_tbl[[#This Row],[D]],3)=$AP$6,PQS_tbl[[#This Row],[I]]&gt;0),$AO155,"")</f>
        <v>149</v>
      </c>
      <c r="AQ155" s="165" t="str">
        <f>IFERROR(SMALL($AP$7:AP$182,ROWS($AP$7:AP155)),"")</f>
        <v/>
      </c>
      <c r="AR155" s="165" t="str">
        <f>IFERROR(INDEX(PQS_tbl[C],AQ155),"")</f>
        <v/>
      </c>
      <c r="AS155" s="165" t="str">
        <f>IF(AND(LEFT(PQS_tbl[[#This Row],[D]],3)=$AS$6,PQS_tbl[[#This Row],[I]]=0,PQS_tbl[[#This Row],[J]]&gt;0),$AO155,"")</f>
        <v/>
      </c>
      <c r="AT155" s="165" t="str">
        <f>IFERROR(SMALL($AS$7:AS$178,ROWS($AS$7:AS155)),"")</f>
        <v/>
      </c>
      <c r="AV155" s="165">
        <f>IF(LEFT(PQS_tbl[[#This Row],[E]],1)="S",$AP155,"")</f>
        <v>149</v>
      </c>
      <c r="AW155" s="165" t="str">
        <f>IFERROR(SMALL($AV$7:AV$178,ROWS($AV$7:AV155)),"")</f>
        <v/>
      </c>
      <c r="AX155" s="165"/>
      <c r="AY155" s="165" t="str">
        <f>IF(LEFT(PQS_tbl[[#This Row],[E]],1)="S",$AS155,"")</f>
        <v/>
      </c>
      <c r="AZ155" s="165" t="str">
        <f>IFERROR(SMALL($AY$7:AY$178,ROWS($AY$7:AY155)),"")</f>
        <v/>
      </c>
      <c r="BA155" s="165"/>
      <c r="BB155" s="165" t="str">
        <f>IF(AND(LEFT(PQS_tbl[[#This Row],[D]],3)=$BB$6,PQS_tbl[[#This Row],[K]]&gt;0),$AO155,"")</f>
        <v/>
      </c>
    </row>
    <row r="156" spans="1:54" x14ac:dyDescent="0.25">
      <c r="A156" s="179" t="s">
        <v>629</v>
      </c>
      <c r="B156" s="62" t="s">
        <v>573</v>
      </c>
      <c r="C156" s="61" t="s">
        <v>707</v>
      </c>
      <c r="D156" s="61" t="s">
        <v>708</v>
      </c>
      <c r="E156" s="180" t="s">
        <v>347</v>
      </c>
      <c r="F156" s="180" t="s">
        <v>489</v>
      </c>
      <c r="G156" s="180" t="s">
        <v>349</v>
      </c>
      <c r="H156" s="180" t="s">
        <v>466</v>
      </c>
      <c r="I156" s="63">
        <v>58</v>
      </c>
      <c r="J156" s="63">
        <v>14.4</v>
      </c>
      <c r="K156" s="63"/>
      <c r="L156" s="63">
        <v>2.4</v>
      </c>
      <c r="M156" s="63">
        <v>14.4</v>
      </c>
      <c r="N156" s="181">
        <v>113.37</v>
      </c>
      <c r="O156" s="181"/>
      <c r="P156" s="181"/>
      <c r="Q156" s="63">
        <v>1.91</v>
      </c>
      <c r="R156" s="63"/>
      <c r="S156" s="63"/>
      <c r="T156" s="63">
        <v>1500</v>
      </c>
      <c r="U156" s="182">
        <v>1500</v>
      </c>
      <c r="V156" s="183">
        <v>2019</v>
      </c>
      <c r="W156" s="63">
        <v>90</v>
      </c>
      <c r="X156" s="63">
        <v>44</v>
      </c>
      <c r="Y156" s="63"/>
      <c r="Z156" s="63">
        <v>1820</v>
      </c>
      <c r="AA156" s="63">
        <v>795</v>
      </c>
      <c r="AB156" s="63">
        <v>750</v>
      </c>
      <c r="AC156" s="63">
        <v>1.37</v>
      </c>
      <c r="AD156" s="184">
        <v>180</v>
      </c>
      <c r="AE156" s="63" t="s">
        <v>312</v>
      </c>
      <c r="AF156" s="185">
        <f t="shared" si="33"/>
        <v>25.862068965517242</v>
      </c>
      <c r="AG156" s="185">
        <f t="shared" si="33"/>
        <v>104.16666666666666</v>
      </c>
      <c r="AH156" s="185">
        <f t="shared" si="25"/>
        <v>625</v>
      </c>
      <c r="AI156" s="186">
        <f t="shared" si="26"/>
        <v>3.2931034482758623E-2</v>
      </c>
      <c r="AJ156" s="186" t="str">
        <f t="shared" si="27"/>
        <v/>
      </c>
      <c r="AK156" s="186">
        <f t="shared" si="28"/>
        <v>0.13263888888888889</v>
      </c>
      <c r="AL156" s="186" t="str">
        <f t="shared" si="29"/>
        <v/>
      </c>
      <c r="AM156" s="186">
        <f t="shared" si="30"/>
        <v>0.79583333333333328</v>
      </c>
      <c r="AN156" s="186" t="str">
        <f t="shared" si="31"/>
        <v/>
      </c>
      <c r="AO156" s="165">
        <f t="shared" si="32"/>
        <v>150</v>
      </c>
      <c r="AP156" s="165">
        <f>IF(AND(LEFT(PQS_tbl[[#This Row],[D]],3)=$AP$6,PQS_tbl[[#This Row],[I]]&gt;0),$AO156,"")</f>
        <v>150</v>
      </c>
      <c r="AQ156" s="165" t="str">
        <f>IFERROR(SMALL($AP$7:AP$182,ROWS($AP$7:AP156)),"")</f>
        <v/>
      </c>
      <c r="AR156" s="165" t="str">
        <f>IFERROR(INDEX(PQS_tbl[C],AQ156),"")</f>
        <v/>
      </c>
      <c r="AS156" s="165" t="str">
        <f>IF(AND(LEFT(PQS_tbl[[#This Row],[D]],3)=$AS$6,PQS_tbl[[#This Row],[I]]=0,PQS_tbl[[#This Row],[J]]&gt;0),$AO156,"")</f>
        <v/>
      </c>
      <c r="AT156" s="165" t="str">
        <f>IFERROR(SMALL($AS$7:AS$178,ROWS($AS$7:AS156)),"")</f>
        <v/>
      </c>
      <c r="AV156" s="165" t="str">
        <f>IF(LEFT(PQS_tbl[[#This Row],[E]],1)="S",$AP156,"")</f>
        <v/>
      </c>
      <c r="AW156" s="165" t="str">
        <f>IFERROR(SMALL($AV$7:AV$178,ROWS($AV$7:AV156)),"")</f>
        <v/>
      </c>
      <c r="AX156" s="165"/>
      <c r="AY156" s="165" t="str">
        <f>IF(LEFT(PQS_tbl[[#This Row],[E]],1)="S",$AS156,"")</f>
        <v/>
      </c>
      <c r="AZ156" s="165" t="str">
        <f>IFERROR(SMALL($AY$7:AY$178,ROWS($AY$7:AY156)),"")</f>
        <v/>
      </c>
      <c r="BA156" s="165"/>
      <c r="BB156" s="165" t="str">
        <f>IF(AND(LEFT(PQS_tbl[[#This Row],[D]],3)=$BB$6,PQS_tbl[[#This Row],[K]]&gt;0),$AO156,"")</f>
        <v/>
      </c>
    </row>
    <row r="157" spans="1:54" x14ac:dyDescent="0.25">
      <c r="A157" s="189" t="s">
        <v>709</v>
      </c>
      <c r="B157" s="190" t="s">
        <v>573</v>
      </c>
      <c r="C157" s="191" t="s">
        <v>710</v>
      </c>
      <c r="D157" s="191" t="s">
        <v>711</v>
      </c>
      <c r="E157" s="192" t="s">
        <v>363</v>
      </c>
      <c r="F157" s="192" t="s">
        <v>489</v>
      </c>
      <c r="G157" s="192" t="s">
        <v>349</v>
      </c>
      <c r="H157" s="192" t="s">
        <v>466</v>
      </c>
      <c r="I157" s="193">
        <v>27.5</v>
      </c>
      <c r="J157" s="193"/>
      <c r="K157" s="193"/>
      <c r="L157" s="193"/>
      <c r="M157" s="193"/>
      <c r="N157" s="194">
        <v>53</v>
      </c>
      <c r="O157" s="194"/>
      <c r="P157" s="194"/>
      <c r="Q157" s="193">
        <v>0.91</v>
      </c>
      <c r="R157" s="193"/>
      <c r="S157" s="193"/>
      <c r="T157" s="193">
        <v>800</v>
      </c>
      <c r="U157" s="195">
        <v>800</v>
      </c>
      <c r="V157" s="196">
        <v>2019</v>
      </c>
      <c r="W157" s="193">
        <v>41</v>
      </c>
      <c r="X157" s="193"/>
      <c r="Y157" s="193"/>
      <c r="Z157" s="193">
        <v>1097</v>
      </c>
      <c r="AA157" s="193">
        <v>618</v>
      </c>
      <c r="AB157" s="193">
        <v>774</v>
      </c>
      <c r="AC157" s="193">
        <v>0.7</v>
      </c>
      <c r="AD157" s="197">
        <v>95</v>
      </c>
      <c r="AE157" s="63" t="s">
        <v>312</v>
      </c>
      <c r="AF157" s="185">
        <f t="shared" si="33"/>
        <v>29.09090909090909</v>
      </c>
      <c r="AG157" s="185" t="str">
        <f t="shared" si="33"/>
        <v/>
      </c>
      <c r="AH157" s="185" t="str">
        <f t="shared" si="25"/>
        <v/>
      </c>
      <c r="AI157" s="186">
        <f t="shared" si="26"/>
        <v>3.3090909090909094E-2</v>
      </c>
      <c r="AJ157" s="186" t="str">
        <f t="shared" si="27"/>
        <v/>
      </c>
      <c r="AK157" s="186" t="str">
        <f t="shared" si="28"/>
        <v/>
      </c>
      <c r="AL157" s="186" t="str">
        <f t="shared" si="29"/>
        <v/>
      </c>
      <c r="AM157" s="186" t="str">
        <f t="shared" si="30"/>
        <v/>
      </c>
      <c r="AN157" s="186" t="str">
        <f t="shared" si="31"/>
        <v/>
      </c>
      <c r="AO157" s="165">
        <f t="shared" si="32"/>
        <v>151</v>
      </c>
      <c r="AP157" s="165">
        <f>IF(AND(LEFT(PQS_tbl[[#This Row],[D]],3)=$AP$6,PQS_tbl[[#This Row],[I]]&gt;0),$AO157,"")</f>
        <v>151</v>
      </c>
      <c r="AQ157" s="165" t="str">
        <f>IFERROR(SMALL($AP$7:AP$182,ROWS($AP$7:AP157)),"")</f>
        <v/>
      </c>
      <c r="AR157" s="165" t="str">
        <f>IFERROR(INDEX(PQS_tbl[C],AQ157),"")</f>
        <v/>
      </c>
      <c r="AS157" s="165" t="str">
        <f>IF(AND(LEFT(PQS_tbl[[#This Row],[D]],3)=$AS$6,PQS_tbl[[#This Row],[I]]=0,PQS_tbl[[#This Row],[J]]&gt;0),$AO157,"")</f>
        <v/>
      </c>
      <c r="AT157" s="165" t="str">
        <f>IFERROR(SMALL($AS$7:AS$178,ROWS($AS$7:AS157)),"")</f>
        <v/>
      </c>
      <c r="AV157" s="165" t="str">
        <f>IF(LEFT(PQS_tbl[[#This Row],[E]],1)="S",$AP157,"")</f>
        <v/>
      </c>
      <c r="AW157" s="165" t="str">
        <f>IFERROR(SMALL($AV$7:AV$178,ROWS($AV$7:AV157)),"")</f>
        <v/>
      </c>
      <c r="AX157" s="165"/>
      <c r="AY157" s="165" t="str">
        <f>IF(LEFT(PQS_tbl[[#This Row],[E]],1)="S",$AS157,"")</f>
        <v/>
      </c>
      <c r="AZ157" s="165" t="str">
        <f>IFERROR(SMALL($AY$7:AY$178,ROWS($AY$7:AY157)),"")</f>
        <v/>
      </c>
      <c r="BA157" s="165"/>
      <c r="BB157" s="165" t="str">
        <f>IF(AND(LEFT(PQS_tbl[[#This Row],[D]],3)=$BB$6,PQS_tbl[[#This Row],[K]]&gt;0),$AO157,"")</f>
        <v/>
      </c>
    </row>
    <row r="158" spans="1:54" x14ac:dyDescent="0.25">
      <c r="A158" s="189" t="s">
        <v>560</v>
      </c>
      <c r="B158" s="190" t="s">
        <v>573</v>
      </c>
      <c r="C158" s="191" t="s">
        <v>712</v>
      </c>
      <c r="D158" s="191" t="s">
        <v>713</v>
      </c>
      <c r="E158" s="192" t="s">
        <v>488</v>
      </c>
      <c r="F158" s="192" t="s">
        <v>489</v>
      </c>
      <c r="G158" s="192" t="s">
        <v>349</v>
      </c>
      <c r="H158" s="192" t="s">
        <v>466</v>
      </c>
      <c r="I158" s="193">
        <v>27.5</v>
      </c>
      <c r="J158" s="193"/>
      <c r="K158" s="193"/>
      <c r="L158" s="193"/>
      <c r="M158" s="193"/>
      <c r="N158" s="194">
        <v>95.5</v>
      </c>
      <c r="O158" s="194"/>
      <c r="P158" s="194"/>
      <c r="Q158" s="193"/>
      <c r="R158" s="193"/>
      <c r="S158" s="193"/>
      <c r="T158" s="193">
        <v>2562</v>
      </c>
      <c r="U158" s="195">
        <v>2562</v>
      </c>
      <c r="V158" s="196">
        <v>2019</v>
      </c>
      <c r="W158" s="193">
        <v>41</v>
      </c>
      <c r="X158" s="193"/>
      <c r="Y158" s="193"/>
      <c r="Z158" s="193">
        <v>774</v>
      </c>
      <c r="AA158" s="193">
        <v>818</v>
      </c>
      <c r="AB158" s="193">
        <v>1097</v>
      </c>
      <c r="AC158" s="193">
        <v>1.06</v>
      </c>
      <c r="AD158" s="197">
        <v>190</v>
      </c>
      <c r="AE158" s="63" t="s">
        <v>312</v>
      </c>
      <c r="AF158" s="185">
        <f t="shared" si="33"/>
        <v>93.163636363636357</v>
      </c>
      <c r="AG158" s="185" t="str">
        <f t="shared" si="33"/>
        <v/>
      </c>
      <c r="AH158" s="185" t="str">
        <f t="shared" si="25"/>
        <v/>
      </c>
      <c r="AI158" s="186" t="str">
        <f t="shared" si="26"/>
        <v/>
      </c>
      <c r="AJ158" s="186" t="str">
        <f t="shared" si="27"/>
        <v/>
      </c>
      <c r="AK158" s="186" t="str">
        <f t="shared" si="28"/>
        <v/>
      </c>
      <c r="AL158" s="186" t="str">
        <f t="shared" si="29"/>
        <v/>
      </c>
      <c r="AM158" s="186" t="str">
        <f t="shared" si="30"/>
        <v/>
      </c>
      <c r="AN158" s="186" t="str">
        <f t="shared" si="31"/>
        <v/>
      </c>
      <c r="AO158" s="165">
        <f t="shared" si="32"/>
        <v>152</v>
      </c>
      <c r="AP158" s="165">
        <f>IF(AND(LEFT(PQS_tbl[[#This Row],[D]],3)=$AP$6,PQS_tbl[[#This Row],[I]]&gt;0),$AO158,"")</f>
        <v>152</v>
      </c>
      <c r="AQ158" s="165" t="str">
        <f>IFERROR(SMALL($AP$7:AP$182,ROWS($AP$7:AP158)),"")</f>
        <v/>
      </c>
      <c r="AR158" s="165" t="str">
        <f>IFERROR(INDEX(PQS_tbl[C],AQ158),"")</f>
        <v/>
      </c>
      <c r="AS158" s="165" t="str">
        <f>IF(AND(LEFT(PQS_tbl[[#This Row],[D]],3)=$AS$6,PQS_tbl[[#This Row],[I]]=0,PQS_tbl[[#This Row],[J]]&gt;0),$AO158,"")</f>
        <v/>
      </c>
      <c r="AT158" s="165" t="str">
        <f>IFERROR(SMALL($AS$7:AS$178,ROWS($AS$7:AS158)),"")</f>
        <v/>
      </c>
      <c r="AV158" s="165">
        <f>IF(LEFT(PQS_tbl[[#This Row],[E]],1)="S",$AP158,"")</f>
        <v>152</v>
      </c>
      <c r="AW158" s="165" t="str">
        <f>IFERROR(SMALL($AV$7:AV$178,ROWS($AV$7:AV158)),"")</f>
        <v/>
      </c>
      <c r="AX158" s="165"/>
      <c r="AY158" s="165" t="str">
        <f>IF(LEFT(PQS_tbl[[#This Row],[E]],1)="S",$AS158,"")</f>
        <v/>
      </c>
      <c r="AZ158" s="165" t="str">
        <f>IFERROR(SMALL($AY$7:AY$178,ROWS($AY$7:AY158)),"")</f>
        <v/>
      </c>
      <c r="BA158" s="165"/>
      <c r="BB158" s="165" t="str">
        <f>IF(AND(LEFT(PQS_tbl[[#This Row],[D]],3)=$BB$6,PQS_tbl[[#This Row],[K]]&gt;0),$AO158,"")</f>
        <v/>
      </c>
    </row>
    <row r="159" spans="1:54" x14ac:dyDescent="0.25">
      <c r="A159" s="179" t="s">
        <v>560</v>
      </c>
      <c r="B159" s="62" t="s">
        <v>561</v>
      </c>
      <c r="C159" s="61" t="s">
        <v>714</v>
      </c>
      <c r="D159" s="61" t="s">
        <v>715</v>
      </c>
      <c r="E159" s="192" t="s">
        <v>488</v>
      </c>
      <c r="F159" s="192" t="s">
        <v>489</v>
      </c>
      <c r="G159" s="192" t="s">
        <v>349</v>
      </c>
      <c r="H159" s="192" t="s">
        <v>466</v>
      </c>
      <c r="I159" s="63">
        <v>55.5</v>
      </c>
      <c r="J159" s="63"/>
      <c r="K159" s="63"/>
      <c r="L159" s="63"/>
      <c r="M159" s="63"/>
      <c r="N159" s="181">
        <v>72.400000000000006</v>
      </c>
      <c r="O159" s="181"/>
      <c r="P159" s="181"/>
      <c r="Q159" s="63"/>
      <c r="R159" s="63"/>
      <c r="S159" s="63"/>
      <c r="T159" s="63">
        <v>2924</v>
      </c>
      <c r="U159" s="182">
        <f>PQS_tbl[[#This Row],[T]]*1.2</f>
        <v>3508.7999999999997</v>
      </c>
      <c r="V159" s="183">
        <v>2019</v>
      </c>
      <c r="W159" s="63">
        <v>108</v>
      </c>
      <c r="X159" s="63"/>
      <c r="Y159" s="63"/>
      <c r="Z159" s="63">
        <v>85</v>
      </c>
      <c r="AA159" s="63">
        <v>72</v>
      </c>
      <c r="AB159" s="63">
        <v>60</v>
      </c>
      <c r="AC159" s="63">
        <v>0.65</v>
      </c>
      <c r="AD159" s="184">
        <v>85</v>
      </c>
      <c r="AE159" s="63" t="s">
        <v>312</v>
      </c>
      <c r="AF159" s="185">
        <f t="shared" si="33"/>
        <v>63.221621621621615</v>
      </c>
      <c r="AG159" s="185" t="str">
        <f t="shared" si="33"/>
        <v/>
      </c>
      <c r="AH159" s="185" t="str">
        <f t="shared" si="25"/>
        <v/>
      </c>
      <c r="AI159" s="186" t="str">
        <f t="shared" si="26"/>
        <v/>
      </c>
      <c r="AJ159" s="186" t="str">
        <f t="shared" si="27"/>
        <v/>
      </c>
      <c r="AK159" s="186" t="str">
        <f t="shared" si="28"/>
        <v/>
      </c>
      <c r="AL159" s="186" t="str">
        <f t="shared" si="29"/>
        <v/>
      </c>
      <c r="AM159" s="186" t="str">
        <f t="shared" si="30"/>
        <v/>
      </c>
      <c r="AN159" s="186" t="str">
        <f t="shared" si="31"/>
        <v/>
      </c>
      <c r="AO159" s="165">
        <f t="shared" si="32"/>
        <v>153</v>
      </c>
      <c r="AP159" s="165">
        <f>IF(AND(LEFT(PQS_tbl[[#This Row],[D]],3)=$AP$6,PQS_tbl[[#This Row],[I]]&gt;0),$AO159,"")</f>
        <v>153</v>
      </c>
      <c r="AQ159" s="165" t="str">
        <f>IFERROR(SMALL($AP$7:AP$182,ROWS($AP$7:AP159)),"")</f>
        <v/>
      </c>
      <c r="AR159" s="165" t="str">
        <f>IFERROR(INDEX(PQS_tbl[C],AQ159),"")</f>
        <v/>
      </c>
      <c r="AS159" s="165" t="str">
        <f>IF(AND(LEFT(PQS_tbl[[#This Row],[D]],3)=$AS$6,PQS_tbl[[#This Row],[I]]=0,PQS_tbl[[#This Row],[J]]&gt;0),$AO159,"")</f>
        <v/>
      </c>
      <c r="AT159" s="165" t="str">
        <f>IFERROR(SMALL($AS$7:AS$178,ROWS($AS$7:AS159)),"")</f>
        <v/>
      </c>
      <c r="AV159" s="165">
        <f>IF(LEFT(PQS_tbl[[#This Row],[E]],1)="S",$AP159,"")</f>
        <v>153</v>
      </c>
      <c r="AW159" s="165" t="str">
        <f>IFERROR(SMALL($AV$7:AV$178,ROWS($AV$7:AV159)),"")</f>
        <v/>
      </c>
      <c r="AX159" s="165"/>
      <c r="AY159" s="165" t="str">
        <f>IF(LEFT(PQS_tbl[[#This Row],[E]],1)="S",$AS159,"")</f>
        <v/>
      </c>
      <c r="AZ159" s="165" t="str">
        <f>IFERROR(SMALL($AY$7:AY$178,ROWS($AY$7:AY159)),"")</f>
        <v/>
      </c>
      <c r="BA159" s="165"/>
      <c r="BB159" s="165" t="str">
        <f>IF(AND(LEFT(PQS_tbl[[#This Row],[D]],3)=$BB$6,PQS_tbl[[#This Row],[K]]&gt;0),$AO159,"")</f>
        <v/>
      </c>
    </row>
    <row r="160" spans="1:54" x14ac:dyDescent="0.25">
      <c r="A160" s="179" t="s">
        <v>560</v>
      </c>
      <c r="B160" s="62" t="s">
        <v>561</v>
      </c>
      <c r="C160" s="61" t="s">
        <v>716</v>
      </c>
      <c r="D160" s="61" t="s">
        <v>717</v>
      </c>
      <c r="E160" s="192" t="s">
        <v>488</v>
      </c>
      <c r="F160" s="192" t="s">
        <v>489</v>
      </c>
      <c r="G160" s="192" t="s">
        <v>349</v>
      </c>
      <c r="H160" s="192" t="s">
        <v>466</v>
      </c>
      <c r="I160" s="63">
        <v>92</v>
      </c>
      <c r="J160" s="63"/>
      <c r="K160" s="63"/>
      <c r="L160" s="63"/>
      <c r="M160" s="63"/>
      <c r="N160" s="181">
        <v>72.5</v>
      </c>
      <c r="O160" s="181"/>
      <c r="P160" s="181"/>
      <c r="Q160" s="63"/>
      <c r="R160" s="63"/>
      <c r="S160" s="63"/>
      <c r="T160" s="63">
        <v>3264</v>
      </c>
      <c r="U160" s="182">
        <f>PQS_tbl[[#This Row],[T]]*1.2</f>
        <v>3916.7999999999997</v>
      </c>
      <c r="V160" s="183">
        <v>2019</v>
      </c>
      <c r="W160" s="63">
        <v>151</v>
      </c>
      <c r="X160" s="63"/>
      <c r="Y160" s="63"/>
      <c r="Z160" s="63">
        <v>86</v>
      </c>
      <c r="AA160" s="63">
        <v>93</v>
      </c>
      <c r="AB160" s="63">
        <v>70</v>
      </c>
      <c r="AC160" s="63">
        <v>0.83</v>
      </c>
      <c r="AD160" s="184">
        <v>108</v>
      </c>
      <c r="AE160" s="63" t="s">
        <v>312</v>
      </c>
      <c r="AF160" s="185">
        <f t="shared" si="33"/>
        <v>42.573913043478257</v>
      </c>
      <c r="AG160" s="185" t="str">
        <f t="shared" si="33"/>
        <v/>
      </c>
      <c r="AH160" s="185" t="str">
        <f t="shared" si="25"/>
        <v/>
      </c>
      <c r="AI160" s="186" t="str">
        <f t="shared" si="26"/>
        <v/>
      </c>
      <c r="AJ160" s="186" t="str">
        <f t="shared" si="27"/>
        <v/>
      </c>
      <c r="AK160" s="186" t="str">
        <f t="shared" si="28"/>
        <v/>
      </c>
      <c r="AL160" s="186" t="str">
        <f t="shared" si="29"/>
        <v/>
      </c>
      <c r="AM160" s="186" t="str">
        <f t="shared" si="30"/>
        <v/>
      </c>
      <c r="AN160" s="186" t="str">
        <f t="shared" si="31"/>
        <v/>
      </c>
      <c r="AO160" s="165">
        <f t="shared" si="32"/>
        <v>154</v>
      </c>
      <c r="AP160" s="165">
        <f>IF(AND(LEFT(PQS_tbl[[#This Row],[D]],3)=$AP$6,PQS_tbl[[#This Row],[I]]&gt;0),$AO160,"")</f>
        <v>154</v>
      </c>
      <c r="AQ160" s="165" t="str">
        <f>IFERROR(SMALL($AP$7:AP$182,ROWS($AP$7:AP160)),"")</f>
        <v/>
      </c>
      <c r="AR160" s="165" t="str">
        <f>IFERROR(INDEX(PQS_tbl[C],AQ160),"")</f>
        <v/>
      </c>
      <c r="AS160" s="165" t="str">
        <f>IF(AND(LEFT(PQS_tbl[[#This Row],[D]],3)=$AS$6,PQS_tbl[[#This Row],[I]]=0,PQS_tbl[[#This Row],[J]]&gt;0),$AO160,"")</f>
        <v/>
      </c>
      <c r="AT160" s="165" t="str">
        <f>IFERROR(SMALL($AS$7:AS$178,ROWS($AS$7:AS160)),"")</f>
        <v/>
      </c>
      <c r="AV160" s="165">
        <f>IF(LEFT(PQS_tbl[[#This Row],[E]],1)="S",$AP160,"")</f>
        <v>154</v>
      </c>
      <c r="AW160" s="165" t="str">
        <f>IFERROR(SMALL($AV$7:AV$178,ROWS($AV$7:AV160)),"")</f>
        <v/>
      </c>
      <c r="AX160" s="165"/>
      <c r="AY160" s="165" t="str">
        <f>IF(LEFT(PQS_tbl[[#This Row],[E]],1)="S",$AS160,"")</f>
        <v/>
      </c>
      <c r="AZ160" s="165" t="str">
        <f>IFERROR(SMALL($AY$7:AY$178,ROWS($AY$7:AY160)),"")</f>
        <v/>
      </c>
      <c r="BA160" s="165"/>
      <c r="BB160" s="165" t="str">
        <f>IF(AND(LEFT(PQS_tbl[[#This Row],[D]],3)=$BB$6,PQS_tbl[[#This Row],[K]]&gt;0),$AO160,"")</f>
        <v/>
      </c>
    </row>
    <row r="161" spans="1:54" x14ac:dyDescent="0.25">
      <c r="A161" s="179" t="s">
        <v>560</v>
      </c>
      <c r="B161" s="62" t="s">
        <v>561</v>
      </c>
      <c r="C161" s="191" t="s">
        <v>718</v>
      </c>
      <c r="D161" s="61" t="s">
        <v>719</v>
      </c>
      <c r="E161" s="192" t="s">
        <v>488</v>
      </c>
      <c r="F161" s="192" t="s">
        <v>489</v>
      </c>
      <c r="G161" s="192" t="s">
        <v>349</v>
      </c>
      <c r="H161" s="192" t="s">
        <v>466</v>
      </c>
      <c r="I161" s="193">
        <v>170</v>
      </c>
      <c r="J161" s="193"/>
      <c r="K161" s="193"/>
      <c r="L161" s="193"/>
      <c r="M161" s="193"/>
      <c r="N161" s="194">
        <v>73.400000000000006</v>
      </c>
      <c r="O161" s="194"/>
      <c r="P161" s="194"/>
      <c r="Q161" s="193"/>
      <c r="R161" s="193"/>
      <c r="S161" s="193"/>
      <c r="T161" s="193">
        <v>4103</v>
      </c>
      <c r="U161" s="182">
        <f>PQS_tbl[[#This Row],[T]]*1.2</f>
        <v>4923.5999999999995</v>
      </c>
      <c r="V161" s="183">
        <v>2019</v>
      </c>
      <c r="W161" s="193">
        <v>248</v>
      </c>
      <c r="X161" s="193"/>
      <c r="Y161" s="193"/>
      <c r="Z161" s="193">
        <v>86</v>
      </c>
      <c r="AA161" s="193">
        <v>127</v>
      </c>
      <c r="AB161" s="193">
        <v>70</v>
      </c>
      <c r="AC161" s="63">
        <v>0.83</v>
      </c>
      <c r="AD161" s="184">
        <v>108</v>
      </c>
      <c r="AE161" s="63" t="s">
        <v>312</v>
      </c>
      <c r="AF161" s="185">
        <f t="shared" si="33"/>
        <v>28.962352941176466</v>
      </c>
      <c r="AG161" s="185" t="str">
        <f t="shared" si="33"/>
        <v/>
      </c>
      <c r="AH161" s="185" t="str">
        <f t="shared" si="25"/>
        <v/>
      </c>
      <c r="AI161" s="186" t="str">
        <f t="shared" si="26"/>
        <v/>
      </c>
      <c r="AJ161" s="186" t="str">
        <f t="shared" si="27"/>
        <v/>
      </c>
      <c r="AK161" s="186" t="str">
        <f t="shared" si="28"/>
        <v/>
      </c>
      <c r="AL161" s="186" t="str">
        <f t="shared" si="29"/>
        <v/>
      </c>
      <c r="AM161" s="186" t="str">
        <f t="shared" si="30"/>
        <v/>
      </c>
      <c r="AN161" s="186" t="str">
        <f t="shared" si="31"/>
        <v/>
      </c>
      <c r="AO161" s="165">
        <f t="shared" si="32"/>
        <v>155</v>
      </c>
      <c r="AP161" s="165">
        <f>IF(AND(LEFT(PQS_tbl[[#This Row],[D]],3)=$AP$6,PQS_tbl[[#This Row],[I]]&gt;0),$AO161,"")</f>
        <v>155</v>
      </c>
      <c r="AQ161" s="165" t="str">
        <f>IFERROR(SMALL($AP$7:AP$182,ROWS($AP$7:AP161)),"")</f>
        <v/>
      </c>
      <c r="AR161" s="165" t="str">
        <f>IFERROR(INDEX(PQS_tbl[C],AQ161),"")</f>
        <v/>
      </c>
      <c r="AS161" s="165" t="str">
        <f>IF(AND(LEFT(PQS_tbl[[#This Row],[D]],3)=$AS$6,PQS_tbl[[#This Row],[I]]=0,PQS_tbl[[#This Row],[J]]&gt;0),$AO161,"")</f>
        <v/>
      </c>
      <c r="AT161" s="165" t="str">
        <f>IFERROR(SMALL($AS$7:AS$178,ROWS($AS$7:AS161)),"")</f>
        <v/>
      </c>
      <c r="AV161" s="165">
        <f>IF(LEFT(PQS_tbl[[#This Row],[E]],1)="S",$AP161,"")</f>
        <v>155</v>
      </c>
      <c r="AW161" s="165" t="str">
        <f>IFERROR(SMALL($AV$7:AV$178,ROWS($AV$7:AV161)),"")</f>
        <v/>
      </c>
      <c r="AX161" s="165"/>
      <c r="AY161" s="165" t="str">
        <f>IF(LEFT(PQS_tbl[[#This Row],[E]],1)="S",$AS161,"")</f>
        <v/>
      </c>
      <c r="AZ161" s="165" t="str">
        <f>IFERROR(SMALL($AY$7:AY$178,ROWS($AY$7:AY161)),"")</f>
        <v/>
      </c>
      <c r="BA161" s="165"/>
      <c r="BB161" s="165" t="str">
        <f>IF(AND(LEFT(PQS_tbl[[#This Row],[D]],3)=$BB$6,PQS_tbl[[#This Row],[K]]&gt;0),$AO161,"")</f>
        <v/>
      </c>
    </row>
    <row r="162" spans="1:54" x14ac:dyDescent="0.25">
      <c r="A162" s="179" t="s">
        <v>612</v>
      </c>
      <c r="B162" s="62" t="s">
        <v>561</v>
      </c>
      <c r="C162" s="191" t="s">
        <v>720</v>
      </c>
      <c r="D162" s="61" t="s">
        <v>721</v>
      </c>
      <c r="E162" s="180" t="s">
        <v>363</v>
      </c>
      <c r="F162" s="180" t="s">
        <v>489</v>
      </c>
      <c r="G162" s="180" t="s">
        <v>349</v>
      </c>
      <c r="H162" s="180" t="s">
        <v>466</v>
      </c>
      <c r="I162" s="193">
        <v>60</v>
      </c>
      <c r="J162" s="193"/>
      <c r="K162" s="193"/>
      <c r="L162" s="193"/>
      <c r="M162" s="193"/>
      <c r="N162" s="194">
        <v>54</v>
      </c>
      <c r="O162" s="194"/>
      <c r="P162" s="194"/>
      <c r="Q162" s="193">
        <v>0.57999999999999996</v>
      </c>
      <c r="R162" s="193"/>
      <c r="S162" s="193"/>
      <c r="T162" s="193">
        <v>709</v>
      </c>
      <c r="U162" s="182">
        <f>PQS_tbl[[#This Row],[T]]*1.2</f>
        <v>850.8</v>
      </c>
      <c r="V162" s="196">
        <v>2019</v>
      </c>
      <c r="W162" s="193">
        <v>113</v>
      </c>
      <c r="X162" s="193"/>
      <c r="Y162" s="193"/>
      <c r="Z162" s="193">
        <v>85</v>
      </c>
      <c r="AA162" s="193">
        <v>73</v>
      </c>
      <c r="AB162" s="193">
        <v>70</v>
      </c>
      <c r="AC162" s="193">
        <v>0.57999999999999996</v>
      </c>
      <c r="AD162" s="197">
        <v>70</v>
      </c>
      <c r="AE162" s="63" t="s">
        <v>312</v>
      </c>
      <c r="AF162" s="185">
        <f t="shared" ref="AF162:AG177" si="34">IF(I162="","",$U162/I162)</f>
        <v>14.18</v>
      </c>
      <c r="AG162" s="185" t="str">
        <f t="shared" si="34"/>
        <v/>
      </c>
      <c r="AH162" s="185" t="str">
        <f t="shared" si="25"/>
        <v/>
      </c>
      <c r="AI162" s="186">
        <f t="shared" si="26"/>
        <v>9.6666666666666654E-3</v>
      </c>
      <c r="AJ162" s="186" t="str">
        <f t="shared" si="27"/>
        <v/>
      </c>
      <c r="AK162" s="186" t="str">
        <f t="shared" si="28"/>
        <v/>
      </c>
      <c r="AL162" s="186" t="str">
        <f t="shared" si="29"/>
        <v/>
      </c>
      <c r="AM162" s="186" t="str">
        <f t="shared" si="30"/>
        <v/>
      </c>
      <c r="AN162" s="186" t="str">
        <f t="shared" si="31"/>
        <v/>
      </c>
      <c r="AO162" s="165">
        <f t="shared" si="32"/>
        <v>156</v>
      </c>
      <c r="AP162" s="165">
        <f>IF(AND(LEFT(PQS_tbl[[#This Row],[D]],3)=$AP$6,PQS_tbl[[#This Row],[I]]&gt;0),$AO162,"")</f>
        <v>156</v>
      </c>
      <c r="AQ162" s="165" t="str">
        <f>IFERROR(SMALL($AP$7:AP$182,ROWS($AP$7:AP162)),"")</f>
        <v/>
      </c>
      <c r="AR162" s="165" t="str">
        <f>IFERROR(INDEX(PQS_tbl[C],AQ162),"")</f>
        <v/>
      </c>
      <c r="AS162" s="165" t="str">
        <f>IF(AND(LEFT(PQS_tbl[[#This Row],[D]],3)=$AS$6,PQS_tbl[[#This Row],[I]]=0,PQS_tbl[[#This Row],[J]]&gt;0),$AO162,"")</f>
        <v/>
      </c>
      <c r="AT162" s="165" t="str">
        <f>IFERROR(SMALL($AS$7:AS$178,ROWS($AS$7:AS162)),"")</f>
        <v/>
      </c>
      <c r="AV162" s="165" t="str">
        <f>IF(LEFT(PQS_tbl[[#This Row],[E]],1)="S",$AP162,"")</f>
        <v/>
      </c>
      <c r="AW162" s="165" t="str">
        <f>IFERROR(SMALL($AV$7:AV$178,ROWS($AV$7:AV162)),"")</f>
        <v/>
      </c>
      <c r="AX162" s="165"/>
      <c r="AY162" s="165" t="str">
        <f>IF(LEFT(PQS_tbl[[#This Row],[E]],1)="S",$AS162,"")</f>
        <v/>
      </c>
      <c r="AZ162" s="165" t="str">
        <f>IFERROR(SMALL($AY$7:AY$178,ROWS($AY$7:AY162)),"")</f>
        <v/>
      </c>
      <c r="BA162" s="165"/>
      <c r="BB162" s="165" t="str">
        <f>IF(AND(LEFT(PQS_tbl[[#This Row],[D]],3)=$BB$6,PQS_tbl[[#This Row],[K]]&gt;0),$AO162,"")</f>
        <v/>
      </c>
    </row>
    <row r="163" spans="1:54" x14ac:dyDescent="0.25">
      <c r="A163" s="179" t="s">
        <v>612</v>
      </c>
      <c r="B163" s="62" t="s">
        <v>561</v>
      </c>
      <c r="C163" s="191" t="s">
        <v>722</v>
      </c>
      <c r="D163" s="61" t="s">
        <v>723</v>
      </c>
      <c r="E163" s="180" t="s">
        <v>363</v>
      </c>
      <c r="F163" s="180" t="s">
        <v>489</v>
      </c>
      <c r="G163" s="180" t="s">
        <v>349</v>
      </c>
      <c r="H163" s="180" t="s">
        <v>466</v>
      </c>
      <c r="I163" s="193">
        <v>98</v>
      </c>
      <c r="J163" s="193"/>
      <c r="K163" s="193"/>
      <c r="L163" s="193"/>
      <c r="M163" s="193"/>
      <c r="N163" s="194">
        <v>55.5</v>
      </c>
      <c r="O163" s="194"/>
      <c r="P163" s="194"/>
      <c r="Q163" s="193">
        <v>0.69</v>
      </c>
      <c r="R163" s="193"/>
      <c r="S163" s="193"/>
      <c r="T163" s="193">
        <v>862</v>
      </c>
      <c r="U163" s="182">
        <f>PQS_tbl[[#This Row],[T]]*1.2</f>
        <v>1034.3999999999999</v>
      </c>
      <c r="V163" s="196">
        <v>2019</v>
      </c>
      <c r="W163" s="193">
        <v>157</v>
      </c>
      <c r="X163" s="193"/>
      <c r="Y163" s="193"/>
      <c r="Z163" s="193">
        <v>85</v>
      </c>
      <c r="AA163" s="193">
        <v>92</v>
      </c>
      <c r="AB163" s="193">
        <v>70</v>
      </c>
      <c r="AC163" s="193">
        <v>0.75</v>
      </c>
      <c r="AD163" s="197">
        <v>93</v>
      </c>
      <c r="AE163" s="63" t="s">
        <v>312</v>
      </c>
      <c r="AF163" s="185">
        <f t="shared" si="34"/>
        <v>10.555102040816324</v>
      </c>
      <c r="AG163" s="185" t="str">
        <f t="shared" si="34"/>
        <v/>
      </c>
      <c r="AH163" s="185" t="str">
        <f t="shared" si="25"/>
        <v/>
      </c>
      <c r="AI163" s="186">
        <f t="shared" si="26"/>
        <v>7.0408163265306117E-3</v>
      </c>
      <c r="AJ163" s="186" t="str">
        <f t="shared" si="27"/>
        <v/>
      </c>
      <c r="AK163" s="186" t="str">
        <f t="shared" si="28"/>
        <v/>
      </c>
      <c r="AL163" s="186" t="str">
        <f t="shared" si="29"/>
        <v/>
      </c>
      <c r="AM163" s="186" t="str">
        <f t="shared" si="30"/>
        <v/>
      </c>
      <c r="AN163" s="186" t="str">
        <f t="shared" si="31"/>
        <v/>
      </c>
      <c r="AO163" s="165">
        <f t="shared" si="32"/>
        <v>157</v>
      </c>
      <c r="AP163" s="165">
        <f>IF(AND(LEFT(PQS_tbl[[#This Row],[D]],3)=$AP$6,PQS_tbl[[#This Row],[I]]&gt;0),$AO163,"")</f>
        <v>157</v>
      </c>
      <c r="AQ163" s="165" t="str">
        <f>IFERROR(SMALL($AP$7:AP$182,ROWS($AP$7:AP163)),"")</f>
        <v/>
      </c>
      <c r="AR163" s="165" t="str">
        <f>IFERROR(INDEX(PQS_tbl[C],AQ163),"")</f>
        <v/>
      </c>
      <c r="AS163" s="165" t="str">
        <f>IF(AND(LEFT(PQS_tbl[[#This Row],[D]],3)=$AS$6,PQS_tbl[[#This Row],[I]]=0,PQS_tbl[[#This Row],[J]]&gt;0),$AO163,"")</f>
        <v/>
      </c>
      <c r="AT163" s="165" t="str">
        <f>IFERROR(SMALL($AS$7:AS$178,ROWS($AS$7:AS163)),"")</f>
        <v/>
      </c>
      <c r="AV163" s="165" t="str">
        <f>IF(LEFT(PQS_tbl[[#This Row],[E]],1)="S",$AP163,"")</f>
        <v/>
      </c>
      <c r="AW163" s="165" t="str">
        <f>IFERROR(SMALL($AV$7:AV$178,ROWS($AV$7:AV163)),"")</f>
        <v/>
      </c>
      <c r="AX163" s="165"/>
      <c r="AY163" s="165" t="str">
        <f>IF(LEFT(PQS_tbl[[#This Row],[E]],1)="S",$AS163,"")</f>
        <v/>
      </c>
      <c r="AZ163" s="165" t="str">
        <f>IFERROR(SMALL($AY$7:AY$178,ROWS($AY$7:AY163)),"")</f>
        <v/>
      </c>
      <c r="BA163" s="165"/>
      <c r="BB163" s="165" t="str">
        <f>IF(AND(LEFT(PQS_tbl[[#This Row],[D]],3)=$BB$6,PQS_tbl[[#This Row],[K]]&gt;0),$AO163,"")</f>
        <v/>
      </c>
    </row>
    <row r="164" spans="1:54" x14ac:dyDescent="0.25">
      <c r="A164" s="189" t="s">
        <v>612</v>
      </c>
      <c r="B164" s="190" t="s">
        <v>561</v>
      </c>
      <c r="C164" s="191" t="s">
        <v>724</v>
      </c>
      <c r="D164" s="61" t="s">
        <v>725</v>
      </c>
      <c r="E164" s="180" t="s">
        <v>363</v>
      </c>
      <c r="F164" s="180" t="s">
        <v>489</v>
      </c>
      <c r="G164" s="180" t="s">
        <v>349</v>
      </c>
      <c r="H164" s="180" t="s">
        <v>466</v>
      </c>
      <c r="I164" s="193">
        <v>127</v>
      </c>
      <c r="J164" s="193"/>
      <c r="K164" s="193"/>
      <c r="L164" s="193"/>
      <c r="M164" s="193"/>
      <c r="N164" s="194">
        <v>54.7</v>
      </c>
      <c r="O164" s="194"/>
      <c r="P164" s="194"/>
      <c r="Q164" s="193">
        <v>0.64</v>
      </c>
      <c r="R164" s="193"/>
      <c r="S164" s="193"/>
      <c r="T164" s="193">
        <v>964</v>
      </c>
      <c r="U164" s="195">
        <v>1156.8</v>
      </c>
      <c r="V164" s="196">
        <v>2019</v>
      </c>
      <c r="W164" s="193">
        <v>209</v>
      </c>
      <c r="X164" s="193"/>
      <c r="Y164" s="193"/>
      <c r="Z164" s="193">
        <v>85</v>
      </c>
      <c r="AA164" s="193">
        <v>113</v>
      </c>
      <c r="AB164" s="193">
        <v>70</v>
      </c>
      <c r="AC164" s="193">
        <v>0.85</v>
      </c>
      <c r="AD164" s="197">
        <v>110</v>
      </c>
      <c r="AE164" s="63" t="s">
        <v>312</v>
      </c>
      <c r="AF164" s="185">
        <f t="shared" si="34"/>
        <v>9.1086614173228337</v>
      </c>
      <c r="AG164" s="185" t="str">
        <f t="shared" si="34"/>
        <v/>
      </c>
      <c r="AH164" s="185" t="str">
        <f t="shared" si="25"/>
        <v/>
      </c>
      <c r="AI164" s="186">
        <f t="shared" si="26"/>
        <v>5.0393700787401572E-3</v>
      </c>
      <c r="AJ164" s="186" t="str">
        <f t="shared" si="27"/>
        <v/>
      </c>
      <c r="AK164" s="186" t="str">
        <f t="shared" si="28"/>
        <v/>
      </c>
      <c r="AL164" s="186" t="str">
        <f t="shared" si="29"/>
        <v/>
      </c>
      <c r="AM164" s="186" t="str">
        <f t="shared" si="30"/>
        <v/>
      </c>
      <c r="AN164" s="186" t="str">
        <f t="shared" si="31"/>
        <v/>
      </c>
      <c r="AO164" s="165">
        <f t="shared" si="32"/>
        <v>158</v>
      </c>
      <c r="AP164" s="165">
        <f>IF(AND(LEFT(PQS_tbl[[#This Row],[D]],3)=$AP$6,PQS_tbl[[#This Row],[I]]&gt;0),$AO164,"")</f>
        <v>158</v>
      </c>
      <c r="AQ164" s="165" t="str">
        <f>IFERROR(SMALL($AP$7:AP$182,ROWS($AP$7:AP164)),"")</f>
        <v/>
      </c>
      <c r="AR164" s="165" t="str">
        <f>IFERROR(INDEX(PQS_tbl[C],AQ164),"")</f>
        <v/>
      </c>
      <c r="AS164" s="165" t="str">
        <f>IF(AND(LEFT(PQS_tbl[[#This Row],[D]],3)=$AS$6,PQS_tbl[[#This Row],[I]]=0,PQS_tbl[[#This Row],[J]]&gt;0),$AO164,"")</f>
        <v/>
      </c>
      <c r="AT164" s="165" t="str">
        <f>IFERROR(SMALL($AS$7:AS$178,ROWS($AS$7:AS164)),"")</f>
        <v/>
      </c>
      <c r="AV164" s="165" t="str">
        <f>IF(LEFT(PQS_tbl[[#This Row],[E]],1)="S",$AP164,"")</f>
        <v/>
      </c>
      <c r="AW164" s="165" t="str">
        <f>IFERROR(SMALL($AV$7:AV$178,ROWS($AV$7:AV164)),"")</f>
        <v/>
      </c>
      <c r="AX164" s="165"/>
      <c r="AY164" s="165" t="str">
        <f>IF(LEFT(PQS_tbl[[#This Row],[E]],1)="S",$AS164,"")</f>
        <v/>
      </c>
      <c r="AZ164" s="165" t="str">
        <f>IFERROR(SMALL($AY$7:AY$178,ROWS($AY$7:AY164)),"")</f>
        <v/>
      </c>
      <c r="BA164" s="165"/>
      <c r="BB164" s="165" t="str">
        <f>IF(AND(LEFT(PQS_tbl[[#This Row],[D]],3)=$BB$6,PQS_tbl[[#This Row],[K]]&gt;0),$AO164,"")</f>
        <v/>
      </c>
    </row>
    <row r="165" spans="1:54" x14ac:dyDescent="0.25">
      <c r="A165" s="189" t="s">
        <v>612</v>
      </c>
      <c r="B165" s="190" t="s">
        <v>561</v>
      </c>
      <c r="C165" s="191" t="s">
        <v>726</v>
      </c>
      <c r="D165" s="61" t="s">
        <v>727</v>
      </c>
      <c r="E165" s="180" t="s">
        <v>363</v>
      </c>
      <c r="F165" s="180" t="s">
        <v>489</v>
      </c>
      <c r="G165" s="180" t="s">
        <v>349</v>
      </c>
      <c r="H165" s="180" t="s">
        <v>466</v>
      </c>
      <c r="I165" s="193">
        <v>145</v>
      </c>
      <c r="J165" s="193"/>
      <c r="K165" s="193"/>
      <c r="L165" s="193"/>
      <c r="M165" s="193"/>
      <c r="N165" s="194">
        <v>55</v>
      </c>
      <c r="O165" s="194"/>
      <c r="P165" s="194"/>
      <c r="Q165" s="193">
        <v>0.69</v>
      </c>
      <c r="R165" s="193"/>
      <c r="S165" s="193"/>
      <c r="T165" s="193">
        <v>1045</v>
      </c>
      <c r="U165" s="182">
        <f>PQS_tbl[[#This Row],[T]]*1.2</f>
        <v>1254</v>
      </c>
      <c r="V165" s="196">
        <v>2019</v>
      </c>
      <c r="W165" s="193">
        <v>235</v>
      </c>
      <c r="X165" s="193"/>
      <c r="Y165" s="193"/>
      <c r="Z165" s="193">
        <v>86</v>
      </c>
      <c r="AA165" s="193">
        <v>127</v>
      </c>
      <c r="AB165" s="193">
        <v>70</v>
      </c>
      <c r="AC165" s="193">
        <v>1.02</v>
      </c>
      <c r="AD165" s="197">
        <v>126</v>
      </c>
      <c r="AE165" s="63" t="s">
        <v>312</v>
      </c>
      <c r="AF165" s="185">
        <f t="shared" si="34"/>
        <v>8.6482758620689655</v>
      </c>
      <c r="AG165" s="185" t="str">
        <f t="shared" si="34"/>
        <v/>
      </c>
      <c r="AH165" s="185" t="str">
        <f t="shared" si="25"/>
        <v/>
      </c>
      <c r="AI165" s="186">
        <f t="shared" si="26"/>
        <v>4.7586206896551722E-3</v>
      </c>
      <c r="AJ165" s="186" t="str">
        <f t="shared" si="27"/>
        <v/>
      </c>
      <c r="AK165" s="186" t="str">
        <f t="shared" si="28"/>
        <v/>
      </c>
      <c r="AL165" s="186" t="str">
        <f t="shared" si="29"/>
        <v/>
      </c>
      <c r="AM165" s="186" t="str">
        <f t="shared" si="30"/>
        <v/>
      </c>
      <c r="AN165" s="186" t="str">
        <f t="shared" si="31"/>
        <v/>
      </c>
      <c r="AO165" s="165">
        <f t="shared" si="32"/>
        <v>159</v>
      </c>
      <c r="AP165" s="165">
        <f>IF(AND(LEFT(PQS_tbl[[#This Row],[D]],3)=$AP$6,PQS_tbl[[#This Row],[I]]&gt;0),$AO165,"")</f>
        <v>159</v>
      </c>
      <c r="AQ165" s="165" t="str">
        <f>IFERROR(SMALL($AP$7:AP$182,ROWS($AP$7:AP165)),"")</f>
        <v/>
      </c>
      <c r="AR165" s="165" t="str">
        <f>IFERROR(INDEX(PQS_tbl[C],AQ165),"")</f>
        <v/>
      </c>
      <c r="AS165" s="165" t="str">
        <f>IF(AND(LEFT(PQS_tbl[[#This Row],[D]],3)=$AS$6,PQS_tbl[[#This Row],[I]]=0,PQS_tbl[[#This Row],[J]]&gt;0),$AO165,"")</f>
        <v/>
      </c>
      <c r="AT165" s="165" t="str">
        <f>IFERROR(SMALL($AS$7:AS$178,ROWS($AS$7:AS165)),"")</f>
        <v/>
      </c>
      <c r="AV165" s="165" t="str">
        <f>IF(LEFT(PQS_tbl[[#This Row],[E]],1)="S",$AP165,"")</f>
        <v/>
      </c>
      <c r="AW165" s="165" t="str">
        <f>IFERROR(SMALL($AV$7:AV$178,ROWS($AV$7:AV165)),"")</f>
        <v/>
      </c>
      <c r="AX165" s="165"/>
      <c r="AY165" s="165" t="str">
        <f>IF(LEFT(PQS_tbl[[#This Row],[E]],1)="S",$AS165,"")</f>
        <v/>
      </c>
      <c r="AZ165" s="165" t="str">
        <f>IFERROR(SMALL($AY$7:AY$178,ROWS($AY$7:AY165)),"")</f>
        <v/>
      </c>
      <c r="BA165" s="165"/>
      <c r="BB165" s="165" t="str">
        <f>IF(AND(LEFT(PQS_tbl[[#This Row],[D]],3)=$BB$6,PQS_tbl[[#This Row],[K]]&gt;0),$AO165,"")</f>
        <v/>
      </c>
    </row>
    <row r="166" spans="1:54" x14ac:dyDescent="0.25">
      <c r="A166" s="189" t="s">
        <v>612</v>
      </c>
      <c r="B166" s="190" t="s">
        <v>561</v>
      </c>
      <c r="C166" s="191" t="s">
        <v>728</v>
      </c>
      <c r="D166" s="61" t="s">
        <v>729</v>
      </c>
      <c r="E166" s="180" t="s">
        <v>363</v>
      </c>
      <c r="F166" s="180" t="s">
        <v>489</v>
      </c>
      <c r="G166" s="180" t="s">
        <v>349</v>
      </c>
      <c r="H166" s="180" t="s">
        <v>466</v>
      </c>
      <c r="I166" s="193">
        <v>242</v>
      </c>
      <c r="J166" s="193"/>
      <c r="K166" s="193"/>
      <c r="L166" s="193"/>
      <c r="M166" s="193"/>
      <c r="N166" s="194">
        <v>55.27</v>
      </c>
      <c r="O166" s="194"/>
      <c r="P166" s="194"/>
      <c r="Q166" s="193">
        <v>0.63800000000000001</v>
      </c>
      <c r="R166" s="193"/>
      <c r="S166" s="193"/>
      <c r="T166" s="193">
        <v>1825</v>
      </c>
      <c r="U166" s="182">
        <f>PQS_tbl[[#This Row],[T]]*1.2</f>
        <v>2190</v>
      </c>
      <c r="V166" s="196">
        <v>2019</v>
      </c>
      <c r="W166" s="193">
        <v>314</v>
      </c>
      <c r="X166" s="193"/>
      <c r="Y166" s="193"/>
      <c r="Z166" s="193">
        <v>84.5</v>
      </c>
      <c r="AA166" s="193">
        <v>156.30000000000001</v>
      </c>
      <c r="AB166" s="193">
        <v>70</v>
      </c>
      <c r="AC166" s="193">
        <v>1.1599999999999999</v>
      </c>
      <c r="AD166" s="197">
        <v>150</v>
      </c>
      <c r="AE166" s="63" t="s">
        <v>312</v>
      </c>
      <c r="AF166" s="185">
        <f t="shared" si="34"/>
        <v>9.0495867768595044</v>
      </c>
      <c r="AG166" s="185" t="str">
        <f t="shared" si="34"/>
        <v/>
      </c>
      <c r="AH166" s="185" t="str">
        <f t="shared" si="25"/>
        <v/>
      </c>
      <c r="AI166" s="186">
        <f t="shared" si="26"/>
        <v>2.6363636363636363E-3</v>
      </c>
      <c r="AJ166" s="186" t="str">
        <f t="shared" si="27"/>
        <v/>
      </c>
      <c r="AK166" s="186" t="str">
        <f t="shared" si="28"/>
        <v/>
      </c>
      <c r="AL166" s="186" t="str">
        <f t="shared" si="29"/>
        <v/>
      </c>
      <c r="AM166" s="186" t="str">
        <f t="shared" si="30"/>
        <v/>
      </c>
      <c r="AN166" s="186" t="str">
        <f t="shared" si="31"/>
        <v/>
      </c>
      <c r="AO166" s="165">
        <f t="shared" si="32"/>
        <v>160</v>
      </c>
      <c r="AP166" s="165">
        <f>IF(AND(LEFT(PQS_tbl[[#This Row],[D]],3)=$AP$6,PQS_tbl[[#This Row],[I]]&gt;0),$AO166,"")</f>
        <v>160</v>
      </c>
      <c r="AQ166" s="165" t="str">
        <f>IFERROR(SMALL($AP$7:AP$182,ROWS($AP$7:AP166)),"")</f>
        <v/>
      </c>
      <c r="AR166" s="165" t="str">
        <f>IFERROR(INDEX(PQS_tbl[C],AQ166),"")</f>
        <v/>
      </c>
      <c r="AS166" s="165" t="str">
        <f>IF(AND(LEFT(PQS_tbl[[#This Row],[D]],3)=$AS$6,PQS_tbl[[#This Row],[I]]=0,PQS_tbl[[#This Row],[J]]&gt;0),$AO166,"")</f>
        <v/>
      </c>
      <c r="AT166" s="165" t="str">
        <f>IFERROR(SMALL($AS$7:AS$178,ROWS($AS$7:AS166)),"")</f>
        <v/>
      </c>
      <c r="AV166" s="165" t="str">
        <f>IF(LEFT(PQS_tbl[[#This Row],[E]],1)="S",$AP166,"")</f>
        <v/>
      </c>
      <c r="AW166" s="165" t="str">
        <f>IFERROR(SMALL($AV$7:AV$178,ROWS($AV$7:AV166)),"")</f>
        <v/>
      </c>
      <c r="AX166" s="165"/>
      <c r="AY166" s="165" t="str">
        <f>IF(LEFT(PQS_tbl[[#This Row],[E]],1)="S",$AS166,"")</f>
        <v/>
      </c>
      <c r="AZ166" s="165" t="str">
        <f>IFERROR(SMALL($AY$7:AY$178,ROWS($AY$7:AY166)),"")</f>
        <v/>
      </c>
      <c r="BA166" s="165"/>
      <c r="BB166" s="165" t="str">
        <f>IF(AND(LEFT(PQS_tbl[[#This Row],[D]],3)=$BB$6,PQS_tbl[[#This Row],[K]]&gt;0),$AO166,"")</f>
        <v/>
      </c>
    </row>
    <row r="167" spans="1:54" x14ac:dyDescent="0.25">
      <c r="A167" s="179" t="s">
        <v>612</v>
      </c>
      <c r="B167" s="62" t="s">
        <v>467</v>
      </c>
      <c r="C167" s="61" t="s">
        <v>730</v>
      </c>
      <c r="D167" s="61" t="s">
        <v>731</v>
      </c>
      <c r="E167" s="180" t="s">
        <v>363</v>
      </c>
      <c r="F167" s="180" t="s">
        <v>489</v>
      </c>
      <c r="G167" s="180" t="s">
        <v>349</v>
      </c>
      <c r="H167" s="180" t="s">
        <v>466</v>
      </c>
      <c r="I167" s="63">
        <v>100</v>
      </c>
      <c r="J167" s="63"/>
      <c r="K167" s="63"/>
      <c r="L167" s="63"/>
      <c r="M167" s="63"/>
      <c r="N167" s="181">
        <v>128.47999999999999</v>
      </c>
      <c r="O167" s="181"/>
      <c r="P167" s="181"/>
      <c r="Q167" s="63">
        <v>0.35</v>
      </c>
      <c r="R167" s="63"/>
      <c r="S167" s="63"/>
      <c r="T167" s="63">
        <v>1700</v>
      </c>
      <c r="U167" s="182">
        <v>1700</v>
      </c>
      <c r="V167" s="183">
        <v>2020</v>
      </c>
      <c r="W167" s="63">
        <v>120</v>
      </c>
      <c r="X167" s="63"/>
      <c r="Y167" s="63"/>
      <c r="Z167" s="63">
        <v>89</v>
      </c>
      <c r="AA167" s="63">
        <v>82.9</v>
      </c>
      <c r="AB167" s="63">
        <v>142.5</v>
      </c>
      <c r="AC167" s="63">
        <v>1.44</v>
      </c>
      <c r="AD167" s="184">
        <v>160</v>
      </c>
      <c r="AE167" s="63" t="s">
        <v>312</v>
      </c>
      <c r="AF167" s="185">
        <f t="shared" si="34"/>
        <v>17</v>
      </c>
      <c r="AG167" s="185" t="str">
        <f t="shared" si="34"/>
        <v/>
      </c>
      <c r="AH167" s="185" t="str">
        <f t="shared" si="25"/>
        <v/>
      </c>
      <c r="AI167" s="186">
        <f t="shared" si="26"/>
        <v>3.4999999999999996E-3</v>
      </c>
      <c r="AJ167" s="186" t="str">
        <f t="shared" si="27"/>
        <v/>
      </c>
      <c r="AK167" s="186" t="str">
        <f t="shared" si="28"/>
        <v/>
      </c>
      <c r="AL167" s="186" t="str">
        <f t="shared" si="29"/>
        <v/>
      </c>
      <c r="AM167" s="186" t="str">
        <f t="shared" si="30"/>
        <v/>
      </c>
      <c r="AN167" s="186" t="str">
        <f t="shared" si="31"/>
        <v/>
      </c>
      <c r="AO167" s="165">
        <f t="shared" si="32"/>
        <v>161</v>
      </c>
      <c r="AP167" s="165">
        <f>IF(AND(LEFT(PQS_tbl[[#This Row],[D]],3)=$AP$6,PQS_tbl[[#This Row],[I]]&gt;0),$AO167,"")</f>
        <v>161</v>
      </c>
      <c r="AQ167" s="165" t="str">
        <f>IFERROR(SMALL($AP$7:AP$182,ROWS($AP$7:AP167)),"")</f>
        <v/>
      </c>
      <c r="AR167" s="165" t="str">
        <f>IFERROR(INDEX(PQS_tbl[C],AQ167),"")</f>
        <v/>
      </c>
      <c r="AS167" s="165" t="str">
        <f>IF(AND(LEFT(PQS_tbl[[#This Row],[D]],3)=$AS$6,PQS_tbl[[#This Row],[I]]=0,PQS_tbl[[#This Row],[J]]&gt;0),$AO167,"")</f>
        <v/>
      </c>
      <c r="AT167" s="165" t="str">
        <f>IFERROR(SMALL($AS$7:AS$178,ROWS($AS$7:AS167)),"")</f>
        <v/>
      </c>
      <c r="AV167" s="165" t="str">
        <f>IF(LEFT(PQS_tbl[[#This Row],[E]],1)="S",$AP167,"")</f>
        <v/>
      </c>
      <c r="AW167" s="165" t="str">
        <f>IFERROR(SMALL($AV$7:AV$178,ROWS($AV$7:AV167)),"")</f>
        <v/>
      </c>
      <c r="AX167" s="165"/>
      <c r="AY167" s="165" t="str">
        <f>IF(LEFT(PQS_tbl[[#This Row],[E]],1)="S",$AS167,"")</f>
        <v/>
      </c>
      <c r="AZ167" s="165" t="str">
        <f>IFERROR(SMALL($AY$7:AY$178,ROWS($AY$7:AY167)),"")</f>
        <v/>
      </c>
      <c r="BA167" s="165"/>
      <c r="BB167" s="165" t="str">
        <f>IF(AND(LEFT(PQS_tbl[[#This Row],[D]],3)=$BB$6,PQS_tbl[[#This Row],[K]]&gt;0),$AO167,"")</f>
        <v/>
      </c>
    </row>
    <row r="168" spans="1:54" x14ac:dyDescent="0.25">
      <c r="A168" s="179" t="s">
        <v>612</v>
      </c>
      <c r="B168" s="62" t="s">
        <v>467</v>
      </c>
      <c r="C168" s="61" t="s">
        <v>732</v>
      </c>
      <c r="D168" s="61" t="s">
        <v>733</v>
      </c>
      <c r="E168" s="180" t="s">
        <v>363</v>
      </c>
      <c r="F168" s="180" t="s">
        <v>489</v>
      </c>
      <c r="G168" s="180" t="s">
        <v>349</v>
      </c>
      <c r="H168" s="180" t="s">
        <v>466</v>
      </c>
      <c r="I168" s="63">
        <v>200</v>
      </c>
      <c r="J168" s="63"/>
      <c r="K168" s="63"/>
      <c r="L168" s="63"/>
      <c r="M168" s="63"/>
      <c r="N168" s="181">
        <v>87.14</v>
      </c>
      <c r="O168" s="181"/>
      <c r="P168" s="181"/>
      <c r="Q168" s="63">
        <v>0.4</v>
      </c>
      <c r="R168" s="63"/>
      <c r="S168" s="63"/>
      <c r="T168" s="63">
        <v>1850</v>
      </c>
      <c r="U168" s="182">
        <v>1850</v>
      </c>
      <c r="V168" s="183">
        <v>2020</v>
      </c>
      <c r="W168" s="63">
        <v>240</v>
      </c>
      <c r="X168" s="63"/>
      <c r="Y168" s="63"/>
      <c r="Z168" s="63">
        <v>89</v>
      </c>
      <c r="AA168" s="63">
        <v>82.9</v>
      </c>
      <c r="AB168" s="63">
        <v>142.5</v>
      </c>
      <c r="AC168" s="63">
        <v>1.8</v>
      </c>
      <c r="AD168" s="184">
        <v>182</v>
      </c>
      <c r="AE168" s="63" t="s">
        <v>312</v>
      </c>
      <c r="AF168" s="185">
        <f t="shared" si="34"/>
        <v>9.25</v>
      </c>
      <c r="AG168" s="185" t="str">
        <f t="shared" si="34"/>
        <v/>
      </c>
      <c r="AH168" s="185" t="str">
        <f t="shared" si="25"/>
        <v/>
      </c>
      <c r="AI168" s="186">
        <f t="shared" si="26"/>
        <v>2E-3</v>
      </c>
      <c r="AJ168" s="186" t="str">
        <f t="shared" si="27"/>
        <v/>
      </c>
      <c r="AK168" s="186" t="str">
        <f t="shared" si="28"/>
        <v/>
      </c>
      <c r="AL168" s="186" t="str">
        <f t="shared" si="29"/>
        <v/>
      </c>
      <c r="AM168" s="186" t="str">
        <f t="shared" si="30"/>
        <v/>
      </c>
      <c r="AN168" s="186" t="str">
        <f t="shared" si="31"/>
        <v/>
      </c>
      <c r="AO168" s="165">
        <f t="shared" si="32"/>
        <v>162</v>
      </c>
      <c r="AP168" s="165">
        <f>IF(AND(LEFT(PQS_tbl[[#This Row],[D]],3)=$AP$6,PQS_tbl[[#This Row],[I]]&gt;0),$AO168,"")</f>
        <v>162</v>
      </c>
      <c r="AQ168" s="165" t="str">
        <f>IFERROR(SMALL($AP$7:AP$182,ROWS($AP$7:AP168)),"")</f>
        <v/>
      </c>
      <c r="AR168" s="165" t="str">
        <f>IFERROR(INDEX(PQS_tbl[C],AQ168),"")</f>
        <v/>
      </c>
      <c r="AS168" s="165" t="str">
        <f>IF(AND(LEFT(PQS_tbl[[#This Row],[D]],3)=$AS$6,PQS_tbl[[#This Row],[I]]=0,PQS_tbl[[#This Row],[J]]&gt;0),$AO168,"")</f>
        <v/>
      </c>
      <c r="AT168" s="165" t="str">
        <f>IFERROR(SMALL($AS$7:AS$178,ROWS($AS$7:AS168)),"")</f>
        <v/>
      </c>
      <c r="AV168" s="165" t="str">
        <f>IF(LEFT(PQS_tbl[[#This Row],[E]],1)="S",$AP168,"")</f>
        <v/>
      </c>
      <c r="AW168" s="165" t="str">
        <f>IFERROR(SMALL($AV$7:AV$178,ROWS($AV$7:AV168)),"")</f>
        <v/>
      </c>
      <c r="AX168" s="165"/>
      <c r="AY168" s="165" t="str">
        <f>IF(LEFT(PQS_tbl[[#This Row],[E]],1)="S",$AS168,"")</f>
        <v/>
      </c>
      <c r="AZ168" s="165" t="str">
        <f>IFERROR(SMALL($AY$7:AY$178,ROWS($AY$7:AY168)),"")</f>
        <v/>
      </c>
      <c r="BA168" s="165"/>
      <c r="BB168" s="165" t="str">
        <f>IF(AND(LEFT(PQS_tbl[[#This Row],[D]],3)=$BB$6,PQS_tbl[[#This Row],[K]]&gt;0),$AO168,"")</f>
        <v/>
      </c>
    </row>
    <row r="169" spans="1:54" x14ac:dyDescent="0.25">
      <c r="A169" s="179" t="s">
        <v>734</v>
      </c>
      <c r="B169" s="62" t="s">
        <v>467</v>
      </c>
      <c r="C169" s="61" t="s">
        <v>735</v>
      </c>
      <c r="D169" s="61" t="s">
        <v>736</v>
      </c>
      <c r="E169" s="180" t="s">
        <v>488</v>
      </c>
      <c r="F169" s="180" t="s">
        <v>489</v>
      </c>
      <c r="G169" s="180" t="s">
        <v>349</v>
      </c>
      <c r="H169" s="180" t="s">
        <v>466</v>
      </c>
      <c r="I169" s="63">
        <v>100</v>
      </c>
      <c r="J169" s="63"/>
      <c r="K169" s="63"/>
      <c r="L169" s="63"/>
      <c r="M169" s="63"/>
      <c r="N169" s="181">
        <v>112.24</v>
      </c>
      <c r="O169" s="181"/>
      <c r="P169" s="181"/>
      <c r="Q169" s="63"/>
      <c r="R169" s="63"/>
      <c r="S169" s="63"/>
      <c r="T169" s="63">
        <v>3620</v>
      </c>
      <c r="U169" s="182">
        <v>3620</v>
      </c>
      <c r="V169" s="183">
        <v>2020</v>
      </c>
      <c r="W169" s="63">
        <v>120</v>
      </c>
      <c r="X169" s="63"/>
      <c r="Y169" s="63"/>
      <c r="Z169" s="63">
        <v>86.5</v>
      </c>
      <c r="AA169" s="63">
        <v>82.5</v>
      </c>
      <c r="AB169" s="63">
        <v>142.5</v>
      </c>
      <c r="AC169" s="63">
        <v>1.44</v>
      </c>
      <c r="AD169" s="184">
        <v>160</v>
      </c>
      <c r="AE169" s="63" t="s">
        <v>312</v>
      </c>
      <c r="AF169" s="185">
        <f t="shared" si="34"/>
        <v>36.200000000000003</v>
      </c>
      <c r="AG169" s="185" t="str">
        <f t="shared" si="34"/>
        <v/>
      </c>
      <c r="AH169" s="185" t="str">
        <f t="shared" si="25"/>
        <v/>
      </c>
      <c r="AI169" s="186" t="str">
        <f t="shared" si="26"/>
        <v/>
      </c>
      <c r="AJ169" s="186" t="str">
        <f t="shared" si="27"/>
        <v/>
      </c>
      <c r="AK169" s="186" t="str">
        <f t="shared" si="28"/>
        <v/>
      </c>
      <c r="AL169" s="186" t="str">
        <f t="shared" si="29"/>
        <v/>
      </c>
      <c r="AM169" s="186" t="str">
        <f t="shared" si="30"/>
        <v/>
      </c>
      <c r="AN169" s="186" t="str">
        <f t="shared" si="31"/>
        <v/>
      </c>
      <c r="AO169" s="165">
        <f t="shared" si="32"/>
        <v>163</v>
      </c>
      <c r="AP169" s="165">
        <f>IF(AND(LEFT(PQS_tbl[[#This Row],[D]],3)=$AP$6,PQS_tbl[[#This Row],[I]]&gt;0),$AO169,"")</f>
        <v>163</v>
      </c>
      <c r="AQ169" s="165" t="str">
        <f>IFERROR(SMALL($AP$7:AP$182,ROWS($AP$7:AP169)),"")</f>
        <v/>
      </c>
      <c r="AR169" s="165" t="str">
        <f>IFERROR(INDEX(PQS_tbl[C],AQ169),"")</f>
        <v/>
      </c>
      <c r="AS169" s="165" t="str">
        <f>IF(AND(LEFT(PQS_tbl[[#This Row],[D]],3)=$AS$6,PQS_tbl[[#This Row],[I]]=0,PQS_tbl[[#This Row],[J]]&gt;0),$AO169,"")</f>
        <v/>
      </c>
      <c r="AT169" s="165" t="str">
        <f>IFERROR(SMALL($AS$7:AS$178,ROWS($AS$7:AS169)),"")</f>
        <v/>
      </c>
      <c r="AV169" s="165">
        <f>IF(LEFT(PQS_tbl[[#This Row],[E]],1)="S",$AP169,"")</f>
        <v>163</v>
      </c>
      <c r="AW169" s="165" t="str">
        <f>IFERROR(SMALL($AV$7:AV$178,ROWS($AV$7:AV169)),"")</f>
        <v/>
      </c>
      <c r="AX169" s="165"/>
      <c r="AY169" s="165" t="str">
        <f>IF(LEFT(PQS_tbl[[#This Row],[E]],1)="S",$AS169,"")</f>
        <v/>
      </c>
      <c r="AZ169" s="165" t="str">
        <f>IFERROR(SMALL($AY$7:AY$178,ROWS($AY$7:AY169)),"")</f>
        <v/>
      </c>
      <c r="BA169" s="165"/>
      <c r="BB169" s="165" t="str">
        <f>IF(AND(LEFT(PQS_tbl[[#This Row],[D]],3)=$BB$6,PQS_tbl[[#This Row],[K]]&gt;0),$AO169,"")</f>
        <v/>
      </c>
    </row>
    <row r="170" spans="1:54" x14ac:dyDescent="0.25">
      <c r="A170" s="189" t="s">
        <v>734</v>
      </c>
      <c r="B170" s="190" t="s">
        <v>467</v>
      </c>
      <c r="C170" s="191" t="s">
        <v>737</v>
      </c>
      <c r="D170" s="191" t="s">
        <v>738</v>
      </c>
      <c r="E170" s="192" t="s">
        <v>488</v>
      </c>
      <c r="F170" s="192" t="s">
        <v>489</v>
      </c>
      <c r="G170" s="192" t="s">
        <v>349</v>
      </c>
      <c r="H170" s="192" t="s">
        <v>466</v>
      </c>
      <c r="I170" s="193">
        <v>200</v>
      </c>
      <c r="J170" s="193"/>
      <c r="K170" s="193"/>
      <c r="L170" s="193"/>
      <c r="M170" s="193"/>
      <c r="N170" s="194">
        <v>95.23</v>
      </c>
      <c r="O170" s="194"/>
      <c r="P170" s="194"/>
      <c r="Q170" s="193"/>
      <c r="R170" s="193"/>
      <c r="S170" s="193"/>
      <c r="T170" s="193">
        <v>4150</v>
      </c>
      <c r="U170" s="195">
        <v>4150</v>
      </c>
      <c r="V170" s="196">
        <v>2020</v>
      </c>
      <c r="W170" s="193">
        <v>240</v>
      </c>
      <c r="X170" s="193"/>
      <c r="Y170" s="193"/>
      <c r="Z170" s="193">
        <v>86.5</v>
      </c>
      <c r="AA170" s="193">
        <v>82.5</v>
      </c>
      <c r="AB170" s="193">
        <v>181.5</v>
      </c>
      <c r="AC170" s="193">
        <v>1.79</v>
      </c>
      <c r="AD170" s="197">
        <v>185</v>
      </c>
      <c r="AE170" s="63" t="s">
        <v>312</v>
      </c>
      <c r="AF170" s="185">
        <f t="shared" si="34"/>
        <v>20.75</v>
      </c>
      <c r="AG170" s="185" t="str">
        <f t="shared" si="34"/>
        <v/>
      </c>
      <c r="AH170" s="185" t="str">
        <f t="shared" si="25"/>
        <v/>
      </c>
      <c r="AI170" s="186" t="str">
        <f t="shared" si="26"/>
        <v/>
      </c>
      <c r="AJ170" s="186" t="str">
        <f t="shared" si="27"/>
        <v/>
      </c>
      <c r="AK170" s="186" t="str">
        <f t="shared" si="28"/>
        <v/>
      </c>
      <c r="AL170" s="186" t="str">
        <f t="shared" si="29"/>
        <v/>
      </c>
      <c r="AM170" s="186" t="str">
        <f t="shared" si="30"/>
        <v/>
      </c>
      <c r="AN170" s="186" t="str">
        <f t="shared" si="31"/>
        <v/>
      </c>
      <c r="AO170" s="165">
        <f t="shared" si="32"/>
        <v>164</v>
      </c>
      <c r="AP170" s="165">
        <f>IF(AND(LEFT(PQS_tbl[[#This Row],[D]],3)=$AP$6,PQS_tbl[[#This Row],[I]]&gt;0),$AO170,"")</f>
        <v>164</v>
      </c>
      <c r="AQ170" s="165" t="str">
        <f>IFERROR(SMALL($AP$7:AP$182,ROWS($AP$7:AP170)),"")</f>
        <v/>
      </c>
      <c r="AR170" s="165" t="str">
        <f>IFERROR(INDEX(PQS_tbl[C],AQ170),"")</f>
        <v/>
      </c>
      <c r="AS170" s="165" t="str">
        <f>IF(AND(LEFT(PQS_tbl[[#This Row],[D]],3)=$AS$6,PQS_tbl[[#This Row],[I]]=0,PQS_tbl[[#This Row],[J]]&gt;0),$AO170,"")</f>
        <v/>
      </c>
      <c r="AT170" s="165" t="str">
        <f>IFERROR(SMALL($AS$7:AS$178,ROWS($AS$7:AS170)),"")</f>
        <v/>
      </c>
      <c r="AV170" s="165">
        <f>IF(LEFT(PQS_tbl[[#This Row],[E]],1)="S",$AP170,"")</f>
        <v>164</v>
      </c>
      <c r="AW170" s="165" t="str">
        <f>IFERROR(SMALL($AV$7:AV$178,ROWS($AV$7:AV170)),"")</f>
        <v/>
      </c>
      <c r="AX170" s="165"/>
      <c r="AY170" s="165" t="str">
        <f>IF(LEFT(PQS_tbl[[#This Row],[E]],1)="S",$AS170,"")</f>
        <v/>
      </c>
      <c r="AZ170" s="165" t="str">
        <f>IFERROR(SMALL($AY$7:AY$178,ROWS($AY$7:AY170)),"")</f>
        <v/>
      </c>
      <c r="BA170" s="165"/>
      <c r="BB170" s="165" t="str">
        <f>IF(AND(LEFT(PQS_tbl[[#This Row],[D]],3)=$BB$6,PQS_tbl[[#This Row],[K]]&gt;0),$AO170,"")</f>
        <v/>
      </c>
    </row>
    <row r="171" spans="1:54" x14ac:dyDescent="0.25">
      <c r="A171" s="189" t="s">
        <v>734</v>
      </c>
      <c r="B171" s="190" t="s">
        <v>607</v>
      </c>
      <c r="C171" s="191" t="s">
        <v>739</v>
      </c>
      <c r="D171" s="191" t="s">
        <v>740</v>
      </c>
      <c r="E171" s="192" t="s">
        <v>488</v>
      </c>
      <c r="F171" s="192" t="s">
        <v>489</v>
      </c>
      <c r="G171" s="192" t="s">
        <v>349</v>
      </c>
      <c r="H171" s="192" t="s">
        <v>466</v>
      </c>
      <c r="I171" s="193">
        <v>10</v>
      </c>
      <c r="J171" s="193"/>
      <c r="K171" s="193"/>
      <c r="L171" s="193"/>
      <c r="M171" s="193"/>
      <c r="N171" s="194">
        <v>72</v>
      </c>
      <c r="O171" s="194"/>
      <c r="P171" s="194"/>
      <c r="Q171" s="193"/>
      <c r="R171" s="193"/>
      <c r="S171" s="193"/>
      <c r="T171" s="193">
        <v>3550</v>
      </c>
      <c r="U171" s="195">
        <v>3550</v>
      </c>
      <c r="V171" s="196">
        <v>2020</v>
      </c>
      <c r="W171" s="193">
        <v>15</v>
      </c>
      <c r="X171" s="193"/>
      <c r="Y171" s="193"/>
      <c r="Z171" s="193">
        <v>86</v>
      </c>
      <c r="AA171" s="193">
        <v>52.8</v>
      </c>
      <c r="AB171" s="193">
        <v>52.8</v>
      </c>
      <c r="AC171" s="193"/>
      <c r="AD171" s="197"/>
      <c r="AE171" s="63" t="s">
        <v>312</v>
      </c>
      <c r="AF171" s="185">
        <f t="shared" si="34"/>
        <v>355</v>
      </c>
      <c r="AG171" s="185" t="str">
        <f t="shared" si="34"/>
        <v/>
      </c>
      <c r="AH171" s="185" t="str">
        <f t="shared" si="25"/>
        <v/>
      </c>
      <c r="AI171" s="186" t="str">
        <f t="shared" si="26"/>
        <v/>
      </c>
      <c r="AJ171" s="186" t="str">
        <f t="shared" si="27"/>
        <v/>
      </c>
      <c r="AK171" s="186" t="str">
        <f t="shared" si="28"/>
        <v/>
      </c>
      <c r="AL171" s="186" t="str">
        <f t="shared" si="29"/>
        <v/>
      </c>
      <c r="AM171" s="186" t="str">
        <f t="shared" si="30"/>
        <v/>
      </c>
      <c r="AN171" s="186" t="str">
        <f t="shared" si="31"/>
        <v/>
      </c>
      <c r="AO171" s="165">
        <f t="shared" si="32"/>
        <v>165</v>
      </c>
      <c r="AP171" s="165">
        <f>IF(AND(LEFT(PQS_tbl[[#This Row],[D]],3)=$AP$6,PQS_tbl[[#This Row],[I]]&gt;0),$AO171,"")</f>
        <v>165</v>
      </c>
      <c r="AQ171" s="165" t="str">
        <f>IFERROR(SMALL($AP$7:AP$182,ROWS($AP$7:AP171)),"")</f>
        <v/>
      </c>
      <c r="AR171" s="165" t="str">
        <f>IFERROR(INDEX(PQS_tbl[C],AQ171),"")</f>
        <v/>
      </c>
      <c r="AS171" s="165" t="str">
        <f>IF(AND(LEFT(PQS_tbl[[#This Row],[D]],3)=$AS$6,PQS_tbl[[#This Row],[I]]=0,PQS_tbl[[#This Row],[J]]&gt;0),$AO171,"")</f>
        <v/>
      </c>
      <c r="AT171" s="165" t="str">
        <f>IFERROR(SMALL($AS$7:AS$178,ROWS($AS$7:AS171)),"")</f>
        <v/>
      </c>
      <c r="AV171" s="165">
        <f>IF(LEFT(PQS_tbl[[#This Row],[E]],1)="S",$AP171,"")</f>
        <v>165</v>
      </c>
      <c r="AW171" s="165" t="str">
        <f>IFERROR(SMALL($AV$7:AV$178,ROWS($AV$7:AV171)),"")</f>
        <v/>
      </c>
      <c r="AX171" s="165"/>
      <c r="AY171" s="165" t="str">
        <f>IF(LEFT(PQS_tbl[[#This Row],[E]],1)="S",$AS171,"")</f>
        <v/>
      </c>
      <c r="AZ171" s="165" t="str">
        <f>IFERROR(SMALL($AY$7:AY$178,ROWS($AY$7:AY171)),"")</f>
        <v/>
      </c>
      <c r="BA171" s="165"/>
      <c r="BB171" s="165" t="str">
        <f>IF(AND(LEFT(PQS_tbl[[#This Row],[D]],3)=$BB$6,PQS_tbl[[#This Row],[K]]&gt;0),$AO171,"")</f>
        <v/>
      </c>
    </row>
    <row r="172" spans="1:54" x14ac:dyDescent="0.25">
      <c r="A172" s="189" t="s">
        <v>564</v>
      </c>
      <c r="B172" s="62" t="s">
        <v>561</v>
      </c>
      <c r="C172" s="191" t="s">
        <v>741</v>
      </c>
      <c r="D172" s="191" t="s">
        <v>742</v>
      </c>
      <c r="E172" s="192" t="s">
        <v>549</v>
      </c>
      <c r="F172" s="192" t="s">
        <v>636</v>
      </c>
      <c r="G172" s="192" t="s">
        <v>349</v>
      </c>
      <c r="H172" s="192" t="s">
        <v>466</v>
      </c>
      <c r="I172" s="193">
        <v>61.25</v>
      </c>
      <c r="J172" s="63">
        <v>17.399999999999999</v>
      </c>
      <c r="K172" s="63"/>
      <c r="L172" s="63">
        <f>3*0.6</f>
        <v>1.7999999999999998</v>
      </c>
      <c r="M172" s="63">
        <f>29*0.6</f>
        <v>17.399999999999999</v>
      </c>
      <c r="N172" s="194">
        <v>89.32</v>
      </c>
      <c r="O172" s="194"/>
      <c r="P172" s="194"/>
      <c r="Q172" s="193"/>
      <c r="R172" s="193"/>
      <c r="S172" s="193"/>
      <c r="T172" s="193">
        <v>5177</v>
      </c>
      <c r="U172" s="195">
        <f>PQS_tbl[[#This Row],[T]]*1.2</f>
        <v>6212.4</v>
      </c>
      <c r="V172" s="196">
        <v>2021</v>
      </c>
      <c r="W172" s="193">
        <v>111</v>
      </c>
      <c r="X172" s="193">
        <v>34.299999999999997</v>
      </c>
      <c r="Y172" s="193"/>
      <c r="Z172" s="193">
        <v>96</v>
      </c>
      <c r="AA172" s="193">
        <v>65</v>
      </c>
      <c r="AB172" s="193">
        <v>128</v>
      </c>
      <c r="AC172" s="193">
        <v>1.1499999999999999</v>
      </c>
      <c r="AD172" s="197">
        <v>157</v>
      </c>
      <c r="AE172" s="63" t="s">
        <v>312</v>
      </c>
      <c r="AF172" s="185">
        <f t="shared" si="34"/>
        <v>101.42693877551019</v>
      </c>
      <c r="AG172" s="185">
        <f t="shared" si="34"/>
        <v>357.0344827586207</v>
      </c>
      <c r="AH172" s="185">
        <f t="shared" si="25"/>
        <v>3451.3333333333335</v>
      </c>
      <c r="AI172" s="186" t="str">
        <f t="shared" si="26"/>
        <v/>
      </c>
      <c r="AJ172" s="186" t="str">
        <f t="shared" si="27"/>
        <v/>
      </c>
      <c r="AK172" s="186" t="str">
        <f t="shared" si="28"/>
        <v/>
      </c>
      <c r="AL172" s="186" t="str">
        <f t="shared" si="29"/>
        <v/>
      </c>
      <c r="AM172" s="186" t="str">
        <f t="shared" si="30"/>
        <v/>
      </c>
      <c r="AN172" s="186" t="str">
        <f t="shared" si="31"/>
        <v/>
      </c>
      <c r="AO172" s="165">
        <f t="shared" si="32"/>
        <v>166</v>
      </c>
      <c r="AP172" s="165">
        <f>IF(AND(LEFT(PQS_tbl[[#This Row],[D]],3)=$AP$6,PQS_tbl[[#This Row],[I]]&gt;0),$AO172,"")</f>
        <v>166</v>
      </c>
      <c r="AQ172" s="165" t="str">
        <f>IFERROR(SMALL($AP$7:AP$182,ROWS($AP$7:AP172)),"")</f>
        <v/>
      </c>
      <c r="AR172" s="165" t="str">
        <f>IFERROR(INDEX(PQS_tbl[C],AQ172),"")</f>
        <v/>
      </c>
      <c r="AS172" s="165" t="str">
        <f>IF(AND(LEFT(PQS_tbl[[#This Row],[D]],3)=$AS$6,PQS_tbl[[#This Row],[I]]=0,PQS_tbl[[#This Row],[J]]&gt;0),$AO172,"")</f>
        <v/>
      </c>
      <c r="AT172" s="165" t="str">
        <f>IFERROR(SMALL($AS$7:AS$178,ROWS($AS$7:AS172)),"")</f>
        <v/>
      </c>
      <c r="AV172" s="165">
        <f>IF(LEFT(PQS_tbl[[#This Row],[E]],1)="S",$AP172,"")</f>
        <v>166</v>
      </c>
      <c r="AW172" s="165" t="str">
        <f>IFERROR(SMALL($AV$7:AV$178,ROWS($AV$7:AV172)),"")</f>
        <v/>
      </c>
      <c r="AX172" s="165"/>
      <c r="AY172" s="165" t="str">
        <f>IF(LEFT(PQS_tbl[[#This Row],[E]],1)="S",$AS172,"")</f>
        <v/>
      </c>
      <c r="AZ172" s="165" t="str">
        <f>IFERROR(SMALL($AY$7:AY$178,ROWS($AY$7:AY172)),"")</f>
        <v/>
      </c>
      <c r="BA172" s="165"/>
      <c r="BB172" s="165" t="str">
        <f>IF(AND(LEFT(PQS_tbl[[#This Row],[D]],3)=$BB$6,PQS_tbl[[#This Row],[K]]&gt;0),$AO172,"")</f>
        <v/>
      </c>
    </row>
    <row r="173" spans="1:54" x14ac:dyDescent="0.25">
      <c r="A173" s="189" t="s">
        <v>612</v>
      </c>
      <c r="B173" s="199" t="s">
        <v>360</v>
      </c>
      <c r="C173" s="191" t="s">
        <v>743</v>
      </c>
      <c r="D173" s="191" t="s">
        <v>744</v>
      </c>
      <c r="E173" s="192" t="s">
        <v>745</v>
      </c>
      <c r="F173" s="192" t="s">
        <v>489</v>
      </c>
      <c r="G173" s="192" t="s">
        <v>349</v>
      </c>
      <c r="H173" s="192" t="s">
        <v>466</v>
      </c>
      <c r="I173" s="193">
        <v>38</v>
      </c>
      <c r="J173" s="193"/>
      <c r="K173" s="193"/>
      <c r="L173" s="193"/>
      <c r="M173" s="193"/>
      <c r="N173" s="194">
        <v>50.52</v>
      </c>
      <c r="O173" s="194"/>
      <c r="P173" s="194"/>
      <c r="Q173" s="193">
        <v>0.504</v>
      </c>
      <c r="R173" s="193"/>
      <c r="S173" s="193"/>
      <c r="T173" s="193"/>
      <c r="U173" s="195"/>
      <c r="V173" s="196"/>
      <c r="W173" s="193">
        <v>50.6</v>
      </c>
      <c r="X173" s="193"/>
      <c r="Y173" s="193"/>
      <c r="Z173" s="193">
        <v>95</v>
      </c>
      <c r="AA173" s="193">
        <v>65</v>
      </c>
      <c r="AB173" s="193">
        <v>55</v>
      </c>
      <c r="AC173" s="193">
        <v>0.63</v>
      </c>
      <c r="AD173" s="197">
        <v>79</v>
      </c>
      <c r="AE173" s="63" t="s">
        <v>312</v>
      </c>
      <c r="AF173" s="185">
        <f t="shared" si="34"/>
        <v>0</v>
      </c>
      <c r="AG173" s="185" t="str">
        <f t="shared" si="34"/>
        <v/>
      </c>
      <c r="AH173" s="185" t="str">
        <f t="shared" si="25"/>
        <v/>
      </c>
      <c r="AI173" s="186">
        <f t="shared" si="26"/>
        <v>1.3263157894736843E-2</v>
      </c>
      <c r="AJ173" s="186" t="str">
        <f t="shared" si="27"/>
        <v/>
      </c>
      <c r="AK173" s="186" t="str">
        <f t="shared" si="28"/>
        <v/>
      </c>
      <c r="AL173" s="186" t="str">
        <f t="shared" si="29"/>
        <v/>
      </c>
      <c r="AM173" s="186" t="str">
        <f t="shared" si="30"/>
        <v/>
      </c>
      <c r="AN173" s="186" t="str">
        <f t="shared" si="31"/>
        <v/>
      </c>
      <c r="AO173" s="165">
        <f t="shared" si="32"/>
        <v>167</v>
      </c>
      <c r="AP173" s="165">
        <f>IF(AND(LEFT(PQS_tbl[[#This Row],[D]],3)=$AP$6,PQS_tbl[[#This Row],[I]]&gt;0),$AO173,"")</f>
        <v>167</v>
      </c>
      <c r="AQ173" s="165" t="str">
        <f>IFERROR(SMALL($AP$7:AP$182,ROWS($AP$7:AP173)),"")</f>
        <v/>
      </c>
      <c r="AR173" s="165" t="str">
        <f>IFERROR(INDEX(PQS_tbl[C],AQ173),"")</f>
        <v/>
      </c>
      <c r="AS173" s="165" t="str">
        <f>IF(AND(LEFT(PQS_tbl[[#This Row],[D]],3)=$AS$6,PQS_tbl[[#This Row],[I]]=0,PQS_tbl[[#This Row],[J]]&gt;0),$AO173,"")</f>
        <v/>
      </c>
      <c r="AT173" s="165" t="str">
        <f>IFERROR(SMALL($AS$7:AS$178,ROWS($AS$7:AS173)),"")</f>
        <v/>
      </c>
      <c r="AV173" s="165" t="str">
        <f>IF(LEFT(PQS_tbl[[#This Row],[E]],1)="S",$AP173,"")</f>
        <v/>
      </c>
      <c r="AW173" s="165" t="str">
        <f>IFERROR(SMALL($AV$7:AV$178,ROWS($AV$7:AV173)),"")</f>
        <v/>
      </c>
      <c r="AX173" s="165"/>
      <c r="AY173" s="165" t="str">
        <f>IF(LEFT(PQS_tbl[[#This Row],[E]],1)="S",$AS173,"")</f>
        <v/>
      </c>
      <c r="AZ173" s="165" t="str">
        <f>IFERROR(SMALL($AY$7:AY$178,ROWS($AY$7:AY173)),"")</f>
        <v/>
      </c>
      <c r="BA173" s="165"/>
      <c r="BB173" s="165" t="str">
        <f>IF(AND(LEFT(PQS_tbl[[#This Row],[D]],3)=$BB$6,PQS_tbl[[#This Row],[K]]&gt;0),$AO173,"")</f>
        <v/>
      </c>
    </row>
    <row r="174" spans="1:54" x14ac:dyDescent="0.25">
      <c r="A174" s="189" t="s">
        <v>734</v>
      </c>
      <c r="B174" s="199" t="s">
        <v>463</v>
      </c>
      <c r="C174" s="191" t="s">
        <v>746</v>
      </c>
      <c r="D174" s="191" t="s">
        <v>747</v>
      </c>
      <c r="E174" s="192" t="s">
        <v>488</v>
      </c>
      <c r="F174" s="192" t="s">
        <v>489</v>
      </c>
      <c r="G174" s="192" t="s">
        <v>349</v>
      </c>
      <c r="H174" s="192" t="s">
        <v>466</v>
      </c>
      <c r="I174" s="193">
        <v>80.5</v>
      </c>
      <c r="J174" s="193"/>
      <c r="K174" s="193"/>
      <c r="L174" s="193"/>
      <c r="M174" s="193"/>
      <c r="N174" s="194">
        <v>72.22</v>
      </c>
      <c r="O174" s="194"/>
      <c r="P174" s="194"/>
      <c r="Q174" s="193"/>
      <c r="R174" s="193"/>
      <c r="S174" s="193"/>
      <c r="T174" s="193">
        <v>5437</v>
      </c>
      <c r="U174" s="195">
        <v>6524.4</v>
      </c>
      <c r="V174" s="196">
        <v>2021</v>
      </c>
      <c r="W174" s="193">
        <v>82.5</v>
      </c>
      <c r="X174" s="193"/>
      <c r="Y174" s="193"/>
      <c r="Z174" s="193">
        <v>90</v>
      </c>
      <c r="AA174" s="193">
        <v>103</v>
      </c>
      <c r="AB174" s="193">
        <v>78</v>
      </c>
      <c r="AC174" s="193">
        <v>0.88</v>
      </c>
      <c r="AD174" s="197">
        <v>113</v>
      </c>
      <c r="AE174" s="63" t="s">
        <v>312</v>
      </c>
      <c r="AF174" s="185">
        <f t="shared" si="34"/>
        <v>81.048447204968937</v>
      </c>
      <c r="AG174" s="185" t="str">
        <f t="shared" si="34"/>
        <v/>
      </c>
      <c r="AH174" s="185" t="str">
        <f t="shared" si="25"/>
        <v/>
      </c>
      <c r="AI174" s="186" t="str">
        <f t="shared" si="26"/>
        <v/>
      </c>
      <c r="AJ174" s="186" t="str">
        <f t="shared" si="27"/>
        <v/>
      </c>
      <c r="AK174" s="186" t="str">
        <f t="shared" si="28"/>
        <v/>
      </c>
      <c r="AL174" s="186" t="str">
        <f t="shared" si="29"/>
        <v/>
      </c>
      <c r="AM174" s="186" t="str">
        <f t="shared" si="30"/>
        <v/>
      </c>
      <c r="AN174" s="186" t="str">
        <f t="shared" si="31"/>
        <v/>
      </c>
      <c r="AO174" s="165">
        <f t="shared" si="32"/>
        <v>168</v>
      </c>
      <c r="AP174" s="165">
        <f>IF(AND(LEFT(PQS_tbl[[#This Row],[D]],3)=$AP$6,PQS_tbl[[#This Row],[I]]&gt;0),$AO174,"")</f>
        <v>168</v>
      </c>
      <c r="AQ174" s="165" t="str">
        <f>IFERROR(SMALL($AP$7:AP$182,ROWS($AP$7:AP174)),"")</f>
        <v/>
      </c>
      <c r="AR174" s="165" t="str">
        <f>IFERROR(INDEX(PQS_tbl[C],AQ174),"")</f>
        <v/>
      </c>
      <c r="AS174" s="165" t="str">
        <f>IF(AND(LEFT(PQS_tbl[[#This Row],[D]],3)=$AS$6,PQS_tbl[[#This Row],[I]]=0,PQS_tbl[[#This Row],[J]]&gt;0),$AO174,"")</f>
        <v/>
      </c>
      <c r="AT174" s="165" t="str">
        <f>IFERROR(SMALL($AS$7:AS$178,ROWS($AS$7:AS174)),"")</f>
        <v/>
      </c>
      <c r="AV174" s="165">
        <f>IF(LEFT(PQS_tbl[[#This Row],[E]],1)="S",$AP174,"")</f>
        <v>168</v>
      </c>
      <c r="AW174" s="165" t="str">
        <f>IFERROR(SMALL($AV$7:AV$178,ROWS($AV$7:AV174)),"")</f>
        <v/>
      </c>
      <c r="AX174" s="165"/>
      <c r="AY174" s="165" t="str">
        <f>IF(LEFT(PQS_tbl[[#This Row],[E]],1)="S",$AS174,"")</f>
        <v/>
      </c>
      <c r="AZ174" s="165" t="str">
        <f>IFERROR(SMALL($AY$7:AY$178,ROWS($AY$7:AY174)),"")</f>
        <v/>
      </c>
      <c r="BA174" s="165"/>
      <c r="BB174" s="165" t="str">
        <f>IF(AND(LEFT(PQS_tbl[[#This Row],[D]],3)=$BB$6,PQS_tbl[[#This Row],[K]]&gt;0),$AO174,"")</f>
        <v/>
      </c>
    </row>
    <row r="175" spans="1:54" x14ac:dyDescent="0.25">
      <c r="A175" s="189" t="s">
        <v>612</v>
      </c>
      <c r="B175" s="199" t="s">
        <v>748</v>
      </c>
      <c r="C175" s="191" t="s">
        <v>749</v>
      </c>
      <c r="D175" s="191" t="s">
        <v>750</v>
      </c>
      <c r="E175" s="192" t="s">
        <v>363</v>
      </c>
      <c r="F175" s="192" t="s">
        <v>751</v>
      </c>
      <c r="G175" s="192" t="s">
        <v>349</v>
      </c>
      <c r="H175" s="192" t="s">
        <v>466</v>
      </c>
      <c r="I175" s="193">
        <v>241</v>
      </c>
      <c r="J175" s="193"/>
      <c r="K175" s="193"/>
      <c r="L175" s="193"/>
      <c r="M175" s="193"/>
      <c r="N175" s="194">
        <v>20.48</v>
      </c>
      <c r="O175" s="194"/>
      <c r="P175" s="194"/>
      <c r="Q175" s="193">
        <v>2.39</v>
      </c>
      <c r="R175" s="193"/>
      <c r="S175" s="193"/>
      <c r="T175" s="193">
        <v>2250</v>
      </c>
      <c r="U175" s="195">
        <v>2700</v>
      </c>
      <c r="V175" s="196">
        <v>2021</v>
      </c>
      <c r="W175" s="193">
        <v>328</v>
      </c>
      <c r="X175" s="193"/>
      <c r="Y175" s="193"/>
      <c r="Z175" s="193">
        <v>199.9</v>
      </c>
      <c r="AA175" s="193">
        <v>67</v>
      </c>
      <c r="AB175" s="193">
        <v>73</v>
      </c>
      <c r="AC175" s="193">
        <v>1.0900000000000001</v>
      </c>
      <c r="AD175" s="197">
        <v>174</v>
      </c>
      <c r="AE175" s="63" t="s">
        <v>312</v>
      </c>
      <c r="AF175" s="185">
        <f t="shared" si="34"/>
        <v>11.203319502074688</v>
      </c>
      <c r="AG175" s="185" t="str">
        <f t="shared" si="34"/>
        <v/>
      </c>
      <c r="AH175" s="185" t="str">
        <f t="shared" si="25"/>
        <v/>
      </c>
      <c r="AI175" s="186">
        <f t="shared" si="26"/>
        <v>9.9170124481327802E-3</v>
      </c>
      <c r="AJ175" s="186" t="str">
        <f t="shared" si="27"/>
        <v/>
      </c>
      <c r="AK175" s="186" t="str">
        <f t="shared" si="28"/>
        <v/>
      </c>
      <c r="AL175" s="186" t="str">
        <f t="shared" si="29"/>
        <v/>
      </c>
      <c r="AM175" s="186" t="str">
        <f t="shared" si="30"/>
        <v/>
      </c>
      <c r="AN175" s="186" t="str">
        <f t="shared" si="31"/>
        <v/>
      </c>
      <c r="AO175" s="165">
        <f t="shared" si="32"/>
        <v>169</v>
      </c>
      <c r="AP175" s="165">
        <f>IF(AND(LEFT(PQS_tbl[[#This Row],[D]],3)=$AP$6,PQS_tbl[[#This Row],[I]]&gt;0),$AO175,"")</f>
        <v>169</v>
      </c>
      <c r="AQ175" s="165" t="str">
        <f>IFERROR(SMALL($AP$7:AP$182,ROWS($AP$7:AP175)),"")</f>
        <v/>
      </c>
      <c r="AR175" s="165" t="str">
        <f>IFERROR(INDEX(PQS_tbl[C],AQ175),"")</f>
        <v/>
      </c>
      <c r="AS175" s="165" t="str">
        <f>IF(AND(LEFT(PQS_tbl[[#This Row],[D]],3)=$AS$6,PQS_tbl[[#This Row],[I]]=0,PQS_tbl[[#This Row],[J]]&gt;0),$AO175,"")</f>
        <v/>
      </c>
      <c r="AT175" s="165" t="str">
        <f>IFERROR(SMALL($AS$7:AS$178,ROWS($AS$7:AS175)),"")</f>
        <v/>
      </c>
      <c r="AV175" s="165" t="str">
        <f>IF(LEFT(PQS_tbl[[#This Row],[E]],1)="S",$AP175,"")</f>
        <v/>
      </c>
      <c r="AW175" s="165" t="str">
        <f>IFERROR(SMALL($AV$7:AV$178,ROWS($AV$7:AV175)),"")</f>
        <v/>
      </c>
      <c r="AX175" s="165"/>
      <c r="AY175" s="165" t="str">
        <f>IF(LEFT(PQS_tbl[[#This Row],[E]],1)="S",$AS175,"")</f>
        <v/>
      </c>
      <c r="AZ175" s="165" t="str">
        <f>IFERROR(SMALL($AY$7:AY$178,ROWS($AY$7:AY175)),"")</f>
        <v/>
      </c>
      <c r="BA175" s="165"/>
      <c r="BB175" s="165" t="str">
        <f>IF(AND(LEFT(PQS_tbl[[#This Row],[D]],3)=$BB$6,PQS_tbl[[#This Row],[K]]&gt;0),$AO175,"")</f>
        <v/>
      </c>
    </row>
    <row r="176" spans="1:54" x14ac:dyDescent="0.25">
      <c r="A176" s="189" t="s">
        <v>606</v>
      </c>
      <c r="B176" s="199" t="s">
        <v>463</v>
      </c>
      <c r="C176" s="191" t="s">
        <v>752</v>
      </c>
      <c r="D176" s="191" t="s">
        <v>753</v>
      </c>
      <c r="E176" s="192" t="s">
        <v>347</v>
      </c>
      <c r="F176" s="192" t="s">
        <v>489</v>
      </c>
      <c r="G176" s="192" t="s">
        <v>349</v>
      </c>
      <c r="H176" s="192" t="s">
        <v>466</v>
      </c>
      <c r="I176" s="193">
        <v>120</v>
      </c>
      <c r="J176" s="193">
        <v>13.2</v>
      </c>
      <c r="K176" s="193"/>
      <c r="L176" s="63">
        <f>1.6</f>
        <v>1.6</v>
      </c>
      <c r="M176" s="193">
        <f>22*0.6</f>
        <v>13.2</v>
      </c>
      <c r="N176" s="194">
        <v>72</v>
      </c>
      <c r="O176" s="194"/>
      <c r="P176" s="194"/>
      <c r="Q176" s="193">
        <v>1.6</v>
      </c>
      <c r="R176" s="193"/>
      <c r="S176" s="193"/>
      <c r="T176" s="193"/>
      <c r="U176" s="195"/>
      <c r="V176" s="196">
        <v>2021</v>
      </c>
      <c r="W176" s="193">
        <v>120</v>
      </c>
      <c r="X176" s="193">
        <v>13.2</v>
      </c>
      <c r="Y176" s="193"/>
      <c r="Z176" s="193">
        <v>91.5</v>
      </c>
      <c r="AA176" s="193">
        <v>16.25</v>
      </c>
      <c r="AB176" s="193">
        <v>78</v>
      </c>
      <c r="AC176" s="193">
        <v>1.39</v>
      </c>
      <c r="AD176" s="197">
        <v>192</v>
      </c>
      <c r="AE176" s="63" t="s">
        <v>312</v>
      </c>
      <c r="AF176" s="185">
        <f t="shared" si="34"/>
        <v>0</v>
      </c>
      <c r="AG176" s="185">
        <f t="shared" si="34"/>
        <v>0</v>
      </c>
      <c r="AH176" s="185">
        <f t="shared" si="25"/>
        <v>0</v>
      </c>
      <c r="AI176" s="186">
        <f t="shared" si="26"/>
        <v>1.3333333333333334E-2</v>
      </c>
      <c r="AJ176" s="186" t="str">
        <f t="shared" si="27"/>
        <v/>
      </c>
      <c r="AK176" s="186">
        <f t="shared" si="28"/>
        <v>0.12121212121212123</v>
      </c>
      <c r="AL176" s="186" t="str">
        <f t="shared" si="29"/>
        <v/>
      </c>
      <c r="AM176" s="186">
        <f t="shared" si="30"/>
        <v>1</v>
      </c>
      <c r="AN176" s="186" t="str">
        <f t="shared" si="31"/>
        <v/>
      </c>
      <c r="AO176" s="165">
        <f t="shared" si="32"/>
        <v>170</v>
      </c>
      <c r="AP176" s="165">
        <f>IF(AND(LEFT(PQS_tbl[[#This Row],[D]],3)=$AP$6,PQS_tbl[[#This Row],[I]]&gt;0),$AO176,"")</f>
        <v>170</v>
      </c>
      <c r="AQ176" s="165" t="str">
        <f>IFERROR(SMALL($AP$7:AP$182,ROWS($AP$7:AP176)),"")</f>
        <v/>
      </c>
      <c r="AR176" s="165" t="str">
        <f>IFERROR(INDEX(PQS_tbl[C],AQ176),"")</f>
        <v/>
      </c>
      <c r="AS176" s="165" t="str">
        <f>IF(AND(LEFT(PQS_tbl[[#This Row],[D]],3)=$AS$6,PQS_tbl[[#This Row],[I]]=0,PQS_tbl[[#This Row],[J]]&gt;0),$AO176,"")</f>
        <v/>
      </c>
      <c r="AT176" s="165" t="str">
        <f>IFERROR(SMALL($AS$7:AS$178,ROWS($AS$7:AS176)),"")</f>
        <v/>
      </c>
      <c r="AV176" s="165" t="str">
        <f>IF(LEFT(PQS_tbl[[#This Row],[E]],1)="S",$AP176,"")</f>
        <v/>
      </c>
      <c r="AW176" s="165" t="str">
        <f>IFERROR(SMALL($AV$7:AV$178,ROWS($AV$7:AV176)),"")</f>
        <v/>
      </c>
      <c r="AX176" s="165"/>
      <c r="AY176" s="165" t="str">
        <f>IF(LEFT(PQS_tbl[[#This Row],[E]],1)="S",$AS176,"")</f>
        <v/>
      </c>
      <c r="AZ176" s="165" t="str">
        <f>IFERROR(SMALL($AY$7:AY$178,ROWS($AY$7:AY176)),"")</f>
        <v/>
      </c>
      <c r="BA176" s="165"/>
      <c r="BB176" s="165" t="str">
        <f>IF(AND(LEFT(PQS_tbl[[#This Row],[D]],3)=$BB$6,PQS_tbl[[#This Row],[K]]&gt;0),$AO176,"")</f>
        <v/>
      </c>
    </row>
    <row r="177" spans="1:54" x14ac:dyDescent="0.25">
      <c r="A177" s="189" t="s">
        <v>754</v>
      </c>
      <c r="B177" s="199" t="s">
        <v>463</v>
      </c>
      <c r="C177" s="191" t="s">
        <v>755</v>
      </c>
      <c r="D177" s="191" t="s">
        <v>756</v>
      </c>
      <c r="E177" s="192" t="s">
        <v>347</v>
      </c>
      <c r="F177" s="192" t="s">
        <v>489</v>
      </c>
      <c r="G177" s="192" t="s">
        <v>349</v>
      </c>
      <c r="H177" s="192" t="s">
        <v>466</v>
      </c>
      <c r="I177" s="193">
        <v>120</v>
      </c>
      <c r="J177" s="193">
        <v>25</v>
      </c>
      <c r="K177" s="193"/>
      <c r="L177" s="193">
        <v>1.6</v>
      </c>
      <c r="M177" s="193">
        <f>22*0.6</f>
        <v>13.2</v>
      </c>
      <c r="N177" s="194">
        <v>72</v>
      </c>
      <c r="O177" s="194"/>
      <c r="P177" s="194"/>
      <c r="Q177" s="193"/>
      <c r="R177" s="193"/>
      <c r="S177" s="193"/>
      <c r="T177" s="193"/>
      <c r="U177" s="195"/>
      <c r="V177" s="196">
        <v>2021</v>
      </c>
      <c r="W177" s="193">
        <v>120</v>
      </c>
      <c r="X177" s="193">
        <v>13.2</v>
      </c>
      <c r="Y177" s="193"/>
      <c r="Z177" s="193">
        <v>91.5</v>
      </c>
      <c r="AA177" s="193">
        <v>16.25</v>
      </c>
      <c r="AB177" s="193">
        <v>78</v>
      </c>
      <c r="AC177" s="193">
        <v>1.39</v>
      </c>
      <c r="AD177" s="197">
        <v>192</v>
      </c>
      <c r="AE177" s="63" t="s">
        <v>312</v>
      </c>
      <c r="AF177" s="185">
        <f t="shared" si="34"/>
        <v>0</v>
      </c>
      <c r="AG177" s="185">
        <f t="shared" si="34"/>
        <v>0</v>
      </c>
      <c r="AH177" s="185">
        <f t="shared" si="25"/>
        <v>0</v>
      </c>
      <c r="AI177" s="186" t="str">
        <f t="shared" si="26"/>
        <v/>
      </c>
      <c r="AJ177" s="186" t="str">
        <f t="shared" si="27"/>
        <v/>
      </c>
      <c r="AK177" s="186" t="str">
        <f t="shared" si="28"/>
        <v/>
      </c>
      <c r="AL177" s="186" t="str">
        <f t="shared" si="29"/>
        <v/>
      </c>
      <c r="AM177" s="186" t="str">
        <f t="shared" si="30"/>
        <v/>
      </c>
      <c r="AN177" s="186" t="str">
        <f t="shared" si="31"/>
        <v/>
      </c>
      <c r="AO177" s="165">
        <f t="shared" si="32"/>
        <v>171</v>
      </c>
      <c r="AP177" s="165">
        <f>IF(AND(LEFT(PQS_tbl[[#This Row],[D]],3)=$AP$6,PQS_tbl[[#This Row],[I]]&gt;0),$AO177,"")</f>
        <v>171</v>
      </c>
      <c r="AQ177" s="165" t="str">
        <f>IFERROR(SMALL($AP$7:AP$182,ROWS($AP$7:AP177)),"")</f>
        <v/>
      </c>
      <c r="AR177" s="165" t="str">
        <f>IFERROR(INDEX(PQS_tbl[C],AQ177),"")</f>
        <v/>
      </c>
      <c r="AS177" s="165" t="str">
        <f>IF(AND(LEFT(PQS_tbl[[#This Row],[D]],3)=$AS$6,PQS_tbl[[#This Row],[I]]=0,PQS_tbl[[#This Row],[J]]&gt;0),$AO177,"")</f>
        <v/>
      </c>
      <c r="AT177" s="165" t="str">
        <f>IFERROR(SMALL($AS$7:AS$178,ROWS($AS$7:AS177)),"")</f>
        <v/>
      </c>
      <c r="AV177" s="165" t="str">
        <f>IF(LEFT(PQS_tbl[[#This Row],[E]],1)="S",$AP177,"")</f>
        <v/>
      </c>
      <c r="AW177" s="165" t="str">
        <f>IFERROR(SMALL($AV$7:AV$178,ROWS($AV$7:AV177)),"")</f>
        <v/>
      </c>
      <c r="AX177" s="165"/>
      <c r="AY177" s="165" t="str">
        <f>IF(LEFT(PQS_tbl[[#This Row],[E]],1)="S",$AS177,"")</f>
        <v/>
      </c>
      <c r="AZ177" s="165" t="str">
        <f>IFERROR(SMALL($AY$7:AY$178,ROWS($AY$7:AY177)),"")</f>
        <v/>
      </c>
      <c r="BA177" s="165"/>
      <c r="BB177" s="165" t="str">
        <f>IF(AND(LEFT(PQS_tbl[[#This Row],[D]],3)=$BB$6,PQS_tbl[[#This Row],[K]]&gt;0),$AO177,"")</f>
        <v/>
      </c>
    </row>
    <row r="178" spans="1:54" x14ac:dyDescent="0.25">
      <c r="A178" s="189" t="s">
        <v>757</v>
      </c>
      <c r="B178" s="199" t="s">
        <v>463</v>
      </c>
      <c r="C178" s="191" t="s">
        <v>758</v>
      </c>
      <c r="D178" s="191" t="s">
        <v>759</v>
      </c>
      <c r="E178" s="192" t="s">
        <v>760</v>
      </c>
      <c r="F178" s="192" t="s">
        <v>761</v>
      </c>
      <c r="G178" s="192" t="s">
        <v>349</v>
      </c>
      <c r="H178" s="192" t="s">
        <v>762</v>
      </c>
      <c r="I178" s="193"/>
      <c r="J178" s="193"/>
      <c r="K178" s="193">
        <v>214</v>
      </c>
      <c r="L178" s="193">
        <v>1.6</v>
      </c>
      <c r="M178" s="193">
        <f>22*0.6</f>
        <v>13.2</v>
      </c>
      <c r="N178" s="194">
        <v>72</v>
      </c>
      <c r="O178" s="194"/>
      <c r="P178" s="194"/>
      <c r="Q178" s="193"/>
      <c r="R178" s="193"/>
      <c r="S178" s="193"/>
      <c r="T178" s="193"/>
      <c r="U178" s="195"/>
      <c r="V178" s="196">
        <v>2022</v>
      </c>
      <c r="W178" s="193"/>
      <c r="X178" s="193"/>
      <c r="Y178" s="193">
        <v>214</v>
      </c>
      <c r="Z178" s="193">
        <v>129.30000000000001</v>
      </c>
      <c r="AA178" s="193">
        <v>69.900000000000006</v>
      </c>
      <c r="AB178" s="193">
        <v>103.9</v>
      </c>
      <c r="AC178" s="193">
        <v>1.2</v>
      </c>
      <c r="AD178" s="197">
        <v>252</v>
      </c>
      <c r="AE178" s="63" t="s">
        <v>312</v>
      </c>
      <c r="AF178" s="185" t="str">
        <f t="shared" ref="AF178:AG186" si="35">IF(I178="","",$U178/I178)</f>
        <v/>
      </c>
      <c r="AG178" s="185" t="str">
        <f t="shared" si="35"/>
        <v/>
      </c>
      <c r="AH178" s="185">
        <f t="shared" si="25"/>
        <v>0</v>
      </c>
      <c r="AI178" s="186" t="str">
        <f t="shared" si="26"/>
        <v/>
      </c>
      <c r="AJ178" s="186" t="str">
        <f t="shared" si="27"/>
        <v/>
      </c>
      <c r="AK178" s="186" t="str">
        <f t="shared" si="28"/>
        <v/>
      </c>
      <c r="AL178" s="186" t="str">
        <f t="shared" si="29"/>
        <v/>
      </c>
      <c r="AM178" s="186" t="str">
        <f t="shared" si="30"/>
        <v/>
      </c>
      <c r="AN178" s="186" t="str">
        <f t="shared" si="31"/>
        <v/>
      </c>
      <c r="AO178" s="165">
        <f t="shared" si="32"/>
        <v>172</v>
      </c>
      <c r="AP178" s="165" t="str">
        <f>IF(AND(LEFT(PQS_tbl[[#This Row],[D]],3)=$AP$6,PQS_tbl[[#This Row],[I]]&gt;0),$AO178,"")</f>
        <v/>
      </c>
      <c r="AQ178" s="165" t="str">
        <f>IFERROR(SMALL($AP$7:AP$182,ROWS($AP$7:AP178)),"")</f>
        <v/>
      </c>
      <c r="AR178" s="165" t="str">
        <f>IFERROR(INDEX(PQS_tbl[C],AQ178),"")</f>
        <v/>
      </c>
      <c r="AS178" s="165" t="str">
        <f>IF(AND(LEFT(PQS_tbl[[#This Row],[D]],3)=$AS$6,PQS_tbl[[#This Row],[I]]=0,PQS_tbl[[#This Row],[J]]&gt;0),$AO178,"")</f>
        <v/>
      </c>
      <c r="AT178" s="165" t="str">
        <f>IFERROR(SMALL($AS$7:AS$178,ROWS($AS$7:AS178)),"")</f>
        <v/>
      </c>
      <c r="AV178" s="165" t="str">
        <f>IF(LEFT(PQS_tbl[[#This Row],[E]],1)="S",$AP178,"")</f>
        <v/>
      </c>
      <c r="AW178" s="165" t="str">
        <f>IFERROR(SMALL($AV$7:AV$178,ROWS($AV$7:AV178)),"")</f>
        <v/>
      </c>
      <c r="AX178" s="165"/>
      <c r="AY178" s="165" t="str">
        <f>IF(LEFT(PQS_tbl[[#This Row],[E]],1)="S",$AS178,"")</f>
        <v/>
      </c>
      <c r="AZ178" s="165" t="str">
        <f>IFERROR(SMALL($AY$7:AY$178,ROWS($AY$7:AY178)),"")</f>
        <v/>
      </c>
      <c r="BA178" s="165"/>
      <c r="BB178" s="165">
        <f>IF(AND(LEFT(PQS_tbl[[#This Row],[D]],3)=$BB$6,PQS_tbl[[#This Row],[K]]&gt;0),$AO178,"")</f>
        <v>172</v>
      </c>
    </row>
    <row r="179" spans="1:54" x14ac:dyDescent="0.25">
      <c r="A179" s="189" t="s">
        <v>763</v>
      </c>
      <c r="B179" s="62" t="s">
        <v>467</v>
      </c>
      <c r="C179" s="191" t="s">
        <v>764</v>
      </c>
      <c r="D179" s="191" t="s">
        <v>765</v>
      </c>
      <c r="E179" s="192" t="s">
        <v>390</v>
      </c>
      <c r="F179" s="192" t="s">
        <v>489</v>
      </c>
      <c r="G179" s="192" t="s">
        <v>349</v>
      </c>
      <c r="H179" s="192" t="s">
        <v>762</v>
      </c>
      <c r="I179" s="193"/>
      <c r="J179" s="193">
        <v>61</v>
      </c>
      <c r="K179" s="193"/>
      <c r="L179" s="193"/>
      <c r="M179" s="193"/>
      <c r="N179" s="194"/>
      <c r="O179" s="194"/>
      <c r="P179" s="194"/>
      <c r="Q179" s="193">
        <v>0.98</v>
      </c>
      <c r="R179" s="193"/>
      <c r="S179" s="193"/>
      <c r="T179" s="193">
        <v>1065</v>
      </c>
      <c r="U179" s="195">
        <v>1065</v>
      </c>
      <c r="V179" s="196">
        <v>2022</v>
      </c>
      <c r="W179" s="193"/>
      <c r="X179" s="193">
        <v>86</v>
      </c>
      <c r="Y179" s="193"/>
      <c r="Z179" s="193">
        <v>788</v>
      </c>
      <c r="AA179" s="193">
        <v>717</v>
      </c>
      <c r="AB179" s="193">
        <v>872</v>
      </c>
      <c r="AC179" s="193">
        <v>0.71</v>
      </c>
      <c r="AD179" s="197">
        <v>90</v>
      </c>
      <c r="AE179" s="63" t="s">
        <v>312</v>
      </c>
      <c r="AF179" s="185" t="str">
        <f t="shared" si="35"/>
        <v/>
      </c>
      <c r="AG179" s="185">
        <f t="shared" si="35"/>
        <v>17.459016393442624</v>
      </c>
      <c r="AH179" s="185" t="str">
        <f t="shared" si="25"/>
        <v/>
      </c>
      <c r="AI179" s="186" t="str">
        <f t="shared" si="26"/>
        <v/>
      </c>
      <c r="AJ179" s="186" t="str">
        <f t="shared" si="27"/>
        <v/>
      </c>
      <c r="AK179" s="186">
        <f t="shared" si="28"/>
        <v>1.6065573770491802E-2</v>
      </c>
      <c r="AL179" s="186" t="str">
        <f t="shared" si="29"/>
        <v/>
      </c>
      <c r="AM179" s="186" t="str">
        <f t="shared" si="30"/>
        <v/>
      </c>
      <c r="AN179" s="186" t="str">
        <f t="shared" si="31"/>
        <v/>
      </c>
      <c r="AO179" s="165">
        <f t="shared" si="32"/>
        <v>173</v>
      </c>
      <c r="AP179" s="165" t="str">
        <f>IF(AND(LEFT(PQS_tbl[[#This Row],[D]],3)=$AP$6,PQS_tbl[[#This Row],[I]]&gt;0),$AO179,"")</f>
        <v/>
      </c>
      <c r="AQ179" s="165" t="str">
        <f>IFERROR(SMALL($AP$7:AP$182,ROWS($AP$7:AP179)),"")</f>
        <v/>
      </c>
      <c r="AR179" s="165" t="str">
        <f>IFERROR(INDEX(PQS_tbl[C],AQ179),"")</f>
        <v/>
      </c>
      <c r="AS179" s="165">
        <f>IF(AND(LEFT(PQS_tbl[[#This Row],[D]],3)=$AS$6,PQS_tbl[[#This Row],[I]]=0,PQS_tbl[[#This Row],[J]]&gt;0),$AO179,"")</f>
        <v>173</v>
      </c>
      <c r="AT179" s="165" t="str">
        <f>IFERROR(SMALL($AS$7:AS$178,ROWS($AS$7:AS179)),"")</f>
        <v/>
      </c>
      <c r="AV179" s="165" t="str">
        <f>IF(LEFT(PQS_tbl[[#This Row],[E]],1)="S",$AP179,"")</f>
        <v/>
      </c>
      <c r="AW179" s="165" t="str">
        <f>IFERROR(SMALL($AV$7:AV$178,ROWS($AV$7:AV179)),"")</f>
        <v/>
      </c>
      <c r="AX179" s="165"/>
      <c r="AY179" s="165" t="str">
        <f>IF(LEFT(PQS_tbl[[#This Row],[E]],1)="S",$AS179,"")</f>
        <v/>
      </c>
      <c r="AZ179" s="165" t="str">
        <f>IFERROR(SMALL($AY$7:AY$178,ROWS($AY$7:AY179)),"")</f>
        <v/>
      </c>
      <c r="BA179" s="165"/>
      <c r="BB179" s="165" t="str">
        <f>IF(AND(LEFT(PQS_tbl[[#This Row],[D]],3)=$BB$6,PQS_tbl[[#This Row],[K]]&gt;0),$AO179,"")</f>
        <v/>
      </c>
    </row>
    <row r="180" spans="1:54" x14ac:dyDescent="0.25">
      <c r="A180" s="189" t="s">
        <v>606</v>
      </c>
      <c r="B180" s="199" t="s">
        <v>766</v>
      </c>
      <c r="C180" s="191" t="s">
        <v>767</v>
      </c>
      <c r="D180" s="191" t="s">
        <v>768</v>
      </c>
      <c r="E180" s="192" t="s">
        <v>390</v>
      </c>
      <c r="F180" s="192" t="s">
        <v>751</v>
      </c>
      <c r="G180" s="192" t="s">
        <v>349</v>
      </c>
      <c r="H180" s="192" t="s">
        <v>762</v>
      </c>
      <c r="I180" s="193"/>
      <c r="J180" s="193">
        <v>68</v>
      </c>
      <c r="K180" s="193"/>
      <c r="L180" s="193">
        <v>16.2</v>
      </c>
      <c r="M180" s="193">
        <v>72.5</v>
      </c>
      <c r="N180" s="194"/>
      <c r="O180" s="194"/>
      <c r="P180" s="194"/>
      <c r="Q180" s="193">
        <v>2.06</v>
      </c>
      <c r="R180" s="193"/>
      <c r="S180" s="193"/>
      <c r="T180" s="193">
        <v>635</v>
      </c>
      <c r="U180" s="195">
        <v>635</v>
      </c>
      <c r="V180" s="196">
        <v>2022</v>
      </c>
      <c r="W180" s="193"/>
      <c r="X180" s="193">
        <v>142</v>
      </c>
      <c r="Y180" s="193"/>
      <c r="Z180" s="200">
        <v>955</v>
      </c>
      <c r="AA180" s="193">
        <v>710</v>
      </c>
      <c r="AB180" s="193">
        <v>720</v>
      </c>
      <c r="AC180" s="193">
        <v>0.6</v>
      </c>
      <c r="AD180" s="197">
        <v>60</v>
      </c>
      <c r="AE180" s="63" t="s">
        <v>312</v>
      </c>
      <c r="AF180" s="185" t="str">
        <f t="shared" si="35"/>
        <v/>
      </c>
      <c r="AG180" s="185">
        <f t="shared" si="35"/>
        <v>9.3382352941176467</v>
      </c>
      <c r="AH180" s="185">
        <f t="shared" si="25"/>
        <v>39.197530864197532</v>
      </c>
      <c r="AI180" s="186" t="str">
        <f t="shared" si="26"/>
        <v/>
      </c>
      <c r="AJ180" s="186" t="str">
        <f t="shared" si="27"/>
        <v/>
      </c>
      <c r="AK180" s="186">
        <f t="shared" si="28"/>
        <v>3.0294117647058826E-2</v>
      </c>
      <c r="AL180" s="186" t="str">
        <f t="shared" si="29"/>
        <v/>
      </c>
      <c r="AM180" s="186">
        <f t="shared" si="30"/>
        <v>0.12716049382716049</v>
      </c>
      <c r="AN180" s="186" t="str">
        <f t="shared" si="31"/>
        <v/>
      </c>
      <c r="AO180" s="165">
        <f t="shared" si="32"/>
        <v>174</v>
      </c>
      <c r="AP180" s="165" t="str">
        <f>IF(AND(LEFT(PQS_tbl[[#This Row],[D]],3)=$AP$6,PQS_tbl[[#This Row],[I]]&gt;0),$AO180,"")</f>
        <v/>
      </c>
      <c r="AQ180" s="165" t="str">
        <f>IFERROR(SMALL($AP$7:AP$182,ROWS($AP$7:AP180)),"")</f>
        <v/>
      </c>
      <c r="AR180" s="165" t="str">
        <f>IFERROR(INDEX(PQS_tbl[C],AQ180),"")</f>
        <v/>
      </c>
      <c r="AS180" s="165">
        <f>IF(AND(LEFT(PQS_tbl[[#This Row],[D]],3)=$AS$6,PQS_tbl[[#This Row],[I]]=0,PQS_tbl[[#This Row],[J]]&gt;0),$AO180,"")</f>
        <v>174</v>
      </c>
      <c r="AT180" s="165" t="str">
        <f>IFERROR(SMALL($AS$7:AS$178,ROWS($AS$7:AS180)),"")</f>
        <v/>
      </c>
      <c r="AV180" s="165" t="str">
        <f>IF(LEFT(PQS_tbl[[#This Row],[E]],1)="S",$AP180,"")</f>
        <v/>
      </c>
      <c r="AW180" s="165" t="str">
        <f>IFERROR(SMALL($AV$7:AV$178,ROWS($AV$7:AV180)),"")</f>
        <v/>
      </c>
      <c r="AX180" s="165"/>
      <c r="AY180" s="165" t="str">
        <f>IF(LEFT(PQS_tbl[[#This Row],[E]],1)="S",$AS180,"")</f>
        <v/>
      </c>
      <c r="AZ180" s="165" t="str">
        <f>IFERROR(SMALL($AY$7:AY$178,ROWS($AY$7:AY180)),"")</f>
        <v/>
      </c>
      <c r="BA180" s="165"/>
      <c r="BB180" s="165" t="str">
        <f>IF(AND(LEFT(PQS_tbl[[#This Row],[D]],3)=$BB$6,PQS_tbl[[#This Row],[K]]&gt;0),$AO180,"")</f>
        <v/>
      </c>
    </row>
    <row r="181" spans="1:54" x14ac:dyDescent="0.25">
      <c r="A181" s="189" t="s">
        <v>606</v>
      </c>
      <c r="B181" s="199" t="s">
        <v>766</v>
      </c>
      <c r="C181" s="191" t="s">
        <v>769</v>
      </c>
      <c r="D181" s="191" t="s">
        <v>770</v>
      </c>
      <c r="E181" s="192" t="s">
        <v>390</v>
      </c>
      <c r="F181" s="192" t="s">
        <v>751</v>
      </c>
      <c r="G181" s="192" t="s">
        <v>349</v>
      </c>
      <c r="H181" s="192" t="s">
        <v>762</v>
      </c>
      <c r="I181" s="193"/>
      <c r="J181" s="193">
        <v>166</v>
      </c>
      <c r="K181" s="193"/>
      <c r="L181" s="193">
        <v>28.2</v>
      </c>
      <c r="M181" s="193">
        <v>203</v>
      </c>
      <c r="N181" s="194"/>
      <c r="O181" s="194"/>
      <c r="P181" s="194"/>
      <c r="Q181" s="193">
        <v>2.3199999999999998</v>
      </c>
      <c r="R181" s="193"/>
      <c r="S181" s="193"/>
      <c r="T181" s="193">
        <v>775</v>
      </c>
      <c r="U181" s="195">
        <v>775</v>
      </c>
      <c r="V181" s="196">
        <v>2022</v>
      </c>
      <c r="W181" s="193"/>
      <c r="X181" s="193">
        <v>317</v>
      </c>
      <c r="Y181" s="193"/>
      <c r="Z181" s="200">
        <v>965</v>
      </c>
      <c r="AA181" s="193">
        <v>1230</v>
      </c>
      <c r="AB181" s="193">
        <v>720</v>
      </c>
      <c r="AC181" s="193">
        <v>1.03</v>
      </c>
      <c r="AD181" s="197">
        <v>91</v>
      </c>
      <c r="AE181" s="63" t="s">
        <v>312</v>
      </c>
      <c r="AF181" s="185" t="str">
        <f t="shared" si="35"/>
        <v/>
      </c>
      <c r="AG181" s="185">
        <f t="shared" si="35"/>
        <v>4.668674698795181</v>
      </c>
      <c r="AH181" s="185">
        <f t="shared" si="25"/>
        <v>27.4822695035461</v>
      </c>
      <c r="AI181" s="186" t="str">
        <f t="shared" si="26"/>
        <v/>
      </c>
      <c r="AJ181" s="186" t="str">
        <f t="shared" si="27"/>
        <v/>
      </c>
      <c r="AK181" s="186">
        <f t="shared" si="28"/>
        <v>1.397590361445783E-2</v>
      </c>
      <c r="AL181" s="186" t="str">
        <f t="shared" si="29"/>
        <v/>
      </c>
      <c r="AM181" s="186">
        <f t="shared" si="30"/>
        <v>8.2269503546099285E-2</v>
      </c>
      <c r="AN181" s="186" t="str">
        <f t="shared" si="31"/>
        <v/>
      </c>
      <c r="AO181" s="165">
        <f t="shared" si="32"/>
        <v>175</v>
      </c>
      <c r="AP181" s="165" t="str">
        <f>IF(AND(LEFT(PQS_tbl[[#This Row],[D]],3)=$AP$6,PQS_tbl[[#This Row],[I]]&gt;0),$AO181,"")</f>
        <v/>
      </c>
      <c r="AQ181" s="165" t="str">
        <f>IFERROR(SMALL($AP$7:AP$182,ROWS($AP$7:AP181)),"")</f>
        <v/>
      </c>
      <c r="AR181" s="165" t="str">
        <f>IFERROR(INDEX(PQS_tbl[C],AQ181),"")</f>
        <v/>
      </c>
      <c r="AS181" s="165">
        <f>IF(AND(LEFT(PQS_tbl[[#This Row],[D]],3)=$AS$6,PQS_tbl[[#This Row],[I]]=0,PQS_tbl[[#This Row],[J]]&gt;0),$AO181,"")</f>
        <v>175</v>
      </c>
      <c r="AT181" s="165" t="str">
        <f>IFERROR(SMALL($AS$7:AS$178,ROWS($AS$7:AS181)),"")</f>
        <v/>
      </c>
      <c r="BB181" s="165" t="str">
        <f>IF(AND(LEFT(PQS_tbl[[#This Row],[D]],3)=$BB$6,PQS_tbl[[#This Row],[K]]&gt;0),$AO181,"")</f>
        <v/>
      </c>
    </row>
    <row r="182" spans="1:54" x14ac:dyDescent="0.25">
      <c r="A182" s="201" t="s">
        <v>771</v>
      </c>
      <c r="B182" s="201" t="s">
        <v>771</v>
      </c>
      <c r="C182" s="202" t="s">
        <v>772</v>
      </c>
      <c r="D182" s="202" t="s">
        <v>772</v>
      </c>
      <c r="E182" s="203" t="s">
        <v>363</v>
      </c>
      <c r="F182" s="203" t="s">
        <v>489</v>
      </c>
      <c r="G182" s="203" t="s">
        <v>349</v>
      </c>
      <c r="H182" s="203" t="s">
        <v>762</v>
      </c>
      <c r="I182" s="204">
        <v>36</v>
      </c>
      <c r="J182" s="204"/>
      <c r="K182" s="204"/>
      <c r="L182" s="204"/>
      <c r="M182" s="204"/>
      <c r="N182" s="205"/>
      <c r="O182" s="205"/>
      <c r="P182" s="205"/>
      <c r="Q182" s="204"/>
      <c r="R182" s="204"/>
      <c r="S182" s="204"/>
      <c r="T182" s="204"/>
      <c r="U182" s="206"/>
      <c r="V182" s="207"/>
      <c r="W182" s="204"/>
      <c r="X182" s="204"/>
      <c r="Y182" s="204"/>
      <c r="Z182" s="204"/>
      <c r="AA182" s="204"/>
      <c r="AB182" s="204"/>
      <c r="AC182" s="204"/>
      <c r="AD182" s="208"/>
      <c r="AE182" s="63"/>
      <c r="AF182" s="185">
        <f t="shared" si="35"/>
        <v>0</v>
      </c>
      <c r="AG182" s="185" t="str">
        <f t="shared" si="35"/>
        <v/>
      </c>
      <c r="AH182" s="185" t="str">
        <f t="shared" si="25"/>
        <v/>
      </c>
      <c r="AI182" s="186" t="str">
        <f t="shared" si="26"/>
        <v/>
      </c>
      <c r="AJ182" s="186" t="str">
        <f t="shared" si="27"/>
        <v/>
      </c>
      <c r="AK182" s="186" t="str">
        <f t="shared" si="28"/>
        <v/>
      </c>
      <c r="AL182" s="186" t="str">
        <f t="shared" si="29"/>
        <v/>
      </c>
      <c r="AM182" s="186" t="str">
        <f t="shared" si="30"/>
        <v/>
      </c>
      <c r="AN182" s="186" t="str">
        <f t="shared" si="31"/>
        <v/>
      </c>
      <c r="AO182" s="165">
        <f t="shared" si="32"/>
        <v>176</v>
      </c>
      <c r="AP182" s="165" t="str">
        <f>IF(AND(LEFT(PQS_tbl[[#This Row],[D]],3)=$AP$6,PQS_tbl[[#This Row],[I]]&gt;0),$AO182,"")</f>
        <v/>
      </c>
      <c r="AQ182" s="165" t="str">
        <f>IFERROR(SMALL($AP$7:AP$182,ROWS($AP$7:AP182)),"")</f>
        <v/>
      </c>
      <c r="AR182" s="165" t="str">
        <f>IFERROR(INDEX(PQS_tbl[C],AQ182),"")</f>
        <v/>
      </c>
      <c r="AS182" s="165" t="str">
        <f>IF(AND(LEFT(PQS_tbl[[#This Row],[D]],3)=$AS$6,PQS_tbl[[#This Row],[I]]=0,PQS_tbl[[#This Row],[J]]&gt;0),$AO182,"")</f>
        <v/>
      </c>
      <c r="AT182" s="165" t="str">
        <f>IFERROR(SMALL($AS$7:AS$178,ROWS($AS$7:AS182)),"")</f>
        <v/>
      </c>
      <c r="BB182" s="165" t="str">
        <f>IF(AND(LEFT(PQS_tbl[[#This Row],[D]],3)=$BB$6,PQS_tbl[[#This Row],[K]]&gt;0),$AO182,"")</f>
        <v/>
      </c>
    </row>
    <row r="183" spans="1:54" x14ac:dyDescent="0.25">
      <c r="A183" s="201" t="s">
        <v>771</v>
      </c>
      <c r="B183" s="201" t="s">
        <v>771</v>
      </c>
      <c r="C183" s="202" t="s">
        <v>773</v>
      </c>
      <c r="D183" s="202" t="s">
        <v>773</v>
      </c>
      <c r="E183" s="203" t="s">
        <v>363</v>
      </c>
      <c r="F183" s="203" t="s">
        <v>489</v>
      </c>
      <c r="G183" s="203" t="s">
        <v>349</v>
      </c>
      <c r="H183" s="203" t="s">
        <v>762</v>
      </c>
      <c r="I183" s="204">
        <v>70</v>
      </c>
      <c r="J183" s="204"/>
      <c r="K183" s="204"/>
      <c r="L183" s="204"/>
      <c r="M183" s="204"/>
      <c r="N183" s="205"/>
      <c r="O183" s="205"/>
      <c r="P183" s="205"/>
      <c r="Q183" s="204"/>
      <c r="R183" s="204"/>
      <c r="S183" s="204"/>
      <c r="T183" s="204"/>
      <c r="U183" s="206"/>
      <c r="V183" s="207"/>
      <c r="W183" s="204"/>
      <c r="X183" s="204"/>
      <c r="Y183" s="204"/>
      <c r="Z183" s="204"/>
      <c r="AA183" s="204"/>
      <c r="AB183" s="204"/>
      <c r="AC183" s="204"/>
      <c r="AD183" s="208"/>
      <c r="AE183" s="193"/>
      <c r="AF183" s="185">
        <f t="shared" si="35"/>
        <v>0</v>
      </c>
      <c r="AG183" s="185" t="str">
        <f t="shared" si="35"/>
        <v/>
      </c>
      <c r="AH183" s="185" t="str">
        <f t="shared" si="25"/>
        <v/>
      </c>
      <c r="AI183" s="186" t="str">
        <f t="shared" si="26"/>
        <v/>
      </c>
      <c r="AJ183" s="186" t="str">
        <f t="shared" si="27"/>
        <v/>
      </c>
      <c r="AK183" s="186" t="str">
        <f t="shared" si="28"/>
        <v/>
      </c>
      <c r="AL183" s="186" t="str">
        <f t="shared" si="29"/>
        <v/>
      </c>
      <c r="AM183" s="186" t="str">
        <f t="shared" si="30"/>
        <v/>
      </c>
      <c r="AN183" s="186" t="str">
        <f t="shared" si="31"/>
        <v/>
      </c>
      <c r="AO183" s="165">
        <f t="shared" si="32"/>
        <v>177</v>
      </c>
      <c r="AP183" s="165" t="str">
        <f>IF(AND(LEFT(PQS_tbl[[#This Row],[D]],3)=$AP$6,PQS_tbl[[#This Row],[I]]&gt;0),$AO183,"")</f>
        <v/>
      </c>
      <c r="AQ183" s="165" t="str">
        <f>IFERROR(SMALL($AP$7:AP$182,ROWS($AP$7:AP183)),"")</f>
        <v/>
      </c>
      <c r="AR183" s="165" t="str">
        <f>IFERROR(INDEX(PQS_tbl[C],AQ183),"")</f>
        <v/>
      </c>
      <c r="AS183" s="165" t="str">
        <f>IF(AND(LEFT(PQS_tbl[[#This Row],[D]],3)=$AS$6,PQS_tbl[[#This Row],[I]]=0,PQS_tbl[[#This Row],[J]]&gt;0),$AO183,"")</f>
        <v/>
      </c>
      <c r="AT183" s="165" t="str">
        <f>IFERROR(SMALL($AS$7:AS$178,ROWS($AS$7:AS183)),"")</f>
        <v/>
      </c>
      <c r="BB183" s="165" t="str">
        <f>IF(AND(LEFT(PQS_tbl[[#This Row],[D]],3)=$BB$6,PQS_tbl[[#This Row],[K]]&gt;0),$AO183,"")</f>
        <v/>
      </c>
    </row>
    <row r="184" spans="1:54" x14ac:dyDescent="0.25">
      <c r="A184" s="201" t="s">
        <v>771</v>
      </c>
      <c r="B184" s="201" t="s">
        <v>771</v>
      </c>
      <c r="C184" s="202" t="s">
        <v>774</v>
      </c>
      <c r="D184" s="202" t="s">
        <v>774</v>
      </c>
      <c r="E184" s="203" t="s">
        <v>363</v>
      </c>
      <c r="F184" s="203" t="s">
        <v>489</v>
      </c>
      <c r="G184" s="203" t="s">
        <v>349</v>
      </c>
      <c r="H184" s="203" t="s">
        <v>762</v>
      </c>
      <c r="I184" s="204">
        <v>100</v>
      </c>
      <c r="J184" s="204"/>
      <c r="K184" s="204"/>
      <c r="L184" s="204"/>
      <c r="M184" s="204"/>
      <c r="N184" s="205"/>
      <c r="O184" s="205"/>
      <c r="P184" s="205"/>
      <c r="Q184" s="204"/>
      <c r="R184" s="204"/>
      <c r="S184" s="204"/>
      <c r="T184" s="204"/>
      <c r="U184" s="206"/>
      <c r="V184" s="207"/>
      <c r="W184" s="204"/>
      <c r="X184" s="204"/>
      <c r="Y184" s="204"/>
      <c r="Z184" s="204"/>
      <c r="AA184" s="204"/>
      <c r="AB184" s="204"/>
      <c r="AC184" s="204"/>
      <c r="AD184" s="208"/>
      <c r="AE184" s="63"/>
      <c r="AF184" s="185">
        <f t="shared" si="35"/>
        <v>0</v>
      </c>
      <c r="AG184" s="185" t="str">
        <f t="shared" si="35"/>
        <v/>
      </c>
      <c r="AH184" s="185" t="str">
        <f t="shared" si="25"/>
        <v/>
      </c>
      <c r="AI184" s="186" t="str">
        <f t="shared" si="26"/>
        <v/>
      </c>
      <c r="AJ184" s="186" t="str">
        <f t="shared" si="27"/>
        <v/>
      </c>
      <c r="AK184" s="186" t="str">
        <f t="shared" si="28"/>
        <v/>
      </c>
      <c r="AL184" s="186" t="str">
        <f t="shared" si="29"/>
        <v/>
      </c>
      <c r="AM184" s="186" t="str">
        <f t="shared" si="30"/>
        <v/>
      </c>
      <c r="AN184" s="186" t="str">
        <f t="shared" si="31"/>
        <v/>
      </c>
      <c r="AO184" s="165">
        <f t="shared" si="32"/>
        <v>178</v>
      </c>
      <c r="AP184" s="165" t="str">
        <f>IF(AND(LEFT(PQS_tbl[[#This Row],[D]],3)=$AP$6,PQS_tbl[[#This Row],[I]]&gt;0),$AO184,"")</f>
        <v/>
      </c>
      <c r="AQ184" s="165" t="str">
        <f>IFERROR(SMALL($AP$7:AP$182,ROWS($AP$7:AP184)),"")</f>
        <v/>
      </c>
      <c r="AR184" s="165" t="str">
        <f>IFERROR(INDEX(PQS_tbl[C],AQ184),"")</f>
        <v/>
      </c>
      <c r="AS184" s="165" t="str">
        <f>IF(AND(LEFT(PQS_tbl[[#This Row],[D]],3)=$AS$6,PQS_tbl[[#This Row],[I]]=0,PQS_tbl[[#This Row],[J]]&gt;0),$AO184,"")</f>
        <v/>
      </c>
      <c r="AT184" s="165" t="str">
        <f>IFERROR(SMALL($AS$7:AS$178,ROWS($AS$7:AS184)),"")</f>
        <v/>
      </c>
    </row>
    <row r="185" spans="1:54" x14ac:dyDescent="0.25">
      <c r="A185" s="201" t="s">
        <v>771</v>
      </c>
      <c r="B185" s="201" t="s">
        <v>771</v>
      </c>
      <c r="C185" s="202" t="s">
        <v>775</v>
      </c>
      <c r="D185" s="202" t="s">
        <v>775</v>
      </c>
      <c r="E185" s="203" t="s">
        <v>363</v>
      </c>
      <c r="F185" s="203" t="s">
        <v>489</v>
      </c>
      <c r="G185" s="203" t="s">
        <v>349</v>
      </c>
      <c r="H185" s="203" t="s">
        <v>762</v>
      </c>
      <c r="I185" s="204">
        <v>150</v>
      </c>
      <c r="J185" s="204"/>
      <c r="K185" s="204"/>
      <c r="L185" s="204"/>
      <c r="M185" s="204"/>
      <c r="N185" s="205"/>
      <c r="O185" s="205"/>
      <c r="P185" s="205"/>
      <c r="Q185" s="204"/>
      <c r="R185" s="204"/>
      <c r="S185" s="204"/>
      <c r="T185" s="204"/>
      <c r="U185" s="206"/>
      <c r="V185" s="207"/>
      <c r="W185" s="204"/>
      <c r="X185" s="204"/>
      <c r="Y185" s="204"/>
      <c r="Z185" s="204"/>
      <c r="AA185" s="204"/>
      <c r="AB185" s="204"/>
      <c r="AC185" s="204"/>
      <c r="AD185" s="208"/>
      <c r="AE185" s="63"/>
      <c r="AF185" s="185">
        <f t="shared" si="35"/>
        <v>0</v>
      </c>
      <c r="AG185" s="185" t="str">
        <f t="shared" si="35"/>
        <v/>
      </c>
      <c r="AH185" s="185" t="str">
        <f t="shared" si="25"/>
        <v/>
      </c>
      <c r="AI185" s="186" t="str">
        <f t="shared" si="26"/>
        <v/>
      </c>
      <c r="AJ185" s="186" t="str">
        <f t="shared" si="27"/>
        <v/>
      </c>
      <c r="AK185" s="186" t="str">
        <f t="shared" si="28"/>
        <v/>
      </c>
      <c r="AL185" s="186" t="str">
        <f t="shared" si="29"/>
        <v/>
      </c>
      <c r="AM185" s="186" t="str">
        <f t="shared" si="30"/>
        <v/>
      </c>
      <c r="AN185" s="186" t="str">
        <f t="shared" si="31"/>
        <v/>
      </c>
      <c r="AO185" s="165">
        <f t="shared" si="32"/>
        <v>179</v>
      </c>
      <c r="AP185" s="165" t="str">
        <f>IF(AND(LEFT(PQS_tbl[[#This Row],[D]],3)=$AP$6,PQS_tbl[[#This Row],[I]]&gt;0),$AO185,"")</f>
        <v/>
      </c>
      <c r="AQ185" s="165" t="str">
        <f>IFERROR(SMALL($AP$7:AP$182,ROWS($AP$7:AP185)),"")</f>
        <v/>
      </c>
      <c r="AR185" s="165" t="str">
        <f>IFERROR(INDEX(PQS_tbl[C],AQ185),"")</f>
        <v/>
      </c>
      <c r="AS185" s="165" t="str">
        <f>IF(AND(LEFT(PQS_tbl[[#This Row],[D]],3)=$AS$6,PQS_tbl[[#This Row],[I]]=0,PQS_tbl[[#This Row],[J]]&gt;0),$AO185,"")</f>
        <v/>
      </c>
      <c r="AT185" s="165" t="str">
        <f>IFERROR(SMALL($AS$7:AS$178,ROWS($AS$7:AS185)),"")</f>
        <v/>
      </c>
    </row>
    <row r="186" spans="1:54" x14ac:dyDescent="0.25">
      <c r="A186" s="201" t="s">
        <v>771</v>
      </c>
      <c r="B186" s="201" t="s">
        <v>771</v>
      </c>
      <c r="C186" s="202" t="s">
        <v>776</v>
      </c>
      <c r="D186" s="202" t="s">
        <v>776</v>
      </c>
      <c r="E186" s="203" t="s">
        <v>363</v>
      </c>
      <c r="F186" s="203" t="s">
        <v>489</v>
      </c>
      <c r="G186" s="203" t="s">
        <v>349</v>
      </c>
      <c r="H186" s="203" t="s">
        <v>762</v>
      </c>
      <c r="I186" s="204">
        <v>200</v>
      </c>
      <c r="J186" s="204"/>
      <c r="K186" s="204"/>
      <c r="L186" s="204"/>
      <c r="M186" s="204"/>
      <c r="N186" s="205"/>
      <c r="O186" s="205"/>
      <c r="P186" s="205"/>
      <c r="Q186" s="204"/>
      <c r="R186" s="204"/>
      <c r="S186" s="204"/>
      <c r="T186" s="204"/>
      <c r="U186" s="206"/>
      <c r="V186" s="207"/>
      <c r="W186" s="204"/>
      <c r="X186" s="204"/>
      <c r="Y186" s="204"/>
      <c r="Z186" s="204"/>
      <c r="AA186" s="204"/>
      <c r="AB186" s="204"/>
      <c r="AC186" s="204"/>
      <c r="AD186" s="208"/>
      <c r="AE186" s="63"/>
      <c r="AF186" s="185">
        <f t="shared" si="35"/>
        <v>0</v>
      </c>
      <c r="AG186" s="185" t="str">
        <f t="shared" si="35"/>
        <v/>
      </c>
      <c r="AH186" s="185" t="str">
        <f t="shared" si="25"/>
        <v/>
      </c>
      <c r="AI186" s="186" t="str">
        <f t="shared" si="26"/>
        <v/>
      </c>
      <c r="AJ186" s="186" t="str">
        <f t="shared" si="27"/>
        <v/>
      </c>
      <c r="AK186" s="186" t="str">
        <f t="shared" si="28"/>
        <v/>
      </c>
      <c r="AL186" s="186" t="str">
        <f t="shared" si="29"/>
        <v/>
      </c>
      <c r="AM186" s="186" t="str">
        <f t="shared" si="30"/>
        <v/>
      </c>
      <c r="AN186" s="186" t="str">
        <f t="shared" si="31"/>
        <v/>
      </c>
      <c r="AO186" s="165">
        <f t="shared" si="32"/>
        <v>180</v>
      </c>
      <c r="AP186" s="165" t="str">
        <f>IF(AND(LEFT(PQS_tbl[[#This Row],[D]],3)=$AP$6,PQS_tbl[[#This Row],[I]]&gt;0),$AO186,"")</f>
        <v/>
      </c>
      <c r="AQ186" s="165" t="str">
        <f>IFERROR(SMALL($AP$7:AP$182,ROWS($AP$7:AP186)),"")</f>
        <v/>
      </c>
      <c r="AR186" s="165" t="str">
        <f>IFERROR(INDEX(PQS_tbl[C],AQ186),"")</f>
        <v/>
      </c>
      <c r="AS186" s="165" t="str">
        <f>IF(AND(LEFT(PQS_tbl[[#This Row],[D]],3)=$AS$6,PQS_tbl[[#This Row],[I]]=0,PQS_tbl[[#This Row],[J]]&gt;0),$AO186,"")</f>
        <v/>
      </c>
      <c r="AT186" s="165" t="str">
        <f>IFERROR(SMALL($AS$7:AS$178,ROWS($AS$7:AS186)),"")</f>
        <v/>
      </c>
    </row>
  </sheetData>
  <sheetProtection autoFilter="0"/>
  <mergeCells count="8">
    <mergeCell ref="Z3:AB3"/>
    <mergeCell ref="AC3:AD3"/>
    <mergeCell ref="I3:K3"/>
    <mergeCell ref="L3:M3"/>
    <mergeCell ref="N3:O3"/>
    <mergeCell ref="P3:S3"/>
    <mergeCell ref="T3:V3"/>
    <mergeCell ref="W3:Y3"/>
  </mergeCells>
  <conditionalFormatting sqref="A7:AD81 A92:S93 U92:AD97 A88:AD91 A87:S87 U87:AD87 A86:AD86 A82:S85 U82:AD85 A98:AD105 A95:S97 A94 C94:S94 A108:AD113 A106:A107 C106:AD107">
    <cfRule type="expression" dxfId="65" priority="27">
      <formula>LEFT($D7,3)="PIS"</formula>
    </cfRule>
  </conditionalFormatting>
  <conditionalFormatting sqref="T92:T97">
    <cfRule type="expression" dxfId="64" priority="26">
      <formula>LEFT($D92,3)="PIS"</formula>
    </cfRule>
  </conditionalFormatting>
  <conditionalFormatting sqref="T87">
    <cfRule type="expression" dxfId="63" priority="25">
      <formula>LEFT($D87,3)="PIS"</formula>
    </cfRule>
  </conditionalFormatting>
  <conditionalFormatting sqref="T82:T85">
    <cfRule type="expression" dxfId="62" priority="24">
      <formula>LEFT($D82,3)="PIS"</formula>
    </cfRule>
  </conditionalFormatting>
  <conditionalFormatting sqref="AF7:AN113">
    <cfRule type="cellIs" dxfId="61" priority="28" stopIfTrue="1" operator="equal">
      <formula>""</formula>
    </cfRule>
    <cfRule type="cellIs" dxfId="60" priority="29" stopIfTrue="1" operator="equal">
      <formula>MAX(AF$7:AF$186)</formula>
    </cfRule>
    <cfRule type="cellIs" dxfId="59" priority="30" stopIfTrue="1" operator="lessThanOrEqual">
      <formula>AVERAGE(AF$7:AF$186)</formula>
    </cfRule>
  </conditionalFormatting>
  <conditionalFormatting sqref="AF114:AN145">
    <cfRule type="cellIs" dxfId="58" priority="21" stopIfTrue="1" operator="equal">
      <formula>""</formula>
    </cfRule>
    <cfRule type="cellIs" dxfId="57" priority="22" stopIfTrue="1" operator="equal">
      <formula>MAX(AF$7:AF$186)</formula>
    </cfRule>
    <cfRule type="cellIs" dxfId="56" priority="23" stopIfTrue="1" operator="lessThanOrEqual">
      <formula>AVERAGE(AF$7:AF$186)</formula>
    </cfRule>
  </conditionalFormatting>
  <conditionalFormatting sqref="AF146:AN158">
    <cfRule type="cellIs" dxfId="55" priority="18" stopIfTrue="1" operator="equal">
      <formula>""</formula>
    </cfRule>
    <cfRule type="cellIs" dxfId="54" priority="19" stopIfTrue="1" operator="equal">
      <formula>MAX(AF$7:AF$186)</formula>
    </cfRule>
    <cfRule type="cellIs" dxfId="53" priority="20" stopIfTrue="1" operator="lessThanOrEqual">
      <formula>AVERAGE(AF$7:AF$186)</formula>
    </cfRule>
  </conditionalFormatting>
  <conditionalFormatting sqref="AF159:AN170">
    <cfRule type="cellIs" dxfId="52" priority="15" stopIfTrue="1" operator="equal">
      <formula>""</formula>
    </cfRule>
    <cfRule type="cellIs" dxfId="51" priority="16" stopIfTrue="1" operator="equal">
      <formula>MAX(AF$7:AF$186)</formula>
    </cfRule>
    <cfRule type="cellIs" dxfId="50" priority="17" stopIfTrue="1" operator="lessThanOrEqual">
      <formula>AVERAGE(AF$7:AF$186)</formula>
    </cfRule>
  </conditionalFormatting>
  <conditionalFormatting sqref="AF171:AN171">
    <cfRule type="cellIs" dxfId="49" priority="12" stopIfTrue="1" operator="equal">
      <formula>""</formula>
    </cfRule>
    <cfRule type="cellIs" dxfId="48" priority="13" stopIfTrue="1" operator="equal">
      <formula>MAX(AF$7:AF$186)</formula>
    </cfRule>
    <cfRule type="cellIs" dxfId="47" priority="14" stopIfTrue="1" operator="lessThanOrEqual">
      <formula>AVERAGE(AF$7:AF$186)</formula>
    </cfRule>
  </conditionalFormatting>
  <conditionalFormatting sqref="AF172:AN186">
    <cfRule type="cellIs" dxfId="46" priority="9" stopIfTrue="1" operator="equal">
      <formula>""</formula>
    </cfRule>
    <cfRule type="cellIs" dxfId="45" priority="10" stopIfTrue="1" operator="equal">
      <formula>MAX(AF$7:AF$186)</formula>
    </cfRule>
    <cfRule type="cellIs" dxfId="44" priority="11" stopIfTrue="1" operator="lessThanOrEqual">
      <formula>AVERAGE(AF$7:AF$186)</formula>
    </cfRule>
  </conditionalFormatting>
  <conditionalFormatting sqref="AF172:AN175">
    <cfRule type="cellIs" dxfId="43" priority="6" stopIfTrue="1" operator="equal">
      <formula>""</formula>
    </cfRule>
    <cfRule type="cellIs" dxfId="42" priority="7" stopIfTrue="1" operator="equal">
      <formula>MAX(AF$7:AF$186)</formula>
    </cfRule>
    <cfRule type="cellIs" dxfId="41" priority="8" stopIfTrue="1" operator="lessThanOrEqual">
      <formula>AVERAGE(AF$7:AF$186)</formula>
    </cfRule>
  </conditionalFormatting>
  <conditionalFormatting sqref="B125">
    <cfRule type="expression" dxfId="40" priority="5">
      <formula>LEFT($D125,3)="PIS"</formula>
    </cfRule>
  </conditionalFormatting>
  <conditionalFormatting sqref="B131">
    <cfRule type="expression" dxfId="39" priority="4">
      <formula>LEFT($D131,3)="PIS"</formula>
    </cfRule>
  </conditionalFormatting>
  <conditionalFormatting sqref="AF176:AN176">
    <cfRule type="cellIs" dxfId="38" priority="1" stopIfTrue="1" operator="equal">
      <formula>""</formula>
    </cfRule>
    <cfRule type="cellIs" dxfId="37" priority="2" stopIfTrue="1" operator="equal">
      <formula>MAX(AF$7:AF$186)</formula>
    </cfRule>
    <cfRule type="cellIs" dxfId="36" priority="3" stopIfTrue="1" operator="lessThanOrEqual">
      <formula>AVERAGE(AF$7:AF$186)</formula>
    </cfRule>
  </conditionalFormatting>
  <dataValidations count="1">
    <dataValidation type="list" allowBlank="1" showInputMessage="1" showErrorMessage="1" sqref="AE7:AE186" xr:uid="{6692E157-DE51-4013-AC3C-791DA4F9A2ED}">
      <formula1>"Y,N"</formula1>
    </dataValidation>
  </dataValidations>
  <hyperlinks>
    <hyperlink ref="N2" location="Index!A1" display="Index" xr:uid="{3A9A32CB-285C-4C6E-A688-440B8FB12E06}"/>
    <hyperlink ref="A1" r:id="rId1" xr:uid="{C0D72885-CF0F-45B7-95D6-938656E95E38}"/>
  </hyperlinks>
  <printOptions horizontalCentered="1"/>
  <pageMargins left="0.2" right="0.21" top="0.28999999999999998" bottom="0.36" header="0.19685039370078741" footer="0.16"/>
  <pageSetup paperSize="9" orientation="landscape" r:id="rId2"/>
  <headerFooter alignWithMargins="0">
    <oddFooter>&amp;L&amp;8&amp;F&amp;A&amp;R&amp;8IVB/EPI Logistics docs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C828-8285-4FC9-87F5-2D04298363DD}">
  <sheetPr>
    <tabColor indexed="12"/>
  </sheetPr>
  <dimension ref="B1:Z100"/>
  <sheetViews>
    <sheetView showGridLines="0" tabSelected="1" workbookViewId="0">
      <pane ySplit="5" topLeftCell="A6" activePane="bottomLeft" state="frozen"/>
      <selection activeCell="B2" sqref="B2:F29"/>
      <selection pane="bottomLeft" activeCell="E34" sqref="E34"/>
    </sheetView>
  </sheetViews>
  <sheetFormatPr defaultColWidth="11.33203125" defaultRowHeight="13.8" x14ac:dyDescent="0.3"/>
  <cols>
    <col min="1" max="1" width="1.33203125" style="14" customWidth="1"/>
    <col min="2" max="2" width="12.6640625" style="14" customWidth="1"/>
    <col min="3" max="3" width="19.6640625" style="112" customWidth="1"/>
    <col min="4" max="4" width="16.109375" style="14" customWidth="1"/>
    <col min="5" max="5" width="17.33203125" style="112" customWidth="1"/>
    <col min="6" max="6" width="10.21875" style="112" customWidth="1"/>
    <col min="7" max="7" width="12.6640625" style="113" customWidth="1"/>
    <col min="8" max="9" width="7.6640625" style="114" customWidth="1"/>
    <col min="10" max="12" width="6.6640625" style="113" customWidth="1"/>
    <col min="13" max="15" width="7.6640625" style="113" customWidth="1"/>
    <col min="16" max="19" width="8.6640625" style="115" customWidth="1"/>
    <col min="20" max="20" width="7.5546875" style="115" customWidth="1"/>
    <col min="21" max="21" width="7.33203125" style="116" bestFit="1" customWidth="1"/>
    <col min="22" max="22" width="7.33203125" style="116" customWidth="1"/>
    <col min="23" max="23" width="17.5546875" style="116" bestFit="1" customWidth="1"/>
    <col min="24" max="25" width="5.33203125" style="14" bestFit="1" customWidth="1"/>
    <col min="26" max="26" width="4" style="14" bestFit="1" customWidth="1"/>
    <col min="27" max="27" width="1.6640625" style="14" customWidth="1"/>
    <col min="28" max="16384" width="11.33203125" style="14"/>
  </cols>
  <sheetData>
    <row r="1" spans="2:26" ht="21" x14ac:dyDescent="0.4">
      <c r="B1" s="1" t="s">
        <v>798</v>
      </c>
      <c r="C1" s="2"/>
      <c r="D1" s="3"/>
      <c r="E1" s="4"/>
      <c r="F1" s="5" t="s">
        <v>799</v>
      </c>
      <c r="G1" s="6"/>
      <c r="H1" s="7"/>
      <c r="I1" s="7"/>
      <c r="J1" s="6"/>
      <c r="K1" s="6"/>
      <c r="L1" s="6"/>
      <c r="M1" s="6"/>
      <c r="N1" s="6"/>
      <c r="O1" s="6"/>
      <c r="P1" s="8"/>
      <c r="Q1" s="9" t="s">
        <v>0</v>
      </c>
      <c r="R1" s="8"/>
      <c r="S1" s="8"/>
      <c r="T1" s="8"/>
      <c r="U1" s="10"/>
      <c r="V1" s="10"/>
      <c r="W1" s="11" t="s">
        <v>0</v>
      </c>
      <c r="X1" s="12"/>
      <c r="Y1" s="13"/>
      <c r="Z1" s="13"/>
    </row>
    <row r="2" spans="2:26" s="26" customFormat="1" x14ac:dyDescent="0.3">
      <c r="B2" s="15" t="s">
        <v>1</v>
      </c>
      <c r="C2" s="16"/>
      <c r="D2" s="17"/>
      <c r="E2" s="18"/>
      <c r="F2" s="18"/>
      <c r="G2" s="19"/>
      <c r="H2" s="20"/>
      <c r="I2" s="20"/>
      <c r="J2" s="19"/>
      <c r="K2" s="21" t="s">
        <v>800</v>
      </c>
      <c r="L2" s="22">
        <v>51</v>
      </c>
      <c r="M2" s="19"/>
      <c r="N2" s="19"/>
      <c r="O2" s="19"/>
      <c r="P2" s="23"/>
      <c r="Q2" s="23"/>
      <c r="R2" s="23"/>
      <c r="S2" s="23"/>
      <c r="T2" s="23"/>
      <c r="U2" s="24"/>
      <c r="V2" s="24"/>
      <c r="W2" s="24"/>
      <c r="X2" s="25"/>
      <c r="Y2" s="16"/>
      <c r="Z2" s="16"/>
    </row>
    <row r="3" spans="2:26" s="38" customFormat="1" x14ac:dyDescent="0.25">
      <c r="B3" s="27"/>
      <c r="C3" s="28" t="s">
        <v>779</v>
      </c>
      <c r="D3" s="27"/>
      <c r="E3" s="27"/>
      <c r="F3" s="27"/>
      <c r="G3" s="29" t="s">
        <v>801</v>
      </c>
      <c r="H3" s="30" t="s">
        <v>802</v>
      </c>
      <c r="I3" s="30"/>
      <c r="J3" s="31" t="s">
        <v>786</v>
      </c>
      <c r="K3" s="32"/>
      <c r="L3" s="33"/>
      <c r="M3" s="31" t="s">
        <v>803</v>
      </c>
      <c r="N3" s="32"/>
      <c r="O3" s="33"/>
      <c r="P3" s="28" t="s">
        <v>804</v>
      </c>
      <c r="Q3" s="28"/>
      <c r="R3" s="34" t="s">
        <v>805</v>
      </c>
      <c r="S3" s="34" t="s">
        <v>806</v>
      </c>
      <c r="T3" s="34" t="s">
        <v>807</v>
      </c>
      <c r="U3" s="35" t="s">
        <v>808</v>
      </c>
      <c r="V3" s="217" t="s">
        <v>809</v>
      </c>
      <c r="W3" s="34" t="s">
        <v>810</v>
      </c>
      <c r="X3" s="36"/>
      <c r="Y3" s="36"/>
      <c r="Z3" s="37">
        <v>0.48557640969380955</v>
      </c>
    </row>
    <row r="4" spans="2:26" s="38" customFormat="1" x14ac:dyDescent="0.25">
      <c r="B4" s="39" t="s">
        <v>2</v>
      </c>
      <c r="C4" s="40" t="s">
        <v>265</v>
      </c>
      <c r="D4" s="40" t="s">
        <v>811</v>
      </c>
      <c r="E4" s="40" t="s">
        <v>812</v>
      </c>
      <c r="F4" s="40" t="s">
        <v>813</v>
      </c>
      <c r="G4" s="41" t="s">
        <v>814</v>
      </c>
      <c r="H4" s="42" t="s">
        <v>815</v>
      </c>
      <c r="I4" s="43" t="s">
        <v>816</v>
      </c>
      <c r="J4" s="29" t="s">
        <v>310</v>
      </c>
      <c r="K4" s="29" t="s">
        <v>291</v>
      </c>
      <c r="L4" s="29" t="s">
        <v>295</v>
      </c>
      <c r="M4" s="29" t="s">
        <v>310</v>
      </c>
      <c r="N4" s="29" t="s">
        <v>291</v>
      </c>
      <c r="O4" s="29" t="s">
        <v>295</v>
      </c>
      <c r="P4" s="34" t="s">
        <v>265</v>
      </c>
      <c r="Q4" s="44" t="s">
        <v>817</v>
      </c>
      <c r="R4" s="45" t="s">
        <v>3</v>
      </c>
      <c r="S4" s="45" t="s">
        <v>4</v>
      </c>
      <c r="T4" s="46" t="s">
        <v>3</v>
      </c>
      <c r="U4" s="47" t="s">
        <v>818</v>
      </c>
      <c r="V4" s="218"/>
      <c r="W4" s="219" t="s">
        <v>819</v>
      </c>
      <c r="X4" s="48"/>
      <c r="Y4" s="48"/>
      <c r="Z4" s="49"/>
    </row>
    <row r="5" spans="2:26" s="38" customFormat="1" x14ac:dyDescent="0.25">
      <c r="B5" s="50" t="s">
        <v>5</v>
      </c>
      <c r="C5" s="51"/>
      <c r="D5" s="52"/>
      <c r="E5" s="52"/>
      <c r="F5" s="52"/>
      <c r="G5" s="53"/>
      <c r="H5" s="54"/>
      <c r="I5" s="55"/>
      <c r="J5" s="56"/>
      <c r="K5" s="56"/>
      <c r="L5" s="56"/>
      <c r="M5" s="56"/>
      <c r="N5" s="56"/>
      <c r="O5" s="56"/>
      <c r="P5" s="52"/>
      <c r="Q5" s="57"/>
      <c r="R5" s="58"/>
      <c r="S5" s="58"/>
      <c r="T5" s="58"/>
      <c r="U5" s="59"/>
      <c r="V5" s="218"/>
      <c r="W5" s="220"/>
      <c r="X5" s="60"/>
      <c r="Y5" s="60"/>
      <c r="Z5" s="49"/>
    </row>
    <row r="6" spans="2:26" s="26" customFormat="1" ht="13.2" customHeight="1" x14ac:dyDescent="0.25">
      <c r="B6" s="61" t="s">
        <v>6</v>
      </c>
      <c r="C6" s="61" t="s">
        <v>7</v>
      </c>
      <c r="D6" s="62" t="s">
        <v>8</v>
      </c>
      <c r="E6" s="61" t="s">
        <v>9</v>
      </c>
      <c r="F6" s="61" t="s">
        <v>10</v>
      </c>
      <c r="G6" s="63">
        <v>16.2</v>
      </c>
      <c r="H6" s="64">
        <v>31.8</v>
      </c>
      <c r="I6" s="64">
        <v>16.3</v>
      </c>
      <c r="J6" s="65">
        <v>54</v>
      </c>
      <c r="K6" s="65">
        <v>54</v>
      </c>
      <c r="L6" s="65">
        <v>57</v>
      </c>
      <c r="M6" s="65">
        <v>25</v>
      </c>
      <c r="N6" s="65">
        <v>25</v>
      </c>
      <c r="O6" s="65">
        <v>26</v>
      </c>
      <c r="P6" s="66">
        <v>0.4</v>
      </c>
      <c r="Q6" s="67">
        <v>12</v>
      </c>
      <c r="R6" s="66">
        <v>107</v>
      </c>
      <c r="S6" s="66" t="s">
        <v>11</v>
      </c>
      <c r="T6" s="66" t="s">
        <v>11</v>
      </c>
      <c r="U6" s="68">
        <v>296</v>
      </c>
      <c r="V6" s="69">
        <f t="shared" ref="V6:V14" si="0">J6*K6*L6/1000</f>
        <v>166.21199999999999</v>
      </c>
      <c r="W6" s="69">
        <f t="shared" ref="W6:W69" si="1">V6/G6</f>
        <v>10.26</v>
      </c>
      <c r="X6" s="70">
        <f t="shared" ref="X6:X39" si="2">IF(G6="","",$U6/G6)</f>
        <v>18.271604938271604</v>
      </c>
      <c r="Y6" s="71">
        <f t="shared" ref="Y6:Y69" si="3">J6*K6*L6/1000000</f>
        <v>0.166212</v>
      </c>
      <c r="Z6" s="72">
        <f t="shared" ref="Z6:Z53" si="4">G6/Q6</f>
        <v>1.3499999999999999</v>
      </c>
    </row>
    <row r="7" spans="2:26" s="26" customFormat="1" ht="13.2" customHeight="1" x14ac:dyDescent="0.25">
      <c r="B7" s="61" t="s">
        <v>12</v>
      </c>
      <c r="C7" s="61" t="s">
        <v>13</v>
      </c>
      <c r="D7" s="62" t="s">
        <v>8</v>
      </c>
      <c r="E7" s="61" t="s">
        <v>14</v>
      </c>
      <c r="F7" s="61" t="s">
        <v>15</v>
      </c>
      <c r="G7" s="63">
        <v>6.5</v>
      </c>
      <c r="H7" s="64">
        <v>20.6</v>
      </c>
      <c r="I7" s="64">
        <v>12.5</v>
      </c>
      <c r="J7" s="65">
        <v>47</v>
      </c>
      <c r="K7" s="65">
        <v>47</v>
      </c>
      <c r="L7" s="65">
        <v>50</v>
      </c>
      <c r="M7" s="65">
        <v>18</v>
      </c>
      <c r="N7" s="65">
        <v>18</v>
      </c>
      <c r="O7" s="65">
        <v>20</v>
      </c>
      <c r="P7" s="66">
        <v>0.4</v>
      </c>
      <c r="Q7" s="67">
        <v>8</v>
      </c>
      <c r="R7" s="66">
        <v>81</v>
      </c>
      <c r="S7" s="66" t="s">
        <v>11</v>
      </c>
      <c r="T7" s="66" t="s">
        <v>11</v>
      </c>
      <c r="U7" s="68">
        <v>190</v>
      </c>
      <c r="V7" s="69">
        <f t="shared" si="0"/>
        <v>110.45</v>
      </c>
      <c r="W7" s="69">
        <f t="shared" si="1"/>
        <v>16.992307692307694</v>
      </c>
      <c r="X7" s="70">
        <f t="shared" si="2"/>
        <v>29.23076923076923</v>
      </c>
      <c r="Y7" s="71">
        <f>J7*K7*L7/1000000</f>
        <v>0.11045000000000001</v>
      </c>
      <c r="Z7" s="72">
        <f t="shared" si="4"/>
        <v>0.8125</v>
      </c>
    </row>
    <row r="8" spans="2:26" s="26" customFormat="1" ht="12" x14ac:dyDescent="0.25">
      <c r="B8" s="61" t="s">
        <v>16</v>
      </c>
      <c r="C8" s="61" t="s">
        <v>17</v>
      </c>
      <c r="D8" s="62" t="s">
        <v>18</v>
      </c>
      <c r="E8" s="61" t="s">
        <v>19</v>
      </c>
      <c r="F8" s="61" t="s">
        <v>20</v>
      </c>
      <c r="G8" s="63">
        <v>1.7</v>
      </c>
      <c r="H8" s="64">
        <v>5.0999999999999996</v>
      </c>
      <c r="I8" s="64">
        <v>2.5</v>
      </c>
      <c r="J8" s="65">
        <v>24</v>
      </c>
      <c r="K8" s="65">
        <v>24</v>
      </c>
      <c r="L8" s="65">
        <v>33</v>
      </c>
      <c r="M8" s="65">
        <v>10</v>
      </c>
      <c r="N8" s="65">
        <v>10</v>
      </c>
      <c r="O8" s="65">
        <v>18</v>
      </c>
      <c r="P8" s="66">
        <v>0.3</v>
      </c>
      <c r="Q8" s="67">
        <v>4</v>
      </c>
      <c r="R8" s="66">
        <v>34</v>
      </c>
      <c r="S8" s="66" t="s">
        <v>11</v>
      </c>
      <c r="T8" s="66" t="s">
        <v>11</v>
      </c>
      <c r="U8" s="68">
        <v>19.73</v>
      </c>
      <c r="V8" s="69">
        <f t="shared" si="0"/>
        <v>19.007999999999999</v>
      </c>
      <c r="W8" s="69">
        <f t="shared" si="1"/>
        <v>11.181176470588236</v>
      </c>
      <c r="X8" s="70">
        <f t="shared" si="2"/>
        <v>11.605882352941178</v>
      </c>
      <c r="Y8" s="71">
        <f t="shared" si="3"/>
        <v>1.9008000000000001E-2</v>
      </c>
      <c r="Z8" s="72">
        <f t="shared" si="4"/>
        <v>0.42499999999999999</v>
      </c>
    </row>
    <row r="9" spans="2:26" s="26" customFormat="1" ht="12" x14ac:dyDescent="0.25">
      <c r="B9" s="61" t="s">
        <v>21</v>
      </c>
      <c r="C9" s="61" t="s">
        <v>17</v>
      </c>
      <c r="D9" s="62" t="s">
        <v>22</v>
      </c>
      <c r="E9" s="61" t="s">
        <v>23</v>
      </c>
      <c r="F9" s="61" t="s">
        <v>20</v>
      </c>
      <c r="G9" s="63">
        <v>1.4</v>
      </c>
      <c r="H9" s="64">
        <v>4.5</v>
      </c>
      <c r="I9" s="64">
        <v>2.4</v>
      </c>
      <c r="J9" s="73">
        <v>25</v>
      </c>
      <c r="K9" s="73">
        <v>25</v>
      </c>
      <c r="L9" s="73">
        <v>26</v>
      </c>
      <c r="M9" s="65">
        <v>16</v>
      </c>
      <c r="N9" s="65">
        <v>16</v>
      </c>
      <c r="O9" s="65">
        <v>18</v>
      </c>
      <c r="P9" s="66">
        <v>0.3</v>
      </c>
      <c r="Q9" s="67">
        <v>4</v>
      </c>
      <c r="R9" s="66">
        <v>37</v>
      </c>
      <c r="S9" s="66" t="s">
        <v>11</v>
      </c>
      <c r="T9" s="66" t="s">
        <v>11</v>
      </c>
      <c r="U9" s="68">
        <v>21</v>
      </c>
      <c r="V9" s="69">
        <f t="shared" si="0"/>
        <v>16.25</v>
      </c>
      <c r="W9" s="69">
        <f t="shared" si="1"/>
        <v>11.607142857142858</v>
      </c>
      <c r="X9" s="70">
        <f t="shared" si="2"/>
        <v>15.000000000000002</v>
      </c>
      <c r="Y9" s="71">
        <f t="shared" si="3"/>
        <v>1.6250000000000001E-2</v>
      </c>
      <c r="Z9" s="72">
        <f t="shared" si="4"/>
        <v>0.35</v>
      </c>
    </row>
    <row r="10" spans="2:26" s="26" customFormat="1" ht="12" x14ac:dyDescent="0.25">
      <c r="B10" s="61" t="s">
        <v>24</v>
      </c>
      <c r="C10" s="61" t="s">
        <v>13</v>
      </c>
      <c r="D10" s="62" t="s">
        <v>8</v>
      </c>
      <c r="E10" s="61" t="s">
        <v>25</v>
      </c>
      <c r="F10" s="61" t="s">
        <v>15</v>
      </c>
      <c r="G10" s="63">
        <v>4</v>
      </c>
      <c r="H10" s="64">
        <v>13.5</v>
      </c>
      <c r="I10" s="64">
        <v>7.2</v>
      </c>
      <c r="J10" s="65">
        <v>39</v>
      </c>
      <c r="K10" s="65">
        <v>39</v>
      </c>
      <c r="L10" s="65">
        <v>41</v>
      </c>
      <c r="M10" s="65">
        <v>16</v>
      </c>
      <c r="N10" s="65">
        <v>16</v>
      </c>
      <c r="O10" s="65">
        <v>16</v>
      </c>
      <c r="P10" s="66">
        <v>0.4</v>
      </c>
      <c r="Q10" s="67">
        <v>6</v>
      </c>
      <c r="R10" s="66">
        <v>83</v>
      </c>
      <c r="S10" s="66" t="s">
        <v>11</v>
      </c>
      <c r="T10" s="66" t="s">
        <v>11</v>
      </c>
      <c r="U10" s="68">
        <v>138</v>
      </c>
      <c r="V10" s="69">
        <f t="shared" si="0"/>
        <v>62.360999999999997</v>
      </c>
      <c r="W10" s="69">
        <f t="shared" si="1"/>
        <v>15.590249999999999</v>
      </c>
      <c r="X10" s="70">
        <f t="shared" si="2"/>
        <v>34.5</v>
      </c>
      <c r="Y10" s="71">
        <f t="shared" si="3"/>
        <v>6.2361E-2</v>
      </c>
      <c r="Z10" s="72">
        <f t="shared" si="4"/>
        <v>0.66666666666666663</v>
      </c>
    </row>
    <row r="11" spans="2:26" s="26" customFormat="1" ht="12" x14ac:dyDescent="0.25">
      <c r="B11" s="61" t="s">
        <v>26</v>
      </c>
      <c r="C11" s="61" t="s">
        <v>13</v>
      </c>
      <c r="D11" s="62" t="s">
        <v>27</v>
      </c>
      <c r="E11" s="74" t="s">
        <v>28</v>
      </c>
      <c r="F11" s="61" t="s">
        <v>15</v>
      </c>
      <c r="G11" s="63">
        <v>9.75</v>
      </c>
      <c r="H11" s="64">
        <v>32.9</v>
      </c>
      <c r="I11" s="64">
        <v>17.600000000000001</v>
      </c>
      <c r="J11" s="65">
        <v>56</v>
      </c>
      <c r="K11" s="65">
        <v>61</v>
      </c>
      <c r="L11" s="65">
        <v>49</v>
      </c>
      <c r="M11" s="65">
        <v>25</v>
      </c>
      <c r="N11" s="65">
        <v>30</v>
      </c>
      <c r="O11" s="65">
        <v>13</v>
      </c>
      <c r="P11" s="66">
        <v>0.4</v>
      </c>
      <c r="Q11" s="67">
        <v>24</v>
      </c>
      <c r="R11" s="66">
        <v>119</v>
      </c>
      <c r="S11" s="66" t="s">
        <v>11</v>
      </c>
      <c r="T11" s="66" t="s">
        <v>11</v>
      </c>
      <c r="U11" s="68">
        <v>175</v>
      </c>
      <c r="V11" s="69">
        <f t="shared" si="0"/>
        <v>167.38399999999999</v>
      </c>
      <c r="W11" s="69">
        <f t="shared" si="1"/>
        <v>17.16758974358974</v>
      </c>
      <c r="X11" s="70">
        <f t="shared" si="2"/>
        <v>17.948717948717949</v>
      </c>
      <c r="Y11" s="71">
        <f t="shared" si="3"/>
        <v>0.16738400000000001</v>
      </c>
      <c r="Z11" s="72">
        <f t="shared" si="4"/>
        <v>0.40625</v>
      </c>
    </row>
    <row r="12" spans="2:26" s="26" customFormat="1" ht="12" x14ac:dyDescent="0.25">
      <c r="B12" s="61" t="s">
        <v>29</v>
      </c>
      <c r="C12" s="61" t="s">
        <v>17</v>
      </c>
      <c r="D12" s="62" t="s">
        <v>30</v>
      </c>
      <c r="E12" s="61" t="s">
        <v>31</v>
      </c>
      <c r="F12" s="61" t="s">
        <v>20</v>
      </c>
      <c r="G12" s="63">
        <v>1.3</v>
      </c>
      <c r="H12" s="64">
        <v>4.5</v>
      </c>
      <c r="I12" s="64">
        <v>2.5</v>
      </c>
      <c r="J12" s="65">
        <v>26</v>
      </c>
      <c r="K12" s="65">
        <v>25</v>
      </c>
      <c r="L12" s="65">
        <v>27</v>
      </c>
      <c r="M12" s="65">
        <v>16</v>
      </c>
      <c r="N12" s="65">
        <v>9</v>
      </c>
      <c r="O12" s="65">
        <v>9</v>
      </c>
      <c r="P12" s="66">
        <v>0.4</v>
      </c>
      <c r="Q12" s="67">
        <v>4</v>
      </c>
      <c r="R12" s="66">
        <v>34</v>
      </c>
      <c r="S12" s="66" t="s">
        <v>11</v>
      </c>
      <c r="T12" s="66" t="s">
        <v>11</v>
      </c>
      <c r="U12" s="68">
        <v>11</v>
      </c>
      <c r="V12" s="69">
        <f t="shared" si="0"/>
        <v>17.55</v>
      </c>
      <c r="W12" s="69">
        <f t="shared" si="1"/>
        <v>13.5</v>
      </c>
      <c r="X12" s="70">
        <f t="shared" si="2"/>
        <v>8.4615384615384617</v>
      </c>
      <c r="Y12" s="71">
        <f t="shared" si="3"/>
        <v>1.755E-2</v>
      </c>
      <c r="Z12" s="72">
        <f t="shared" si="4"/>
        <v>0.32500000000000001</v>
      </c>
    </row>
    <row r="13" spans="2:26" s="26" customFormat="1" ht="12" x14ac:dyDescent="0.25">
      <c r="B13" s="61" t="s">
        <v>32</v>
      </c>
      <c r="C13" s="61" t="s">
        <v>7</v>
      </c>
      <c r="D13" s="62" t="s">
        <v>33</v>
      </c>
      <c r="E13" s="61" t="s">
        <v>34</v>
      </c>
      <c r="F13" s="61" t="s">
        <v>10</v>
      </c>
      <c r="G13" s="63">
        <v>20.9</v>
      </c>
      <c r="H13" s="64">
        <v>50</v>
      </c>
      <c r="I13" s="64">
        <v>28</v>
      </c>
      <c r="J13" s="65">
        <v>75</v>
      </c>
      <c r="K13" s="65">
        <v>59</v>
      </c>
      <c r="L13" s="65">
        <v>51</v>
      </c>
      <c r="M13" s="65">
        <v>43</v>
      </c>
      <c r="N13" s="65">
        <v>27</v>
      </c>
      <c r="O13" s="65">
        <v>18</v>
      </c>
      <c r="P13" s="66">
        <v>0.6</v>
      </c>
      <c r="Q13" s="67">
        <v>24</v>
      </c>
      <c r="R13" s="66">
        <v>121</v>
      </c>
      <c r="S13" s="66" t="s">
        <v>11</v>
      </c>
      <c r="T13" s="66" t="s">
        <v>11</v>
      </c>
      <c r="U13" s="68">
        <v>202.55</v>
      </c>
      <c r="V13" s="69">
        <f t="shared" si="0"/>
        <v>225.67500000000001</v>
      </c>
      <c r="W13" s="69">
        <f t="shared" si="1"/>
        <v>10.797846889952154</v>
      </c>
      <c r="X13" s="70">
        <f t="shared" si="2"/>
        <v>9.6913875598086143</v>
      </c>
      <c r="Y13" s="71">
        <f t="shared" si="3"/>
        <v>0.22567499999999999</v>
      </c>
      <c r="Z13" s="72">
        <f t="shared" si="4"/>
        <v>0.87083333333333324</v>
      </c>
    </row>
    <row r="14" spans="2:26" s="26" customFormat="1" ht="12" x14ac:dyDescent="0.25">
      <c r="B14" s="61" t="s">
        <v>35</v>
      </c>
      <c r="C14" s="61" t="s">
        <v>17</v>
      </c>
      <c r="D14" s="62" t="s">
        <v>36</v>
      </c>
      <c r="E14" s="74" t="s">
        <v>28</v>
      </c>
      <c r="F14" s="61" t="s">
        <v>20</v>
      </c>
      <c r="G14" s="63">
        <v>2.6</v>
      </c>
      <c r="H14" s="64">
        <v>6.5</v>
      </c>
      <c r="I14" s="64">
        <v>1.8</v>
      </c>
      <c r="J14" s="65">
        <v>32</v>
      </c>
      <c r="K14" s="65">
        <v>27</v>
      </c>
      <c r="L14" s="65">
        <v>25</v>
      </c>
      <c r="M14" s="65">
        <v>15</v>
      </c>
      <c r="N14" s="65">
        <v>15</v>
      </c>
      <c r="O14" s="65">
        <v>12</v>
      </c>
      <c r="P14" s="66">
        <v>0.4</v>
      </c>
      <c r="Q14" s="67">
        <v>8</v>
      </c>
      <c r="R14" s="66">
        <v>32</v>
      </c>
      <c r="S14" s="66" t="s">
        <v>11</v>
      </c>
      <c r="T14" s="66" t="s">
        <v>11</v>
      </c>
      <c r="U14" s="68">
        <v>26.42</v>
      </c>
      <c r="V14" s="69">
        <f t="shared" si="0"/>
        <v>21.6</v>
      </c>
      <c r="W14" s="69">
        <f t="shared" si="1"/>
        <v>8.3076923076923084</v>
      </c>
      <c r="X14" s="70">
        <f t="shared" si="2"/>
        <v>10.161538461538461</v>
      </c>
      <c r="Y14" s="71">
        <f t="shared" si="3"/>
        <v>2.1600000000000001E-2</v>
      </c>
      <c r="Z14" s="72">
        <f t="shared" si="4"/>
        <v>0.32500000000000001</v>
      </c>
    </row>
    <row r="15" spans="2:26" s="26" customFormat="1" ht="12" x14ac:dyDescent="0.25">
      <c r="B15" s="61" t="s">
        <v>37</v>
      </c>
      <c r="C15" s="61" t="s">
        <v>38</v>
      </c>
      <c r="D15" s="62" t="s">
        <v>39</v>
      </c>
      <c r="E15" s="61" t="s">
        <v>40</v>
      </c>
      <c r="F15" s="61" t="s">
        <v>41</v>
      </c>
      <c r="G15" s="63">
        <v>0.6</v>
      </c>
      <c r="H15" s="64">
        <v>2.1</v>
      </c>
      <c r="I15" s="64">
        <v>1.2</v>
      </c>
      <c r="J15" s="65">
        <v>25</v>
      </c>
      <c r="K15" s="65">
        <v>15</v>
      </c>
      <c r="L15" s="65">
        <v>21</v>
      </c>
      <c r="M15" s="65">
        <v>18</v>
      </c>
      <c r="N15" s="65">
        <v>5</v>
      </c>
      <c r="O15" s="65">
        <v>7</v>
      </c>
      <c r="P15" s="66">
        <v>0.3</v>
      </c>
      <c r="Q15" s="67">
        <v>2</v>
      </c>
      <c r="R15" s="66">
        <v>32</v>
      </c>
      <c r="S15" s="66" t="s">
        <v>11</v>
      </c>
      <c r="T15" s="66" t="s">
        <v>11</v>
      </c>
      <c r="U15" s="68">
        <v>37.270000000000003</v>
      </c>
      <c r="V15" s="69">
        <f>J15*K15*L15/1000</f>
        <v>7.875</v>
      </c>
      <c r="W15" s="69">
        <f t="shared" si="1"/>
        <v>13.125</v>
      </c>
      <c r="X15" s="70">
        <f t="shared" si="2"/>
        <v>62.116666666666674</v>
      </c>
      <c r="Y15" s="71">
        <f t="shared" si="3"/>
        <v>7.8750000000000001E-3</v>
      </c>
      <c r="Z15" s="72">
        <f t="shared" si="4"/>
        <v>0.3</v>
      </c>
    </row>
    <row r="16" spans="2:26" s="26" customFormat="1" ht="12" x14ac:dyDescent="0.25">
      <c r="B16" s="61" t="s">
        <v>42</v>
      </c>
      <c r="C16" s="61" t="s">
        <v>38</v>
      </c>
      <c r="D16" s="62" t="s">
        <v>43</v>
      </c>
      <c r="E16" s="61" t="s">
        <v>44</v>
      </c>
      <c r="F16" s="61" t="s">
        <v>41</v>
      </c>
      <c r="G16" s="63">
        <v>0.76</v>
      </c>
      <c r="H16" s="64">
        <v>1.91</v>
      </c>
      <c r="I16" s="64">
        <v>0.54</v>
      </c>
      <c r="J16" s="65">
        <v>29</v>
      </c>
      <c r="K16" s="65">
        <v>21</v>
      </c>
      <c r="L16" s="65">
        <v>25</v>
      </c>
      <c r="M16" s="65">
        <v>9</v>
      </c>
      <c r="N16" s="65">
        <v>5</v>
      </c>
      <c r="O16" s="65">
        <v>17</v>
      </c>
      <c r="P16" s="66">
        <v>0.3</v>
      </c>
      <c r="Q16" s="67">
        <v>3</v>
      </c>
      <c r="R16" s="66">
        <v>21</v>
      </c>
      <c r="S16" s="66" t="s">
        <v>11</v>
      </c>
      <c r="T16" s="66" t="s">
        <v>11</v>
      </c>
      <c r="U16" s="68">
        <v>19.95</v>
      </c>
      <c r="V16" s="69">
        <f>J16*K16*L16/1000</f>
        <v>15.225</v>
      </c>
      <c r="W16" s="69">
        <f t="shared" si="1"/>
        <v>20.032894736842106</v>
      </c>
      <c r="X16" s="70">
        <f t="shared" si="2"/>
        <v>26.25</v>
      </c>
      <c r="Y16" s="71">
        <f t="shared" si="3"/>
        <v>1.5225000000000001E-2</v>
      </c>
      <c r="Z16" s="72">
        <f t="shared" si="4"/>
        <v>0.25333333333333335</v>
      </c>
    </row>
    <row r="17" spans="2:26" s="26" customFormat="1" ht="12" x14ac:dyDescent="0.25">
      <c r="B17" s="61" t="s">
        <v>45</v>
      </c>
      <c r="C17" s="61" t="s">
        <v>13</v>
      </c>
      <c r="D17" s="62" t="s">
        <v>46</v>
      </c>
      <c r="E17" s="61" t="s">
        <v>47</v>
      </c>
      <c r="F17" s="61" t="s">
        <v>15</v>
      </c>
      <c r="G17" s="63">
        <v>8.6</v>
      </c>
      <c r="H17" s="64">
        <v>21.7</v>
      </c>
      <c r="I17" s="64">
        <v>8.1999999999999993</v>
      </c>
      <c r="J17" s="65">
        <v>49</v>
      </c>
      <c r="K17" s="65">
        <v>42</v>
      </c>
      <c r="L17" s="65">
        <v>41</v>
      </c>
      <c r="M17" s="65">
        <v>27</v>
      </c>
      <c r="N17" s="65">
        <v>22</v>
      </c>
      <c r="O17" s="65">
        <v>16</v>
      </c>
      <c r="P17" s="66" t="s">
        <v>48</v>
      </c>
      <c r="Q17" s="67">
        <v>24</v>
      </c>
      <c r="R17" s="66">
        <v>65</v>
      </c>
      <c r="S17" s="66" t="s">
        <v>11</v>
      </c>
      <c r="T17" s="66" t="s">
        <v>11</v>
      </c>
      <c r="U17" s="68">
        <v>90</v>
      </c>
      <c r="V17" s="69">
        <f t="shared" ref="V17:V72" si="5">J17*K17*L17/1000</f>
        <v>84.378</v>
      </c>
      <c r="W17" s="69">
        <f t="shared" si="1"/>
        <v>9.811395348837209</v>
      </c>
      <c r="X17" s="70">
        <f t="shared" si="2"/>
        <v>10.465116279069768</v>
      </c>
      <c r="Y17" s="71">
        <f t="shared" si="3"/>
        <v>8.4377999999999995E-2</v>
      </c>
      <c r="Z17" s="72">
        <f t="shared" si="4"/>
        <v>0.35833333333333334</v>
      </c>
    </row>
    <row r="18" spans="2:26" s="26" customFormat="1" ht="12" x14ac:dyDescent="0.25">
      <c r="B18" s="61" t="s">
        <v>49</v>
      </c>
      <c r="C18" s="61" t="s">
        <v>38</v>
      </c>
      <c r="D18" s="62" t="s">
        <v>50</v>
      </c>
      <c r="E18" s="61" t="s">
        <v>51</v>
      </c>
      <c r="F18" s="61" t="s">
        <v>41</v>
      </c>
      <c r="G18" s="63">
        <v>1.6</v>
      </c>
      <c r="H18" s="64">
        <v>3.8</v>
      </c>
      <c r="I18" s="64">
        <v>1.9</v>
      </c>
      <c r="J18" s="75">
        <v>25</v>
      </c>
      <c r="K18" s="75">
        <v>25</v>
      </c>
      <c r="L18" s="75">
        <v>26</v>
      </c>
      <c r="M18" s="76">
        <v>10</v>
      </c>
      <c r="N18" s="76">
        <v>10</v>
      </c>
      <c r="O18" s="76">
        <v>16</v>
      </c>
      <c r="P18" s="66">
        <v>0.3</v>
      </c>
      <c r="Q18" s="67">
        <v>4</v>
      </c>
      <c r="R18" s="66">
        <v>37</v>
      </c>
      <c r="S18" s="66" t="s">
        <v>11</v>
      </c>
      <c r="T18" s="66" t="s">
        <v>11</v>
      </c>
      <c r="U18" s="68">
        <v>11.95</v>
      </c>
      <c r="V18" s="69">
        <f t="shared" si="5"/>
        <v>16.25</v>
      </c>
      <c r="W18" s="69">
        <f t="shared" si="1"/>
        <v>10.15625</v>
      </c>
      <c r="X18" s="70">
        <f t="shared" si="2"/>
        <v>7.4687499999999991</v>
      </c>
      <c r="Y18" s="71">
        <f t="shared" si="3"/>
        <v>1.6250000000000001E-2</v>
      </c>
      <c r="Z18" s="72">
        <f t="shared" si="4"/>
        <v>0.4</v>
      </c>
    </row>
    <row r="19" spans="2:26" s="26" customFormat="1" ht="12" x14ac:dyDescent="0.25">
      <c r="B19" s="61" t="s">
        <v>52</v>
      </c>
      <c r="C19" s="61" t="s">
        <v>17</v>
      </c>
      <c r="D19" s="62" t="s">
        <v>53</v>
      </c>
      <c r="E19" s="61" t="s">
        <v>54</v>
      </c>
      <c r="F19" s="61" t="s">
        <v>20</v>
      </c>
      <c r="G19" s="63">
        <v>1.6</v>
      </c>
      <c r="H19" s="64">
        <v>4.3</v>
      </c>
      <c r="I19" s="64">
        <v>1.9</v>
      </c>
      <c r="J19" s="65">
        <v>25</v>
      </c>
      <c r="K19" s="65">
        <v>25</v>
      </c>
      <c r="L19" s="65">
        <v>29</v>
      </c>
      <c r="M19" s="65">
        <v>10</v>
      </c>
      <c r="N19" s="65">
        <v>10</v>
      </c>
      <c r="O19" s="65">
        <v>16</v>
      </c>
      <c r="P19" s="66" t="s">
        <v>55</v>
      </c>
      <c r="Q19" s="67">
        <v>4</v>
      </c>
      <c r="R19" s="66">
        <v>36</v>
      </c>
      <c r="S19" s="66" t="s">
        <v>11</v>
      </c>
      <c r="T19" s="66" t="s">
        <v>11</v>
      </c>
      <c r="U19" s="68">
        <v>13.4</v>
      </c>
      <c r="V19" s="69">
        <f t="shared" si="5"/>
        <v>18.125</v>
      </c>
      <c r="W19" s="69">
        <f t="shared" si="1"/>
        <v>11.328125</v>
      </c>
      <c r="X19" s="70">
        <f t="shared" si="2"/>
        <v>8.375</v>
      </c>
      <c r="Y19" s="71">
        <f t="shared" si="3"/>
        <v>1.8124999999999999E-2</v>
      </c>
      <c r="Z19" s="72">
        <f t="shared" si="4"/>
        <v>0.4</v>
      </c>
    </row>
    <row r="20" spans="2:26" s="26" customFormat="1" ht="12" x14ac:dyDescent="0.25">
      <c r="B20" s="61" t="s">
        <v>56</v>
      </c>
      <c r="C20" s="61" t="s">
        <v>38</v>
      </c>
      <c r="D20" s="62" t="s">
        <v>53</v>
      </c>
      <c r="E20" s="61" t="s">
        <v>57</v>
      </c>
      <c r="F20" s="61" t="s">
        <v>41</v>
      </c>
      <c r="G20" s="63">
        <v>0.85</v>
      </c>
      <c r="H20" s="64">
        <v>2.2000000000000002</v>
      </c>
      <c r="I20" s="64">
        <v>1.3</v>
      </c>
      <c r="J20" s="65">
        <v>25</v>
      </c>
      <c r="K20" s="65">
        <v>18</v>
      </c>
      <c r="L20" s="65">
        <v>21</v>
      </c>
      <c r="M20" s="65">
        <v>17</v>
      </c>
      <c r="N20" s="65">
        <v>10</v>
      </c>
      <c r="O20" s="65">
        <v>5</v>
      </c>
      <c r="P20" s="66">
        <v>0.3</v>
      </c>
      <c r="Q20" s="67">
        <v>2</v>
      </c>
      <c r="R20" s="66">
        <v>18.5</v>
      </c>
      <c r="S20" s="66" t="s">
        <v>11</v>
      </c>
      <c r="T20" s="66" t="s">
        <v>11</v>
      </c>
      <c r="U20" s="68">
        <v>10.6</v>
      </c>
      <c r="V20" s="69">
        <f t="shared" si="5"/>
        <v>9.4499999999999993</v>
      </c>
      <c r="W20" s="69">
        <f t="shared" si="1"/>
        <v>11.117647058823529</v>
      </c>
      <c r="X20" s="70">
        <f t="shared" si="2"/>
        <v>12.470588235294118</v>
      </c>
      <c r="Y20" s="71">
        <f t="shared" si="3"/>
        <v>9.4500000000000001E-3</v>
      </c>
      <c r="Z20" s="72">
        <f t="shared" si="4"/>
        <v>0.42499999999999999</v>
      </c>
    </row>
    <row r="21" spans="2:26" s="26" customFormat="1" ht="12" x14ac:dyDescent="0.25">
      <c r="B21" s="61" t="s">
        <v>58</v>
      </c>
      <c r="C21" s="61" t="s">
        <v>13</v>
      </c>
      <c r="D21" s="62" t="s">
        <v>39</v>
      </c>
      <c r="E21" s="61" t="s">
        <v>59</v>
      </c>
      <c r="F21" s="61" t="s">
        <v>15</v>
      </c>
      <c r="G21" s="63">
        <v>4.4000000000000004</v>
      </c>
      <c r="H21" s="64">
        <v>19.05</v>
      </c>
      <c r="I21" s="64">
        <v>10.75</v>
      </c>
      <c r="J21" s="75">
        <v>33</v>
      </c>
      <c r="K21" s="75">
        <v>89</v>
      </c>
      <c r="L21" s="75">
        <v>31</v>
      </c>
      <c r="M21" s="76">
        <v>16</v>
      </c>
      <c r="N21" s="76">
        <v>46</v>
      </c>
      <c r="O21" s="76">
        <v>6</v>
      </c>
      <c r="P21" s="66">
        <v>0.3</v>
      </c>
      <c r="Q21" s="67">
        <v>19</v>
      </c>
      <c r="R21" s="66">
        <v>65</v>
      </c>
      <c r="S21" s="66" t="s">
        <v>11</v>
      </c>
      <c r="T21" s="66" t="s">
        <v>11</v>
      </c>
      <c r="U21" s="68">
        <v>198.77</v>
      </c>
      <c r="V21" s="69">
        <f t="shared" si="5"/>
        <v>91.046999999999997</v>
      </c>
      <c r="W21" s="69">
        <f t="shared" si="1"/>
        <v>20.692499999999999</v>
      </c>
      <c r="X21" s="70">
        <f t="shared" si="2"/>
        <v>45.174999999999997</v>
      </c>
      <c r="Y21" s="71">
        <f t="shared" si="3"/>
        <v>9.1047000000000003E-2</v>
      </c>
      <c r="Z21" s="72">
        <f t="shared" si="4"/>
        <v>0.23157894736842108</v>
      </c>
    </row>
    <row r="22" spans="2:26" s="26" customFormat="1" ht="12" x14ac:dyDescent="0.25">
      <c r="B22" s="61" t="s">
        <v>60</v>
      </c>
      <c r="C22" s="61" t="s">
        <v>7</v>
      </c>
      <c r="D22" s="62" t="s">
        <v>53</v>
      </c>
      <c r="E22" s="61" t="s">
        <v>61</v>
      </c>
      <c r="F22" s="61" t="s">
        <v>10</v>
      </c>
      <c r="G22" s="63">
        <v>23.1</v>
      </c>
      <c r="H22" s="64">
        <v>48.9</v>
      </c>
      <c r="I22" s="64">
        <v>18.899999999999999</v>
      </c>
      <c r="J22" s="65">
        <v>77</v>
      </c>
      <c r="K22" s="65">
        <v>62</v>
      </c>
      <c r="L22" s="65">
        <v>52</v>
      </c>
      <c r="M22" s="65">
        <v>45</v>
      </c>
      <c r="N22" s="65">
        <v>30</v>
      </c>
      <c r="O22" s="65">
        <v>18</v>
      </c>
      <c r="P22" s="66" t="s">
        <v>55</v>
      </c>
      <c r="Q22" s="67">
        <v>50</v>
      </c>
      <c r="R22" s="66">
        <v>100</v>
      </c>
      <c r="S22" s="66" t="s">
        <v>11</v>
      </c>
      <c r="T22" s="66" t="s">
        <v>11</v>
      </c>
      <c r="U22" s="68">
        <v>183</v>
      </c>
      <c r="V22" s="69">
        <f t="shared" si="5"/>
        <v>248.24799999999999</v>
      </c>
      <c r="W22" s="69">
        <f t="shared" si="1"/>
        <v>10.746666666666666</v>
      </c>
      <c r="X22" s="70">
        <f t="shared" si="2"/>
        <v>7.9220779220779214</v>
      </c>
      <c r="Y22" s="71">
        <f t="shared" si="3"/>
        <v>0.248248</v>
      </c>
      <c r="Z22" s="72">
        <f t="shared" si="4"/>
        <v>0.46200000000000002</v>
      </c>
    </row>
    <row r="23" spans="2:26" s="26" customFormat="1" ht="12" x14ac:dyDescent="0.25">
      <c r="B23" s="61" t="s">
        <v>62</v>
      </c>
      <c r="C23" s="61" t="s">
        <v>13</v>
      </c>
      <c r="D23" s="62" t="s">
        <v>53</v>
      </c>
      <c r="E23" s="61" t="s">
        <v>63</v>
      </c>
      <c r="F23" s="61" t="s">
        <v>15</v>
      </c>
      <c r="G23" s="63">
        <v>5</v>
      </c>
      <c r="H23" s="64">
        <v>25</v>
      </c>
      <c r="I23" s="64">
        <v>11.8</v>
      </c>
      <c r="J23" s="65">
        <v>79</v>
      </c>
      <c r="K23" s="65">
        <v>41</v>
      </c>
      <c r="L23" s="65">
        <v>43</v>
      </c>
      <c r="M23" s="65">
        <v>50</v>
      </c>
      <c r="N23" s="65">
        <v>10</v>
      </c>
      <c r="O23" s="65">
        <v>10</v>
      </c>
      <c r="P23" s="66">
        <v>0.3</v>
      </c>
      <c r="Q23" s="67">
        <v>26</v>
      </c>
      <c r="R23" s="66">
        <v>98</v>
      </c>
      <c r="S23" s="66" t="s">
        <v>11</v>
      </c>
      <c r="T23" s="66" t="s">
        <v>11</v>
      </c>
      <c r="U23" s="68">
        <v>102</v>
      </c>
      <c r="V23" s="69">
        <f t="shared" si="5"/>
        <v>139.27699999999999</v>
      </c>
      <c r="W23" s="69">
        <f t="shared" si="1"/>
        <v>27.855399999999996</v>
      </c>
      <c r="X23" s="70">
        <f t="shared" si="2"/>
        <v>20.399999999999999</v>
      </c>
      <c r="Y23" s="71">
        <f t="shared" si="3"/>
        <v>0.13927700000000001</v>
      </c>
      <c r="Z23" s="72">
        <f t="shared" si="4"/>
        <v>0.19230769230769232</v>
      </c>
    </row>
    <row r="24" spans="2:26" s="26" customFormat="1" ht="12" x14ac:dyDescent="0.25">
      <c r="B24" s="61" t="s">
        <v>64</v>
      </c>
      <c r="C24" s="61" t="s">
        <v>7</v>
      </c>
      <c r="D24" s="62" t="s">
        <v>46</v>
      </c>
      <c r="E24" s="61" t="s">
        <v>65</v>
      </c>
      <c r="F24" s="61" t="s">
        <v>10</v>
      </c>
      <c r="G24" s="63">
        <v>20</v>
      </c>
      <c r="H24" s="64">
        <v>49</v>
      </c>
      <c r="I24" s="64">
        <v>20.7</v>
      </c>
      <c r="J24" s="65">
        <v>78</v>
      </c>
      <c r="K24" s="65">
        <v>54</v>
      </c>
      <c r="L24" s="65">
        <v>55</v>
      </c>
      <c r="M24" s="65">
        <v>46</v>
      </c>
      <c r="N24" s="65">
        <v>23</v>
      </c>
      <c r="O24" s="65">
        <v>19</v>
      </c>
      <c r="P24" s="66" t="s">
        <v>48</v>
      </c>
      <c r="Q24" s="67">
        <v>52</v>
      </c>
      <c r="R24" s="66">
        <v>145</v>
      </c>
      <c r="S24" s="66" t="s">
        <v>11</v>
      </c>
      <c r="T24" s="66" t="s">
        <v>11</v>
      </c>
      <c r="U24" s="68">
        <v>150</v>
      </c>
      <c r="V24" s="69">
        <f t="shared" si="5"/>
        <v>231.66</v>
      </c>
      <c r="W24" s="69">
        <f t="shared" si="1"/>
        <v>11.583</v>
      </c>
      <c r="X24" s="70">
        <f t="shared" si="2"/>
        <v>7.5</v>
      </c>
      <c r="Y24" s="71">
        <f t="shared" si="3"/>
        <v>0.23166</v>
      </c>
      <c r="Z24" s="72">
        <f t="shared" si="4"/>
        <v>0.38461538461538464</v>
      </c>
    </row>
    <row r="25" spans="2:26" s="26" customFormat="1" ht="12" x14ac:dyDescent="0.25">
      <c r="B25" s="61" t="s">
        <v>66</v>
      </c>
      <c r="C25" s="61" t="s">
        <v>17</v>
      </c>
      <c r="D25" s="62" t="s">
        <v>46</v>
      </c>
      <c r="E25" s="61" t="s">
        <v>67</v>
      </c>
      <c r="F25" s="61" t="s">
        <v>20</v>
      </c>
      <c r="G25" s="63">
        <v>1.5</v>
      </c>
      <c r="H25" s="64">
        <v>3.7</v>
      </c>
      <c r="I25" s="64">
        <v>1.8</v>
      </c>
      <c r="J25" s="65">
        <v>25</v>
      </c>
      <c r="K25" s="65">
        <v>25</v>
      </c>
      <c r="L25" s="65">
        <v>28</v>
      </c>
      <c r="M25" s="65">
        <v>9</v>
      </c>
      <c r="N25" s="65">
        <v>9</v>
      </c>
      <c r="O25" s="65">
        <v>17</v>
      </c>
      <c r="P25" s="66">
        <v>0.3</v>
      </c>
      <c r="Q25" s="67">
        <v>4</v>
      </c>
      <c r="R25" s="66">
        <v>36</v>
      </c>
      <c r="S25" s="66" t="s">
        <v>11</v>
      </c>
      <c r="T25" s="66" t="s">
        <v>11</v>
      </c>
      <c r="U25" s="68">
        <v>12.5</v>
      </c>
      <c r="V25" s="69">
        <f t="shared" si="5"/>
        <v>17.5</v>
      </c>
      <c r="W25" s="69">
        <f t="shared" si="1"/>
        <v>11.666666666666666</v>
      </c>
      <c r="X25" s="70">
        <f t="shared" si="2"/>
        <v>8.3333333333333339</v>
      </c>
      <c r="Y25" s="71">
        <f t="shared" si="3"/>
        <v>1.7500000000000002E-2</v>
      </c>
      <c r="Z25" s="72">
        <f t="shared" si="4"/>
        <v>0.375</v>
      </c>
    </row>
    <row r="26" spans="2:26" s="26" customFormat="1" ht="12" x14ac:dyDescent="0.25">
      <c r="B26" s="61" t="s">
        <v>68</v>
      </c>
      <c r="C26" s="61" t="s">
        <v>13</v>
      </c>
      <c r="D26" s="62" t="s">
        <v>46</v>
      </c>
      <c r="E26" s="61" t="s">
        <v>69</v>
      </c>
      <c r="F26" s="61" t="s">
        <v>15</v>
      </c>
      <c r="G26" s="63">
        <v>7.2</v>
      </c>
      <c r="H26" s="64">
        <v>26.8</v>
      </c>
      <c r="I26" s="64">
        <v>14.8</v>
      </c>
      <c r="J26" s="65">
        <v>82</v>
      </c>
      <c r="K26" s="65">
        <v>36</v>
      </c>
      <c r="L26" s="65">
        <v>38</v>
      </c>
      <c r="M26" s="65">
        <v>50</v>
      </c>
      <c r="N26" s="65">
        <v>12</v>
      </c>
      <c r="O26" s="65">
        <v>12</v>
      </c>
      <c r="P26" s="66" t="s">
        <v>48</v>
      </c>
      <c r="Q26" s="67">
        <v>26</v>
      </c>
      <c r="R26" s="66">
        <v>98</v>
      </c>
      <c r="S26" s="66" t="s">
        <v>11</v>
      </c>
      <c r="T26" s="66" t="s">
        <v>11</v>
      </c>
      <c r="U26" s="68">
        <v>120</v>
      </c>
      <c r="V26" s="69">
        <f t="shared" si="5"/>
        <v>112.176</v>
      </c>
      <c r="W26" s="69">
        <f t="shared" si="1"/>
        <v>15.58</v>
      </c>
      <c r="X26" s="70">
        <f t="shared" si="2"/>
        <v>16.666666666666668</v>
      </c>
      <c r="Y26" s="71">
        <f t="shared" si="3"/>
        <v>0.112176</v>
      </c>
      <c r="Z26" s="72">
        <f t="shared" si="4"/>
        <v>0.27692307692307694</v>
      </c>
    </row>
    <row r="27" spans="2:26" s="26" customFormat="1" ht="12" x14ac:dyDescent="0.25">
      <c r="B27" s="61" t="s">
        <v>70</v>
      </c>
      <c r="C27" s="61" t="s">
        <v>38</v>
      </c>
      <c r="D27" s="62" t="s">
        <v>71</v>
      </c>
      <c r="E27" s="61"/>
      <c r="F27" s="61" t="s">
        <v>41</v>
      </c>
      <c r="G27" s="63">
        <v>0.7</v>
      </c>
      <c r="H27" s="64">
        <v>2.88</v>
      </c>
      <c r="I27" s="64">
        <v>1.44</v>
      </c>
      <c r="J27" s="65">
        <v>28</v>
      </c>
      <c r="K27" s="65">
        <v>21</v>
      </c>
      <c r="L27" s="65">
        <v>25</v>
      </c>
      <c r="M27" s="65">
        <v>12</v>
      </c>
      <c r="N27" s="65">
        <v>7</v>
      </c>
      <c r="O27" s="65">
        <v>8</v>
      </c>
      <c r="P27" s="66" t="s">
        <v>72</v>
      </c>
      <c r="Q27" s="67">
        <v>8</v>
      </c>
      <c r="R27" s="66">
        <v>27</v>
      </c>
      <c r="S27" s="66" t="s">
        <v>11</v>
      </c>
      <c r="T27" s="66" t="s">
        <v>11</v>
      </c>
      <c r="U27" s="68">
        <v>18.5</v>
      </c>
      <c r="V27" s="69">
        <f t="shared" si="5"/>
        <v>14.7</v>
      </c>
      <c r="W27" s="69">
        <f t="shared" si="1"/>
        <v>21</v>
      </c>
      <c r="X27" s="70">
        <f t="shared" si="2"/>
        <v>26.428571428571431</v>
      </c>
      <c r="Y27" s="71">
        <f t="shared" si="3"/>
        <v>1.47E-2</v>
      </c>
      <c r="Z27" s="72">
        <f t="shared" si="4"/>
        <v>8.7499999999999994E-2</v>
      </c>
    </row>
    <row r="28" spans="2:26" s="26" customFormat="1" ht="12" x14ac:dyDescent="0.25">
      <c r="B28" s="77" t="s">
        <v>73</v>
      </c>
      <c r="C28" s="77" t="s">
        <v>74</v>
      </c>
      <c r="D28" s="78" t="s">
        <v>22</v>
      </c>
      <c r="E28" s="77">
        <v>390</v>
      </c>
      <c r="F28" s="77" t="s">
        <v>15</v>
      </c>
      <c r="G28" s="79">
        <v>9.1999999999999993</v>
      </c>
      <c r="H28" s="80">
        <v>21.6</v>
      </c>
      <c r="I28" s="80">
        <v>6.88</v>
      </c>
      <c r="J28" s="73">
        <v>54</v>
      </c>
      <c r="K28" s="73">
        <v>38</v>
      </c>
      <c r="L28" s="73">
        <v>35</v>
      </c>
      <c r="M28" s="76">
        <v>32</v>
      </c>
      <c r="N28" s="76">
        <v>18</v>
      </c>
      <c r="O28" s="76">
        <v>16</v>
      </c>
      <c r="P28" s="81">
        <v>0.4</v>
      </c>
      <c r="Q28" s="82">
        <v>27</v>
      </c>
      <c r="R28" s="81">
        <v>52</v>
      </c>
      <c r="S28" s="83" t="s">
        <v>11</v>
      </c>
      <c r="T28" s="84" t="s">
        <v>11</v>
      </c>
      <c r="U28" s="85"/>
      <c r="V28" s="86">
        <f t="shared" si="5"/>
        <v>71.819999999999993</v>
      </c>
      <c r="W28" s="86">
        <f t="shared" si="1"/>
        <v>7.8065217391304342</v>
      </c>
      <c r="X28" s="70">
        <f>IF(G28="","",$U28/G28)</f>
        <v>0</v>
      </c>
      <c r="Y28" s="71">
        <f>J28*K28*L28/1000000</f>
        <v>7.1819999999999995E-2</v>
      </c>
      <c r="Z28" s="72">
        <f>G28/Q28</f>
        <v>0.34074074074074073</v>
      </c>
    </row>
    <row r="29" spans="2:26" s="26" customFormat="1" ht="12" x14ac:dyDescent="0.25">
      <c r="B29" s="61" t="s">
        <v>75</v>
      </c>
      <c r="C29" s="61" t="s">
        <v>17</v>
      </c>
      <c r="D29" s="62" t="s">
        <v>76</v>
      </c>
      <c r="E29" s="61" t="s">
        <v>77</v>
      </c>
      <c r="F29" s="61" t="s">
        <v>20</v>
      </c>
      <c r="G29" s="63">
        <v>1.4</v>
      </c>
      <c r="H29" s="64">
        <v>5.3</v>
      </c>
      <c r="I29" s="64">
        <v>2.4</v>
      </c>
      <c r="J29" s="65">
        <v>37</v>
      </c>
      <c r="K29" s="65">
        <v>25</v>
      </c>
      <c r="L29" s="65">
        <v>35</v>
      </c>
      <c r="M29" s="65">
        <v>12</v>
      </c>
      <c r="N29" s="65">
        <v>6</v>
      </c>
      <c r="O29" s="65">
        <v>20</v>
      </c>
      <c r="P29" s="66">
        <v>0.6</v>
      </c>
      <c r="Q29" s="67">
        <v>4</v>
      </c>
      <c r="R29" s="66">
        <v>53</v>
      </c>
      <c r="S29" s="66" t="s">
        <v>11</v>
      </c>
      <c r="T29" s="66" t="s">
        <v>11</v>
      </c>
      <c r="U29" s="68">
        <v>46.31</v>
      </c>
      <c r="V29" s="69">
        <f t="shared" si="5"/>
        <v>32.375</v>
      </c>
      <c r="W29" s="69">
        <f t="shared" si="1"/>
        <v>23.125</v>
      </c>
      <c r="X29" s="70">
        <f t="shared" si="2"/>
        <v>33.078571428571429</v>
      </c>
      <c r="Y29" s="71">
        <f t="shared" si="3"/>
        <v>3.2375000000000001E-2</v>
      </c>
      <c r="Z29" s="72">
        <f t="shared" si="4"/>
        <v>0.35</v>
      </c>
    </row>
    <row r="30" spans="2:26" s="26" customFormat="1" ht="12" x14ac:dyDescent="0.25">
      <c r="B30" s="61" t="s">
        <v>78</v>
      </c>
      <c r="C30" s="61" t="s">
        <v>17</v>
      </c>
      <c r="D30" s="62" t="s">
        <v>46</v>
      </c>
      <c r="E30" s="61" t="s">
        <v>79</v>
      </c>
      <c r="F30" s="61" t="s">
        <v>20</v>
      </c>
      <c r="G30" s="63">
        <v>1.7</v>
      </c>
      <c r="H30" s="64">
        <v>4.5</v>
      </c>
      <c r="I30" s="64">
        <v>1.8</v>
      </c>
      <c r="J30" s="65">
        <v>27</v>
      </c>
      <c r="K30" s="65">
        <v>26</v>
      </c>
      <c r="L30" s="65">
        <v>28</v>
      </c>
      <c r="M30" s="65">
        <v>10</v>
      </c>
      <c r="N30" s="65">
        <v>10</v>
      </c>
      <c r="O30" s="65">
        <v>17</v>
      </c>
      <c r="P30" s="66" t="s">
        <v>48</v>
      </c>
      <c r="Q30" s="67">
        <v>4</v>
      </c>
      <c r="R30" s="66">
        <v>36</v>
      </c>
      <c r="S30" s="66" t="s">
        <v>11</v>
      </c>
      <c r="T30" s="66" t="s">
        <v>11</v>
      </c>
      <c r="U30" s="68">
        <v>12.5</v>
      </c>
      <c r="V30" s="69">
        <f t="shared" si="5"/>
        <v>19.655999999999999</v>
      </c>
      <c r="W30" s="69">
        <f t="shared" si="1"/>
        <v>11.562352941176471</v>
      </c>
      <c r="X30" s="70">
        <f t="shared" si="2"/>
        <v>7.3529411764705888</v>
      </c>
      <c r="Y30" s="71">
        <f t="shared" si="3"/>
        <v>1.9656E-2</v>
      </c>
      <c r="Z30" s="72">
        <f t="shared" si="4"/>
        <v>0.42499999999999999</v>
      </c>
    </row>
    <row r="31" spans="2:26" s="26" customFormat="1" ht="12" x14ac:dyDescent="0.25">
      <c r="B31" s="61" t="s">
        <v>80</v>
      </c>
      <c r="C31" s="61" t="s">
        <v>81</v>
      </c>
      <c r="D31" s="62" t="s">
        <v>82</v>
      </c>
      <c r="E31" s="61" t="s">
        <v>83</v>
      </c>
      <c r="F31" s="61"/>
      <c r="G31" s="63">
        <v>1.7</v>
      </c>
      <c r="H31" s="64">
        <v>2.34</v>
      </c>
      <c r="I31" s="64">
        <v>0.42</v>
      </c>
      <c r="J31" s="65">
        <v>25.5</v>
      </c>
      <c r="K31" s="65">
        <v>15.7</v>
      </c>
      <c r="L31" s="65">
        <v>26.1</v>
      </c>
      <c r="M31" s="65">
        <v>12.5</v>
      </c>
      <c r="N31" s="65">
        <v>9</v>
      </c>
      <c r="O31" s="65">
        <v>16.5</v>
      </c>
      <c r="P31" s="66">
        <v>0.3</v>
      </c>
      <c r="Q31" s="67">
        <v>3</v>
      </c>
      <c r="R31" s="66">
        <v>5.5</v>
      </c>
      <c r="S31" s="66" t="s">
        <v>11</v>
      </c>
      <c r="T31" s="66" t="s">
        <v>11</v>
      </c>
      <c r="U31" s="68">
        <v>3</v>
      </c>
      <c r="V31" s="69">
        <f t="shared" si="5"/>
        <v>10.449135</v>
      </c>
      <c r="W31" s="69">
        <f t="shared" si="1"/>
        <v>6.1465500000000004</v>
      </c>
      <c r="X31" s="70">
        <f t="shared" si="2"/>
        <v>1.7647058823529411</v>
      </c>
      <c r="Y31" s="71">
        <f t="shared" si="3"/>
        <v>1.0449135E-2</v>
      </c>
      <c r="Z31" s="72">
        <f t="shared" si="4"/>
        <v>0.56666666666666665</v>
      </c>
    </row>
    <row r="32" spans="2:26" s="26" customFormat="1" ht="12" x14ac:dyDescent="0.25">
      <c r="B32" s="61" t="s">
        <v>84</v>
      </c>
      <c r="C32" s="61" t="s">
        <v>7</v>
      </c>
      <c r="D32" s="62" t="s">
        <v>53</v>
      </c>
      <c r="E32" s="61" t="s">
        <v>85</v>
      </c>
      <c r="F32" s="61" t="s">
        <v>10</v>
      </c>
      <c r="G32" s="63">
        <v>15</v>
      </c>
      <c r="H32" s="64">
        <v>33.299999999999997</v>
      </c>
      <c r="I32" s="64">
        <v>11.2</v>
      </c>
      <c r="J32" s="65">
        <v>72</v>
      </c>
      <c r="K32" s="65">
        <v>43</v>
      </c>
      <c r="L32" s="65">
        <v>40</v>
      </c>
      <c r="M32" s="65">
        <v>49</v>
      </c>
      <c r="N32" s="65">
        <v>20</v>
      </c>
      <c r="O32" s="65">
        <v>16</v>
      </c>
      <c r="P32" s="66" t="s">
        <v>86</v>
      </c>
      <c r="Q32" s="67">
        <v>22</v>
      </c>
      <c r="R32" s="66">
        <v>61</v>
      </c>
      <c r="S32" s="66" t="s">
        <v>11</v>
      </c>
      <c r="T32" s="66" t="s">
        <v>11</v>
      </c>
      <c r="U32" s="68">
        <v>125</v>
      </c>
      <c r="V32" s="69">
        <f t="shared" si="5"/>
        <v>123.84</v>
      </c>
      <c r="W32" s="69">
        <f t="shared" si="1"/>
        <v>8.2560000000000002</v>
      </c>
      <c r="X32" s="70">
        <f t="shared" si="2"/>
        <v>8.3333333333333339</v>
      </c>
      <c r="Y32" s="71">
        <f t="shared" si="3"/>
        <v>0.12384000000000001</v>
      </c>
      <c r="Z32" s="72">
        <f t="shared" si="4"/>
        <v>0.68181818181818177</v>
      </c>
    </row>
    <row r="33" spans="2:26" s="26" customFormat="1" ht="12" x14ac:dyDescent="0.25">
      <c r="B33" s="61" t="s">
        <v>87</v>
      </c>
      <c r="C33" s="61" t="s">
        <v>17</v>
      </c>
      <c r="D33" s="62" t="s">
        <v>46</v>
      </c>
      <c r="E33" s="61" t="s">
        <v>88</v>
      </c>
      <c r="F33" s="61" t="s">
        <v>20</v>
      </c>
      <c r="G33" s="63">
        <v>10</v>
      </c>
      <c r="H33" s="64">
        <v>33.799999999999997</v>
      </c>
      <c r="I33" s="64">
        <v>17.5</v>
      </c>
      <c r="J33" s="65">
        <v>57</v>
      </c>
      <c r="K33" s="65">
        <v>56</v>
      </c>
      <c r="L33" s="65">
        <v>53</v>
      </c>
      <c r="M33" s="65">
        <v>25</v>
      </c>
      <c r="N33" s="65">
        <v>20</v>
      </c>
      <c r="O33" s="65">
        <v>20</v>
      </c>
      <c r="P33" s="66">
        <v>0.6</v>
      </c>
      <c r="Q33" s="67">
        <v>17</v>
      </c>
      <c r="R33" s="66">
        <v>95</v>
      </c>
      <c r="S33" s="66" t="s">
        <v>11</v>
      </c>
      <c r="T33" s="66" t="s">
        <v>11</v>
      </c>
      <c r="U33" s="68">
        <v>12.8</v>
      </c>
      <c r="V33" s="69">
        <f t="shared" si="5"/>
        <v>169.17599999999999</v>
      </c>
      <c r="W33" s="69">
        <f t="shared" si="1"/>
        <v>16.9176</v>
      </c>
      <c r="X33" s="70">
        <f t="shared" si="2"/>
        <v>1.28</v>
      </c>
      <c r="Y33" s="71">
        <f t="shared" si="3"/>
        <v>0.16917599999999999</v>
      </c>
      <c r="Z33" s="72">
        <f t="shared" si="4"/>
        <v>0.58823529411764708</v>
      </c>
    </row>
    <row r="34" spans="2:26" s="26" customFormat="1" ht="12" x14ac:dyDescent="0.25">
      <c r="B34" s="61" t="s">
        <v>89</v>
      </c>
      <c r="C34" s="61" t="s">
        <v>38</v>
      </c>
      <c r="D34" s="62" t="s">
        <v>90</v>
      </c>
      <c r="E34" s="61" t="s">
        <v>91</v>
      </c>
      <c r="F34" s="61" t="s">
        <v>41</v>
      </c>
      <c r="G34" s="63">
        <v>0.86</v>
      </c>
      <c r="H34" s="64">
        <v>2</v>
      </c>
      <c r="I34" s="64">
        <v>1</v>
      </c>
      <c r="J34" s="65">
        <v>18.5</v>
      </c>
      <c r="K34" s="65">
        <v>21</v>
      </c>
      <c r="L34" s="65">
        <v>14.5</v>
      </c>
      <c r="M34" s="65">
        <v>5.3</v>
      </c>
      <c r="N34" s="65">
        <v>16.8</v>
      </c>
      <c r="O34" s="65">
        <v>9.8000000000000007</v>
      </c>
      <c r="P34" s="64">
        <v>0.4</v>
      </c>
      <c r="Q34" s="67">
        <v>2</v>
      </c>
      <c r="R34" s="64">
        <v>14</v>
      </c>
      <c r="S34" s="66" t="s">
        <v>11</v>
      </c>
      <c r="T34" s="66" t="s">
        <v>11</v>
      </c>
      <c r="U34" s="68">
        <v>3.6</v>
      </c>
      <c r="V34" s="69">
        <f t="shared" si="5"/>
        <v>5.6332500000000003</v>
      </c>
      <c r="W34" s="69">
        <f t="shared" si="1"/>
        <v>6.5502906976744191</v>
      </c>
      <c r="X34" s="70">
        <f t="shared" si="2"/>
        <v>4.1860465116279073</v>
      </c>
      <c r="Y34" s="71">
        <f t="shared" si="3"/>
        <v>5.6332500000000002E-3</v>
      </c>
      <c r="Z34" s="72">
        <f t="shared" si="4"/>
        <v>0.43</v>
      </c>
    </row>
    <row r="35" spans="2:26" s="26" customFormat="1" ht="12" x14ac:dyDescent="0.25">
      <c r="B35" s="61" t="s">
        <v>92</v>
      </c>
      <c r="C35" s="61" t="s">
        <v>17</v>
      </c>
      <c r="D35" s="62" t="s">
        <v>93</v>
      </c>
      <c r="E35" s="61" t="s">
        <v>94</v>
      </c>
      <c r="F35" s="61" t="s">
        <v>20</v>
      </c>
      <c r="G35" s="63">
        <v>3</v>
      </c>
      <c r="H35" s="64">
        <v>6.1</v>
      </c>
      <c r="I35" s="64">
        <v>1.6</v>
      </c>
      <c r="J35" s="65">
        <v>30</v>
      </c>
      <c r="K35" s="65">
        <v>39</v>
      </c>
      <c r="L35" s="65">
        <v>26</v>
      </c>
      <c r="M35" s="65">
        <v>17</v>
      </c>
      <c r="N35" s="65">
        <v>20</v>
      </c>
      <c r="O35" s="65">
        <v>9</v>
      </c>
      <c r="P35" s="66"/>
      <c r="Q35" s="67">
        <v>6</v>
      </c>
      <c r="R35" s="66">
        <v>36</v>
      </c>
      <c r="S35" s="66">
        <v>20</v>
      </c>
      <c r="T35" s="66" t="s">
        <v>11</v>
      </c>
      <c r="U35" s="68">
        <f>28.4*1.3</f>
        <v>36.92</v>
      </c>
      <c r="V35" s="69">
        <f t="shared" si="5"/>
        <v>30.42</v>
      </c>
      <c r="W35" s="69">
        <f t="shared" si="1"/>
        <v>10.14</v>
      </c>
      <c r="X35" s="70">
        <f t="shared" si="2"/>
        <v>12.306666666666667</v>
      </c>
      <c r="Y35" s="71">
        <f t="shared" si="3"/>
        <v>3.0419999999999999E-2</v>
      </c>
      <c r="Z35" s="72">
        <f t="shared" si="4"/>
        <v>0.5</v>
      </c>
    </row>
    <row r="36" spans="2:26" s="26" customFormat="1" ht="12" x14ac:dyDescent="0.25">
      <c r="B36" s="61" t="s">
        <v>95</v>
      </c>
      <c r="C36" s="61" t="s">
        <v>7</v>
      </c>
      <c r="D36" s="62" t="s">
        <v>93</v>
      </c>
      <c r="E36" s="61" t="s">
        <v>96</v>
      </c>
      <c r="F36" s="61" t="s">
        <v>10</v>
      </c>
      <c r="G36" s="63">
        <v>18.8</v>
      </c>
      <c r="H36" s="64">
        <v>16.600000000000001</v>
      </c>
      <c r="I36" s="64">
        <v>4.32</v>
      </c>
      <c r="J36" s="65">
        <v>51</v>
      </c>
      <c r="K36" s="65">
        <v>52</v>
      </c>
      <c r="L36" s="65">
        <v>37</v>
      </c>
      <c r="M36" s="65">
        <v>38</v>
      </c>
      <c r="N36" s="65">
        <v>31</v>
      </c>
      <c r="O36" s="65">
        <v>16</v>
      </c>
      <c r="P36" s="66"/>
      <c r="Q36" s="67">
        <v>22</v>
      </c>
      <c r="R36" s="66">
        <v>63.2</v>
      </c>
      <c r="S36" s="66">
        <v>30</v>
      </c>
      <c r="T36" s="66" t="s">
        <v>11</v>
      </c>
      <c r="U36" s="68">
        <f>51*1.3</f>
        <v>66.3</v>
      </c>
      <c r="V36" s="69">
        <f t="shared" si="5"/>
        <v>98.123999999999995</v>
      </c>
      <c r="W36" s="69">
        <f t="shared" si="1"/>
        <v>5.2193617021276593</v>
      </c>
      <c r="X36" s="70">
        <f t="shared" si="2"/>
        <v>3.5265957446808507</v>
      </c>
      <c r="Y36" s="71">
        <f t="shared" si="3"/>
        <v>9.8124000000000003E-2</v>
      </c>
      <c r="Z36" s="72">
        <f t="shared" si="4"/>
        <v>0.85454545454545461</v>
      </c>
    </row>
    <row r="37" spans="2:26" s="26" customFormat="1" ht="12" x14ac:dyDescent="0.25">
      <c r="B37" s="61" t="s">
        <v>97</v>
      </c>
      <c r="C37" s="61" t="s">
        <v>7</v>
      </c>
      <c r="D37" s="62" t="s">
        <v>93</v>
      </c>
      <c r="E37" s="61" t="s">
        <v>98</v>
      </c>
      <c r="F37" s="61" t="s">
        <v>10</v>
      </c>
      <c r="G37" s="63">
        <v>28.4</v>
      </c>
      <c r="H37" s="64">
        <v>20.5</v>
      </c>
      <c r="I37" s="64">
        <v>5.9</v>
      </c>
      <c r="J37" s="65">
        <v>54</v>
      </c>
      <c r="K37" s="65">
        <v>53</v>
      </c>
      <c r="L37" s="65">
        <v>52</v>
      </c>
      <c r="M37" s="65">
        <v>38</v>
      </c>
      <c r="N37" s="65">
        <v>28</v>
      </c>
      <c r="O37" s="65">
        <v>26</v>
      </c>
      <c r="P37" s="66"/>
      <c r="Q37" s="67">
        <v>24</v>
      </c>
      <c r="R37" s="66">
        <v>76</v>
      </c>
      <c r="S37" s="66" t="s">
        <v>11</v>
      </c>
      <c r="T37" s="66" t="s">
        <v>11</v>
      </c>
      <c r="U37" s="68">
        <f>55*1.3</f>
        <v>71.5</v>
      </c>
      <c r="V37" s="69">
        <f t="shared" si="5"/>
        <v>148.82400000000001</v>
      </c>
      <c r="W37" s="69">
        <f t="shared" si="1"/>
        <v>5.2402816901408453</v>
      </c>
      <c r="X37" s="70">
        <f t="shared" si="2"/>
        <v>2.517605633802817</v>
      </c>
      <c r="Y37" s="71">
        <f t="shared" si="3"/>
        <v>0.14882400000000001</v>
      </c>
      <c r="Z37" s="72">
        <f t="shared" si="4"/>
        <v>1.1833333333333333</v>
      </c>
    </row>
    <row r="38" spans="2:26" s="26" customFormat="1" ht="12" x14ac:dyDescent="0.25">
      <c r="B38" s="61" t="s">
        <v>99</v>
      </c>
      <c r="C38" s="61" t="s">
        <v>7</v>
      </c>
      <c r="D38" s="62" t="s">
        <v>82</v>
      </c>
      <c r="E38" s="61" t="s">
        <v>100</v>
      </c>
      <c r="F38" s="61" t="s">
        <v>10</v>
      </c>
      <c r="G38" s="63">
        <v>21.6</v>
      </c>
      <c r="H38" s="64">
        <v>37.299999999999997</v>
      </c>
      <c r="I38" s="64">
        <v>10.3</v>
      </c>
      <c r="J38" s="65">
        <v>52</v>
      </c>
      <c r="K38" s="65">
        <v>64</v>
      </c>
      <c r="L38" s="65">
        <v>39</v>
      </c>
      <c r="M38" s="65">
        <v>30</v>
      </c>
      <c r="N38" s="65">
        <v>40</v>
      </c>
      <c r="O38" s="65">
        <v>18</v>
      </c>
      <c r="P38" s="66"/>
      <c r="Q38" s="67">
        <v>43</v>
      </c>
      <c r="R38" s="66">
        <v>100</v>
      </c>
      <c r="S38" s="66" t="s">
        <v>11</v>
      </c>
      <c r="T38" s="66" t="s">
        <v>11</v>
      </c>
      <c r="U38" s="68">
        <f>88*1.3</f>
        <v>114.4</v>
      </c>
      <c r="V38" s="69">
        <f t="shared" si="5"/>
        <v>129.792</v>
      </c>
      <c r="W38" s="69">
        <f t="shared" si="1"/>
        <v>6.0088888888888885</v>
      </c>
      <c r="X38" s="70">
        <f t="shared" si="2"/>
        <v>5.2962962962962958</v>
      </c>
      <c r="Y38" s="71">
        <f t="shared" si="3"/>
        <v>0.12979199999999999</v>
      </c>
      <c r="Z38" s="72">
        <f t="shared" si="4"/>
        <v>0.50232558139534889</v>
      </c>
    </row>
    <row r="39" spans="2:26" s="26" customFormat="1" ht="12" x14ac:dyDescent="0.25">
      <c r="B39" s="61" t="s">
        <v>101</v>
      </c>
      <c r="C39" s="61" t="s">
        <v>13</v>
      </c>
      <c r="D39" s="87" t="s">
        <v>82</v>
      </c>
      <c r="E39" s="88" t="s">
        <v>102</v>
      </c>
      <c r="F39" s="88" t="s">
        <v>15</v>
      </c>
      <c r="G39" s="89">
        <v>9</v>
      </c>
      <c r="H39" s="90">
        <v>24</v>
      </c>
      <c r="I39" s="90">
        <v>11.2</v>
      </c>
      <c r="J39" s="91">
        <v>52</v>
      </c>
      <c r="K39" s="91">
        <v>64</v>
      </c>
      <c r="L39" s="91">
        <v>39</v>
      </c>
      <c r="M39" s="91">
        <v>30</v>
      </c>
      <c r="N39" s="91">
        <v>20</v>
      </c>
      <c r="O39" s="91">
        <v>15</v>
      </c>
      <c r="P39" s="92"/>
      <c r="Q39" s="93">
        <v>22</v>
      </c>
      <c r="R39" s="92">
        <v>112</v>
      </c>
      <c r="S39" s="92" t="s">
        <v>11</v>
      </c>
      <c r="T39" s="92" t="s">
        <v>11</v>
      </c>
      <c r="U39" s="94">
        <f>85*1.3</f>
        <v>110.5</v>
      </c>
      <c r="V39" s="95">
        <f t="shared" si="5"/>
        <v>129.792</v>
      </c>
      <c r="W39" s="95">
        <f t="shared" si="1"/>
        <v>14.421333333333333</v>
      </c>
      <c r="X39" s="96">
        <f t="shared" si="2"/>
        <v>12.277777777777779</v>
      </c>
      <c r="Y39" s="97">
        <f t="shared" si="3"/>
        <v>0.12979199999999999</v>
      </c>
      <c r="Z39" s="98">
        <f t="shared" si="4"/>
        <v>0.40909090909090912</v>
      </c>
    </row>
    <row r="40" spans="2:26" s="26" customFormat="1" ht="12" x14ac:dyDescent="0.25">
      <c r="B40" s="99" t="s">
        <v>103</v>
      </c>
      <c r="C40" s="99" t="s">
        <v>17</v>
      </c>
      <c r="D40" s="100" t="s">
        <v>104</v>
      </c>
      <c r="E40" s="99" t="s">
        <v>105</v>
      </c>
      <c r="F40" s="99" t="s">
        <v>20</v>
      </c>
      <c r="G40" s="84">
        <v>3</v>
      </c>
      <c r="H40" s="101">
        <v>7.7750000000000004</v>
      </c>
      <c r="I40" s="101">
        <v>1.24</v>
      </c>
      <c r="J40" s="102">
        <v>38</v>
      </c>
      <c r="K40" s="102">
        <v>27</v>
      </c>
      <c r="L40" s="102">
        <v>26</v>
      </c>
      <c r="M40" s="102">
        <v>33.700000000000003</v>
      </c>
      <c r="N40" s="102">
        <v>19.100000000000001</v>
      </c>
      <c r="O40" s="102">
        <v>20.3</v>
      </c>
      <c r="P40" s="83" t="s">
        <v>106</v>
      </c>
      <c r="Q40" s="103">
        <v>10</v>
      </c>
      <c r="R40" s="83">
        <v>31.3</v>
      </c>
      <c r="S40" s="83" t="s">
        <v>11</v>
      </c>
      <c r="T40" s="83" t="s">
        <v>11</v>
      </c>
      <c r="U40" s="104">
        <v>50</v>
      </c>
      <c r="V40" s="86">
        <f t="shared" si="5"/>
        <v>26.675999999999998</v>
      </c>
      <c r="W40" s="86">
        <f t="shared" si="1"/>
        <v>8.8919999999999995</v>
      </c>
      <c r="X40" s="105">
        <f>IFERROR($U40/G40,NA())</f>
        <v>16.666666666666668</v>
      </c>
      <c r="Y40" s="106">
        <f t="shared" si="3"/>
        <v>2.6675999999999998E-2</v>
      </c>
      <c r="Z40" s="107">
        <f t="shared" si="4"/>
        <v>0.3</v>
      </c>
    </row>
    <row r="41" spans="2:26" s="26" customFormat="1" ht="12" x14ac:dyDescent="0.25">
      <c r="B41" s="99" t="s">
        <v>107</v>
      </c>
      <c r="C41" s="99" t="s">
        <v>17</v>
      </c>
      <c r="D41" s="100" t="s">
        <v>108</v>
      </c>
      <c r="E41" s="99" t="s">
        <v>109</v>
      </c>
      <c r="F41" s="99" t="s">
        <v>20</v>
      </c>
      <c r="G41" s="84">
        <v>3</v>
      </c>
      <c r="H41" s="101">
        <v>7.3</v>
      </c>
      <c r="I41" s="101">
        <v>3.1</v>
      </c>
      <c r="J41" s="73">
        <v>36.200000000000003</v>
      </c>
      <c r="K41" s="73">
        <v>28.3</v>
      </c>
      <c r="L41" s="73">
        <v>29.9</v>
      </c>
      <c r="M41" s="102"/>
      <c r="N41" s="102"/>
      <c r="O41" s="102"/>
      <c r="P41" s="83" t="s">
        <v>110</v>
      </c>
      <c r="Q41" s="103">
        <v>7</v>
      </c>
      <c r="R41" s="83">
        <v>30.3</v>
      </c>
      <c r="S41" s="83">
        <v>12.9</v>
      </c>
      <c r="T41" s="84">
        <v>6.7</v>
      </c>
      <c r="U41" s="108">
        <f>210*1.2</f>
        <v>252</v>
      </c>
      <c r="V41" s="86">
        <f t="shared" si="5"/>
        <v>30.631353999999998</v>
      </c>
      <c r="W41" s="86">
        <f t="shared" si="1"/>
        <v>10.210451333333333</v>
      </c>
      <c r="X41" s="105">
        <f t="shared" ref="X41:X89" si="6">IFERROR($U41/G41,NA())</f>
        <v>84</v>
      </c>
      <c r="Y41" s="71">
        <f>J41*K41*L41/1000000</f>
        <v>3.0631354E-2</v>
      </c>
      <c r="Z41" s="72">
        <f t="shared" si="4"/>
        <v>0.42857142857142855</v>
      </c>
    </row>
    <row r="42" spans="2:26" s="26" customFormat="1" ht="12" x14ac:dyDescent="0.25">
      <c r="B42" s="77" t="s">
        <v>111</v>
      </c>
      <c r="C42" s="77" t="s">
        <v>74</v>
      </c>
      <c r="D42" s="78" t="s">
        <v>108</v>
      </c>
      <c r="E42" s="77" t="s">
        <v>112</v>
      </c>
      <c r="F42" s="77" t="s">
        <v>15</v>
      </c>
      <c r="G42" s="79">
        <v>6</v>
      </c>
      <c r="H42" s="80">
        <v>16.399999999999999</v>
      </c>
      <c r="I42" s="80">
        <v>6.8</v>
      </c>
      <c r="J42" s="73">
        <v>43.7</v>
      </c>
      <c r="K42" s="73">
        <v>58.8</v>
      </c>
      <c r="L42" s="73">
        <v>28.8</v>
      </c>
      <c r="M42" s="76"/>
      <c r="N42" s="76"/>
      <c r="O42" s="76"/>
      <c r="P42" s="81" t="s">
        <v>110</v>
      </c>
      <c r="Q42" s="82">
        <v>12</v>
      </c>
      <c r="R42" s="81">
        <v>57.9</v>
      </c>
      <c r="S42" s="81">
        <v>21.6</v>
      </c>
      <c r="T42" s="84">
        <v>12</v>
      </c>
      <c r="U42" s="104">
        <f>245*1.2</f>
        <v>294</v>
      </c>
      <c r="V42" s="86">
        <f t="shared" si="5"/>
        <v>74.003327999999996</v>
      </c>
      <c r="W42" s="86">
        <f t="shared" si="1"/>
        <v>12.333888</v>
      </c>
      <c r="X42" s="105">
        <f t="shared" si="6"/>
        <v>49</v>
      </c>
      <c r="Y42" s="71">
        <f t="shared" si="3"/>
        <v>7.4003327999999993E-2</v>
      </c>
      <c r="Z42" s="72">
        <f t="shared" si="4"/>
        <v>0.5</v>
      </c>
    </row>
    <row r="43" spans="2:26" s="26" customFormat="1" ht="12" x14ac:dyDescent="0.25">
      <c r="B43" s="77" t="s">
        <v>113</v>
      </c>
      <c r="C43" s="77" t="s">
        <v>74</v>
      </c>
      <c r="D43" s="78" t="s">
        <v>108</v>
      </c>
      <c r="E43" s="77" t="s">
        <v>114</v>
      </c>
      <c r="F43" s="77" t="s">
        <v>15</v>
      </c>
      <c r="G43" s="79">
        <v>7</v>
      </c>
      <c r="H43" s="80">
        <v>23.3</v>
      </c>
      <c r="I43" s="80">
        <v>11.7</v>
      </c>
      <c r="J43" s="73">
        <v>55</v>
      </c>
      <c r="K43" s="73">
        <v>47.5</v>
      </c>
      <c r="L43" s="73">
        <v>49.9</v>
      </c>
      <c r="M43" s="76"/>
      <c r="N43" s="76"/>
      <c r="O43" s="76"/>
      <c r="P43" s="81">
        <v>0.6</v>
      </c>
      <c r="Q43" s="82">
        <v>14</v>
      </c>
      <c r="R43" s="81">
        <v>114.9</v>
      </c>
      <c r="S43" s="81">
        <v>40.9</v>
      </c>
      <c r="T43" s="84">
        <v>26.4</v>
      </c>
      <c r="U43" s="108">
        <f>473*1.2</f>
        <v>567.6</v>
      </c>
      <c r="V43" s="86">
        <f t="shared" si="5"/>
        <v>130.36375000000001</v>
      </c>
      <c r="W43" s="86">
        <f t="shared" si="1"/>
        <v>18.623392857142857</v>
      </c>
      <c r="X43" s="105">
        <f t="shared" si="6"/>
        <v>81.085714285714289</v>
      </c>
      <c r="Y43" s="71">
        <f t="shared" si="3"/>
        <v>0.13036375</v>
      </c>
      <c r="Z43" s="72">
        <f t="shared" si="4"/>
        <v>0.5</v>
      </c>
    </row>
    <row r="44" spans="2:26" s="26" customFormat="1" ht="12" x14ac:dyDescent="0.25">
      <c r="B44" s="77" t="s">
        <v>115</v>
      </c>
      <c r="C44" s="77" t="s">
        <v>7</v>
      </c>
      <c r="D44" s="78" t="s">
        <v>108</v>
      </c>
      <c r="E44" s="77" t="s">
        <v>116</v>
      </c>
      <c r="F44" s="77" t="s">
        <v>10</v>
      </c>
      <c r="G44" s="79">
        <v>20</v>
      </c>
      <c r="H44" s="80">
        <v>38.9</v>
      </c>
      <c r="I44" s="80">
        <v>15.9</v>
      </c>
      <c r="J44" s="73">
        <v>71</v>
      </c>
      <c r="K44" s="73">
        <v>55</v>
      </c>
      <c r="L44" s="73">
        <v>49.9</v>
      </c>
      <c r="M44" s="76"/>
      <c r="N44" s="76"/>
      <c r="O44" s="76"/>
      <c r="P44" s="81">
        <v>0.6</v>
      </c>
      <c r="Q44" s="82">
        <v>24</v>
      </c>
      <c r="R44" s="81">
        <v>134.6</v>
      </c>
      <c r="S44" s="81">
        <v>49.5</v>
      </c>
      <c r="T44" s="84">
        <v>34.4</v>
      </c>
      <c r="U44" s="104">
        <f>600*1.2</f>
        <v>720</v>
      </c>
      <c r="V44" s="86">
        <f t="shared" si="5"/>
        <v>194.8595</v>
      </c>
      <c r="W44" s="86">
        <f t="shared" si="1"/>
        <v>9.7429749999999995</v>
      </c>
      <c r="X44" s="105">
        <f t="shared" si="6"/>
        <v>36</v>
      </c>
      <c r="Y44" s="106">
        <f t="shared" si="3"/>
        <v>0.19485949999999999</v>
      </c>
      <c r="Z44" s="107">
        <f t="shared" si="4"/>
        <v>0.83333333333333337</v>
      </c>
    </row>
    <row r="45" spans="2:26" s="26" customFormat="1" ht="12" x14ac:dyDescent="0.25">
      <c r="B45" s="77" t="s">
        <v>117</v>
      </c>
      <c r="C45" s="77" t="s">
        <v>17</v>
      </c>
      <c r="D45" s="78" t="s">
        <v>30</v>
      </c>
      <c r="E45" s="77" t="s">
        <v>118</v>
      </c>
      <c r="F45" s="77" t="s">
        <v>20</v>
      </c>
      <c r="G45" s="79">
        <v>1.6</v>
      </c>
      <c r="H45" s="80">
        <v>5.3</v>
      </c>
      <c r="I45" s="80">
        <v>1.94</v>
      </c>
      <c r="J45" s="73">
        <v>34</v>
      </c>
      <c r="K45" s="73">
        <v>23.4</v>
      </c>
      <c r="L45" s="73">
        <v>27.5</v>
      </c>
      <c r="M45" s="76"/>
      <c r="N45" s="76"/>
      <c r="O45" s="76"/>
      <c r="P45" s="81">
        <v>0.4</v>
      </c>
      <c r="Q45" s="82">
        <v>6</v>
      </c>
      <c r="R45" s="81">
        <v>38.25</v>
      </c>
      <c r="S45" s="81">
        <v>12.03</v>
      </c>
      <c r="T45" s="84">
        <v>6.02</v>
      </c>
      <c r="U45" s="108">
        <f>9.85*1.2</f>
        <v>11.819999999999999</v>
      </c>
      <c r="V45" s="86">
        <f t="shared" si="5"/>
        <v>21.878999999999998</v>
      </c>
      <c r="W45" s="86">
        <f t="shared" si="1"/>
        <v>13.674374999999998</v>
      </c>
      <c r="X45" s="105">
        <f t="shared" si="6"/>
        <v>7.3874999999999984</v>
      </c>
      <c r="Y45" s="71">
        <f t="shared" si="3"/>
        <v>2.1878999999999996E-2</v>
      </c>
      <c r="Z45" s="72">
        <f t="shared" si="4"/>
        <v>0.26666666666666666</v>
      </c>
    </row>
    <row r="46" spans="2:26" s="26" customFormat="1" ht="12" x14ac:dyDescent="0.25">
      <c r="B46" s="77" t="s">
        <v>119</v>
      </c>
      <c r="C46" s="77" t="s">
        <v>38</v>
      </c>
      <c r="D46" s="78" t="s">
        <v>90</v>
      </c>
      <c r="E46" s="77" t="s">
        <v>120</v>
      </c>
      <c r="F46" s="77" t="s">
        <v>41</v>
      </c>
      <c r="G46" s="79">
        <v>0.8</v>
      </c>
      <c r="H46" s="80">
        <v>2.1800000000000002</v>
      </c>
      <c r="I46" s="80">
        <v>1.34</v>
      </c>
      <c r="J46" s="73">
        <v>25</v>
      </c>
      <c r="K46" s="73">
        <v>18</v>
      </c>
      <c r="L46" s="73">
        <v>21</v>
      </c>
      <c r="M46" s="76"/>
      <c r="N46" s="76"/>
      <c r="O46" s="76"/>
      <c r="P46" s="81">
        <v>0.4</v>
      </c>
      <c r="Q46" s="82">
        <v>2</v>
      </c>
      <c r="R46" s="81">
        <v>20.3</v>
      </c>
      <c r="S46" s="81">
        <v>7.9</v>
      </c>
      <c r="T46" s="84">
        <v>3.88</v>
      </c>
      <c r="U46" s="108">
        <v>9</v>
      </c>
      <c r="V46" s="86">
        <f t="shared" si="5"/>
        <v>9.4499999999999993</v>
      </c>
      <c r="W46" s="86">
        <f t="shared" si="1"/>
        <v>11.812499999999998</v>
      </c>
      <c r="X46" s="105">
        <f t="shared" si="6"/>
        <v>11.25</v>
      </c>
      <c r="Y46" s="71">
        <f>J46*K46*L46/1000000</f>
        <v>9.4500000000000001E-3</v>
      </c>
      <c r="Z46" s="72">
        <f t="shared" si="4"/>
        <v>0.4</v>
      </c>
    </row>
    <row r="47" spans="2:26" s="26" customFormat="1" ht="12" x14ac:dyDescent="0.25">
      <c r="B47" s="77" t="s">
        <v>121</v>
      </c>
      <c r="C47" s="77" t="s">
        <v>17</v>
      </c>
      <c r="D47" s="78" t="s">
        <v>90</v>
      </c>
      <c r="E47" s="77" t="s">
        <v>122</v>
      </c>
      <c r="F47" s="77" t="s">
        <v>20</v>
      </c>
      <c r="G47" s="79">
        <v>1.35</v>
      </c>
      <c r="H47" s="80">
        <v>4.3600000000000003</v>
      </c>
      <c r="I47" s="80">
        <v>2.2200000000000002</v>
      </c>
      <c r="J47" s="73">
        <v>24</v>
      </c>
      <c r="K47" s="73">
        <v>24</v>
      </c>
      <c r="L47" s="73">
        <v>30</v>
      </c>
      <c r="M47" s="76"/>
      <c r="N47" s="76"/>
      <c r="O47" s="76"/>
      <c r="P47" s="81">
        <v>0.4</v>
      </c>
      <c r="Q47" s="82">
        <v>4</v>
      </c>
      <c r="R47" s="81">
        <v>40</v>
      </c>
      <c r="S47" s="81">
        <v>15.86</v>
      </c>
      <c r="T47" s="84">
        <v>7.8</v>
      </c>
      <c r="U47" s="108">
        <v>12.5</v>
      </c>
      <c r="V47" s="86">
        <f t="shared" si="5"/>
        <v>17.28</v>
      </c>
      <c r="W47" s="86">
        <f t="shared" si="1"/>
        <v>12.8</v>
      </c>
      <c r="X47" s="105">
        <f t="shared" si="6"/>
        <v>9.2592592592592595</v>
      </c>
      <c r="Y47" s="71">
        <f>J47*K47*L47/1000000</f>
        <v>1.728E-2</v>
      </c>
      <c r="Z47" s="72">
        <f t="shared" si="4"/>
        <v>0.33750000000000002</v>
      </c>
    </row>
    <row r="48" spans="2:26" s="26" customFormat="1" ht="12" x14ac:dyDescent="0.25">
      <c r="B48" s="77" t="s">
        <v>123</v>
      </c>
      <c r="C48" s="77" t="s">
        <v>17</v>
      </c>
      <c r="D48" s="78" t="s">
        <v>90</v>
      </c>
      <c r="E48" s="77" t="s">
        <v>124</v>
      </c>
      <c r="F48" s="77" t="s">
        <v>20</v>
      </c>
      <c r="G48" s="79">
        <v>2.46</v>
      </c>
      <c r="H48" s="80">
        <v>6.36</v>
      </c>
      <c r="I48" s="80">
        <v>2.98</v>
      </c>
      <c r="J48" s="73">
        <v>27</v>
      </c>
      <c r="K48" s="73">
        <v>27</v>
      </c>
      <c r="L48" s="73">
        <v>32</v>
      </c>
      <c r="M48" s="76"/>
      <c r="N48" s="76"/>
      <c r="O48" s="76"/>
      <c r="P48" s="81">
        <v>0.6</v>
      </c>
      <c r="Q48" s="82">
        <v>4</v>
      </c>
      <c r="R48" s="81">
        <v>50.2</v>
      </c>
      <c r="S48" s="81">
        <v>15.95</v>
      </c>
      <c r="T48" s="84">
        <v>9.7799999999999994</v>
      </c>
      <c r="U48" s="104">
        <v>16</v>
      </c>
      <c r="V48" s="86">
        <f t="shared" si="5"/>
        <v>23.327999999999999</v>
      </c>
      <c r="W48" s="86">
        <f t="shared" si="1"/>
        <v>9.4829268292682922</v>
      </c>
      <c r="X48" s="105">
        <f t="shared" si="6"/>
        <v>6.5040650406504064</v>
      </c>
      <c r="Y48" s="71">
        <f t="shared" si="3"/>
        <v>2.3328000000000002E-2</v>
      </c>
      <c r="Z48" s="72">
        <f t="shared" si="4"/>
        <v>0.61499999999999999</v>
      </c>
    </row>
    <row r="49" spans="2:26" s="26" customFormat="1" ht="12" x14ac:dyDescent="0.25">
      <c r="B49" s="77" t="s">
        <v>125</v>
      </c>
      <c r="C49" s="77" t="s">
        <v>7</v>
      </c>
      <c r="D49" s="78" t="s">
        <v>126</v>
      </c>
      <c r="E49" s="77" t="s">
        <v>127</v>
      </c>
      <c r="F49" s="77" t="s">
        <v>10</v>
      </c>
      <c r="G49" s="79">
        <v>18</v>
      </c>
      <c r="H49" s="80">
        <v>48.87</v>
      </c>
      <c r="I49" s="80">
        <v>19.93</v>
      </c>
      <c r="J49" s="73">
        <v>76.099999999999994</v>
      </c>
      <c r="K49" s="73">
        <v>61.1</v>
      </c>
      <c r="L49" s="73">
        <v>51.3</v>
      </c>
      <c r="M49" s="76"/>
      <c r="N49" s="76"/>
      <c r="O49" s="76"/>
      <c r="P49" s="81">
        <v>0.4</v>
      </c>
      <c r="Q49" s="82">
        <v>44</v>
      </c>
      <c r="R49" s="81">
        <v>140</v>
      </c>
      <c r="S49" s="81">
        <v>51</v>
      </c>
      <c r="T49" s="84">
        <v>25</v>
      </c>
      <c r="U49" s="104">
        <v>135</v>
      </c>
      <c r="V49" s="86">
        <f t="shared" si="5"/>
        <v>238.530123</v>
      </c>
      <c r="W49" s="86">
        <f t="shared" si="1"/>
        <v>13.251673500000001</v>
      </c>
      <c r="X49" s="105">
        <f t="shared" si="6"/>
        <v>7.5</v>
      </c>
      <c r="Y49" s="71">
        <f t="shared" si="3"/>
        <v>0.23853012299999998</v>
      </c>
      <c r="Z49" s="72">
        <f t="shared" si="4"/>
        <v>0.40909090909090912</v>
      </c>
    </row>
    <row r="50" spans="2:26" s="26" customFormat="1" ht="12" x14ac:dyDescent="0.25">
      <c r="B50" s="77" t="s">
        <v>128</v>
      </c>
      <c r="C50" s="77" t="s">
        <v>38</v>
      </c>
      <c r="D50" s="78" t="s">
        <v>126</v>
      </c>
      <c r="E50" s="77" t="s">
        <v>129</v>
      </c>
      <c r="F50" s="77" t="s">
        <v>41</v>
      </c>
      <c r="G50" s="79">
        <v>0.9</v>
      </c>
      <c r="H50" s="80">
        <v>2.27</v>
      </c>
      <c r="I50" s="80">
        <v>1.31</v>
      </c>
      <c r="J50" s="73">
        <v>25</v>
      </c>
      <c r="K50" s="73">
        <v>18</v>
      </c>
      <c r="L50" s="73">
        <v>21.4</v>
      </c>
      <c r="M50" s="76"/>
      <c r="N50" s="76"/>
      <c r="O50" s="76"/>
      <c r="P50" s="81">
        <v>0.4</v>
      </c>
      <c r="Q50" s="82">
        <v>2</v>
      </c>
      <c r="R50" s="81">
        <v>21.5</v>
      </c>
      <c r="S50" s="81">
        <v>8</v>
      </c>
      <c r="T50" s="84">
        <v>4.5</v>
      </c>
      <c r="U50" s="104">
        <v>8.75</v>
      </c>
      <c r="V50" s="86">
        <f t="shared" si="5"/>
        <v>9.6300000000000008</v>
      </c>
      <c r="W50" s="86">
        <f t="shared" si="1"/>
        <v>10.700000000000001</v>
      </c>
      <c r="X50" s="105">
        <f t="shared" si="6"/>
        <v>9.7222222222222214</v>
      </c>
      <c r="Y50" s="71">
        <f t="shared" si="3"/>
        <v>9.6299999999999997E-3</v>
      </c>
      <c r="Z50" s="72">
        <f t="shared" si="4"/>
        <v>0.45</v>
      </c>
    </row>
    <row r="51" spans="2:26" s="26" customFormat="1" ht="12" x14ac:dyDescent="0.25">
      <c r="B51" s="77" t="s">
        <v>130</v>
      </c>
      <c r="C51" s="77" t="s">
        <v>17</v>
      </c>
      <c r="D51" s="78" t="s">
        <v>126</v>
      </c>
      <c r="E51" s="77" t="s">
        <v>131</v>
      </c>
      <c r="F51" s="77" t="s">
        <v>20</v>
      </c>
      <c r="G51" s="79">
        <v>1.6</v>
      </c>
      <c r="H51" s="80">
        <v>4.33</v>
      </c>
      <c r="I51" s="80">
        <v>1.93</v>
      </c>
      <c r="J51" s="73">
        <v>25</v>
      </c>
      <c r="K51" s="73">
        <v>25</v>
      </c>
      <c r="L51" s="73">
        <v>30</v>
      </c>
      <c r="M51" s="76"/>
      <c r="N51" s="76"/>
      <c r="O51" s="76"/>
      <c r="P51" s="81">
        <v>0.4</v>
      </c>
      <c r="Q51" s="82">
        <v>4</v>
      </c>
      <c r="R51" s="81">
        <v>39.5</v>
      </c>
      <c r="S51" s="81">
        <v>13</v>
      </c>
      <c r="T51" s="84">
        <v>6.33</v>
      </c>
      <c r="U51" s="104">
        <v>12.75</v>
      </c>
      <c r="V51" s="86">
        <f t="shared" si="5"/>
        <v>18.75</v>
      </c>
      <c r="W51" s="86">
        <f t="shared" si="1"/>
        <v>11.71875</v>
      </c>
      <c r="X51" s="105">
        <f t="shared" si="6"/>
        <v>7.96875</v>
      </c>
      <c r="Y51" s="71">
        <f t="shared" si="3"/>
        <v>1.8749999999999999E-2</v>
      </c>
      <c r="Z51" s="72">
        <f t="shared" si="4"/>
        <v>0.4</v>
      </c>
    </row>
    <row r="52" spans="2:26" s="26" customFormat="1" ht="12" x14ac:dyDescent="0.25">
      <c r="B52" s="77" t="s">
        <v>132</v>
      </c>
      <c r="C52" s="77" t="s">
        <v>7</v>
      </c>
      <c r="D52" s="78" t="s">
        <v>133</v>
      </c>
      <c r="E52" s="77" t="s">
        <v>134</v>
      </c>
      <c r="F52" s="77" t="s">
        <v>10</v>
      </c>
      <c r="G52" s="79">
        <v>23</v>
      </c>
      <c r="H52" s="80">
        <v>38</v>
      </c>
      <c r="I52" s="80">
        <v>17</v>
      </c>
      <c r="J52" s="73">
        <v>77.400000000000006</v>
      </c>
      <c r="K52" s="73">
        <v>61.6</v>
      </c>
      <c r="L52" s="73">
        <v>53</v>
      </c>
      <c r="M52" s="76"/>
      <c r="N52" s="76"/>
      <c r="O52" s="76"/>
      <c r="P52" s="81">
        <v>0.4</v>
      </c>
      <c r="Q52" s="82">
        <v>44</v>
      </c>
      <c r="R52" s="81">
        <v>130</v>
      </c>
      <c r="S52" s="81">
        <v>20</v>
      </c>
      <c r="T52" s="84">
        <v>26</v>
      </c>
      <c r="U52" s="104">
        <v>94</v>
      </c>
      <c r="V52" s="86">
        <f t="shared" si="5"/>
        <v>252.69552000000002</v>
      </c>
      <c r="W52" s="86">
        <f t="shared" si="1"/>
        <v>10.986761739130435</v>
      </c>
      <c r="X52" s="105">
        <f t="shared" si="6"/>
        <v>4.0869565217391308</v>
      </c>
      <c r="Y52" s="71">
        <f t="shared" si="3"/>
        <v>0.25269552000000001</v>
      </c>
      <c r="Z52" s="72">
        <f t="shared" si="4"/>
        <v>0.52272727272727271</v>
      </c>
    </row>
    <row r="53" spans="2:26" s="26" customFormat="1" ht="12" x14ac:dyDescent="0.25">
      <c r="B53" s="77" t="s">
        <v>135</v>
      </c>
      <c r="C53" s="77" t="s">
        <v>7</v>
      </c>
      <c r="D53" s="78" t="s">
        <v>90</v>
      </c>
      <c r="E53" s="77" t="s">
        <v>136</v>
      </c>
      <c r="F53" s="77" t="s">
        <v>10</v>
      </c>
      <c r="G53" s="79">
        <v>18</v>
      </c>
      <c r="H53" s="80">
        <v>46.14</v>
      </c>
      <c r="I53" s="80">
        <v>21.34</v>
      </c>
      <c r="J53" s="73">
        <v>77</v>
      </c>
      <c r="K53" s="73">
        <v>61</v>
      </c>
      <c r="L53" s="73">
        <v>51</v>
      </c>
      <c r="M53" s="76"/>
      <c r="N53" s="76"/>
      <c r="O53" s="76"/>
      <c r="P53" s="81">
        <v>0.4</v>
      </c>
      <c r="Q53" s="82">
        <v>44</v>
      </c>
      <c r="R53" s="81">
        <v>147.22999999999999</v>
      </c>
      <c r="S53" s="81">
        <v>53.05</v>
      </c>
      <c r="T53" s="84">
        <v>30.65</v>
      </c>
      <c r="U53" s="104">
        <v>145</v>
      </c>
      <c r="V53" s="86">
        <f t="shared" si="5"/>
        <v>239.547</v>
      </c>
      <c r="W53" s="86">
        <f t="shared" si="1"/>
        <v>13.308166666666667</v>
      </c>
      <c r="X53" s="105">
        <f t="shared" si="6"/>
        <v>8.0555555555555554</v>
      </c>
      <c r="Y53" s="71">
        <f t="shared" si="3"/>
        <v>0.23954700000000001</v>
      </c>
      <c r="Z53" s="72">
        <f t="shared" si="4"/>
        <v>0.40909090909090912</v>
      </c>
    </row>
    <row r="54" spans="2:26" s="26" customFormat="1" ht="12" x14ac:dyDescent="0.25">
      <c r="B54" s="77" t="s">
        <v>137</v>
      </c>
      <c r="C54" s="77" t="s">
        <v>7</v>
      </c>
      <c r="D54" s="78" t="s">
        <v>90</v>
      </c>
      <c r="E54" s="77" t="s">
        <v>138</v>
      </c>
      <c r="F54" s="77" t="s">
        <v>10</v>
      </c>
      <c r="G54" s="79">
        <v>18</v>
      </c>
      <c r="H54" s="80">
        <v>45.86</v>
      </c>
      <c r="I54" s="80">
        <v>21.78</v>
      </c>
      <c r="J54" s="73">
        <v>77</v>
      </c>
      <c r="K54" s="73">
        <v>61</v>
      </c>
      <c r="L54" s="73">
        <v>51</v>
      </c>
      <c r="M54" s="76"/>
      <c r="N54" s="76"/>
      <c r="O54" s="76"/>
      <c r="P54" s="81">
        <v>0.3</v>
      </c>
      <c r="Q54" s="82">
        <v>50</v>
      </c>
      <c r="R54" s="81">
        <v>126.5</v>
      </c>
      <c r="S54" s="81">
        <v>44.8</v>
      </c>
      <c r="T54" s="84">
        <v>28.08</v>
      </c>
      <c r="U54" s="108">
        <v>145</v>
      </c>
      <c r="V54" s="86">
        <f t="shared" si="5"/>
        <v>239.547</v>
      </c>
      <c r="W54" s="86">
        <f t="shared" si="1"/>
        <v>13.308166666666667</v>
      </c>
      <c r="X54" s="105">
        <f t="shared" si="6"/>
        <v>8.0555555555555554</v>
      </c>
      <c r="Y54" s="71">
        <f>J54*K54*L54/1000000</f>
        <v>0.23954700000000001</v>
      </c>
      <c r="Z54" s="72">
        <f>G54/Q54</f>
        <v>0.36</v>
      </c>
    </row>
    <row r="55" spans="2:26" s="26" customFormat="1" ht="12" x14ac:dyDescent="0.25">
      <c r="B55" s="77" t="s">
        <v>139</v>
      </c>
      <c r="C55" s="77" t="s">
        <v>7</v>
      </c>
      <c r="D55" s="78" t="s">
        <v>90</v>
      </c>
      <c r="E55" s="77" t="s">
        <v>140</v>
      </c>
      <c r="F55" s="77" t="s">
        <v>10</v>
      </c>
      <c r="G55" s="79">
        <v>16</v>
      </c>
      <c r="H55" s="80">
        <v>34.42</v>
      </c>
      <c r="I55" s="80">
        <v>14.3</v>
      </c>
      <c r="J55" s="73">
        <v>65</v>
      </c>
      <c r="K55" s="73">
        <v>65</v>
      </c>
      <c r="L55" s="73">
        <v>34.700000000000003</v>
      </c>
      <c r="M55" s="76"/>
      <c r="N55" s="76"/>
      <c r="O55" s="76"/>
      <c r="P55" s="81">
        <v>0.4</v>
      </c>
      <c r="Q55" s="82">
        <v>32</v>
      </c>
      <c r="R55" s="81">
        <v>80.319999999999993</v>
      </c>
      <c r="S55" s="81">
        <v>27.73</v>
      </c>
      <c r="T55" s="84">
        <v>18.73</v>
      </c>
      <c r="U55" s="104">
        <v>110</v>
      </c>
      <c r="V55" s="86">
        <f t="shared" si="5"/>
        <v>146.60749999999999</v>
      </c>
      <c r="W55" s="86">
        <f t="shared" si="1"/>
        <v>9.1629687499999992</v>
      </c>
      <c r="X55" s="105">
        <f t="shared" si="6"/>
        <v>6.875</v>
      </c>
      <c r="Y55" s="71">
        <f t="shared" si="3"/>
        <v>0.1466075</v>
      </c>
      <c r="Z55" s="72">
        <f>G55/Q55</f>
        <v>0.5</v>
      </c>
    </row>
    <row r="56" spans="2:26" s="26" customFormat="1" ht="12" x14ac:dyDescent="0.25">
      <c r="B56" s="77" t="s">
        <v>141</v>
      </c>
      <c r="C56" s="77" t="s">
        <v>7</v>
      </c>
      <c r="D56" s="78" t="s">
        <v>90</v>
      </c>
      <c r="E56" s="77" t="s">
        <v>142</v>
      </c>
      <c r="F56" s="77" t="s">
        <v>10</v>
      </c>
      <c r="G56" s="79">
        <v>16</v>
      </c>
      <c r="H56" s="80">
        <v>35</v>
      </c>
      <c r="I56" s="80">
        <v>14.5</v>
      </c>
      <c r="J56" s="73">
        <v>64.5</v>
      </c>
      <c r="K56" s="73">
        <v>64</v>
      </c>
      <c r="L56" s="73">
        <v>35</v>
      </c>
      <c r="M56" s="76"/>
      <c r="N56" s="76"/>
      <c r="O56" s="76"/>
      <c r="P56" s="81">
        <v>0.6</v>
      </c>
      <c r="Q56" s="82">
        <v>24</v>
      </c>
      <c r="R56" s="81">
        <v>93.5</v>
      </c>
      <c r="S56" s="81">
        <v>31.36</v>
      </c>
      <c r="T56" s="84">
        <v>20.7</v>
      </c>
      <c r="U56" s="108">
        <v>110</v>
      </c>
      <c r="V56" s="86">
        <f t="shared" si="5"/>
        <v>144.47999999999999</v>
      </c>
      <c r="W56" s="86">
        <f t="shared" si="1"/>
        <v>9.0299999999999994</v>
      </c>
      <c r="X56" s="105">
        <f t="shared" si="6"/>
        <v>6.875</v>
      </c>
      <c r="Y56" s="71">
        <f>J56*K56*L56/1000000</f>
        <v>0.14448</v>
      </c>
      <c r="Z56" s="72">
        <f>G56/Q56</f>
        <v>0.66666666666666663</v>
      </c>
    </row>
    <row r="57" spans="2:26" s="26" customFormat="1" ht="12" x14ac:dyDescent="0.25">
      <c r="B57" s="77" t="s">
        <v>143</v>
      </c>
      <c r="C57" s="77" t="s">
        <v>7</v>
      </c>
      <c r="D57" s="78" t="s">
        <v>46</v>
      </c>
      <c r="E57" s="77" t="s">
        <v>144</v>
      </c>
      <c r="F57" s="77" t="s">
        <v>10</v>
      </c>
      <c r="G57" s="79">
        <v>12</v>
      </c>
      <c r="H57" s="80">
        <v>45</v>
      </c>
      <c r="I57" s="80">
        <v>20.399999999999999</v>
      </c>
      <c r="J57" s="73">
        <v>61</v>
      </c>
      <c r="K57" s="73">
        <v>61</v>
      </c>
      <c r="L57" s="73">
        <v>56</v>
      </c>
      <c r="M57" s="76"/>
      <c r="N57" s="76"/>
      <c r="O57" s="76"/>
      <c r="P57" s="81">
        <v>0.4</v>
      </c>
      <c r="Q57" s="82">
        <v>42</v>
      </c>
      <c r="R57" s="81">
        <v>156</v>
      </c>
      <c r="S57" s="81">
        <v>53</v>
      </c>
      <c r="T57" s="84">
        <v>33</v>
      </c>
      <c r="U57" s="104">
        <v>110</v>
      </c>
      <c r="V57" s="86">
        <f t="shared" si="5"/>
        <v>208.376</v>
      </c>
      <c r="W57" s="86">
        <f t="shared" si="1"/>
        <v>17.364666666666668</v>
      </c>
      <c r="X57" s="105">
        <f t="shared" si="6"/>
        <v>9.1666666666666661</v>
      </c>
      <c r="Y57" s="71">
        <f t="shared" si="3"/>
        <v>0.20837600000000001</v>
      </c>
      <c r="Z57" s="72">
        <f t="shared" ref="Z57:Z60" si="7">G57/Q57</f>
        <v>0.2857142857142857</v>
      </c>
    </row>
    <row r="58" spans="2:26" s="26" customFormat="1" ht="12" x14ac:dyDescent="0.25">
      <c r="B58" s="77" t="s">
        <v>145</v>
      </c>
      <c r="C58" s="77" t="s">
        <v>74</v>
      </c>
      <c r="D58" s="78" t="s">
        <v>46</v>
      </c>
      <c r="E58" s="77" t="s">
        <v>146</v>
      </c>
      <c r="F58" s="77" t="s">
        <v>15</v>
      </c>
      <c r="G58" s="79">
        <v>7</v>
      </c>
      <c r="H58" s="80">
        <v>23</v>
      </c>
      <c r="I58" s="80">
        <v>8.6999999999999993</v>
      </c>
      <c r="J58" s="73">
        <v>49</v>
      </c>
      <c r="K58" s="73">
        <v>44</v>
      </c>
      <c r="L58" s="73">
        <v>49</v>
      </c>
      <c r="M58" s="76"/>
      <c r="N58" s="76"/>
      <c r="O58" s="76"/>
      <c r="P58" s="81">
        <v>0.4</v>
      </c>
      <c r="Q58" s="82">
        <v>24</v>
      </c>
      <c r="R58" s="81">
        <v>89</v>
      </c>
      <c r="S58" s="81">
        <v>31</v>
      </c>
      <c r="T58" s="84">
        <v>20</v>
      </c>
      <c r="U58" s="104">
        <v>100</v>
      </c>
      <c r="V58" s="86">
        <f t="shared" si="5"/>
        <v>105.64400000000001</v>
      </c>
      <c r="W58" s="86">
        <f t="shared" si="1"/>
        <v>15.092000000000001</v>
      </c>
      <c r="X58" s="105">
        <f t="shared" si="6"/>
        <v>14.285714285714286</v>
      </c>
      <c r="Y58" s="71">
        <f t="shared" si="3"/>
        <v>0.105644</v>
      </c>
      <c r="Z58" s="72">
        <f t="shared" si="7"/>
        <v>0.29166666666666669</v>
      </c>
    </row>
    <row r="59" spans="2:26" s="26" customFormat="1" ht="12" x14ac:dyDescent="0.25">
      <c r="B59" s="77" t="s">
        <v>147</v>
      </c>
      <c r="C59" s="77" t="s">
        <v>17</v>
      </c>
      <c r="D59" s="78" t="s">
        <v>46</v>
      </c>
      <c r="E59" s="77" t="s">
        <v>148</v>
      </c>
      <c r="F59" s="77" t="s">
        <v>20</v>
      </c>
      <c r="G59" s="79">
        <v>2.6</v>
      </c>
      <c r="H59" s="80">
        <v>4.5</v>
      </c>
      <c r="I59" s="80">
        <v>1.9</v>
      </c>
      <c r="J59" s="73">
        <v>26</v>
      </c>
      <c r="K59" s="73">
        <v>26</v>
      </c>
      <c r="L59" s="73">
        <v>32</v>
      </c>
      <c r="M59" s="76"/>
      <c r="N59" s="76"/>
      <c r="O59" s="76"/>
      <c r="P59" s="81">
        <v>0.6</v>
      </c>
      <c r="Q59" s="82">
        <v>4</v>
      </c>
      <c r="R59" s="81">
        <v>43</v>
      </c>
      <c r="S59" s="81">
        <v>7</v>
      </c>
      <c r="T59" s="84">
        <v>18</v>
      </c>
      <c r="U59" s="104">
        <v>18</v>
      </c>
      <c r="V59" s="86">
        <f t="shared" si="5"/>
        <v>21.632000000000001</v>
      </c>
      <c r="W59" s="86">
        <f t="shared" si="1"/>
        <v>8.32</v>
      </c>
      <c r="X59" s="105">
        <f t="shared" si="6"/>
        <v>6.9230769230769225</v>
      </c>
      <c r="Y59" s="71">
        <f t="shared" si="3"/>
        <v>2.1631999999999998E-2</v>
      </c>
      <c r="Z59" s="72">
        <f t="shared" si="7"/>
        <v>0.65</v>
      </c>
    </row>
    <row r="60" spans="2:26" s="26" customFormat="1" ht="12" x14ac:dyDescent="0.25">
      <c r="B60" s="77" t="s">
        <v>149</v>
      </c>
      <c r="C60" s="77" t="s">
        <v>17</v>
      </c>
      <c r="D60" s="78" t="s">
        <v>46</v>
      </c>
      <c r="E60" s="77" t="s">
        <v>150</v>
      </c>
      <c r="F60" s="77" t="s">
        <v>41</v>
      </c>
      <c r="G60" s="79">
        <v>1.7</v>
      </c>
      <c r="H60" s="80">
        <v>4</v>
      </c>
      <c r="I60" s="80">
        <v>1.6</v>
      </c>
      <c r="J60" s="73">
        <v>26</v>
      </c>
      <c r="K60" s="73">
        <v>25</v>
      </c>
      <c r="L60" s="73">
        <v>28.5</v>
      </c>
      <c r="M60" s="76"/>
      <c r="N60" s="76"/>
      <c r="O60" s="76"/>
      <c r="P60" s="81">
        <v>0.4</v>
      </c>
      <c r="Q60" s="82">
        <v>4</v>
      </c>
      <c r="R60" s="81">
        <v>38</v>
      </c>
      <c r="S60" s="81">
        <v>13</v>
      </c>
      <c r="T60" s="84">
        <v>6</v>
      </c>
      <c r="U60" s="104">
        <v>12</v>
      </c>
      <c r="V60" s="86">
        <f t="shared" si="5"/>
        <v>18.524999999999999</v>
      </c>
      <c r="W60" s="86">
        <f t="shared" si="1"/>
        <v>10.897058823529411</v>
      </c>
      <c r="X60" s="105">
        <f t="shared" si="6"/>
        <v>7.0588235294117645</v>
      </c>
      <c r="Y60" s="71">
        <f t="shared" si="3"/>
        <v>1.8525E-2</v>
      </c>
      <c r="Z60" s="72">
        <f t="shared" si="7"/>
        <v>0.42499999999999999</v>
      </c>
    </row>
    <row r="61" spans="2:26" s="26" customFormat="1" ht="12" x14ac:dyDescent="0.25">
      <c r="B61" s="77" t="s">
        <v>151</v>
      </c>
      <c r="C61" s="77" t="s">
        <v>38</v>
      </c>
      <c r="D61" s="78" t="s">
        <v>46</v>
      </c>
      <c r="E61" s="77" t="s">
        <v>152</v>
      </c>
      <c r="F61" s="77" t="s">
        <v>41</v>
      </c>
      <c r="G61" s="79">
        <v>0.9</v>
      </c>
      <c r="H61" s="80">
        <v>2.2000000000000002</v>
      </c>
      <c r="I61" s="80">
        <v>1</v>
      </c>
      <c r="J61" s="73">
        <v>22.5</v>
      </c>
      <c r="K61" s="73">
        <v>16</v>
      </c>
      <c r="L61" s="73">
        <v>25</v>
      </c>
      <c r="M61" s="76"/>
      <c r="N61" s="76"/>
      <c r="O61" s="76"/>
      <c r="P61" s="81">
        <v>0.4</v>
      </c>
      <c r="Q61" s="82">
        <v>2</v>
      </c>
      <c r="R61" s="81">
        <v>20</v>
      </c>
      <c r="S61" s="81">
        <v>6</v>
      </c>
      <c r="T61" s="84">
        <v>3</v>
      </c>
      <c r="U61" s="108">
        <v>9</v>
      </c>
      <c r="V61" s="86">
        <f t="shared" si="5"/>
        <v>9</v>
      </c>
      <c r="W61" s="86">
        <f t="shared" si="1"/>
        <v>10</v>
      </c>
      <c r="X61" s="105">
        <f t="shared" si="6"/>
        <v>10</v>
      </c>
      <c r="Y61" s="71">
        <f t="shared" si="3"/>
        <v>8.9999999999999993E-3</v>
      </c>
      <c r="Z61" s="72">
        <f>G61/Q61</f>
        <v>0.45</v>
      </c>
    </row>
    <row r="62" spans="2:26" s="26" customFormat="1" ht="12" x14ac:dyDescent="0.25">
      <c r="B62" s="77" t="s">
        <v>153</v>
      </c>
      <c r="C62" s="77" t="s">
        <v>74</v>
      </c>
      <c r="D62" s="78" t="s">
        <v>90</v>
      </c>
      <c r="E62" s="77" t="s">
        <v>154</v>
      </c>
      <c r="F62" s="77" t="s">
        <v>15</v>
      </c>
      <c r="G62" s="79">
        <v>6</v>
      </c>
      <c r="H62" s="80">
        <v>25.4</v>
      </c>
      <c r="I62" s="80">
        <v>12.82</v>
      </c>
      <c r="J62" s="73">
        <v>62.4</v>
      </c>
      <c r="K62" s="73">
        <v>50.2</v>
      </c>
      <c r="L62" s="73">
        <v>42.6</v>
      </c>
      <c r="M62" s="76"/>
      <c r="N62" s="76"/>
      <c r="O62" s="76"/>
      <c r="P62" s="81">
        <v>0.4</v>
      </c>
      <c r="Q62" s="82">
        <v>26</v>
      </c>
      <c r="R62" s="81">
        <v>132.30000000000001</v>
      </c>
      <c r="S62" s="81">
        <v>48.68</v>
      </c>
      <c r="T62" s="84">
        <v>29.78</v>
      </c>
      <c r="U62" s="108">
        <v>105</v>
      </c>
      <c r="V62" s="86">
        <f t="shared" si="5"/>
        <v>133.44364800000002</v>
      </c>
      <c r="W62" s="86">
        <f t="shared" si="1"/>
        <v>22.240608000000005</v>
      </c>
      <c r="X62" s="105">
        <f t="shared" si="6"/>
        <v>17.5</v>
      </c>
      <c r="Y62" s="71">
        <f t="shared" si="3"/>
        <v>0.13344364800000003</v>
      </c>
      <c r="Z62" s="72">
        <f>G62/Q62</f>
        <v>0.23076923076923078</v>
      </c>
    </row>
    <row r="63" spans="2:26" s="26" customFormat="1" ht="12" x14ac:dyDescent="0.25">
      <c r="B63" s="77" t="s">
        <v>155</v>
      </c>
      <c r="C63" s="77" t="s">
        <v>7</v>
      </c>
      <c r="D63" s="78" t="s">
        <v>90</v>
      </c>
      <c r="E63" s="77" t="s">
        <v>156</v>
      </c>
      <c r="F63" s="77" t="s">
        <v>10</v>
      </c>
      <c r="G63" s="79">
        <v>18</v>
      </c>
      <c r="H63" s="80">
        <v>47.6</v>
      </c>
      <c r="I63" s="80">
        <v>20.78</v>
      </c>
      <c r="J63" s="73">
        <v>77</v>
      </c>
      <c r="K63" s="73">
        <v>61.8</v>
      </c>
      <c r="L63" s="73">
        <v>51.3</v>
      </c>
      <c r="M63" s="76"/>
      <c r="N63" s="76"/>
      <c r="O63" s="76"/>
      <c r="P63" s="81">
        <v>0.6</v>
      </c>
      <c r="Q63" s="82">
        <v>31</v>
      </c>
      <c r="R63" s="81">
        <v>145.85</v>
      </c>
      <c r="S63" s="81" t="s">
        <v>157</v>
      </c>
      <c r="T63" s="84">
        <v>34.58</v>
      </c>
      <c r="U63" s="108">
        <v>145</v>
      </c>
      <c r="V63" s="86">
        <f t="shared" si="5"/>
        <v>244.11617999999996</v>
      </c>
      <c r="W63" s="86">
        <f t="shared" si="1"/>
        <v>13.562009999999997</v>
      </c>
      <c r="X63" s="105">
        <f t="shared" si="6"/>
        <v>8.0555555555555554</v>
      </c>
      <c r="Y63" s="71">
        <f t="shared" si="3"/>
        <v>0.24411617999999996</v>
      </c>
      <c r="Z63" s="72">
        <f>G63/Q63</f>
        <v>0.58064516129032262</v>
      </c>
    </row>
    <row r="64" spans="2:26" s="26" customFormat="1" ht="12" x14ac:dyDescent="0.25">
      <c r="B64" s="77" t="s">
        <v>158</v>
      </c>
      <c r="C64" s="77" t="s">
        <v>7</v>
      </c>
      <c r="D64" s="78" t="s">
        <v>46</v>
      </c>
      <c r="E64" s="77" t="s">
        <v>159</v>
      </c>
      <c r="F64" s="77" t="s">
        <v>10</v>
      </c>
      <c r="G64" s="79">
        <v>20</v>
      </c>
      <c r="H64" s="80">
        <v>49.5</v>
      </c>
      <c r="I64" s="80">
        <v>25</v>
      </c>
      <c r="J64" s="73">
        <v>79.5</v>
      </c>
      <c r="K64" s="73">
        <v>56.2</v>
      </c>
      <c r="L64" s="73">
        <v>56.5</v>
      </c>
      <c r="M64" s="76"/>
      <c r="N64" s="76"/>
      <c r="O64" s="76"/>
      <c r="P64" s="81">
        <v>0.4</v>
      </c>
      <c r="Q64" s="82">
        <v>39</v>
      </c>
      <c r="R64" s="81">
        <v>138</v>
      </c>
      <c r="S64" s="81">
        <v>31</v>
      </c>
      <c r="T64" s="84">
        <v>46</v>
      </c>
      <c r="U64" s="104">
        <v>160</v>
      </c>
      <c r="V64" s="86">
        <f t="shared" si="5"/>
        <v>252.43635000000003</v>
      </c>
      <c r="W64" s="86">
        <f t="shared" si="1"/>
        <v>12.621817500000002</v>
      </c>
      <c r="X64" s="105">
        <f t="shared" si="6"/>
        <v>8</v>
      </c>
      <c r="Y64" s="71">
        <f t="shared" si="3"/>
        <v>0.25243635000000003</v>
      </c>
      <c r="Z64" s="72">
        <f t="shared" ref="Z64:Z92" si="8">G64/Q64</f>
        <v>0.51282051282051277</v>
      </c>
    </row>
    <row r="65" spans="2:26" s="26" customFormat="1" ht="12" x14ac:dyDescent="0.25">
      <c r="B65" s="77" t="s">
        <v>160</v>
      </c>
      <c r="C65" s="77" t="s">
        <v>7</v>
      </c>
      <c r="D65" s="78" t="s">
        <v>133</v>
      </c>
      <c r="E65" s="77" t="s">
        <v>161</v>
      </c>
      <c r="F65" s="77" t="s">
        <v>10</v>
      </c>
      <c r="G65" s="79">
        <v>16</v>
      </c>
      <c r="H65" s="80">
        <v>34.799999999999997</v>
      </c>
      <c r="I65" s="80">
        <v>14.2</v>
      </c>
      <c r="J65" s="73">
        <v>65</v>
      </c>
      <c r="K65" s="73">
        <v>65</v>
      </c>
      <c r="L65" s="73">
        <v>37</v>
      </c>
      <c r="M65" s="76"/>
      <c r="N65" s="76"/>
      <c r="O65" s="76"/>
      <c r="P65" s="81">
        <v>0.6</v>
      </c>
      <c r="Q65" s="82">
        <v>24</v>
      </c>
      <c r="R65" s="81">
        <v>73.5</v>
      </c>
      <c r="S65" s="81">
        <v>19.43</v>
      </c>
      <c r="T65" s="84">
        <v>26.1</v>
      </c>
      <c r="U65" s="104">
        <v>100</v>
      </c>
      <c r="V65" s="86">
        <f t="shared" si="5"/>
        <v>156.32499999999999</v>
      </c>
      <c r="W65" s="86">
        <f t="shared" si="1"/>
        <v>9.7703124999999993</v>
      </c>
      <c r="X65" s="105">
        <f t="shared" si="6"/>
        <v>6.25</v>
      </c>
      <c r="Y65" s="71">
        <f t="shared" si="3"/>
        <v>0.15632499999999999</v>
      </c>
      <c r="Z65" s="72">
        <f t="shared" si="8"/>
        <v>0.66666666666666663</v>
      </c>
    </row>
    <row r="66" spans="2:26" s="26" customFormat="1" ht="12" x14ac:dyDescent="0.25">
      <c r="B66" s="77" t="s">
        <v>162</v>
      </c>
      <c r="C66" s="77" t="s">
        <v>7</v>
      </c>
      <c r="D66" s="78" t="s">
        <v>133</v>
      </c>
      <c r="E66" s="77" t="s">
        <v>163</v>
      </c>
      <c r="F66" s="77" t="s">
        <v>10</v>
      </c>
      <c r="G66" s="79">
        <v>15</v>
      </c>
      <c r="H66" s="80">
        <v>31.8</v>
      </c>
      <c r="I66" s="80">
        <v>14</v>
      </c>
      <c r="J66" s="73">
        <v>65</v>
      </c>
      <c r="K66" s="73">
        <v>65</v>
      </c>
      <c r="L66" s="73">
        <v>37</v>
      </c>
      <c r="M66" s="76"/>
      <c r="N66" s="76"/>
      <c r="O66" s="76"/>
      <c r="P66" s="81">
        <v>0.4</v>
      </c>
      <c r="Q66" s="82">
        <v>32</v>
      </c>
      <c r="R66" s="81">
        <v>53.6</v>
      </c>
      <c r="S66" s="81">
        <v>16.38</v>
      </c>
      <c r="T66" s="84">
        <v>21.05</v>
      </c>
      <c r="U66" s="104">
        <v>100</v>
      </c>
      <c r="V66" s="86">
        <f t="shared" si="5"/>
        <v>156.32499999999999</v>
      </c>
      <c r="W66" s="86">
        <f t="shared" si="1"/>
        <v>10.421666666666665</v>
      </c>
      <c r="X66" s="105">
        <f t="shared" si="6"/>
        <v>6.666666666666667</v>
      </c>
      <c r="Y66" s="71">
        <f t="shared" si="3"/>
        <v>0.15632499999999999</v>
      </c>
      <c r="Z66" s="72">
        <f t="shared" si="8"/>
        <v>0.46875</v>
      </c>
    </row>
    <row r="67" spans="2:26" s="26" customFormat="1" ht="12" x14ac:dyDescent="0.25">
      <c r="B67" s="77" t="s">
        <v>164</v>
      </c>
      <c r="C67" s="77" t="s">
        <v>38</v>
      </c>
      <c r="D67" s="78" t="s">
        <v>133</v>
      </c>
      <c r="E67" s="77" t="s">
        <v>165</v>
      </c>
      <c r="F67" s="77" t="s">
        <v>41</v>
      </c>
      <c r="G67" s="79">
        <v>0.9</v>
      </c>
      <c r="H67" s="80">
        <v>2.4</v>
      </c>
      <c r="I67" s="80">
        <v>1.3</v>
      </c>
      <c r="J67" s="73">
        <v>26.6</v>
      </c>
      <c r="K67" s="73">
        <v>18</v>
      </c>
      <c r="L67" s="73">
        <v>21.5</v>
      </c>
      <c r="M67" s="76"/>
      <c r="N67" s="76"/>
      <c r="O67" s="76"/>
      <c r="P67" s="81">
        <v>0.3</v>
      </c>
      <c r="Q67" s="82">
        <v>2</v>
      </c>
      <c r="R67" s="81">
        <v>17.829999999999998</v>
      </c>
      <c r="S67" s="81">
        <v>4.4329999999999998</v>
      </c>
      <c r="T67" s="84">
        <v>4.53</v>
      </c>
      <c r="U67" s="104">
        <v>8.6999999999999993</v>
      </c>
      <c r="V67" s="86">
        <f t="shared" si="5"/>
        <v>10.2942</v>
      </c>
      <c r="W67" s="86">
        <f t="shared" si="1"/>
        <v>11.438000000000001</v>
      </c>
      <c r="X67" s="105">
        <f t="shared" si="6"/>
        <v>9.6666666666666661</v>
      </c>
      <c r="Y67" s="71">
        <f t="shared" si="3"/>
        <v>1.02942E-2</v>
      </c>
      <c r="Z67" s="72">
        <f t="shared" si="8"/>
        <v>0.45</v>
      </c>
    </row>
    <row r="68" spans="2:26" s="26" customFormat="1" ht="12" x14ac:dyDescent="0.25">
      <c r="B68" s="77" t="s">
        <v>166</v>
      </c>
      <c r="C68" s="77" t="s">
        <v>17</v>
      </c>
      <c r="D68" s="78" t="s">
        <v>133</v>
      </c>
      <c r="E68" s="77" t="s">
        <v>167</v>
      </c>
      <c r="F68" s="77" t="s">
        <v>20</v>
      </c>
      <c r="G68" s="79">
        <v>1.5</v>
      </c>
      <c r="H68" s="80">
        <v>4.9000000000000004</v>
      </c>
      <c r="I68" s="80">
        <v>2.6</v>
      </c>
      <c r="J68" s="73">
        <v>28</v>
      </c>
      <c r="K68" s="73">
        <v>28</v>
      </c>
      <c r="L68" s="73">
        <v>31.5</v>
      </c>
      <c r="M68" s="76"/>
      <c r="N68" s="76"/>
      <c r="O68" s="76"/>
      <c r="P68" s="81">
        <v>0.3</v>
      </c>
      <c r="Q68" s="82">
        <v>4</v>
      </c>
      <c r="R68" s="81">
        <v>41</v>
      </c>
      <c r="S68" s="81">
        <v>15.7</v>
      </c>
      <c r="T68" s="84">
        <v>9.5</v>
      </c>
      <c r="U68" s="104">
        <v>12.7</v>
      </c>
      <c r="V68" s="86">
        <f t="shared" si="5"/>
        <v>24.696000000000002</v>
      </c>
      <c r="W68" s="86">
        <f t="shared" si="1"/>
        <v>16.464000000000002</v>
      </c>
      <c r="X68" s="105">
        <f t="shared" si="6"/>
        <v>8.4666666666666668</v>
      </c>
      <c r="Y68" s="71">
        <f t="shared" si="3"/>
        <v>2.4695999999999999E-2</v>
      </c>
      <c r="Z68" s="72">
        <f t="shared" si="8"/>
        <v>0.375</v>
      </c>
    </row>
    <row r="69" spans="2:26" s="26" customFormat="1" ht="12" x14ac:dyDescent="0.25">
      <c r="B69" s="77" t="s">
        <v>168</v>
      </c>
      <c r="C69" s="77" t="s">
        <v>74</v>
      </c>
      <c r="D69" s="78" t="s">
        <v>126</v>
      </c>
      <c r="E69" s="77" t="s">
        <v>169</v>
      </c>
      <c r="F69" s="77" t="s">
        <v>15</v>
      </c>
      <c r="G69" s="79">
        <v>8</v>
      </c>
      <c r="H69" s="80">
        <v>22.41</v>
      </c>
      <c r="I69" s="80">
        <v>11.57</v>
      </c>
      <c r="J69" s="73">
        <v>54.4</v>
      </c>
      <c r="K69" s="73">
        <v>44.5</v>
      </c>
      <c r="L69" s="73">
        <v>42</v>
      </c>
      <c r="M69" s="76"/>
      <c r="N69" s="76"/>
      <c r="O69" s="76"/>
      <c r="P69" s="81">
        <v>0.3</v>
      </c>
      <c r="Q69" s="82">
        <v>24</v>
      </c>
      <c r="R69" s="81">
        <v>84.1</v>
      </c>
      <c r="S69" s="81">
        <v>27.85</v>
      </c>
      <c r="T69" s="84">
        <v>17</v>
      </c>
      <c r="U69" s="104">
        <v>130</v>
      </c>
      <c r="V69" s="86">
        <f t="shared" si="5"/>
        <v>101.67359999999999</v>
      </c>
      <c r="W69" s="86">
        <f t="shared" si="1"/>
        <v>12.709199999999999</v>
      </c>
      <c r="X69" s="105">
        <f t="shared" si="6"/>
        <v>16.25</v>
      </c>
      <c r="Y69" s="71">
        <f t="shared" si="3"/>
        <v>0.10167359999999999</v>
      </c>
      <c r="Z69" s="72">
        <f t="shared" si="8"/>
        <v>0.33333333333333331</v>
      </c>
    </row>
    <row r="70" spans="2:26" s="26" customFormat="1" ht="12" x14ac:dyDescent="0.25">
      <c r="B70" s="77" t="s">
        <v>170</v>
      </c>
      <c r="C70" s="77" t="s">
        <v>7</v>
      </c>
      <c r="D70" s="78" t="s">
        <v>126</v>
      </c>
      <c r="E70" s="77" t="s">
        <v>171</v>
      </c>
      <c r="F70" s="77" t="s">
        <v>10</v>
      </c>
      <c r="G70" s="79">
        <v>18</v>
      </c>
      <c r="H70" s="80">
        <v>48.02</v>
      </c>
      <c r="I70" s="80">
        <v>19.73</v>
      </c>
      <c r="J70" s="73">
        <v>76.5</v>
      </c>
      <c r="K70" s="73">
        <v>61.2</v>
      </c>
      <c r="L70" s="73">
        <v>51.5</v>
      </c>
      <c r="M70" s="76"/>
      <c r="N70" s="76"/>
      <c r="O70" s="76"/>
      <c r="P70" s="81">
        <v>0.3</v>
      </c>
      <c r="Q70" s="82">
        <v>50</v>
      </c>
      <c r="R70" s="81">
        <v>128.26</v>
      </c>
      <c r="S70" s="81">
        <v>50.06</v>
      </c>
      <c r="T70" s="84">
        <v>31.1</v>
      </c>
      <c r="U70" s="104">
        <v>135</v>
      </c>
      <c r="V70" s="86">
        <f t="shared" si="5"/>
        <v>241.11270000000002</v>
      </c>
      <c r="W70" s="86">
        <f>V70/G70</f>
        <v>13.395150000000001</v>
      </c>
      <c r="X70" s="105">
        <f t="shared" si="6"/>
        <v>7.5</v>
      </c>
      <c r="Y70" s="71">
        <f>J70*K70*L70/1000000</f>
        <v>0.24111270000000001</v>
      </c>
      <c r="Z70" s="72">
        <f t="shared" si="8"/>
        <v>0.36</v>
      </c>
    </row>
    <row r="71" spans="2:26" s="26" customFormat="1" ht="12" x14ac:dyDescent="0.25">
      <c r="B71" s="77" t="s">
        <v>172</v>
      </c>
      <c r="C71" s="77" t="s">
        <v>17</v>
      </c>
      <c r="D71" s="78" t="s">
        <v>173</v>
      </c>
      <c r="E71" s="109" t="s">
        <v>28</v>
      </c>
      <c r="F71" s="77" t="s">
        <v>20</v>
      </c>
      <c r="G71" s="79">
        <v>2.6</v>
      </c>
      <c r="H71" s="80">
        <v>6.5</v>
      </c>
      <c r="I71" s="80">
        <v>1.8</v>
      </c>
      <c r="J71" s="73">
        <v>29</v>
      </c>
      <c r="K71" s="73">
        <v>24</v>
      </c>
      <c r="L71" s="73">
        <v>32</v>
      </c>
      <c r="M71" s="76"/>
      <c r="N71" s="76"/>
      <c r="O71" s="76"/>
      <c r="P71" s="81">
        <v>0.4</v>
      </c>
      <c r="Q71" s="82">
        <v>8</v>
      </c>
      <c r="R71" s="81">
        <v>41</v>
      </c>
      <c r="S71" s="81">
        <v>11</v>
      </c>
      <c r="T71" s="84">
        <v>12</v>
      </c>
      <c r="U71" s="104">
        <v>25.9</v>
      </c>
      <c r="V71" s="86">
        <f t="shared" si="5"/>
        <v>22.271999999999998</v>
      </c>
      <c r="W71" s="86">
        <f>V71/G71</f>
        <v>8.5661538461538456</v>
      </c>
      <c r="X71" s="105">
        <f t="shared" si="6"/>
        <v>9.9615384615384599</v>
      </c>
      <c r="Y71" s="71">
        <f>J71*K71*L71/1000000</f>
        <v>2.2272E-2</v>
      </c>
      <c r="Z71" s="72">
        <f t="shared" si="8"/>
        <v>0.32500000000000001</v>
      </c>
    </row>
    <row r="72" spans="2:26" s="26" customFormat="1" ht="12" x14ac:dyDescent="0.25">
      <c r="B72" s="77" t="s">
        <v>174</v>
      </c>
      <c r="C72" s="77" t="s">
        <v>175</v>
      </c>
      <c r="D72" s="78" t="s">
        <v>176</v>
      </c>
      <c r="E72" s="109" t="s">
        <v>177</v>
      </c>
      <c r="F72" s="77" t="s">
        <v>178</v>
      </c>
      <c r="G72" s="79">
        <v>5.4</v>
      </c>
      <c r="H72" s="80">
        <v>39.5</v>
      </c>
      <c r="I72" s="80">
        <v>22</v>
      </c>
      <c r="J72" s="73">
        <v>52.8</v>
      </c>
      <c r="K72" s="73">
        <v>52.8</v>
      </c>
      <c r="L72" s="73">
        <v>74.7</v>
      </c>
      <c r="M72" s="76">
        <v>28.3</v>
      </c>
      <c r="N72" s="76">
        <v>9.8000000000000007</v>
      </c>
      <c r="O72" s="76">
        <v>28.5</v>
      </c>
      <c r="P72" s="81">
        <v>1</v>
      </c>
      <c r="Q72" s="82">
        <v>8</v>
      </c>
      <c r="R72" s="81">
        <v>840</v>
      </c>
      <c r="S72" s="81">
        <v>144</v>
      </c>
      <c r="T72" s="66" t="e">
        <f>NA()</f>
        <v>#N/A</v>
      </c>
      <c r="U72" s="104">
        <v>2393</v>
      </c>
      <c r="V72" s="86">
        <f t="shared" si="5"/>
        <v>208.25164799999999</v>
      </c>
      <c r="W72" s="86">
        <f>V72/G72</f>
        <v>38.565119999999993</v>
      </c>
      <c r="X72" s="105">
        <f t="shared" si="6"/>
        <v>443.1481481481481</v>
      </c>
      <c r="Y72" s="71">
        <f>J72*K72*L72/1000000</f>
        <v>0.20825164799999998</v>
      </c>
      <c r="Z72" s="72">
        <f t="shared" si="8"/>
        <v>0.67500000000000004</v>
      </c>
    </row>
    <row r="73" spans="2:26" s="26" customFormat="1" ht="12" x14ac:dyDescent="0.25">
      <c r="B73" s="77" t="s">
        <v>179</v>
      </c>
      <c r="C73" s="77"/>
      <c r="D73" s="78" t="s">
        <v>180</v>
      </c>
      <c r="E73" s="109" t="s">
        <v>181</v>
      </c>
      <c r="F73" s="77" t="s">
        <v>10</v>
      </c>
      <c r="G73" s="79">
        <v>16.5</v>
      </c>
      <c r="H73" s="80">
        <v>14.7</v>
      </c>
      <c r="I73" s="80">
        <v>2.2400000000000002</v>
      </c>
      <c r="J73" s="73" t="s">
        <v>182</v>
      </c>
      <c r="K73" s="73">
        <v>1</v>
      </c>
      <c r="L73" s="73">
        <v>1</v>
      </c>
      <c r="M73" s="76"/>
      <c r="N73" s="76"/>
      <c r="O73" s="76"/>
      <c r="P73" s="81" t="s">
        <v>183</v>
      </c>
      <c r="Q73" s="82" t="s">
        <v>184</v>
      </c>
      <c r="R73" s="81">
        <v>60.5</v>
      </c>
      <c r="S73" s="81">
        <v>38.25</v>
      </c>
      <c r="T73" s="84">
        <v>18.45</v>
      </c>
      <c r="U73" s="104">
        <v>400</v>
      </c>
      <c r="V73" s="86">
        <f>J73*K73*L73</f>
        <v>70.3</v>
      </c>
      <c r="W73" s="86">
        <f t="shared" ref="W73:W92" si="9">V73/G73</f>
        <v>4.2606060606060607</v>
      </c>
      <c r="X73" s="105">
        <f t="shared" si="6"/>
        <v>24.242424242424242</v>
      </c>
      <c r="Y73" s="71">
        <f t="shared" ref="Y73:Y81" si="10">J73*K73*L73/1000000</f>
        <v>7.0300000000000001E-5</v>
      </c>
      <c r="Z73" s="72">
        <f t="shared" si="8"/>
        <v>1.03125</v>
      </c>
    </row>
    <row r="74" spans="2:26" s="26" customFormat="1" ht="12" x14ac:dyDescent="0.25">
      <c r="B74" s="77" t="s">
        <v>185</v>
      </c>
      <c r="C74" s="77"/>
      <c r="D74" s="78" t="s">
        <v>186</v>
      </c>
      <c r="E74" s="109" t="s">
        <v>187</v>
      </c>
      <c r="F74" s="77" t="s">
        <v>20</v>
      </c>
      <c r="G74" s="79">
        <v>3.4</v>
      </c>
      <c r="H74" s="80">
        <v>4.9000000000000004</v>
      </c>
      <c r="I74" s="80">
        <v>2.2599999999999998</v>
      </c>
      <c r="J74" s="73" t="s">
        <v>188</v>
      </c>
      <c r="K74" s="73">
        <v>1</v>
      </c>
      <c r="L74" s="73">
        <v>1</v>
      </c>
      <c r="M74" s="76"/>
      <c r="N74" s="76"/>
      <c r="O74" s="76"/>
      <c r="P74" s="81" t="s">
        <v>189</v>
      </c>
      <c r="Q74" s="82" t="s">
        <v>190</v>
      </c>
      <c r="R74" s="81">
        <v>43.43</v>
      </c>
      <c r="S74" s="81">
        <v>16</v>
      </c>
      <c r="T74" s="84">
        <v>8</v>
      </c>
      <c r="U74" s="104">
        <v>21</v>
      </c>
      <c r="V74" s="86">
        <f t="shared" ref="V74:V92" si="11">J74*K74*L74</f>
        <v>28</v>
      </c>
      <c r="W74" s="86">
        <f t="shared" si="9"/>
        <v>8.2352941176470598</v>
      </c>
      <c r="X74" s="105">
        <f t="shared" si="6"/>
        <v>6.1764705882352944</v>
      </c>
      <c r="Y74" s="71">
        <f t="shared" si="10"/>
        <v>2.8E-5</v>
      </c>
      <c r="Z74" s="72">
        <f t="shared" si="8"/>
        <v>0.85</v>
      </c>
    </row>
    <row r="75" spans="2:26" s="26" customFormat="1" ht="12" x14ac:dyDescent="0.25">
      <c r="B75" s="77" t="s">
        <v>191</v>
      </c>
      <c r="C75" s="77"/>
      <c r="D75" s="78" t="s">
        <v>126</v>
      </c>
      <c r="E75" s="109" t="s">
        <v>192</v>
      </c>
      <c r="F75" s="77" t="s">
        <v>20</v>
      </c>
      <c r="G75" s="79">
        <v>1.67</v>
      </c>
      <c r="H75" s="80">
        <v>4.34</v>
      </c>
      <c r="I75" s="80">
        <v>1.99</v>
      </c>
      <c r="J75" s="73" t="s">
        <v>193</v>
      </c>
      <c r="K75" s="73">
        <v>1</v>
      </c>
      <c r="L75" s="73">
        <v>1</v>
      </c>
      <c r="M75" s="76"/>
      <c r="N75" s="76"/>
      <c r="O75" s="76"/>
      <c r="P75" s="81" t="s">
        <v>183</v>
      </c>
      <c r="Q75" s="82" t="s">
        <v>190</v>
      </c>
      <c r="R75" s="81">
        <v>35.700000000000003</v>
      </c>
      <c r="S75" s="81">
        <v>17.3</v>
      </c>
      <c r="T75" s="84">
        <v>3.25</v>
      </c>
      <c r="U75" s="104">
        <v>11.5</v>
      </c>
      <c r="V75" s="86">
        <f t="shared" si="11"/>
        <v>18.8</v>
      </c>
      <c r="W75" s="86">
        <f t="shared" si="9"/>
        <v>11.257485029940121</v>
      </c>
      <c r="X75" s="105">
        <f t="shared" si="6"/>
        <v>6.88622754491018</v>
      </c>
      <c r="Y75" s="71">
        <f t="shared" si="10"/>
        <v>1.88E-5</v>
      </c>
      <c r="Z75" s="72">
        <f t="shared" si="8"/>
        <v>0.41749999999999998</v>
      </c>
    </row>
    <row r="76" spans="2:26" s="26" customFormat="1" ht="12" x14ac:dyDescent="0.25">
      <c r="B76" s="77" t="s">
        <v>194</v>
      </c>
      <c r="C76" s="77"/>
      <c r="D76" s="78" t="s">
        <v>126</v>
      </c>
      <c r="E76" s="109" t="s">
        <v>195</v>
      </c>
      <c r="F76" s="77" t="s">
        <v>20</v>
      </c>
      <c r="G76" s="79">
        <v>5.5</v>
      </c>
      <c r="H76" s="80">
        <v>22.33</v>
      </c>
      <c r="I76" s="80">
        <v>9.4</v>
      </c>
      <c r="J76" s="73" t="s">
        <v>196</v>
      </c>
      <c r="K76" s="73">
        <v>1</v>
      </c>
      <c r="L76" s="73">
        <v>1</v>
      </c>
      <c r="M76" s="76"/>
      <c r="N76" s="76"/>
      <c r="O76" s="76"/>
      <c r="P76" s="81" t="s">
        <v>189</v>
      </c>
      <c r="Q76" s="82" t="s">
        <v>197</v>
      </c>
      <c r="R76" s="81">
        <v>107.5</v>
      </c>
      <c r="S76" s="81">
        <v>33.700000000000003</v>
      </c>
      <c r="T76" s="84">
        <v>22.9</v>
      </c>
      <c r="U76" s="104">
        <v>130</v>
      </c>
      <c r="V76" s="86">
        <f t="shared" si="11"/>
        <v>99.7</v>
      </c>
      <c r="W76" s="86">
        <f t="shared" si="9"/>
        <v>18.127272727272729</v>
      </c>
      <c r="X76" s="105">
        <f t="shared" si="6"/>
        <v>23.636363636363637</v>
      </c>
      <c r="Y76" s="71">
        <f t="shared" si="10"/>
        <v>9.9699999999999998E-5</v>
      </c>
      <c r="Z76" s="72">
        <f t="shared" si="8"/>
        <v>0.36666666666666664</v>
      </c>
    </row>
    <row r="77" spans="2:26" s="26" customFormat="1" ht="12" x14ac:dyDescent="0.25">
      <c r="B77" s="77" t="s">
        <v>198</v>
      </c>
      <c r="C77" s="77"/>
      <c r="D77" s="78" t="s">
        <v>126</v>
      </c>
      <c r="E77" s="109" t="s">
        <v>199</v>
      </c>
      <c r="F77" s="77" t="s">
        <v>10</v>
      </c>
      <c r="G77" s="79">
        <v>22.4</v>
      </c>
      <c r="H77" s="80">
        <v>49.2</v>
      </c>
      <c r="I77" s="80">
        <v>18.149999999999999</v>
      </c>
      <c r="J77" s="73" t="s">
        <v>200</v>
      </c>
      <c r="K77" s="73">
        <v>1</v>
      </c>
      <c r="L77" s="73">
        <v>1</v>
      </c>
      <c r="M77" s="76"/>
      <c r="N77" s="76"/>
      <c r="O77" s="76"/>
      <c r="P77" s="81" t="s">
        <v>189</v>
      </c>
      <c r="Q77" s="82" t="s">
        <v>201</v>
      </c>
      <c r="R77" s="81">
        <v>153.5</v>
      </c>
      <c r="S77" s="81">
        <v>69</v>
      </c>
      <c r="T77" s="84">
        <v>41.7</v>
      </c>
      <c r="U77" s="104">
        <v>122</v>
      </c>
      <c r="V77" s="86">
        <f t="shared" si="11"/>
        <v>243.9</v>
      </c>
      <c r="W77" s="86">
        <f t="shared" si="9"/>
        <v>10.888392857142858</v>
      </c>
      <c r="X77" s="105">
        <f t="shared" si="6"/>
        <v>5.4464285714285721</v>
      </c>
      <c r="Y77" s="71">
        <f t="shared" si="10"/>
        <v>2.4389999999999999E-4</v>
      </c>
      <c r="Z77" s="72">
        <f t="shared" si="8"/>
        <v>0.72258064516129028</v>
      </c>
    </row>
    <row r="78" spans="2:26" s="26" customFormat="1" ht="12" x14ac:dyDescent="0.25">
      <c r="B78" s="77" t="s">
        <v>202</v>
      </c>
      <c r="C78" s="77"/>
      <c r="D78" s="78" t="s">
        <v>126</v>
      </c>
      <c r="E78" s="109" t="s">
        <v>203</v>
      </c>
      <c r="F78" s="77" t="s">
        <v>20</v>
      </c>
      <c r="G78" s="79">
        <v>2.9</v>
      </c>
      <c r="H78" s="80">
        <v>5.36</v>
      </c>
      <c r="I78" s="80">
        <v>2.63</v>
      </c>
      <c r="J78" s="73" t="s">
        <v>204</v>
      </c>
      <c r="K78" s="73">
        <v>1</v>
      </c>
      <c r="L78" s="73">
        <v>1</v>
      </c>
      <c r="M78" s="76"/>
      <c r="N78" s="76"/>
      <c r="O78" s="76"/>
      <c r="P78" s="81" t="s">
        <v>205</v>
      </c>
      <c r="Q78" s="82" t="s">
        <v>190</v>
      </c>
      <c r="R78" s="81">
        <v>51.08</v>
      </c>
      <c r="S78" s="81">
        <v>25.11</v>
      </c>
      <c r="T78" s="84">
        <v>12.55</v>
      </c>
      <c r="U78" s="104" t="e">
        <f>NA()</f>
        <v>#N/A</v>
      </c>
      <c r="V78" s="86">
        <f t="shared" si="11"/>
        <v>27.5</v>
      </c>
      <c r="W78" s="86">
        <f t="shared" si="9"/>
        <v>9.4827586206896548</v>
      </c>
      <c r="X78" s="105" t="e">
        <f t="shared" si="6"/>
        <v>#N/A</v>
      </c>
      <c r="Y78" s="71">
        <f t="shared" si="10"/>
        <v>2.7500000000000001E-5</v>
      </c>
      <c r="Z78" s="72">
        <f t="shared" si="8"/>
        <v>0.72499999999999998</v>
      </c>
    </row>
    <row r="79" spans="2:26" s="26" customFormat="1" ht="12" x14ac:dyDescent="0.25">
      <c r="B79" s="77" t="s">
        <v>206</v>
      </c>
      <c r="C79" s="77"/>
      <c r="D79" s="78" t="s">
        <v>207</v>
      </c>
      <c r="E79" s="109" t="s">
        <v>208</v>
      </c>
      <c r="F79" s="77" t="s">
        <v>20</v>
      </c>
      <c r="G79" s="79">
        <v>1.18</v>
      </c>
      <c r="H79" s="80">
        <v>7.1</v>
      </c>
      <c r="I79" s="80">
        <v>4.7</v>
      </c>
      <c r="J79" s="73" t="s">
        <v>209</v>
      </c>
      <c r="K79" s="73">
        <v>1</v>
      </c>
      <c r="L79" s="73">
        <v>1</v>
      </c>
      <c r="M79" s="76"/>
      <c r="N79" s="76"/>
      <c r="O79" s="76"/>
      <c r="P79" s="81" t="s">
        <v>189</v>
      </c>
      <c r="Q79" s="82" t="s">
        <v>210</v>
      </c>
      <c r="R79" s="81">
        <v>34.65</v>
      </c>
      <c r="S79" s="81">
        <v>15.1</v>
      </c>
      <c r="T79" s="84">
        <v>8.14</v>
      </c>
      <c r="U79" s="104">
        <f>1.2*102</f>
        <v>122.39999999999999</v>
      </c>
      <c r="V79" s="86">
        <f t="shared" si="11"/>
        <v>42.6</v>
      </c>
      <c r="W79" s="86">
        <f t="shared" si="9"/>
        <v>36.101694915254242</v>
      </c>
      <c r="X79" s="105">
        <f t="shared" si="6"/>
        <v>103.72881355932203</v>
      </c>
      <c r="Y79" s="71">
        <f t="shared" si="10"/>
        <v>4.2599999999999999E-5</v>
      </c>
      <c r="Z79" s="72">
        <f t="shared" si="8"/>
        <v>0.39333333333333331</v>
      </c>
    </row>
    <row r="80" spans="2:26" s="26" customFormat="1" ht="12" x14ac:dyDescent="0.25">
      <c r="B80" s="77" t="s">
        <v>211</v>
      </c>
      <c r="C80" s="77"/>
      <c r="D80" s="78" t="s">
        <v>212</v>
      </c>
      <c r="E80" s="109" t="s">
        <v>213</v>
      </c>
      <c r="F80" s="77" t="s">
        <v>20</v>
      </c>
      <c r="G80" s="79">
        <v>1.44</v>
      </c>
      <c r="H80" s="80">
        <v>3.8</v>
      </c>
      <c r="I80" s="80">
        <v>1.625</v>
      </c>
      <c r="J80" s="73" t="s">
        <v>214</v>
      </c>
      <c r="K80" s="73">
        <v>1</v>
      </c>
      <c r="L80" s="73">
        <v>1</v>
      </c>
      <c r="M80" s="76"/>
      <c r="N80" s="76"/>
      <c r="O80" s="76"/>
      <c r="P80" s="81" t="s">
        <v>205</v>
      </c>
      <c r="Q80" s="82" t="s">
        <v>190</v>
      </c>
      <c r="R80" s="81">
        <v>40</v>
      </c>
      <c r="S80" s="81">
        <v>16.510000000000002</v>
      </c>
      <c r="T80" s="84">
        <v>10.49</v>
      </c>
      <c r="U80" s="104">
        <v>11</v>
      </c>
      <c r="V80" s="86">
        <f t="shared" si="11"/>
        <v>19.399999999999999</v>
      </c>
      <c r="W80" s="86">
        <f t="shared" si="9"/>
        <v>13.472222222222221</v>
      </c>
      <c r="X80" s="105">
        <f t="shared" si="6"/>
        <v>7.6388888888888893</v>
      </c>
      <c r="Y80" s="71">
        <f t="shared" si="10"/>
        <v>1.9399999999999997E-5</v>
      </c>
      <c r="Z80" s="72">
        <f t="shared" si="8"/>
        <v>0.36</v>
      </c>
    </row>
    <row r="81" spans="2:26" s="26" customFormat="1" ht="12" x14ac:dyDescent="0.25">
      <c r="B81" s="77" t="s">
        <v>215</v>
      </c>
      <c r="C81" s="61" t="s">
        <v>216</v>
      </c>
      <c r="D81" s="78" t="s">
        <v>217</v>
      </c>
      <c r="E81" s="109" t="s">
        <v>218</v>
      </c>
      <c r="F81" s="77" t="s">
        <v>20</v>
      </c>
      <c r="G81" s="79">
        <v>1.5</v>
      </c>
      <c r="H81" s="80">
        <v>8</v>
      </c>
      <c r="I81" s="80">
        <v>4.2</v>
      </c>
      <c r="J81" s="73" t="s">
        <v>219</v>
      </c>
      <c r="K81" s="73">
        <v>1</v>
      </c>
      <c r="L81" s="73">
        <v>1</v>
      </c>
      <c r="M81" s="76"/>
      <c r="N81" s="76"/>
      <c r="O81" s="76"/>
      <c r="P81" s="81" t="s">
        <v>189</v>
      </c>
      <c r="Q81" s="82" t="s">
        <v>190</v>
      </c>
      <c r="R81" s="81">
        <v>34</v>
      </c>
      <c r="S81" s="81">
        <v>17.149999999999999</v>
      </c>
      <c r="T81" s="66" t="e">
        <f>NA()</f>
        <v>#N/A</v>
      </c>
      <c r="U81" s="104">
        <v>51</v>
      </c>
      <c r="V81" s="86">
        <f t="shared" si="11"/>
        <v>28.8</v>
      </c>
      <c r="W81" s="86">
        <f t="shared" si="9"/>
        <v>19.2</v>
      </c>
      <c r="X81" s="105">
        <f t="shared" si="6"/>
        <v>34</v>
      </c>
      <c r="Y81" s="71">
        <f t="shared" si="10"/>
        <v>2.8800000000000002E-5</v>
      </c>
      <c r="Z81" s="72">
        <f t="shared" si="8"/>
        <v>0.375</v>
      </c>
    </row>
    <row r="82" spans="2:26" s="26" customFormat="1" ht="12" x14ac:dyDescent="0.25">
      <c r="B82" s="61" t="s">
        <v>220</v>
      </c>
      <c r="C82" s="61" t="s">
        <v>216</v>
      </c>
      <c r="D82" s="62" t="s">
        <v>221</v>
      </c>
      <c r="E82" s="61" t="s">
        <v>222</v>
      </c>
      <c r="F82" s="61" t="s">
        <v>223</v>
      </c>
      <c r="G82" s="63">
        <v>1.7</v>
      </c>
      <c r="H82" s="64">
        <v>8</v>
      </c>
      <c r="I82" s="64">
        <v>4</v>
      </c>
      <c r="J82" s="110" t="s">
        <v>224</v>
      </c>
      <c r="K82" s="73">
        <v>1</v>
      </c>
      <c r="L82" s="73">
        <v>1</v>
      </c>
      <c r="M82" s="76"/>
      <c r="N82" s="65"/>
      <c r="O82" s="65"/>
      <c r="P82" s="66" t="s">
        <v>189</v>
      </c>
      <c r="Q82" s="67" t="s">
        <v>190</v>
      </c>
      <c r="R82" s="66">
        <v>33.42</v>
      </c>
      <c r="S82" s="66">
        <v>15.17</v>
      </c>
      <c r="T82" s="66" t="e">
        <f>NA()</f>
        <v>#N/A</v>
      </c>
      <c r="U82" s="68">
        <v>45</v>
      </c>
      <c r="V82" s="86">
        <f t="shared" si="11"/>
        <v>28.5</v>
      </c>
      <c r="W82" s="86">
        <f t="shared" si="9"/>
        <v>16.764705882352942</v>
      </c>
      <c r="X82" s="105">
        <f t="shared" si="6"/>
        <v>26.47058823529412</v>
      </c>
      <c r="Y82" s="71"/>
      <c r="Z82" s="72">
        <f t="shared" si="8"/>
        <v>0.42499999999999999</v>
      </c>
    </row>
    <row r="83" spans="2:26" s="26" customFormat="1" ht="12" x14ac:dyDescent="0.25">
      <c r="B83" s="61" t="s">
        <v>225</v>
      </c>
      <c r="C83" s="61" t="s">
        <v>216</v>
      </c>
      <c r="D83" s="62" t="s">
        <v>186</v>
      </c>
      <c r="E83" s="61" t="s">
        <v>226</v>
      </c>
      <c r="F83" s="61" t="s">
        <v>223</v>
      </c>
      <c r="G83" s="63">
        <v>1.6</v>
      </c>
      <c r="H83" s="64">
        <v>6.4</v>
      </c>
      <c r="I83" s="64">
        <v>3.4</v>
      </c>
      <c r="J83" s="110" t="s">
        <v>227</v>
      </c>
      <c r="K83" s="73">
        <v>1</v>
      </c>
      <c r="L83" s="73">
        <v>1</v>
      </c>
      <c r="M83" s="76"/>
      <c r="N83" s="65"/>
      <c r="O83" s="65"/>
      <c r="P83" s="66" t="s">
        <v>183</v>
      </c>
      <c r="Q83" s="67" t="s">
        <v>190</v>
      </c>
      <c r="R83" s="66">
        <v>30</v>
      </c>
      <c r="S83" s="66">
        <v>20</v>
      </c>
      <c r="T83" s="66" t="e">
        <f>NA()</f>
        <v>#N/A</v>
      </c>
      <c r="U83" s="68">
        <v>55</v>
      </c>
      <c r="V83" s="86">
        <f t="shared" si="11"/>
        <v>27.2</v>
      </c>
      <c r="W83" s="86">
        <f t="shared" si="9"/>
        <v>17</v>
      </c>
      <c r="X83" s="105">
        <f t="shared" si="6"/>
        <v>34.375</v>
      </c>
      <c r="Y83" s="71"/>
      <c r="Z83" s="72">
        <f t="shared" si="8"/>
        <v>0.4</v>
      </c>
    </row>
    <row r="84" spans="2:26" s="26" customFormat="1" ht="12" x14ac:dyDescent="0.25">
      <c r="B84" s="61" t="s">
        <v>228</v>
      </c>
      <c r="C84" s="61"/>
      <c r="D84" s="62" t="s">
        <v>212</v>
      </c>
      <c r="E84" s="61" t="s">
        <v>229</v>
      </c>
      <c r="F84" s="61" t="s">
        <v>20</v>
      </c>
      <c r="G84" s="63">
        <v>1.48</v>
      </c>
      <c r="H84" s="64">
        <v>3.32</v>
      </c>
      <c r="I84" s="64">
        <v>1.64</v>
      </c>
      <c r="J84" s="110" t="s">
        <v>230</v>
      </c>
      <c r="K84" s="73">
        <v>1</v>
      </c>
      <c r="L84" s="73">
        <v>1</v>
      </c>
      <c r="M84" s="76"/>
      <c r="N84" s="65"/>
      <c r="O84" s="65"/>
      <c r="P84" s="66" t="s">
        <v>205</v>
      </c>
      <c r="Q84" s="67" t="s">
        <v>190</v>
      </c>
      <c r="R84" s="66">
        <v>40.299999999999997</v>
      </c>
      <c r="S84" s="66">
        <v>14.57</v>
      </c>
      <c r="T84" s="66">
        <v>7.45</v>
      </c>
      <c r="U84" s="68">
        <v>12</v>
      </c>
      <c r="V84" s="86">
        <f t="shared" si="11"/>
        <v>19.5</v>
      </c>
      <c r="W84" s="86">
        <f t="shared" si="9"/>
        <v>13.175675675675675</v>
      </c>
      <c r="X84" s="105">
        <f t="shared" si="6"/>
        <v>8.1081081081081088</v>
      </c>
      <c r="Y84" s="71"/>
      <c r="Z84" s="72">
        <f t="shared" si="8"/>
        <v>0.37</v>
      </c>
    </row>
    <row r="85" spans="2:26" s="26" customFormat="1" ht="12" x14ac:dyDescent="0.25">
      <c r="B85" s="61" t="s">
        <v>231</v>
      </c>
      <c r="C85" s="61"/>
      <c r="D85" s="62" t="s">
        <v>212</v>
      </c>
      <c r="E85" s="61" t="s">
        <v>232</v>
      </c>
      <c r="F85" s="61" t="s">
        <v>20</v>
      </c>
      <c r="G85" s="63">
        <v>1.7</v>
      </c>
      <c r="H85" s="64">
        <v>3.34</v>
      </c>
      <c r="I85" s="64">
        <v>1.63</v>
      </c>
      <c r="J85" s="110" t="s">
        <v>233</v>
      </c>
      <c r="K85" s="73">
        <v>1</v>
      </c>
      <c r="L85" s="73">
        <v>1</v>
      </c>
      <c r="M85" s="76"/>
      <c r="N85" s="65"/>
      <c r="O85" s="65"/>
      <c r="P85" s="66" t="s">
        <v>205</v>
      </c>
      <c r="Q85" s="67" t="s">
        <v>190</v>
      </c>
      <c r="R85" s="66">
        <v>38.369999999999997</v>
      </c>
      <c r="S85" s="66">
        <v>15.26</v>
      </c>
      <c r="T85" s="66">
        <v>7.2</v>
      </c>
      <c r="U85" s="68">
        <v>12</v>
      </c>
      <c r="V85" s="86">
        <f t="shared" si="11"/>
        <v>20</v>
      </c>
      <c r="W85" s="86">
        <f t="shared" si="9"/>
        <v>11.764705882352942</v>
      </c>
      <c r="X85" s="105">
        <f t="shared" si="6"/>
        <v>7.0588235294117645</v>
      </c>
      <c r="Y85" s="71"/>
      <c r="Z85" s="72">
        <f t="shared" si="8"/>
        <v>0.42499999999999999</v>
      </c>
    </row>
    <row r="86" spans="2:26" s="26" customFormat="1" ht="12" x14ac:dyDescent="0.25">
      <c r="B86" s="61" t="s">
        <v>234</v>
      </c>
      <c r="C86" s="61"/>
      <c r="D86" s="62" t="s">
        <v>212</v>
      </c>
      <c r="E86" s="61" t="s">
        <v>235</v>
      </c>
      <c r="F86" s="61" t="s">
        <v>20</v>
      </c>
      <c r="G86" s="63">
        <v>3.36</v>
      </c>
      <c r="H86" s="64">
        <v>5.17</v>
      </c>
      <c r="I86" s="64">
        <v>2.5099999999999998</v>
      </c>
      <c r="J86" s="110" t="s">
        <v>236</v>
      </c>
      <c r="K86" s="73">
        <v>1</v>
      </c>
      <c r="L86" s="73">
        <v>1</v>
      </c>
      <c r="M86" s="76"/>
      <c r="N86" s="65"/>
      <c r="O86" s="65"/>
      <c r="P86" s="66" t="s">
        <v>189</v>
      </c>
      <c r="Q86" s="67" t="s">
        <v>190</v>
      </c>
      <c r="R86" s="66">
        <v>49.39</v>
      </c>
      <c r="S86" s="66">
        <v>18.420000000000002</v>
      </c>
      <c r="T86" s="66">
        <v>12.26</v>
      </c>
      <c r="U86" s="68">
        <v>19</v>
      </c>
      <c r="V86" s="86">
        <f t="shared" si="11"/>
        <v>29.2</v>
      </c>
      <c r="W86" s="86">
        <f t="shared" si="9"/>
        <v>8.6904761904761898</v>
      </c>
      <c r="X86" s="105">
        <f t="shared" si="6"/>
        <v>5.6547619047619051</v>
      </c>
      <c r="Y86" s="71"/>
      <c r="Z86" s="72">
        <f t="shared" si="8"/>
        <v>0.84</v>
      </c>
    </row>
    <row r="87" spans="2:26" s="26" customFormat="1" ht="12" x14ac:dyDescent="0.25">
      <c r="B87" s="61" t="s">
        <v>237</v>
      </c>
      <c r="C87" s="61"/>
      <c r="D87" s="62" t="s">
        <v>212</v>
      </c>
      <c r="E87" s="61" t="s">
        <v>238</v>
      </c>
      <c r="F87" s="61" t="s">
        <v>15</v>
      </c>
      <c r="G87" s="63">
        <v>10.7</v>
      </c>
      <c r="H87" s="64">
        <v>8.18</v>
      </c>
      <c r="I87" s="64">
        <v>18.14</v>
      </c>
      <c r="J87" s="110">
        <v>49.3</v>
      </c>
      <c r="K87" s="110">
        <v>45.5</v>
      </c>
      <c r="L87" s="110">
        <v>39.700000000000003</v>
      </c>
      <c r="M87" s="76">
        <v>36.200000000000003</v>
      </c>
      <c r="N87" s="76">
        <v>29.4</v>
      </c>
      <c r="O87" s="76">
        <v>25.4</v>
      </c>
      <c r="P87" s="66" t="s">
        <v>183</v>
      </c>
      <c r="Q87" s="67" t="s">
        <v>239</v>
      </c>
      <c r="R87" s="66">
        <v>73.08</v>
      </c>
      <c r="S87" s="66">
        <v>34.54</v>
      </c>
      <c r="T87" s="66">
        <v>16.399999999999999</v>
      </c>
      <c r="U87" s="68">
        <v>95</v>
      </c>
      <c r="V87" s="86">
        <f t="shared" si="11"/>
        <v>89053.055000000008</v>
      </c>
      <c r="W87" s="86">
        <f t="shared" si="9"/>
        <v>8322.7154205607494</v>
      </c>
      <c r="X87" s="105">
        <f t="shared" si="6"/>
        <v>8.878504672897197</v>
      </c>
      <c r="Y87" s="71"/>
      <c r="Z87" s="72">
        <f t="shared" si="8"/>
        <v>0.4458333333333333</v>
      </c>
    </row>
    <row r="88" spans="2:26" s="26" customFormat="1" ht="12" x14ac:dyDescent="0.25">
      <c r="B88" s="61" t="s">
        <v>240</v>
      </c>
      <c r="C88" s="61" t="s">
        <v>241</v>
      </c>
      <c r="D88" s="62" t="s">
        <v>221</v>
      </c>
      <c r="E88" s="61" t="s">
        <v>242</v>
      </c>
      <c r="F88" s="61" t="s">
        <v>243</v>
      </c>
      <c r="G88" s="63">
        <v>15.4</v>
      </c>
      <c r="H88" s="64">
        <v>49.9</v>
      </c>
      <c r="I88" s="64">
        <v>24</v>
      </c>
      <c r="J88" s="65">
        <v>77</v>
      </c>
      <c r="K88" s="73">
        <v>54</v>
      </c>
      <c r="L88" s="73">
        <v>47</v>
      </c>
      <c r="M88" s="76">
        <v>41.5</v>
      </c>
      <c r="N88" s="65">
        <v>18.5</v>
      </c>
      <c r="O88" s="65">
        <v>20</v>
      </c>
      <c r="P88" s="66">
        <v>0.6</v>
      </c>
      <c r="Q88" s="67">
        <v>21</v>
      </c>
      <c r="R88" s="66">
        <v>106.09</v>
      </c>
      <c r="S88" s="66">
        <v>55.24</v>
      </c>
      <c r="T88" s="66" t="e">
        <f>NA()</f>
        <v>#N/A</v>
      </c>
      <c r="U88" s="68">
        <v>265</v>
      </c>
      <c r="V88" s="86">
        <f t="shared" si="11"/>
        <v>195426</v>
      </c>
      <c r="W88" s="86">
        <f t="shared" si="9"/>
        <v>12690</v>
      </c>
      <c r="X88" s="105">
        <f t="shared" si="6"/>
        <v>17.207792207792206</v>
      </c>
      <c r="Y88" s="71"/>
      <c r="Z88" s="72">
        <f t="shared" si="8"/>
        <v>0.73333333333333339</v>
      </c>
    </row>
    <row r="89" spans="2:26" s="26" customFormat="1" ht="12" x14ac:dyDescent="0.25">
      <c r="B89" s="61" t="s">
        <v>244</v>
      </c>
      <c r="C89" s="61" t="s">
        <v>245</v>
      </c>
      <c r="D89" s="62" t="s">
        <v>212</v>
      </c>
      <c r="E89" s="61" t="s">
        <v>246</v>
      </c>
      <c r="F89" s="61" t="s">
        <v>223</v>
      </c>
      <c r="G89" s="63">
        <v>1.51</v>
      </c>
      <c r="H89" s="64">
        <v>6.41</v>
      </c>
      <c r="I89" s="64">
        <v>3.76</v>
      </c>
      <c r="J89" s="65">
        <v>31.8</v>
      </c>
      <c r="K89" s="65">
        <v>31.8</v>
      </c>
      <c r="L89" s="65">
        <v>29.5</v>
      </c>
      <c r="M89" s="65">
        <v>9.5</v>
      </c>
      <c r="N89" s="65">
        <v>9.5</v>
      </c>
      <c r="O89" s="65">
        <v>16.8</v>
      </c>
      <c r="P89" s="66">
        <v>0.6</v>
      </c>
      <c r="Q89" s="67">
        <v>4</v>
      </c>
      <c r="R89" s="66">
        <v>33.5</v>
      </c>
      <c r="S89" s="66">
        <v>15.2</v>
      </c>
      <c r="T89" s="66" t="e">
        <f>NA()</f>
        <v>#N/A</v>
      </c>
      <c r="U89" s="68">
        <v>44</v>
      </c>
      <c r="V89" s="111">
        <f t="shared" si="11"/>
        <v>29831.58</v>
      </c>
      <c r="W89" s="111">
        <f t="shared" si="9"/>
        <v>19756.013245033115</v>
      </c>
      <c r="X89" s="70">
        <f t="shared" si="6"/>
        <v>29.139072847682119</v>
      </c>
      <c r="Y89" s="71"/>
      <c r="Z89" s="72">
        <f t="shared" si="8"/>
        <v>0.3775</v>
      </c>
    </row>
    <row r="90" spans="2:26" s="26" customFormat="1" ht="12" x14ac:dyDescent="0.25">
      <c r="B90" s="61" t="s">
        <v>247</v>
      </c>
      <c r="C90" s="61" t="s">
        <v>245</v>
      </c>
      <c r="D90" s="62" t="s">
        <v>248</v>
      </c>
      <c r="E90" s="61" t="s">
        <v>208</v>
      </c>
      <c r="F90" s="61" t="s">
        <v>249</v>
      </c>
      <c r="G90" s="63">
        <v>1.04</v>
      </c>
      <c r="H90" s="64">
        <v>7.6</v>
      </c>
      <c r="I90" s="64">
        <v>4.8</v>
      </c>
      <c r="J90" s="65">
        <v>34.700000000000003</v>
      </c>
      <c r="K90" s="65">
        <v>28.1</v>
      </c>
      <c r="L90" s="65">
        <v>43</v>
      </c>
      <c r="M90" s="65">
        <v>10</v>
      </c>
      <c r="N90" s="65">
        <v>10</v>
      </c>
      <c r="O90" s="65">
        <v>20.8</v>
      </c>
      <c r="P90" s="66">
        <v>0.6</v>
      </c>
      <c r="Q90" s="67">
        <v>3</v>
      </c>
      <c r="R90" s="66">
        <v>32.07</v>
      </c>
      <c r="S90" s="66">
        <v>17.079999999999998</v>
      </c>
      <c r="T90" s="66" t="e">
        <f>NA()</f>
        <v>#N/A</v>
      </c>
      <c r="U90" s="68">
        <f>102*1.2</f>
        <v>122.39999999999999</v>
      </c>
      <c r="V90" s="111">
        <f t="shared" si="11"/>
        <v>41928.010000000009</v>
      </c>
      <c r="W90" s="111">
        <f t="shared" si="9"/>
        <v>40315.394230769241</v>
      </c>
      <c r="X90" s="70">
        <f t="shared" ref="X90:X92" si="12">IF(G90="","",$U90/G90)</f>
        <v>117.69230769230768</v>
      </c>
      <c r="Y90" s="71"/>
      <c r="Z90" s="72">
        <f t="shared" si="8"/>
        <v>0.34666666666666668</v>
      </c>
    </row>
    <row r="91" spans="2:26" x14ac:dyDescent="0.3">
      <c r="B91" s="61" t="s">
        <v>250</v>
      </c>
      <c r="C91" s="61" t="s">
        <v>251</v>
      </c>
      <c r="D91" s="62" t="s">
        <v>252</v>
      </c>
      <c r="E91" s="61" t="s">
        <v>253</v>
      </c>
      <c r="F91" s="61" t="s">
        <v>20</v>
      </c>
      <c r="G91" s="63">
        <v>1.65</v>
      </c>
      <c r="H91" s="64">
        <v>4.76</v>
      </c>
      <c r="I91" s="64">
        <v>2.0099999999999998</v>
      </c>
      <c r="J91" s="65">
        <v>24.8</v>
      </c>
      <c r="K91" s="65">
        <v>29</v>
      </c>
      <c r="L91" s="65">
        <v>24.6</v>
      </c>
      <c r="M91" s="65">
        <v>10.199999999999999</v>
      </c>
      <c r="N91" s="65">
        <v>10.1</v>
      </c>
      <c r="O91" s="65">
        <v>16</v>
      </c>
      <c r="P91" s="66">
        <v>0.3</v>
      </c>
      <c r="Q91" s="67">
        <v>4</v>
      </c>
      <c r="R91" s="66">
        <v>30.22</v>
      </c>
      <c r="S91" s="66">
        <v>12.38</v>
      </c>
      <c r="T91" s="66">
        <v>7.05</v>
      </c>
      <c r="U91" s="68">
        <v>12</v>
      </c>
      <c r="V91" s="111">
        <f t="shared" si="11"/>
        <v>17692.320000000003</v>
      </c>
      <c r="W91" s="111">
        <f t="shared" si="9"/>
        <v>10722.618181818185</v>
      </c>
      <c r="X91" s="70">
        <f t="shared" si="12"/>
        <v>7.2727272727272734</v>
      </c>
      <c r="Y91" s="71"/>
      <c r="Z91" s="72">
        <f t="shared" si="8"/>
        <v>0.41249999999999998</v>
      </c>
    </row>
    <row r="92" spans="2:26" x14ac:dyDescent="0.3">
      <c r="B92" s="61" t="s">
        <v>254</v>
      </c>
      <c r="C92" s="61" t="s">
        <v>255</v>
      </c>
      <c r="D92" s="62" t="s">
        <v>256</v>
      </c>
      <c r="E92" s="61" t="s">
        <v>257</v>
      </c>
      <c r="F92" s="61" t="s">
        <v>20</v>
      </c>
      <c r="G92" s="63">
        <v>1.77</v>
      </c>
      <c r="H92" s="64">
        <v>2.95</v>
      </c>
      <c r="I92" s="64">
        <v>0.82</v>
      </c>
      <c r="J92" s="65">
        <v>24.6</v>
      </c>
      <c r="K92" s="65">
        <v>30.5</v>
      </c>
      <c r="L92" s="65">
        <v>24.7</v>
      </c>
      <c r="M92" s="65">
        <v>10.4</v>
      </c>
      <c r="N92" s="65">
        <v>10.4</v>
      </c>
      <c r="O92" s="65">
        <v>16.399999999999999</v>
      </c>
      <c r="P92" s="66">
        <v>0.4</v>
      </c>
      <c r="Q92" s="67">
        <v>4</v>
      </c>
      <c r="R92" s="66">
        <v>23.58</v>
      </c>
      <c r="S92" s="66">
        <v>9.9</v>
      </c>
      <c r="T92" s="66">
        <v>6.33</v>
      </c>
      <c r="U92" s="68"/>
      <c r="V92" s="111">
        <f t="shared" si="11"/>
        <v>18532.41</v>
      </c>
      <c r="W92" s="111">
        <f t="shared" si="9"/>
        <v>10470.28813559322</v>
      </c>
      <c r="X92" s="70">
        <f t="shared" si="12"/>
        <v>0</v>
      </c>
      <c r="Y92" s="71"/>
      <c r="Z92" s="72">
        <f t="shared" si="8"/>
        <v>0.4425</v>
      </c>
    </row>
    <row r="93" spans="2:26" x14ac:dyDescent="0.3">
      <c r="B93" s="61"/>
      <c r="C93" s="61"/>
      <c r="D93" s="62"/>
      <c r="E93" s="61"/>
      <c r="F93" s="61"/>
      <c r="G93" s="63"/>
      <c r="H93" s="64"/>
      <c r="I93" s="64"/>
      <c r="J93" s="65"/>
      <c r="K93" s="65"/>
      <c r="L93" s="65"/>
      <c r="M93" s="65"/>
      <c r="N93" s="65"/>
      <c r="O93" s="65"/>
      <c r="P93" s="66"/>
      <c r="Q93" s="67"/>
      <c r="R93" s="66"/>
      <c r="S93" s="66"/>
      <c r="T93" s="66"/>
      <c r="U93" s="68"/>
      <c r="V93" s="111"/>
      <c r="W93" s="111"/>
      <c r="X93" s="70"/>
      <c r="Y93" s="71"/>
      <c r="Z93" s="72"/>
    </row>
    <row r="94" spans="2:26" x14ac:dyDescent="0.3">
      <c r="B94" s="61"/>
      <c r="C94" s="61"/>
      <c r="D94" s="62"/>
      <c r="E94" s="61"/>
      <c r="F94" s="61"/>
      <c r="G94" s="63"/>
      <c r="H94" s="64"/>
      <c r="I94" s="64"/>
      <c r="J94" s="65"/>
      <c r="K94" s="65"/>
      <c r="L94" s="65"/>
      <c r="M94" s="65"/>
      <c r="N94" s="65"/>
      <c r="O94" s="65"/>
      <c r="P94" s="66"/>
      <c r="Q94" s="67"/>
      <c r="R94" s="66"/>
      <c r="S94" s="66"/>
      <c r="T94" s="66"/>
      <c r="U94" s="68"/>
      <c r="V94" s="111"/>
      <c r="W94" s="111"/>
      <c r="X94" s="70"/>
      <c r="Y94" s="71"/>
      <c r="Z94" s="72"/>
    </row>
    <row r="95" spans="2:26" x14ac:dyDescent="0.3">
      <c r="B95" s="61"/>
      <c r="C95" s="61"/>
      <c r="D95" s="62"/>
      <c r="E95" s="61"/>
      <c r="F95" s="61"/>
      <c r="G95" s="63"/>
      <c r="H95" s="64"/>
      <c r="I95" s="64"/>
      <c r="J95" s="65"/>
      <c r="K95" s="65"/>
      <c r="L95" s="65"/>
      <c r="M95" s="65"/>
      <c r="N95" s="65"/>
      <c r="O95" s="65"/>
      <c r="P95" s="66"/>
      <c r="Q95" s="67"/>
      <c r="R95" s="66"/>
      <c r="S95" s="66"/>
      <c r="T95" s="66"/>
      <c r="U95" s="68"/>
      <c r="V95" s="111"/>
      <c r="W95" s="111"/>
      <c r="X95" s="70"/>
      <c r="Y95" s="71"/>
      <c r="Z95" s="72"/>
    </row>
    <row r="96" spans="2:26" x14ac:dyDescent="0.3">
      <c r="B96" s="61"/>
      <c r="C96" s="61"/>
      <c r="D96" s="62"/>
      <c r="E96" s="61"/>
      <c r="F96" s="61"/>
      <c r="G96" s="63"/>
      <c r="H96" s="64"/>
      <c r="I96" s="64"/>
      <c r="J96" s="65"/>
      <c r="K96" s="65"/>
      <c r="L96" s="65"/>
      <c r="M96" s="65"/>
      <c r="N96" s="65"/>
      <c r="O96" s="65"/>
      <c r="P96" s="66"/>
      <c r="Q96" s="67"/>
      <c r="R96" s="66"/>
      <c r="S96" s="66"/>
      <c r="T96" s="66"/>
      <c r="U96" s="68"/>
      <c r="V96" s="111"/>
      <c r="W96" s="111"/>
      <c r="X96" s="70"/>
      <c r="Y96" s="71"/>
      <c r="Z96" s="72"/>
    </row>
    <row r="97" spans="2:26" x14ac:dyDescent="0.3">
      <c r="B97" s="61"/>
      <c r="C97" s="61"/>
      <c r="D97" s="62"/>
      <c r="E97" s="61"/>
      <c r="F97" s="61"/>
      <c r="G97" s="63"/>
      <c r="H97" s="64"/>
      <c r="I97" s="64"/>
      <c r="J97" s="65"/>
      <c r="K97" s="65"/>
      <c r="L97" s="65"/>
      <c r="M97" s="65"/>
      <c r="N97" s="65"/>
      <c r="O97" s="65"/>
      <c r="P97" s="66"/>
      <c r="Q97" s="67"/>
      <c r="R97" s="66"/>
      <c r="S97" s="66"/>
      <c r="T97" s="66"/>
      <c r="U97" s="68"/>
      <c r="V97" s="111"/>
      <c r="W97" s="111"/>
      <c r="X97" s="70"/>
      <c r="Y97" s="71"/>
      <c r="Z97" s="72"/>
    </row>
    <row r="98" spans="2:26" x14ac:dyDescent="0.3">
      <c r="B98" s="61"/>
      <c r="C98" s="61"/>
      <c r="D98" s="62"/>
      <c r="E98" s="61"/>
      <c r="F98" s="61"/>
      <c r="G98" s="63"/>
      <c r="H98" s="64"/>
      <c r="I98" s="64"/>
      <c r="J98" s="65"/>
      <c r="K98" s="65"/>
      <c r="L98" s="65"/>
      <c r="M98" s="65"/>
      <c r="N98" s="65"/>
      <c r="O98" s="65"/>
      <c r="P98" s="66"/>
      <c r="Q98" s="67"/>
      <c r="R98" s="66"/>
      <c r="S98" s="66"/>
      <c r="T98" s="66"/>
      <c r="U98" s="68"/>
      <c r="V98" s="111"/>
      <c r="W98" s="111"/>
      <c r="X98" s="70"/>
      <c r="Y98" s="71"/>
      <c r="Z98" s="72"/>
    </row>
    <row r="99" spans="2:26" x14ac:dyDescent="0.3">
      <c r="B99" s="61"/>
      <c r="C99" s="61"/>
      <c r="D99" s="62"/>
      <c r="E99" s="61"/>
      <c r="F99" s="61"/>
      <c r="G99" s="63"/>
      <c r="H99" s="64"/>
      <c r="I99" s="64"/>
      <c r="J99" s="65"/>
      <c r="K99" s="65"/>
      <c r="L99" s="65"/>
      <c r="M99" s="65"/>
      <c r="N99" s="65"/>
      <c r="O99" s="65"/>
      <c r="P99" s="66"/>
      <c r="Q99" s="67"/>
      <c r="R99" s="66"/>
      <c r="S99" s="66"/>
      <c r="T99" s="66"/>
      <c r="U99" s="68"/>
      <c r="V99" s="111"/>
      <c r="W99" s="111"/>
      <c r="X99" s="70"/>
      <c r="Y99" s="71"/>
      <c r="Z99" s="72"/>
    </row>
    <row r="100" spans="2:26" x14ac:dyDescent="0.3">
      <c r="B100" s="61"/>
      <c r="C100" s="61"/>
      <c r="D100" s="62"/>
      <c r="E100" s="61"/>
      <c r="F100" s="61"/>
      <c r="G100" s="63"/>
      <c r="H100" s="64"/>
      <c r="I100" s="64"/>
      <c r="J100" s="65"/>
      <c r="K100" s="65"/>
      <c r="L100" s="65"/>
      <c r="M100" s="65"/>
      <c r="N100" s="65"/>
      <c r="O100" s="65"/>
      <c r="P100" s="66"/>
      <c r="Q100" s="67"/>
      <c r="R100" s="66"/>
      <c r="S100" s="66"/>
      <c r="T100" s="66"/>
      <c r="U100" s="68"/>
      <c r="V100" s="111"/>
      <c r="W100" s="111"/>
      <c r="X100" s="70"/>
      <c r="Y100" s="71"/>
      <c r="Z100" s="72"/>
    </row>
  </sheetData>
  <sheetProtection sheet="1" autoFilter="0"/>
  <autoFilter ref="B5:Z91" xr:uid="{00000000-0009-0000-0000-000011000000}"/>
  <mergeCells count="2">
    <mergeCell ref="V3:V5"/>
    <mergeCell ref="W4:W5"/>
  </mergeCells>
  <conditionalFormatting sqref="X6:X88">
    <cfRule type="cellIs" dxfId="0" priority="1" stopIfTrue="1" operator="equal">
      <formula>""</formula>
    </cfRule>
  </conditionalFormatting>
  <hyperlinks>
    <hyperlink ref="W1" location="Index!B1" display="Index" xr:uid="{038A1F66-5A23-4FD6-B9D2-6F0E4852B16B}"/>
    <hyperlink ref="Q1" location="Index!B1" display="Index!B1" xr:uid="{80997C54-E857-4426-A3FC-DD36622FFA33}"/>
  </hyperlinks>
  <printOptions horizontalCentered="1"/>
  <pageMargins left="0.23622047244094491" right="0.15748031496062992" top="0.43307086614173229" bottom="0.39370078740157483" header="0.27559055118110237" footer="0.15748031496062992"/>
  <pageSetup paperSize="9" scale="80" orientation="landscape" r:id="rId1"/>
  <headerFooter alignWithMargins="0">
    <oddFooter>&amp;L&amp;8&amp;F, &amp;A&amp;R&amp;8&amp;P/&amp;N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PQS_PIS_003</vt:lpstr>
      <vt:lpstr>PQS_PIS_004</vt:lpstr>
      <vt:lpstr>Eqpt_list</vt:lpstr>
      <vt:lpstr>PQS_freez</vt:lpstr>
      <vt:lpstr>PQS_models</vt:lpstr>
      <vt:lpstr>PQS_refr</vt:lpstr>
      <vt:lpstr>PQS_refr_solar</vt:lpstr>
      <vt:lpstr>PQS_PIS_003!Print_Titles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KONE, Souleymane</dc:creator>
  <cp:lastModifiedBy>Mojtaba Haghgou</cp:lastModifiedBy>
  <dcterms:created xsi:type="dcterms:W3CDTF">2022-08-18T15:45:50Z</dcterms:created>
  <dcterms:modified xsi:type="dcterms:W3CDTF">2022-08-18T17:38:38Z</dcterms:modified>
</cp:coreProperties>
</file>